
<file path=[Content_Types].xml><?xml version="1.0" encoding="utf-8"?>
<Types xmlns="http://schemas.openxmlformats.org/package/2006/content-types"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Override PartName="/xl/drawings/drawing64.xml" ContentType="application/vnd.openxmlformats-officedocument.drawingml.chartshapes+xml"/>
  <Override PartName="/xl/charts/chart109.xml" ContentType="application/vnd.openxmlformats-officedocument.drawingml.chart+xml"/>
  <Override PartName="/xl/drawings/drawing75.xml" ContentType="application/vnd.openxmlformats-officedocument.drawingml.chartshapes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drawings/drawing42.xml" ContentType="application/vnd.openxmlformats-officedocument.drawingml.chartshapes+xml"/>
  <Override PartName="/xl/charts/chart85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charts/chart112.xml" ContentType="application/vnd.openxmlformats-officedocument.drawingml.char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drawings/drawing69.xml" ContentType="application/vnd.openxmlformats-officedocument.drawingml.chartshapes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29.xml" ContentType="application/vnd.openxmlformats-officedocument.drawingml.chartshapes+xml"/>
  <Override PartName="/xl/drawings/drawing58.xml" ContentType="application/vnd.openxmlformats-officedocument.drawingml.chartshapes+xml"/>
  <Override PartName="/xl/drawings/drawing76.xml" ContentType="application/vnd.openxmlformats-officedocument.drawingml.chartshapes+xml"/>
  <Override PartName="/xl/worksheets/sheet8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ml.chartshapes+xml"/>
  <Override PartName="/xl/charts/chart79.xml" ContentType="application/vnd.openxmlformats-officedocument.drawingml.chart+xml"/>
  <Override PartName="/xl/drawings/drawing47.xml" ContentType="application/vnd.openxmlformats-officedocument.drawingml.chartshapes+xml"/>
  <Override PartName="/xl/charts/chart97.xml" ContentType="application/vnd.openxmlformats-officedocument.drawingml.chart+xml"/>
  <Override PartName="/xl/drawings/drawing65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drawings/drawing25.xml" ContentType="application/vnd.openxmlformats-officedocument.drawingml.chartshapes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43.xml" ContentType="application/vnd.openxmlformats-officedocument.drawingml.chartshapes+xml"/>
  <Override PartName="/xl/charts/chart86.xml" ContentType="application/vnd.openxmlformats-officedocument.drawingml.chart+xml"/>
  <Override PartName="/xl/drawings/drawing54.xml" ContentType="application/vnd.openxmlformats-officedocument.drawingml.chartshapes+xml"/>
  <Override PartName="/xl/drawings/drawing72.xml" ContentType="application/vnd.openxmlformats-officedocument.drawingml.chartshapes+xml"/>
  <Override PartName="/xl/charts/chart117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46.xml" ContentType="application/vnd.openxmlformats-officedocument.drawingml.chart+xml"/>
  <Override PartName="/xl/drawings/drawing32.xml" ContentType="application/vnd.openxmlformats-officedocument.drawingml.chartshapes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drawings/drawing61.xml" ContentType="application/vnd.openxmlformats-officedocument.drawingml.chartshapes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ml.chartshapes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drawings/drawing50.xml" ContentType="application/vnd.openxmlformats-officedocument.drawingml.chartshapes+xml"/>
  <Override PartName="/xl/charts/chart113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ml.chartshapes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ml.chartshap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drawings/drawing19.xml" ContentType="application/vnd.openxmlformats-officedocument.drawingml.chartshapes+xml"/>
  <Override PartName="/xl/drawings/drawing48.xml" ContentType="application/vnd.openxmlformats-officedocument.drawingml.chartshapes+xml"/>
  <Override PartName="/xl/drawings/drawing66.xml" ContentType="application/vnd.openxmlformats-officedocument.drawingml.chartshapes+xml"/>
  <Override PartName="/xl/drawings/drawing77.xml" ContentType="application/vnd.openxmlformats-officedocument.drawingml.chartshapes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69.xml" ContentType="application/vnd.openxmlformats-officedocument.drawingml.chart+xml"/>
  <Override PartName="/xl/drawings/drawing37.xml" ContentType="application/vnd.openxmlformats-officedocument.drawingml.chartshapes+xml"/>
  <Override PartName="/xl/drawings/drawing55.xml" ContentType="application/vnd.openxmlformats-officedocument.drawingml.chartshapes+xml"/>
  <Override PartName="/xl/charts/chart98.xml" ContentType="application/vnd.openxmlformats-officedocument.drawingml.chart+xml"/>
  <Override PartName="/xl/charts/chart11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drawings/drawing26.xml" ContentType="application/vnd.openxmlformats-officedocument.drawingml.chartshapes+xml"/>
  <Override PartName="/xl/charts/chart58.xml" ContentType="application/vnd.openxmlformats-officedocument.drawingml.chart+xml"/>
  <Override PartName="/xl/drawings/drawing44.xml" ContentType="application/vnd.openxmlformats-officedocument.drawing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drawings/drawing62.xml" ContentType="application/vnd.openxmlformats-officedocument.drawingml.chartshapes+xml"/>
  <Override PartName="/xl/charts/chart107.xml" ContentType="application/vnd.openxmlformats-officedocument.drawingml.chart+xml"/>
  <Override PartName="/xl/drawings/drawing73.xml" ContentType="application/vnd.openxmlformats-officedocument.drawingml.chartshapes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22.xml" ContentType="application/vnd.openxmlformats-officedocument.drawingml.chartshapes+xml"/>
  <Override PartName="/xl/charts/chart65.xml" ContentType="application/vnd.openxmlformats-officedocument.drawingml.chart+xml"/>
  <Override PartName="/xl/drawings/drawing33.xml" ContentType="application/vnd.openxmlformats-officedocument.drawingml.chartshapes+xml"/>
  <Override PartName="/xl/charts/chart83.xml" ContentType="application/vnd.openxmlformats-officedocument.drawingml.chart+xml"/>
  <Override PartName="/xl/drawings/drawing51.xml" ContentType="application/vnd.openxmlformats-officedocument.drawingml.chartshapes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drawings/drawing80.xml" ContentType="application/vnd.openxmlformats-officedocument.drawingml.chartshapes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ml.chartshapes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drawings/drawing40.xml" ContentType="application/vnd.openxmlformats-officedocument.drawingml.chartshapes+xml"/>
  <Override PartName="/xl/charts/chart103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drawings/drawing78.xml" ContentType="application/vnd.openxmlformats-officedocument.drawingml.chartshapes+xml"/>
  <Override PartName="/xl/drawings/drawing38.xml" ContentType="application/vnd.openxmlformats-officedocument.drawingml.chartshapes+xml"/>
  <Override PartName="/xl/drawings/drawing49.xml" ContentType="application/vnd.openxmlformats-officedocument.drawingml.chartshapes+xml"/>
  <Override PartName="/xl/charts/chart99.xml" ContentType="application/vnd.openxmlformats-officedocument.drawingml.chart+xml"/>
  <Override PartName="/xl/drawings/drawing67.xml" ContentType="application/vnd.openxmlformats-officedocument.drawingml.chartshap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27.xml" ContentType="application/vnd.openxmlformats-officedocument.drawingml.chartshapes+xml"/>
  <Override PartName="/xl/charts/chart59.xml" ContentType="application/vnd.openxmlformats-officedocument.drawingml.chart+xml"/>
  <Override PartName="/xl/drawings/drawing45.xml" ContentType="application/vnd.openxmlformats-officedocument.drawingml.chartshapes+xml"/>
  <Override PartName="/xl/charts/chart88.xml" ContentType="application/vnd.openxmlformats-officedocument.drawingml.chart+xml"/>
  <Override PartName="/xl/drawings/drawing56.xml" ContentType="application/vnd.openxmlformats-officedocument.drawingml.chartshapes+xml"/>
  <Override PartName="/xl/drawings/drawing74.xml" ContentType="application/vnd.openxmlformats-officedocument.drawingml.chartshapes+xml"/>
  <Override PartName="/xl/charts/chart119.xml" ContentType="application/vnd.openxmlformats-officedocument.drawingml.chart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drawings/drawing34.xml" ContentType="application/vnd.openxmlformats-officedocument.drawingml.chartshapes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drawings/drawing63.xml" ContentType="application/vnd.openxmlformats-officedocument.drawingml.chartshapes+xml"/>
  <Override PartName="/xl/charts/chart108.xml" ContentType="application/vnd.openxmlformats-officedocument.drawingml.chart+xml"/>
  <Override PartName="/xl/drawings/drawing81.xml" ContentType="application/vnd.openxmlformats-officedocument.drawingml.chartshap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ml.chartshapes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41.xml" ContentType="application/vnd.openxmlformats-officedocument.drawingml.chartshapes+xml"/>
  <Override PartName="/xl/charts/chart84.xml" ContentType="application/vnd.openxmlformats-officedocument.drawingml.chart+xml"/>
  <Override PartName="/xl/drawings/drawing52.xml" ContentType="application/vnd.openxmlformats-officedocument.drawingml.chartshapes+xml"/>
  <Override PartName="/xl/drawings/drawing70.xml" ContentType="application/vnd.openxmlformats-officedocument.drawing+xml"/>
  <Override PartName="/xl/charts/chart11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drawings/drawing68.xml" ContentType="application/vnd.openxmlformats-officedocument.drawingml.chartshapes+xml"/>
  <Override PartName="/xl/drawings/drawing79.xml" ContentType="application/vnd.openxmlformats-officedocument.drawingml.chartshapes+xml"/>
  <Override PartName="/xl/drawings/drawing6.xml" ContentType="application/vnd.openxmlformats-officedocument.drawingml.chartshapes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drawings/drawing46.xml" ContentType="application/vnd.openxmlformats-officedocument.drawingml.chartshapes+xml"/>
  <Override PartName="/xl/charts/chart89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ml.chartshapes+xml"/>
  <Override PartName="/xl/charts/chart116.xml" ContentType="application/vnd.openxmlformats-officedocument.drawingml.chart+xml"/>
  <Override PartName="/xl/drawings/drawing82.xml" ContentType="application/vnd.openxmlformats-officedocument.drawingml.chartshapes+xml"/>
  <Override PartName="/xl/drawings/drawing13.xml" ContentType="application/vnd.openxmlformats-officedocument.drawingml.chartshapes+xml"/>
  <Override PartName="/xl/drawings/drawing24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charts/chart105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9430" windowHeight="7760" tabRatio="787" activeTab="2"/>
  </bookViews>
  <sheets>
    <sheet name="E_Suivi_Eans" sheetId="2" r:id="rId1"/>
    <sheet name="Fournisseur" sheetId="27" r:id="rId2"/>
    <sheet name="Eco DDS" sheetId="8" r:id="rId3"/>
    <sheet name="Graphiques DDS" sheetId="9" r:id="rId4"/>
    <sheet name="Eco mobilier" sheetId="13" r:id="rId5"/>
    <sheet name="Graphiques Eco mobilier" sheetId="14" r:id="rId6"/>
    <sheet name="DEEE" sheetId="15" r:id="rId7"/>
    <sheet name="Graphiques DEEE" sheetId="16" r:id="rId8"/>
    <sheet name="Ampoules" sheetId="17" r:id="rId9"/>
    <sheet name="Graphiques Ampoules" sheetId="18" r:id="rId10"/>
    <sheet name="Copie Privée" sheetId="19" r:id="rId11"/>
    <sheet name="Graphiques Copie Privée" sheetId="20" r:id="rId12"/>
    <sheet name="Boissons" sheetId="21" r:id="rId13"/>
    <sheet name="Graphiques Boissons" sheetId="22" r:id="rId14"/>
    <sheet name="Emballages" sheetId="23" state="hidden" r:id="rId15"/>
    <sheet name="Graphiques Emballages" sheetId="24" state="hidden" r:id="rId16"/>
    <sheet name="Economat" sheetId="25" state="hidden" r:id="rId17"/>
    <sheet name="Graphiques Economat" sheetId="26" state="hidden" r:id="rId18"/>
  </sheets>
  <definedNames>
    <definedName name="_xlnm._FilterDatabase" localSheetId="8" hidden="1">Ampoules!$A$3:$E$158</definedName>
    <definedName name="_xlnm._FilterDatabase" localSheetId="12" hidden="1">Boissons!$A$3:$E$158</definedName>
    <definedName name="_xlnm._FilterDatabase" localSheetId="10" hidden="1">'Copie Privée'!$A$3:$E$158</definedName>
    <definedName name="_xlnm._FilterDatabase" localSheetId="6" hidden="1">DEEE!$A$3:$E$158</definedName>
    <definedName name="_xlnm._FilterDatabase" localSheetId="0" hidden="1">E_Suivi_Eans!$A$2:$U$7328</definedName>
    <definedName name="_xlnm._FilterDatabase" localSheetId="2" hidden="1">'Eco DDS'!$A$3:$E$158</definedName>
    <definedName name="_xlnm._FilterDatabase" localSheetId="4" hidden="1">'Eco mobilier'!$A$3:$E$158</definedName>
    <definedName name="_xlnm._FilterDatabase" localSheetId="16" hidden="1">Economat!$A$3:$E$158</definedName>
    <definedName name="_xlnm._FilterDatabase" localSheetId="14" hidden="1">Emballages!$A$3:$E$158</definedName>
    <definedName name="_xlnm._FilterDatabase" localSheetId="1" hidden="1">Fournisseur!$A$1:$B$1862</definedName>
    <definedName name="E_Suivi_Eans" localSheetId="8">#REF!</definedName>
    <definedName name="E_Suivi_Eans" localSheetId="12">#REF!</definedName>
    <definedName name="E_Suivi_Eans" localSheetId="10">#REF!</definedName>
    <definedName name="E_Suivi_Eans" localSheetId="6">#REF!</definedName>
    <definedName name="E_Suivi_Eans" localSheetId="2">#REF!</definedName>
    <definedName name="E_Suivi_Eans" localSheetId="4">#REF!</definedName>
    <definedName name="E_Suivi_Eans" localSheetId="16">#REF!</definedName>
    <definedName name="E_Suivi_Eans" localSheetId="14">#REF!</definedName>
    <definedName name="E_Suivi_Eans" localSheetId="1">#REF!</definedName>
    <definedName name="E_Suivi_Eans" localSheetId="9">#REF!</definedName>
    <definedName name="E_Suivi_Eans" localSheetId="13">#REF!</definedName>
    <definedName name="E_Suivi_Eans" localSheetId="11">#REF!</definedName>
    <definedName name="E_Suivi_Eans" localSheetId="7">#REF!</definedName>
    <definedName name="E_Suivi_Eans" localSheetId="5">#REF!</definedName>
    <definedName name="E_Suivi_Eans" localSheetId="17">#REF!</definedName>
    <definedName name="E_Suivi_Eans" localSheetId="15">#REF!</definedName>
    <definedName name="E_Suivi_Eans">#REF!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6" i="8" a="1"/>
  <c r="U6" s="1"/>
  <c r="U7" a="1"/>
  <c r="U7" s="1"/>
  <c r="U8" a="1"/>
  <c r="U8" s="1"/>
  <c r="U9" a="1"/>
  <c r="U9" s="1"/>
  <c r="U10" a="1"/>
  <c r="U10" s="1"/>
  <c r="U11" a="1"/>
  <c r="U11" s="1"/>
  <c r="U12" a="1"/>
  <c r="U12" s="1"/>
  <c r="U13" a="1"/>
  <c r="U13" s="1"/>
  <c r="U14" a="1"/>
  <c r="U14" s="1"/>
  <c r="U15" a="1"/>
  <c r="U15" s="1"/>
  <c r="U5" l="1" a="1"/>
  <c r="U5" s="1"/>
  <c r="U4" a="1"/>
  <c r="U4" s="1"/>
  <c r="C1" i="2" l="1"/>
  <c r="B1"/>
  <c r="A1"/>
  <c r="X170" i="25" l="1"/>
  <c r="Y170" s="1"/>
  <c r="W170"/>
  <c r="V170"/>
  <c r="U170"/>
  <c r="X169"/>
  <c r="Y169" s="1"/>
  <c r="W169"/>
  <c r="V169"/>
  <c r="U169"/>
  <c r="X168"/>
  <c r="Y168" s="1"/>
  <c r="W168"/>
  <c r="V168"/>
  <c r="U168"/>
  <c r="Y167"/>
  <c r="X167"/>
  <c r="W167"/>
  <c r="V167"/>
  <c r="U167"/>
  <c r="X166"/>
  <c r="Y166" s="1"/>
  <c r="W166"/>
  <c r="V166"/>
  <c r="U166"/>
  <c r="X165"/>
  <c r="W165"/>
  <c r="V165"/>
  <c r="U165"/>
  <c r="X164"/>
  <c r="Y164" s="1"/>
  <c r="W164"/>
  <c r="V164"/>
  <c r="U164"/>
  <c r="X163"/>
  <c r="W163"/>
  <c r="V163"/>
  <c r="U163"/>
  <c r="X162"/>
  <c r="Y162" s="1"/>
  <c r="W162"/>
  <c r="V162"/>
  <c r="U162"/>
  <c r="Y161"/>
  <c r="X161"/>
  <c r="W161"/>
  <c r="V161"/>
  <c r="U161"/>
  <c r="X160"/>
  <c r="Y160" s="1"/>
  <c r="W160"/>
  <c r="V160"/>
  <c r="U160"/>
  <c r="X170" i="23"/>
  <c r="Y170" s="1"/>
  <c r="W170"/>
  <c r="V170"/>
  <c r="U170"/>
  <c r="X169"/>
  <c r="Y169" s="1"/>
  <c r="W169"/>
  <c r="V169"/>
  <c r="U169"/>
  <c r="Y168"/>
  <c r="X168"/>
  <c r="W168"/>
  <c r="V168"/>
  <c r="U168"/>
  <c r="X167"/>
  <c r="Y167" s="1"/>
  <c r="W167"/>
  <c r="V167"/>
  <c r="U167"/>
  <c r="X166"/>
  <c r="Y166" s="1"/>
  <c r="W166"/>
  <c r="V166"/>
  <c r="U166"/>
  <c r="X165"/>
  <c r="W165"/>
  <c r="V165"/>
  <c r="U165"/>
  <c r="X164"/>
  <c r="Y164" s="1"/>
  <c r="W164"/>
  <c r="V164"/>
  <c r="U164"/>
  <c r="Y163"/>
  <c r="X163"/>
  <c r="W163"/>
  <c r="V163"/>
  <c r="U163"/>
  <c r="X162"/>
  <c r="Y162" s="1"/>
  <c r="W162"/>
  <c r="V162"/>
  <c r="U162"/>
  <c r="X161"/>
  <c r="Y161" s="1"/>
  <c r="W161"/>
  <c r="V161"/>
  <c r="U161"/>
  <c r="X160"/>
  <c r="Y160" s="1"/>
  <c r="W160"/>
  <c r="V160"/>
  <c r="U160"/>
  <c r="Y170" i="21"/>
  <c r="X170"/>
  <c r="W170"/>
  <c r="V170"/>
  <c r="U170"/>
  <c r="X169"/>
  <c r="Y169" s="1"/>
  <c r="W169"/>
  <c r="V169"/>
  <c r="U169"/>
  <c r="X168"/>
  <c r="Y168" s="1"/>
  <c r="W168"/>
  <c r="V168"/>
  <c r="U168"/>
  <c r="X167"/>
  <c r="Y167" s="1"/>
  <c r="W167"/>
  <c r="V167"/>
  <c r="U167"/>
  <c r="Y166"/>
  <c r="X166"/>
  <c r="W166"/>
  <c r="V166"/>
  <c r="U166"/>
  <c r="X165"/>
  <c r="Y165" s="1"/>
  <c r="W165"/>
  <c r="V165"/>
  <c r="U165"/>
  <c r="X164"/>
  <c r="Y164" s="1"/>
  <c r="W164"/>
  <c r="V164"/>
  <c r="U164"/>
  <c r="X163"/>
  <c r="Y163" s="1"/>
  <c r="W163"/>
  <c r="V163"/>
  <c r="U163"/>
  <c r="X162"/>
  <c r="Y162" s="1"/>
  <c r="W162"/>
  <c r="V162"/>
  <c r="U162"/>
  <c r="Y161"/>
  <c r="X161"/>
  <c r="W161"/>
  <c r="V161"/>
  <c r="U161"/>
  <c r="X160"/>
  <c r="Y160" s="1"/>
  <c r="W160"/>
  <c r="V160"/>
  <c r="U160"/>
  <c r="X170" i="19"/>
  <c r="W170"/>
  <c r="Y170" s="1"/>
  <c r="V170"/>
  <c r="U170"/>
  <c r="X169"/>
  <c r="W169"/>
  <c r="Y169" s="1"/>
  <c r="V169"/>
  <c r="U169"/>
  <c r="X168"/>
  <c r="Y168" s="1"/>
  <c r="W168"/>
  <c r="V168"/>
  <c r="U168"/>
  <c r="X167"/>
  <c r="W167"/>
  <c r="V167"/>
  <c r="U167"/>
  <c r="X166"/>
  <c r="Y166" s="1"/>
  <c r="W166"/>
  <c r="V166"/>
  <c r="U166"/>
  <c r="X165"/>
  <c r="W165"/>
  <c r="V165"/>
  <c r="U165"/>
  <c r="X164"/>
  <c r="W164"/>
  <c r="Y164" s="1"/>
  <c r="V164"/>
  <c r="U164"/>
  <c r="X163"/>
  <c r="W163"/>
  <c r="Y163" s="1"/>
  <c r="V163"/>
  <c r="U163"/>
  <c r="X162"/>
  <c r="Y162" s="1"/>
  <c r="W162"/>
  <c r="V162"/>
  <c r="U162"/>
  <c r="X161"/>
  <c r="Y161" s="1"/>
  <c r="W161"/>
  <c r="V161"/>
  <c r="U161"/>
  <c r="Y160"/>
  <c r="X160"/>
  <c r="W160"/>
  <c r="V160"/>
  <c r="U160"/>
  <c r="X170" i="17"/>
  <c r="W170"/>
  <c r="V170"/>
  <c r="U170"/>
  <c r="X169"/>
  <c r="W169"/>
  <c r="V169"/>
  <c r="U169"/>
  <c r="X168"/>
  <c r="Y168" s="1"/>
  <c r="W168"/>
  <c r="V168"/>
  <c r="U168"/>
  <c r="X167"/>
  <c r="Y167" s="1"/>
  <c r="W167"/>
  <c r="V167"/>
  <c r="U167"/>
  <c r="X166"/>
  <c r="Y166" s="1"/>
  <c r="W166"/>
  <c r="V166"/>
  <c r="U166"/>
  <c r="X165"/>
  <c r="Y165" s="1"/>
  <c r="W165"/>
  <c r="V165"/>
  <c r="U165"/>
  <c r="X164"/>
  <c r="Y164" s="1"/>
  <c r="W164"/>
  <c r="V164"/>
  <c r="U164"/>
  <c r="X163"/>
  <c r="Y163" s="1"/>
  <c r="W163"/>
  <c r="V163"/>
  <c r="U163"/>
  <c r="X162"/>
  <c r="Y162" s="1"/>
  <c r="W162"/>
  <c r="V162"/>
  <c r="U162"/>
  <c r="X161"/>
  <c r="Y161" s="1"/>
  <c r="W161"/>
  <c r="V161"/>
  <c r="U161"/>
  <c r="X160"/>
  <c r="Y160" s="1"/>
  <c r="W160"/>
  <c r="V160"/>
  <c r="U160"/>
  <c r="Y165" i="19" l="1"/>
  <c r="Y165" i="23"/>
  <c r="Y163" i="25"/>
  <c r="Y167" i="19"/>
  <c r="Y165" i="25"/>
  <c r="Y169" i="17"/>
  <c r="Y170"/>
  <c r="Y170" i="15"/>
  <c r="X170"/>
  <c r="W170"/>
  <c r="V170"/>
  <c r="U170"/>
  <c r="X169"/>
  <c r="Y169" s="1"/>
  <c r="W169"/>
  <c r="V169"/>
  <c r="U169"/>
  <c r="X168"/>
  <c r="Y168" s="1"/>
  <c r="W168"/>
  <c r="V168"/>
  <c r="U168"/>
  <c r="X167"/>
  <c r="Y167" s="1"/>
  <c r="W167"/>
  <c r="V167"/>
  <c r="U167"/>
  <c r="X166"/>
  <c r="W166"/>
  <c r="V166"/>
  <c r="U166"/>
  <c r="X165"/>
  <c r="W165"/>
  <c r="Y165" s="1"/>
  <c r="V165"/>
  <c r="U165"/>
  <c r="X164"/>
  <c r="Y164" s="1"/>
  <c r="W164"/>
  <c r="V164"/>
  <c r="U164"/>
  <c r="Y163"/>
  <c r="X163"/>
  <c r="W163"/>
  <c r="V163"/>
  <c r="U163"/>
  <c r="X162"/>
  <c r="Y162" s="1"/>
  <c r="W162"/>
  <c r="V162"/>
  <c r="U162"/>
  <c r="X161"/>
  <c r="W161"/>
  <c r="V161"/>
  <c r="U161"/>
  <c r="X160"/>
  <c r="W160"/>
  <c r="V160"/>
  <c r="U160"/>
  <c r="Y166" l="1"/>
  <c r="Y160"/>
  <c r="Y161"/>
  <c r="V160" i="13"/>
  <c r="X161"/>
  <c r="X162"/>
  <c r="U168"/>
  <c r="X166"/>
  <c r="X168"/>
  <c r="U160"/>
  <c r="W160"/>
  <c r="X160"/>
  <c r="U161"/>
  <c r="V161"/>
  <c r="W161"/>
  <c r="U162"/>
  <c r="V162"/>
  <c r="W162"/>
  <c r="U163"/>
  <c r="V163"/>
  <c r="W163"/>
  <c r="X163"/>
  <c r="U164"/>
  <c r="V164"/>
  <c r="W164"/>
  <c r="U165"/>
  <c r="V165"/>
  <c r="W165"/>
  <c r="U166"/>
  <c r="V166"/>
  <c r="W166"/>
  <c r="U167"/>
  <c r="V167"/>
  <c r="W167"/>
  <c r="V168"/>
  <c r="W168"/>
  <c r="U169"/>
  <c r="V169"/>
  <c r="W169"/>
  <c r="U170"/>
  <c r="V170"/>
  <c r="W170"/>
  <c r="Y166" l="1"/>
  <c r="Y163"/>
  <c r="Y168"/>
  <c r="Y161"/>
  <c r="C130" i="25"/>
  <c r="C116"/>
  <c r="C103"/>
  <c r="C91"/>
  <c r="C88"/>
  <c r="C77"/>
  <c r="C74"/>
  <c r="C64"/>
  <c r="C61"/>
  <c r="C52"/>
  <c r="C49"/>
  <c r="C46"/>
  <c r="C38"/>
  <c r="C35"/>
  <c r="C25"/>
  <c r="C22"/>
  <c r="C10"/>
  <c r="C4"/>
  <c r="D25"/>
  <c r="D10"/>
  <c r="D130"/>
  <c r="D116"/>
  <c r="D103"/>
  <c r="D91"/>
  <c r="D88"/>
  <c r="D77"/>
  <c r="D74"/>
  <c r="D64"/>
  <c r="D61"/>
  <c r="D52"/>
  <c r="D49"/>
  <c r="D46"/>
  <c r="D38"/>
  <c r="D35"/>
  <c r="D22"/>
  <c r="D13"/>
  <c r="D4"/>
  <c r="E130"/>
  <c r="E116"/>
  <c r="E103"/>
  <c r="E91"/>
  <c r="E88"/>
  <c r="E77"/>
  <c r="E74"/>
  <c r="E64"/>
  <c r="E61"/>
  <c r="E52"/>
  <c r="E49"/>
  <c r="E46"/>
  <c r="E38"/>
  <c r="E35"/>
  <c r="E32"/>
  <c r="E25"/>
  <c r="E22"/>
  <c r="E19"/>
  <c r="E13"/>
  <c r="E10"/>
  <c r="E7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23"/>
  <c r="C11"/>
  <c r="C5"/>
  <c r="D33"/>
  <c r="D14"/>
  <c r="D5"/>
  <c r="C131"/>
  <c r="C117"/>
  <c r="C104"/>
  <c r="C92"/>
  <c r="C89"/>
  <c r="C78"/>
  <c r="C75"/>
  <c r="C65"/>
  <c r="C62"/>
  <c r="C53"/>
  <c r="C50"/>
  <c r="C47"/>
  <c r="C39"/>
  <c r="C36"/>
  <c r="C33"/>
  <c r="C26"/>
  <c r="C20"/>
  <c r="C14"/>
  <c r="C8"/>
  <c r="D26"/>
  <c r="D20"/>
  <c r="D8"/>
  <c r="E6"/>
  <c r="D131"/>
  <c r="D117"/>
  <c r="D104"/>
  <c r="D92"/>
  <c r="D89"/>
  <c r="D78"/>
  <c r="D75"/>
  <c r="D65"/>
  <c r="D62"/>
  <c r="D53"/>
  <c r="D50"/>
  <c r="D47"/>
  <c r="D39"/>
  <c r="D36"/>
  <c r="D23"/>
  <c r="D11"/>
  <c r="E131"/>
  <c r="E117"/>
  <c r="E104"/>
  <c r="E92"/>
  <c r="E89"/>
  <c r="E78"/>
  <c r="E75"/>
  <c r="E65"/>
  <c r="E62"/>
  <c r="E53"/>
  <c r="E50"/>
  <c r="E47"/>
  <c r="E39"/>
  <c r="E36"/>
  <c r="E33"/>
  <c r="E26"/>
  <c r="E23"/>
  <c r="E20"/>
  <c r="E14"/>
  <c r="E11"/>
  <c r="E8"/>
  <c r="E5"/>
  <c r="D21"/>
  <c r="D6"/>
  <c r="F131"/>
  <c r="F117"/>
  <c r="F104"/>
  <c r="F92"/>
  <c r="F89"/>
  <c r="F78"/>
  <c r="F75"/>
  <c r="F65"/>
  <c r="F62"/>
  <c r="F53"/>
  <c r="F50"/>
  <c r="F47"/>
  <c r="F39"/>
  <c r="F36"/>
  <c r="F33"/>
  <c r="F26"/>
  <c r="F23"/>
  <c r="F20"/>
  <c r="F14"/>
  <c r="F11"/>
  <c r="F8"/>
  <c r="F5"/>
  <c r="C34"/>
  <c r="C21"/>
  <c r="C12"/>
  <c r="C6"/>
  <c r="D27"/>
  <c r="D9"/>
  <c r="C144"/>
  <c r="C118"/>
  <c r="C105"/>
  <c r="C102"/>
  <c r="C90"/>
  <c r="C79"/>
  <c r="C76"/>
  <c r="C66"/>
  <c r="C63"/>
  <c r="C60"/>
  <c r="C51"/>
  <c r="C48"/>
  <c r="C40"/>
  <c r="C37"/>
  <c r="C27"/>
  <c r="C24"/>
  <c r="C18"/>
  <c r="C9"/>
  <c r="D34"/>
  <c r="D18"/>
  <c r="E4"/>
  <c r="D144"/>
  <c r="D118"/>
  <c r="D105"/>
  <c r="D102"/>
  <c r="D90"/>
  <c r="D79"/>
  <c r="D76"/>
  <c r="D66"/>
  <c r="D63"/>
  <c r="D60"/>
  <c r="D51"/>
  <c r="D48"/>
  <c r="D40"/>
  <c r="D37"/>
  <c r="D24"/>
  <c r="D12"/>
  <c r="E144"/>
  <c r="E118"/>
  <c r="E105"/>
  <c r="E102"/>
  <c r="E90"/>
  <c r="E79"/>
  <c r="E76"/>
  <c r="E66"/>
  <c r="E63"/>
  <c r="E60"/>
  <c r="E51"/>
  <c r="E48"/>
  <c r="E40"/>
  <c r="E37"/>
  <c r="E34"/>
  <c r="E27"/>
  <c r="E24"/>
  <c r="E21"/>
  <c r="E18"/>
  <c r="E12"/>
  <c r="E9"/>
  <c r="F144"/>
  <c r="F118"/>
  <c r="G118" s="1"/>
  <c r="F105"/>
  <c r="F102"/>
  <c r="F90"/>
  <c r="G90" s="1"/>
  <c r="F79"/>
  <c r="F76"/>
  <c r="F66"/>
  <c r="F63"/>
  <c r="F60"/>
  <c r="F51"/>
  <c r="F48"/>
  <c r="F40"/>
  <c r="F37"/>
  <c r="F34"/>
  <c r="F27"/>
  <c r="F24"/>
  <c r="F21"/>
  <c r="F18"/>
  <c r="F12"/>
  <c r="F9"/>
  <c r="F6"/>
  <c r="C32"/>
  <c r="C19"/>
  <c r="C13"/>
  <c r="C7"/>
  <c r="D32"/>
  <c r="D19"/>
  <c r="D7"/>
  <c r="C131" i="23"/>
  <c r="C92"/>
  <c r="C75"/>
  <c r="C53"/>
  <c r="C39"/>
  <c r="C26"/>
  <c r="C14"/>
  <c r="C5"/>
  <c r="D11"/>
  <c r="G64" i="25"/>
  <c r="D131" i="23"/>
  <c r="D117"/>
  <c r="D104"/>
  <c r="D92"/>
  <c r="D89"/>
  <c r="D78"/>
  <c r="D75"/>
  <c r="D65"/>
  <c r="D62"/>
  <c r="D53"/>
  <c r="D50"/>
  <c r="D47"/>
  <c r="D39"/>
  <c r="D36"/>
  <c r="D33"/>
  <c r="D26"/>
  <c r="D23"/>
  <c r="D8"/>
  <c r="G131" i="25"/>
  <c r="G88"/>
  <c r="G62"/>
  <c r="G38"/>
  <c r="N38" s="1"/>
  <c r="P38" s="1"/>
  <c r="E131" i="23"/>
  <c r="E117"/>
  <c r="E104"/>
  <c r="E92"/>
  <c r="E89"/>
  <c r="E78"/>
  <c r="E75"/>
  <c r="E65"/>
  <c r="E62"/>
  <c r="E53"/>
  <c r="E50"/>
  <c r="E47"/>
  <c r="E39"/>
  <c r="E36"/>
  <c r="E33"/>
  <c r="E26"/>
  <c r="E23"/>
  <c r="E20"/>
  <c r="E14"/>
  <c r="E11"/>
  <c r="E8"/>
  <c r="E5"/>
  <c r="G36" i="25"/>
  <c r="G25"/>
  <c r="F131" i="23"/>
  <c r="F117"/>
  <c r="F104"/>
  <c r="F92"/>
  <c r="F89"/>
  <c r="F78"/>
  <c r="F75"/>
  <c r="F65"/>
  <c r="F62"/>
  <c r="F53"/>
  <c r="F50"/>
  <c r="F47"/>
  <c r="F39"/>
  <c r="F36"/>
  <c r="F33"/>
  <c r="F26"/>
  <c r="F23"/>
  <c r="F20"/>
  <c r="F14"/>
  <c r="F11"/>
  <c r="F8"/>
  <c r="F5"/>
  <c r="C63"/>
  <c r="C51"/>
  <c r="C40"/>
  <c r="C34"/>
  <c r="C24"/>
  <c r="C18"/>
  <c r="C9"/>
  <c r="E18"/>
  <c r="D74"/>
  <c r="D35"/>
  <c r="D7"/>
  <c r="G78" i="25"/>
  <c r="G60"/>
  <c r="G52"/>
  <c r="G34"/>
  <c r="N34" s="1"/>
  <c r="P34" s="1"/>
  <c r="C144" i="23"/>
  <c r="C118"/>
  <c r="C105"/>
  <c r="C102"/>
  <c r="C90"/>
  <c r="C79"/>
  <c r="C76"/>
  <c r="C66"/>
  <c r="C60"/>
  <c r="C48"/>
  <c r="C37"/>
  <c r="C27"/>
  <c r="C21"/>
  <c r="C12"/>
  <c r="C6"/>
  <c r="E12"/>
  <c r="D77"/>
  <c r="D32"/>
  <c r="D4"/>
  <c r="G116" i="25"/>
  <c r="G104"/>
  <c r="G76"/>
  <c r="G32"/>
  <c r="D144" i="23"/>
  <c r="D118"/>
  <c r="D105"/>
  <c r="D102"/>
  <c r="D90"/>
  <c r="D79"/>
  <c r="D76"/>
  <c r="D66"/>
  <c r="D63"/>
  <c r="D60"/>
  <c r="D51"/>
  <c r="D48"/>
  <c r="D40"/>
  <c r="D37"/>
  <c r="D34"/>
  <c r="D27"/>
  <c r="D24"/>
  <c r="D21"/>
  <c r="D18"/>
  <c r="D12"/>
  <c r="D9"/>
  <c r="D6"/>
  <c r="E9"/>
  <c r="D64"/>
  <c r="D38"/>
  <c r="D10"/>
  <c r="G144" i="25"/>
  <c r="G102"/>
  <c r="G74"/>
  <c r="G50"/>
  <c r="N50" s="1"/>
  <c r="P50" s="1"/>
  <c r="G48"/>
  <c r="E144" i="23"/>
  <c r="E118"/>
  <c r="E105"/>
  <c r="E102"/>
  <c r="E90"/>
  <c r="E79"/>
  <c r="E76"/>
  <c r="E66"/>
  <c r="E63"/>
  <c r="E60"/>
  <c r="E51"/>
  <c r="E48"/>
  <c r="E40"/>
  <c r="E37"/>
  <c r="E34"/>
  <c r="E27"/>
  <c r="E24"/>
  <c r="E21"/>
  <c r="E6"/>
  <c r="D52"/>
  <c r="D22"/>
  <c r="G46" i="25"/>
  <c r="G39"/>
  <c r="F144" i="23"/>
  <c r="F118"/>
  <c r="G118" s="1"/>
  <c r="F105"/>
  <c r="F102"/>
  <c r="F90"/>
  <c r="F79"/>
  <c r="F76"/>
  <c r="F66"/>
  <c r="F63"/>
  <c r="F60"/>
  <c r="F51"/>
  <c r="F48"/>
  <c r="F40"/>
  <c r="F37"/>
  <c r="F34"/>
  <c r="F27"/>
  <c r="F24"/>
  <c r="F21"/>
  <c r="F18"/>
  <c r="F12"/>
  <c r="F9"/>
  <c r="F6"/>
  <c r="C61"/>
  <c r="C49"/>
  <c r="C38"/>
  <c r="C32"/>
  <c r="C22"/>
  <c r="C13"/>
  <c r="C7"/>
  <c r="C4"/>
  <c r="D103"/>
  <c r="D61"/>
  <c r="D25"/>
  <c r="G89" i="25"/>
  <c r="C130" i="23"/>
  <c r="C116"/>
  <c r="C103"/>
  <c r="C91"/>
  <c r="C88"/>
  <c r="C77"/>
  <c r="C74"/>
  <c r="C64"/>
  <c r="C52"/>
  <c r="C46"/>
  <c r="C35"/>
  <c r="C25"/>
  <c r="C19"/>
  <c r="C10"/>
  <c r="D116"/>
  <c r="D88"/>
  <c r="D46"/>
  <c r="D13"/>
  <c r="G61" i="25"/>
  <c r="G37"/>
  <c r="N37" s="1"/>
  <c r="P37" s="1"/>
  <c r="G35"/>
  <c r="G21"/>
  <c r="M21" s="1"/>
  <c r="D130" i="23"/>
  <c r="D91"/>
  <c r="D49"/>
  <c r="D19"/>
  <c r="G130" i="25"/>
  <c r="G117"/>
  <c r="G77"/>
  <c r="G53"/>
  <c r="E163"/>
  <c r="E130" i="23"/>
  <c r="E116"/>
  <c r="E103"/>
  <c r="E91"/>
  <c r="E88"/>
  <c r="E77"/>
  <c r="E74"/>
  <c r="E64"/>
  <c r="E61"/>
  <c r="E52"/>
  <c r="E49"/>
  <c r="E46"/>
  <c r="E38"/>
  <c r="E35"/>
  <c r="E32"/>
  <c r="E25"/>
  <c r="E22"/>
  <c r="E19"/>
  <c r="E13"/>
  <c r="E10"/>
  <c r="E7"/>
  <c r="E4"/>
  <c r="C117"/>
  <c r="C89"/>
  <c r="C65"/>
  <c r="C50"/>
  <c r="C36"/>
  <c r="C23"/>
  <c r="C11"/>
  <c r="D20"/>
  <c r="D5"/>
  <c r="G103" i="25"/>
  <c r="G51"/>
  <c r="N51" s="1"/>
  <c r="P51" s="1"/>
  <c r="L38"/>
  <c r="G33"/>
  <c r="N33" s="1"/>
  <c r="P33" s="1"/>
  <c r="G19"/>
  <c r="L19" s="1"/>
  <c r="F130" i="23"/>
  <c r="F116"/>
  <c r="G116" s="1"/>
  <c r="F103"/>
  <c r="F91"/>
  <c r="F88"/>
  <c r="F77"/>
  <c r="F74"/>
  <c r="G74" s="1"/>
  <c r="F64"/>
  <c r="G64" s="1"/>
  <c r="F61"/>
  <c r="F52"/>
  <c r="G52" s="1"/>
  <c r="F49"/>
  <c r="F46"/>
  <c r="F38"/>
  <c r="F35"/>
  <c r="F32"/>
  <c r="G32" s="1"/>
  <c r="F25"/>
  <c r="G25" s="1"/>
  <c r="L25" s="1"/>
  <c r="F22"/>
  <c r="F19"/>
  <c r="F13"/>
  <c r="F10"/>
  <c r="F7"/>
  <c r="F4"/>
  <c r="G49" i="25"/>
  <c r="M38"/>
  <c r="L36"/>
  <c r="C104" i="23"/>
  <c r="C78"/>
  <c r="C62"/>
  <c r="C47"/>
  <c r="C33"/>
  <c r="C20"/>
  <c r="C8"/>
  <c r="D14"/>
  <c r="D131" i="21"/>
  <c r="D117"/>
  <c r="D104"/>
  <c r="D92"/>
  <c r="D89"/>
  <c r="D78"/>
  <c r="D75"/>
  <c r="D65"/>
  <c r="D62"/>
  <c r="D53"/>
  <c r="D50"/>
  <c r="D47"/>
  <c r="D39"/>
  <c r="D36"/>
  <c r="D33"/>
  <c r="D26"/>
  <c r="D23"/>
  <c r="D20"/>
  <c r="D14"/>
  <c r="D11"/>
  <c r="D5"/>
  <c r="E14"/>
  <c r="E5"/>
  <c r="E18"/>
  <c r="G131" i="23"/>
  <c r="G92"/>
  <c r="G90"/>
  <c r="G40"/>
  <c r="E131" i="21"/>
  <c r="E117"/>
  <c r="E104"/>
  <c r="E92"/>
  <c r="E89"/>
  <c r="E78"/>
  <c r="E75"/>
  <c r="E65"/>
  <c r="E62"/>
  <c r="E53"/>
  <c r="E50"/>
  <c r="E47"/>
  <c r="E39"/>
  <c r="E36"/>
  <c r="E33"/>
  <c r="G33" s="1"/>
  <c r="E20"/>
  <c r="E21"/>
  <c r="G88" i="23"/>
  <c r="G38"/>
  <c r="N38" s="1"/>
  <c r="P38" s="1"/>
  <c r="G36"/>
  <c r="F131" i="21"/>
  <c r="F117"/>
  <c r="F104"/>
  <c r="F92"/>
  <c r="F89"/>
  <c r="F78"/>
  <c r="F75"/>
  <c r="G75" s="1"/>
  <c r="F65"/>
  <c r="F62"/>
  <c r="F53"/>
  <c r="F50"/>
  <c r="F47"/>
  <c r="F39"/>
  <c r="F36"/>
  <c r="F33"/>
  <c r="F26"/>
  <c r="F23"/>
  <c r="F20"/>
  <c r="F14"/>
  <c r="F11"/>
  <c r="F8"/>
  <c r="F5"/>
  <c r="C63"/>
  <c r="C51"/>
  <c r="C48"/>
  <c r="C37"/>
  <c r="C27"/>
  <c r="C21"/>
  <c r="C18"/>
  <c r="C9"/>
  <c r="D51"/>
  <c r="D40"/>
  <c r="D34"/>
  <c r="D21"/>
  <c r="D12"/>
  <c r="E6"/>
  <c r="G60" i="23"/>
  <c r="G34"/>
  <c r="N34" s="1"/>
  <c r="P34" s="1"/>
  <c r="C144" i="21"/>
  <c r="C118"/>
  <c r="C105"/>
  <c r="C102"/>
  <c r="C90"/>
  <c r="C79"/>
  <c r="C76"/>
  <c r="C66"/>
  <c r="C60"/>
  <c r="C40"/>
  <c r="C34"/>
  <c r="C24"/>
  <c r="C12"/>
  <c r="C6"/>
  <c r="D37"/>
  <c r="D24"/>
  <c r="D6"/>
  <c r="G78" i="23"/>
  <c r="D144" i="21"/>
  <c r="D118"/>
  <c r="D105"/>
  <c r="D102"/>
  <c r="D90"/>
  <c r="D79"/>
  <c r="D76"/>
  <c r="D66"/>
  <c r="D63"/>
  <c r="D60"/>
  <c r="D48"/>
  <c r="D27"/>
  <c r="D18"/>
  <c r="G144" i="23"/>
  <c r="G104"/>
  <c r="G50"/>
  <c r="N50" s="1"/>
  <c r="P50" s="1"/>
  <c r="G48"/>
  <c r="E144" i="21"/>
  <c r="E118"/>
  <c r="E105"/>
  <c r="E102"/>
  <c r="E90"/>
  <c r="E79"/>
  <c r="E76"/>
  <c r="E66"/>
  <c r="E63"/>
  <c r="E60"/>
  <c r="E51"/>
  <c r="E48"/>
  <c r="E40"/>
  <c r="E37"/>
  <c r="E34"/>
  <c r="E27"/>
  <c r="E24"/>
  <c r="E12"/>
  <c r="G18" i="23"/>
  <c r="M18" s="1"/>
  <c r="F144" i="21"/>
  <c r="F118"/>
  <c r="F105"/>
  <c r="F102"/>
  <c r="F90"/>
  <c r="F79"/>
  <c r="F76"/>
  <c r="F66"/>
  <c r="F63"/>
  <c r="F60"/>
  <c r="F51"/>
  <c r="G51" s="1"/>
  <c r="F48"/>
  <c r="F40"/>
  <c r="F37"/>
  <c r="F34"/>
  <c r="F27"/>
  <c r="F24"/>
  <c r="F21"/>
  <c r="F18"/>
  <c r="F12"/>
  <c r="F9"/>
  <c r="F6"/>
  <c r="C52"/>
  <c r="C46"/>
  <c r="C35"/>
  <c r="C25"/>
  <c r="C22"/>
  <c r="C13"/>
  <c r="C7"/>
  <c r="E10"/>
  <c r="G102" i="23"/>
  <c r="G91"/>
  <c r="G39"/>
  <c r="C130" i="21"/>
  <c r="C116"/>
  <c r="C103"/>
  <c r="C91"/>
  <c r="C88"/>
  <c r="C77"/>
  <c r="C74"/>
  <c r="C64"/>
  <c r="C61"/>
  <c r="C49"/>
  <c r="C38"/>
  <c r="C32"/>
  <c r="C19"/>
  <c r="C10"/>
  <c r="C4"/>
  <c r="E7"/>
  <c r="G89" i="23"/>
  <c r="G63"/>
  <c r="G21"/>
  <c r="D130" i="21"/>
  <c r="D116"/>
  <c r="D103"/>
  <c r="D91"/>
  <c r="D88"/>
  <c r="D77"/>
  <c r="D74"/>
  <c r="D64"/>
  <c r="D61"/>
  <c r="D52"/>
  <c r="D49"/>
  <c r="D46"/>
  <c r="D38"/>
  <c r="D35"/>
  <c r="D32"/>
  <c r="D25"/>
  <c r="D22"/>
  <c r="D19"/>
  <c r="D13"/>
  <c r="D10"/>
  <c r="D7"/>
  <c r="D4"/>
  <c r="E32"/>
  <c r="E22"/>
  <c r="E13"/>
  <c r="E4"/>
  <c r="G130" i="23"/>
  <c r="G79"/>
  <c r="G61"/>
  <c r="G53"/>
  <c r="E163"/>
  <c r="E130" i="21"/>
  <c r="E116"/>
  <c r="E103"/>
  <c r="E91"/>
  <c r="E88"/>
  <c r="E77"/>
  <c r="E74"/>
  <c r="E64"/>
  <c r="E61"/>
  <c r="E52"/>
  <c r="E49"/>
  <c r="E46"/>
  <c r="E38"/>
  <c r="E35"/>
  <c r="E25"/>
  <c r="E19"/>
  <c r="G117" i="23"/>
  <c r="G77"/>
  <c r="L40"/>
  <c r="G24"/>
  <c r="M24" s="1"/>
  <c r="G19"/>
  <c r="L19" s="1"/>
  <c r="F130" i="21"/>
  <c r="F116"/>
  <c r="F103"/>
  <c r="G103" s="1"/>
  <c r="F91"/>
  <c r="F88"/>
  <c r="F77"/>
  <c r="F74"/>
  <c r="F64"/>
  <c r="F61"/>
  <c r="F52"/>
  <c r="F49"/>
  <c r="F46"/>
  <c r="F38"/>
  <c r="F35"/>
  <c r="F32"/>
  <c r="G32" s="1"/>
  <c r="M32" s="1"/>
  <c r="F25"/>
  <c r="G25" s="1"/>
  <c r="F22"/>
  <c r="F19"/>
  <c r="F13"/>
  <c r="F10"/>
  <c r="F7"/>
  <c r="F4"/>
  <c r="C75"/>
  <c r="C62"/>
  <c r="C50"/>
  <c r="C39"/>
  <c r="C36"/>
  <c r="C26"/>
  <c r="C20"/>
  <c r="C14"/>
  <c r="C8"/>
  <c r="D8"/>
  <c r="E26"/>
  <c r="E11"/>
  <c r="D9"/>
  <c r="G105" i="23"/>
  <c r="G75"/>
  <c r="G66"/>
  <c r="M40"/>
  <c r="L38"/>
  <c r="L36"/>
  <c r="C131" i="21"/>
  <c r="C117"/>
  <c r="C104"/>
  <c r="C92"/>
  <c r="C89"/>
  <c r="C78"/>
  <c r="C65"/>
  <c r="C53"/>
  <c r="C47"/>
  <c r="C33"/>
  <c r="C23"/>
  <c r="C11"/>
  <c r="C5"/>
  <c r="E23"/>
  <c r="E8"/>
  <c r="E9"/>
  <c r="E130" i="19"/>
  <c r="E116"/>
  <c r="E103"/>
  <c r="E91"/>
  <c r="E88"/>
  <c r="E77"/>
  <c r="E74"/>
  <c r="E64"/>
  <c r="E61"/>
  <c r="E52"/>
  <c r="E49"/>
  <c r="E46"/>
  <c r="E38"/>
  <c r="E35"/>
  <c r="E32"/>
  <c r="E25"/>
  <c r="E22"/>
  <c r="E19"/>
  <c r="E13"/>
  <c r="E10"/>
  <c r="E7"/>
  <c r="E4"/>
  <c r="C53"/>
  <c r="C47"/>
  <c r="C33"/>
  <c r="C23"/>
  <c r="C14"/>
  <c r="C8"/>
  <c r="D62"/>
  <c r="D33"/>
  <c r="D14"/>
  <c r="E14"/>
  <c r="E21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50"/>
  <c r="C36"/>
  <c r="C20"/>
  <c r="C5"/>
  <c r="D39"/>
  <c r="E33"/>
  <c r="E24"/>
  <c r="G92" i="21"/>
  <c r="C131" i="19"/>
  <c r="C117"/>
  <c r="C104"/>
  <c r="C92"/>
  <c r="C89"/>
  <c r="C78"/>
  <c r="C75"/>
  <c r="C65"/>
  <c r="C62"/>
  <c r="C39"/>
  <c r="C26"/>
  <c r="C11"/>
  <c r="D50"/>
  <c r="D11"/>
  <c r="E5"/>
  <c r="D131"/>
  <c r="D117"/>
  <c r="D104"/>
  <c r="D92"/>
  <c r="D89"/>
  <c r="D78"/>
  <c r="D75"/>
  <c r="D65"/>
  <c r="D47"/>
  <c r="D8"/>
  <c r="G40" i="21"/>
  <c r="E131" i="19"/>
  <c r="E117"/>
  <c r="G117" s="1"/>
  <c r="E104"/>
  <c r="E92"/>
  <c r="E89"/>
  <c r="E78"/>
  <c r="E75"/>
  <c r="E65"/>
  <c r="E62"/>
  <c r="E53"/>
  <c r="E50"/>
  <c r="E47"/>
  <c r="E39"/>
  <c r="E36"/>
  <c r="E20"/>
  <c r="G62" i="21"/>
  <c r="F131" i="19"/>
  <c r="F117"/>
  <c r="F104"/>
  <c r="F92"/>
  <c r="F89"/>
  <c r="F78"/>
  <c r="F75"/>
  <c r="F65"/>
  <c r="F62"/>
  <c r="G62" s="1"/>
  <c r="F53"/>
  <c r="F50"/>
  <c r="F47"/>
  <c r="F39"/>
  <c r="F36"/>
  <c r="F33"/>
  <c r="F26"/>
  <c r="F23"/>
  <c r="F20"/>
  <c r="F14"/>
  <c r="F11"/>
  <c r="F8"/>
  <c r="F5"/>
  <c r="C66"/>
  <c r="C63"/>
  <c r="C51"/>
  <c r="C40"/>
  <c r="C37"/>
  <c r="C27"/>
  <c r="C21"/>
  <c r="C18"/>
  <c r="C9"/>
  <c r="D60"/>
  <c r="D40"/>
  <c r="D34"/>
  <c r="D24"/>
  <c r="D18"/>
  <c r="D9"/>
  <c r="G144" i="21"/>
  <c r="G104"/>
  <c r="G78"/>
  <c r="G60"/>
  <c r="C144" i="19"/>
  <c r="C118"/>
  <c r="C105"/>
  <c r="C102"/>
  <c r="C90"/>
  <c r="C79"/>
  <c r="C76"/>
  <c r="C60"/>
  <c r="C48"/>
  <c r="C34"/>
  <c r="C24"/>
  <c r="C12"/>
  <c r="C6"/>
  <c r="D48"/>
  <c r="D27"/>
  <c r="D12"/>
  <c r="E12"/>
  <c r="G76" i="21"/>
  <c r="D144" i="19"/>
  <c r="D118"/>
  <c r="D105"/>
  <c r="D102"/>
  <c r="D90"/>
  <c r="D79"/>
  <c r="D76"/>
  <c r="D66"/>
  <c r="D63"/>
  <c r="D51"/>
  <c r="D37"/>
  <c r="D21"/>
  <c r="D6"/>
  <c r="G102" i="21"/>
  <c r="G50"/>
  <c r="N50" s="1"/>
  <c r="P50" s="1"/>
  <c r="G48"/>
  <c r="E144" i="19"/>
  <c r="E118"/>
  <c r="E105"/>
  <c r="E102"/>
  <c r="G102" s="1"/>
  <c r="E90"/>
  <c r="E79"/>
  <c r="E76"/>
  <c r="E66"/>
  <c r="E63"/>
  <c r="E60"/>
  <c r="E51"/>
  <c r="E48"/>
  <c r="E40"/>
  <c r="E37"/>
  <c r="E34"/>
  <c r="E27"/>
  <c r="E6"/>
  <c r="G18" i="21"/>
  <c r="F144" i="19"/>
  <c r="F118"/>
  <c r="F105"/>
  <c r="F102"/>
  <c r="F90"/>
  <c r="F79"/>
  <c r="F76"/>
  <c r="F66"/>
  <c r="F63"/>
  <c r="F60"/>
  <c r="F51"/>
  <c r="F48"/>
  <c r="F40"/>
  <c r="F37"/>
  <c r="F34"/>
  <c r="F27"/>
  <c r="F24"/>
  <c r="G24" s="1"/>
  <c r="F21"/>
  <c r="F18"/>
  <c r="F12"/>
  <c r="F9"/>
  <c r="F6"/>
  <c r="C103"/>
  <c r="C88"/>
  <c r="C74"/>
  <c r="C64"/>
  <c r="C52"/>
  <c r="C46"/>
  <c r="C38"/>
  <c r="C32"/>
  <c r="C25"/>
  <c r="C19"/>
  <c r="C10"/>
  <c r="C7"/>
  <c r="D36"/>
  <c r="D20"/>
  <c r="E23"/>
  <c r="E8"/>
  <c r="G89" i="21"/>
  <c r="G39"/>
  <c r="C130" i="19"/>
  <c r="C116"/>
  <c r="C91"/>
  <c r="C77"/>
  <c r="C61"/>
  <c r="C49"/>
  <c r="C35"/>
  <c r="C22"/>
  <c r="C13"/>
  <c r="C4"/>
  <c r="D26"/>
  <c r="E26"/>
  <c r="E9"/>
  <c r="G21" i="21"/>
  <c r="M21" s="1"/>
  <c r="D130" i="19"/>
  <c r="D116"/>
  <c r="D103"/>
  <c r="D91"/>
  <c r="D88"/>
  <c r="D77"/>
  <c r="D74"/>
  <c r="D64"/>
  <c r="D61"/>
  <c r="D52"/>
  <c r="D49"/>
  <c r="D46"/>
  <c r="D38"/>
  <c r="D35"/>
  <c r="D32"/>
  <c r="D25"/>
  <c r="D22"/>
  <c r="D19"/>
  <c r="D13"/>
  <c r="D10"/>
  <c r="D7"/>
  <c r="D4"/>
  <c r="D53"/>
  <c r="D23"/>
  <c r="D5"/>
  <c r="E11"/>
  <c r="E18"/>
  <c r="D130" i="17"/>
  <c r="D116"/>
  <c r="D103"/>
  <c r="D91"/>
  <c r="D88"/>
  <c r="D77"/>
  <c r="D61"/>
  <c r="D49"/>
  <c r="D25"/>
  <c r="C5"/>
  <c r="D47"/>
  <c r="C9"/>
  <c r="G61" i="19"/>
  <c r="E130" i="17"/>
  <c r="E116"/>
  <c r="E103"/>
  <c r="E91"/>
  <c r="E88"/>
  <c r="E77"/>
  <c r="E74"/>
  <c r="E64"/>
  <c r="E61"/>
  <c r="E52"/>
  <c r="E49"/>
  <c r="E46"/>
  <c r="E38"/>
  <c r="E35"/>
  <c r="E32"/>
  <c r="E25"/>
  <c r="D5"/>
  <c r="D14"/>
  <c r="G19" i="19"/>
  <c r="F130" i="17"/>
  <c r="F116"/>
  <c r="F103"/>
  <c r="F91"/>
  <c r="F88"/>
  <c r="G88" s="1"/>
  <c r="F77"/>
  <c r="G77" s="1"/>
  <c r="F74"/>
  <c r="F64"/>
  <c r="F61"/>
  <c r="F52"/>
  <c r="F49"/>
  <c r="F46"/>
  <c r="F38"/>
  <c r="F35"/>
  <c r="F32"/>
  <c r="F25"/>
  <c r="F22"/>
  <c r="F19"/>
  <c r="E13"/>
  <c r="E9"/>
  <c r="E5"/>
  <c r="C7"/>
  <c r="C62"/>
  <c r="C50"/>
  <c r="C39"/>
  <c r="C36"/>
  <c r="C26"/>
  <c r="C20"/>
  <c r="F9"/>
  <c r="F5"/>
  <c r="D50"/>
  <c r="D23"/>
  <c r="G49" i="19"/>
  <c r="C131" i="17"/>
  <c r="C117"/>
  <c r="C104"/>
  <c r="C92"/>
  <c r="C89"/>
  <c r="C78"/>
  <c r="C75"/>
  <c r="C65"/>
  <c r="C53"/>
  <c r="C47"/>
  <c r="C33"/>
  <c r="C23"/>
  <c r="F13"/>
  <c r="C8"/>
  <c r="D33"/>
  <c r="G22" i="19"/>
  <c r="D131" i="17"/>
  <c r="D117"/>
  <c r="D104"/>
  <c r="D92"/>
  <c r="D89"/>
  <c r="D78"/>
  <c r="D75"/>
  <c r="D65"/>
  <c r="D62"/>
  <c r="D53"/>
  <c r="D36"/>
  <c r="G103" i="19"/>
  <c r="G92"/>
  <c r="G64"/>
  <c r="E131" i="17"/>
  <c r="E117"/>
  <c r="E104"/>
  <c r="E92"/>
  <c r="E89"/>
  <c r="E78"/>
  <c r="E75"/>
  <c r="E65"/>
  <c r="E62"/>
  <c r="E53"/>
  <c r="E50"/>
  <c r="E47"/>
  <c r="E39"/>
  <c r="E36"/>
  <c r="E33"/>
  <c r="E26"/>
  <c r="E23"/>
  <c r="E20"/>
  <c r="E14"/>
  <c r="E10"/>
  <c r="E6"/>
  <c r="C10"/>
  <c r="C51"/>
  <c r="C40"/>
  <c r="C34"/>
  <c r="C24"/>
  <c r="C18"/>
  <c r="D7"/>
  <c r="D60"/>
  <c r="D37"/>
  <c r="D27"/>
  <c r="D18"/>
  <c r="E7"/>
  <c r="G88" i="19"/>
  <c r="G36"/>
  <c r="G25"/>
  <c r="F131" i="17"/>
  <c r="F117"/>
  <c r="F104"/>
  <c r="F92"/>
  <c r="F89"/>
  <c r="F78"/>
  <c r="F75"/>
  <c r="F65"/>
  <c r="F62"/>
  <c r="F53"/>
  <c r="F50"/>
  <c r="F47"/>
  <c r="G47" s="1"/>
  <c r="N47" s="1"/>
  <c r="P47" s="1"/>
  <c r="F39"/>
  <c r="F36"/>
  <c r="F33"/>
  <c r="F26"/>
  <c r="F23"/>
  <c r="F20"/>
  <c r="F14"/>
  <c r="F10"/>
  <c r="F6"/>
  <c r="C11"/>
  <c r="C60"/>
  <c r="C37"/>
  <c r="C21"/>
  <c r="C12"/>
  <c r="D40"/>
  <c r="D21"/>
  <c r="C13"/>
  <c r="G131" i="19"/>
  <c r="C144" i="17"/>
  <c r="C118"/>
  <c r="C105"/>
  <c r="C102"/>
  <c r="C90"/>
  <c r="C79"/>
  <c r="C76"/>
  <c r="C66"/>
  <c r="C63"/>
  <c r="C48"/>
  <c r="C27"/>
  <c r="D11"/>
  <c r="D48"/>
  <c r="D24"/>
  <c r="D10"/>
  <c r="G32" i="19"/>
  <c r="D144" i="17"/>
  <c r="D118"/>
  <c r="D105"/>
  <c r="D102"/>
  <c r="D90"/>
  <c r="D79"/>
  <c r="D76"/>
  <c r="D66"/>
  <c r="D63"/>
  <c r="D51"/>
  <c r="D34"/>
  <c r="E11"/>
  <c r="G74" i="19"/>
  <c r="G50"/>
  <c r="N50" s="1"/>
  <c r="P50" s="1"/>
  <c r="G48"/>
  <c r="M48" s="1"/>
  <c r="E144" i="17"/>
  <c r="E118"/>
  <c r="E105"/>
  <c r="E102"/>
  <c r="E90"/>
  <c r="E79"/>
  <c r="E76"/>
  <c r="E66"/>
  <c r="E63"/>
  <c r="E60"/>
  <c r="E51"/>
  <c r="E48"/>
  <c r="E40"/>
  <c r="E37"/>
  <c r="E34"/>
  <c r="E27"/>
  <c r="E24"/>
  <c r="E21"/>
  <c r="E18"/>
  <c r="F11"/>
  <c r="F7"/>
  <c r="C14"/>
  <c r="D4"/>
  <c r="D32"/>
  <c r="F12"/>
  <c r="F4"/>
  <c r="E19"/>
  <c r="C6"/>
  <c r="D20"/>
  <c r="G116" i="19"/>
  <c r="G65"/>
  <c r="F144" i="17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D12"/>
  <c r="D8"/>
  <c r="D38"/>
  <c r="D22"/>
  <c r="D13"/>
  <c r="D26"/>
  <c r="G91" i="19"/>
  <c r="G46"/>
  <c r="N46" s="1"/>
  <c r="P46" s="1"/>
  <c r="G39"/>
  <c r="C160"/>
  <c r="C130" i="17"/>
  <c r="C116"/>
  <c r="C103"/>
  <c r="C91"/>
  <c r="C88"/>
  <c r="C77"/>
  <c r="C74"/>
  <c r="C64"/>
  <c r="C61"/>
  <c r="C52"/>
  <c r="C49"/>
  <c r="C46"/>
  <c r="C38"/>
  <c r="C35"/>
  <c r="C32"/>
  <c r="C25"/>
  <c r="C22"/>
  <c r="C19"/>
  <c r="E12"/>
  <c r="E8"/>
  <c r="E4"/>
  <c r="C4"/>
  <c r="C160" s="1"/>
  <c r="D74"/>
  <c r="D64"/>
  <c r="D52"/>
  <c r="D46"/>
  <c r="D35"/>
  <c r="D19"/>
  <c r="F8"/>
  <c r="E22"/>
  <c r="D9"/>
  <c r="D39"/>
  <c r="D6"/>
  <c r="C144" i="15"/>
  <c r="C118"/>
  <c r="C105"/>
  <c r="C90"/>
  <c r="C76"/>
  <c r="D118"/>
  <c r="D102"/>
  <c r="D76"/>
  <c r="E90"/>
  <c r="C77"/>
  <c r="E75"/>
  <c r="D144"/>
  <c r="D90"/>
  <c r="E105"/>
  <c r="E76"/>
  <c r="E78"/>
  <c r="E144"/>
  <c r="E118"/>
  <c r="E79"/>
  <c r="E89"/>
  <c r="F144"/>
  <c r="F118"/>
  <c r="F105"/>
  <c r="F102"/>
  <c r="F90"/>
  <c r="F79"/>
  <c r="F76"/>
  <c r="C116"/>
  <c r="C91"/>
  <c r="E77"/>
  <c r="G46" i="17"/>
  <c r="C130" i="15"/>
  <c r="C103"/>
  <c r="C74"/>
  <c r="D130"/>
  <c r="D116"/>
  <c r="D103"/>
  <c r="D91"/>
  <c r="D88"/>
  <c r="D77"/>
  <c r="D74"/>
  <c r="G91" i="17"/>
  <c r="E130" i="15"/>
  <c r="E116"/>
  <c r="E103"/>
  <c r="E91"/>
  <c r="E88"/>
  <c r="F130"/>
  <c r="F116"/>
  <c r="F103"/>
  <c r="F91"/>
  <c r="F88"/>
  <c r="F77"/>
  <c r="F74"/>
  <c r="C117"/>
  <c r="C92"/>
  <c r="C89"/>
  <c r="C75"/>
  <c r="D104"/>
  <c r="D78"/>
  <c r="C131"/>
  <c r="C104"/>
  <c r="C78"/>
  <c r="D117"/>
  <c r="D89"/>
  <c r="G49" i="17"/>
  <c r="D131" i="15"/>
  <c r="D92"/>
  <c r="D75"/>
  <c r="E131"/>
  <c r="E117"/>
  <c r="E104"/>
  <c r="E92"/>
  <c r="G92" i="17"/>
  <c r="G64"/>
  <c r="G38"/>
  <c r="N38" s="1"/>
  <c r="P38" s="1"/>
  <c r="F131" i="15"/>
  <c r="F117"/>
  <c r="F104"/>
  <c r="F92"/>
  <c r="F89"/>
  <c r="F78"/>
  <c r="F75"/>
  <c r="C102"/>
  <c r="C79"/>
  <c r="D105"/>
  <c r="D79"/>
  <c r="E102"/>
  <c r="C88"/>
  <c r="E74"/>
  <c r="C130" i="13"/>
  <c r="C64" i="15"/>
  <c r="C61"/>
  <c r="F46"/>
  <c r="D50"/>
  <c r="C46"/>
  <c r="E38"/>
  <c r="D35"/>
  <c r="C32"/>
  <c r="E26"/>
  <c r="D24"/>
  <c r="C22"/>
  <c r="F7"/>
  <c r="E6"/>
  <c r="D5"/>
  <c r="C5"/>
  <c r="C8"/>
  <c r="D64"/>
  <c r="D61"/>
  <c r="F47"/>
  <c r="D51"/>
  <c r="C47"/>
  <c r="E39"/>
  <c r="D36"/>
  <c r="C33"/>
  <c r="E27"/>
  <c r="D25"/>
  <c r="C23"/>
  <c r="D6"/>
  <c r="E64"/>
  <c r="E61"/>
  <c r="F48"/>
  <c r="D52"/>
  <c r="C48"/>
  <c r="E40"/>
  <c r="D37"/>
  <c r="C34"/>
  <c r="F18"/>
  <c r="D26"/>
  <c r="C24"/>
  <c r="F9"/>
  <c r="E8"/>
  <c r="D7"/>
  <c r="C7"/>
  <c r="C9"/>
  <c r="F64"/>
  <c r="F61"/>
  <c r="F49"/>
  <c r="D53"/>
  <c r="C49"/>
  <c r="F32"/>
  <c r="D38"/>
  <c r="C35"/>
  <c r="F19"/>
  <c r="D27"/>
  <c r="C25"/>
  <c r="F10"/>
  <c r="E9"/>
  <c r="D8"/>
  <c r="C65"/>
  <c r="C62"/>
  <c r="F50"/>
  <c r="E46"/>
  <c r="C50"/>
  <c r="F33"/>
  <c r="D39"/>
  <c r="C36"/>
  <c r="F20"/>
  <c r="E18"/>
  <c r="C26"/>
  <c r="F11"/>
  <c r="E10"/>
  <c r="D9"/>
  <c r="D65"/>
  <c r="D62"/>
  <c r="F51"/>
  <c r="E47"/>
  <c r="C51"/>
  <c r="F34"/>
  <c r="D40"/>
  <c r="C37"/>
  <c r="F21"/>
  <c r="E19"/>
  <c r="C27"/>
  <c r="F12"/>
  <c r="E11"/>
  <c r="D10"/>
  <c r="C10"/>
  <c r="C11"/>
  <c r="E65"/>
  <c r="E62"/>
  <c r="F52"/>
  <c r="E48"/>
  <c r="C52"/>
  <c r="F35"/>
  <c r="E32"/>
  <c r="C38"/>
  <c r="F22"/>
  <c r="E20"/>
  <c r="D18"/>
  <c r="F13"/>
  <c r="E12"/>
  <c r="D11"/>
  <c r="F65"/>
  <c r="F62"/>
  <c r="F53"/>
  <c r="E49"/>
  <c r="C53"/>
  <c r="F36"/>
  <c r="E33"/>
  <c r="C39"/>
  <c r="F23"/>
  <c r="E21"/>
  <c r="D19"/>
  <c r="F14"/>
  <c r="E13"/>
  <c r="D12"/>
  <c r="C12"/>
  <c r="C66"/>
  <c r="C63"/>
  <c r="C60"/>
  <c r="E50"/>
  <c r="G50" s="1"/>
  <c r="D46"/>
  <c r="F37"/>
  <c r="E34"/>
  <c r="C40"/>
  <c r="F24"/>
  <c r="E22"/>
  <c r="D20"/>
  <c r="C18"/>
  <c r="E14"/>
  <c r="D66"/>
  <c r="D63"/>
  <c r="D60"/>
  <c r="E51"/>
  <c r="D47"/>
  <c r="F38"/>
  <c r="E35"/>
  <c r="D32"/>
  <c r="F25"/>
  <c r="E23"/>
  <c r="D21"/>
  <c r="C19"/>
  <c r="F4"/>
  <c r="D14"/>
  <c r="C14"/>
  <c r="F8"/>
  <c r="C6"/>
  <c r="E66"/>
  <c r="E63"/>
  <c r="E60"/>
  <c r="E52"/>
  <c r="D48"/>
  <c r="F39"/>
  <c r="E36"/>
  <c r="D33"/>
  <c r="F26"/>
  <c r="E24"/>
  <c r="D22"/>
  <c r="C20"/>
  <c r="F5"/>
  <c r="E4"/>
  <c r="E160" s="1"/>
  <c r="C4"/>
  <c r="C4" i="13"/>
  <c r="C160" s="1"/>
  <c r="D13" i="15"/>
  <c r="F66"/>
  <c r="F63"/>
  <c r="F60"/>
  <c r="E53"/>
  <c r="D49"/>
  <c r="F40"/>
  <c r="E37"/>
  <c r="D34"/>
  <c r="F27"/>
  <c r="E25"/>
  <c r="D23"/>
  <c r="C21"/>
  <c r="F6"/>
  <c r="E5"/>
  <c r="D4"/>
  <c r="D160" s="1"/>
  <c r="E7"/>
  <c r="C13"/>
  <c r="C88" i="13"/>
  <c r="E90"/>
  <c r="C116"/>
  <c r="F18"/>
  <c r="C18"/>
  <c r="E18"/>
  <c r="G103" i="15"/>
  <c r="E89" i="13"/>
  <c r="C105"/>
  <c r="F105"/>
  <c r="F118"/>
  <c r="F144"/>
  <c r="E88"/>
  <c r="C104"/>
  <c r="F104"/>
  <c r="F117"/>
  <c r="E144"/>
  <c r="C103"/>
  <c r="F103"/>
  <c r="F116"/>
  <c r="C102"/>
  <c r="F102"/>
  <c r="E118"/>
  <c r="C144"/>
  <c r="F92"/>
  <c r="E105"/>
  <c r="E117"/>
  <c r="F131"/>
  <c r="F91"/>
  <c r="E104"/>
  <c r="E116"/>
  <c r="F130"/>
  <c r="F90"/>
  <c r="E103"/>
  <c r="E131"/>
  <c r="C92"/>
  <c r="F89"/>
  <c r="E102"/>
  <c r="E130"/>
  <c r="C91"/>
  <c r="F88"/>
  <c r="C90"/>
  <c r="E92"/>
  <c r="C118"/>
  <c r="C89"/>
  <c r="E91"/>
  <c r="C117"/>
  <c r="C131"/>
  <c r="Y162"/>
  <c r="Y160"/>
  <c r="X169"/>
  <c r="Y169" s="1"/>
  <c r="X167"/>
  <c r="Y167" s="1"/>
  <c r="X165"/>
  <c r="Y165" s="1"/>
  <c r="X170"/>
  <c r="Y170" s="1"/>
  <c r="X164"/>
  <c r="Y164" s="1"/>
  <c r="E74"/>
  <c r="F79"/>
  <c r="F78"/>
  <c r="F77"/>
  <c r="F76"/>
  <c r="F75"/>
  <c r="F74"/>
  <c r="C79"/>
  <c r="E79"/>
  <c r="C78"/>
  <c r="E78"/>
  <c r="C77"/>
  <c r="E77"/>
  <c r="C76"/>
  <c r="E76"/>
  <c r="C75"/>
  <c r="E75"/>
  <c r="C74"/>
  <c r="E62"/>
  <c r="C25"/>
  <c r="F19"/>
  <c r="C35"/>
  <c r="F32"/>
  <c r="C63"/>
  <c r="E61"/>
  <c r="F66"/>
  <c r="C24"/>
  <c r="C34"/>
  <c r="E40"/>
  <c r="C62"/>
  <c r="E60"/>
  <c r="F65"/>
  <c r="C23"/>
  <c r="E27"/>
  <c r="C33"/>
  <c r="E39"/>
  <c r="C61"/>
  <c r="F64"/>
  <c r="C22"/>
  <c r="E26"/>
  <c r="C32"/>
  <c r="E38"/>
  <c r="C60"/>
  <c r="F63"/>
  <c r="C21"/>
  <c r="E25"/>
  <c r="F27"/>
  <c r="E37"/>
  <c r="F40"/>
  <c r="D40" s="1"/>
  <c r="F62"/>
  <c r="C20"/>
  <c r="E24"/>
  <c r="F26"/>
  <c r="E36"/>
  <c r="F39"/>
  <c r="F61"/>
  <c r="C19"/>
  <c r="E23"/>
  <c r="F25"/>
  <c r="E35"/>
  <c r="F38"/>
  <c r="F60"/>
  <c r="E22"/>
  <c r="F24"/>
  <c r="C40"/>
  <c r="E34"/>
  <c r="F37"/>
  <c r="E66"/>
  <c r="E21"/>
  <c r="F23"/>
  <c r="C39"/>
  <c r="E33"/>
  <c r="F36"/>
  <c r="E65"/>
  <c r="E20"/>
  <c r="F22"/>
  <c r="C38"/>
  <c r="E32"/>
  <c r="F35"/>
  <c r="C66"/>
  <c r="E64"/>
  <c r="C27"/>
  <c r="E19"/>
  <c r="F21"/>
  <c r="C37"/>
  <c r="F34"/>
  <c r="C65"/>
  <c r="E63"/>
  <c r="C26"/>
  <c r="F20"/>
  <c r="C36"/>
  <c r="F33"/>
  <c r="C64"/>
  <c r="F53"/>
  <c r="C8"/>
  <c r="E9"/>
  <c r="F10"/>
  <c r="C53"/>
  <c r="E49"/>
  <c r="C7"/>
  <c r="E8"/>
  <c r="F9"/>
  <c r="C52"/>
  <c r="E48"/>
  <c r="F52"/>
  <c r="C6"/>
  <c r="E7"/>
  <c r="F8"/>
  <c r="C51"/>
  <c r="E47"/>
  <c r="F51"/>
  <c r="C5"/>
  <c r="E6"/>
  <c r="F7"/>
  <c r="C50"/>
  <c r="E46"/>
  <c r="F50"/>
  <c r="E5"/>
  <c r="F6"/>
  <c r="C49"/>
  <c r="F49"/>
  <c r="E4"/>
  <c r="F5"/>
  <c r="C48"/>
  <c r="F48"/>
  <c r="C14"/>
  <c r="F4"/>
  <c r="C47"/>
  <c r="F47"/>
  <c r="C13"/>
  <c r="E14"/>
  <c r="C46"/>
  <c r="F46"/>
  <c r="C12"/>
  <c r="E13"/>
  <c r="F14"/>
  <c r="E53"/>
  <c r="C11"/>
  <c r="E12"/>
  <c r="F13"/>
  <c r="E52"/>
  <c r="C10"/>
  <c r="E11"/>
  <c r="F12"/>
  <c r="E51"/>
  <c r="C9"/>
  <c r="E10"/>
  <c r="F11"/>
  <c r="E50"/>
  <c r="C9" i="8"/>
  <c r="C8"/>
  <c r="C6"/>
  <c r="C7"/>
  <c r="C10"/>
  <c r="C12"/>
  <c r="C11"/>
  <c r="C13"/>
  <c r="C5"/>
  <c r="C14"/>
  <c r="E18"/>
  <c r="C18"/>
  <c r="E4"/>
  <c r="E5"/>
  <c r="C4"/>
  <c r="C34"/>
  <c r="C48"/>
  <c r="C62"/>
  <c r="C76"/>
  <c r="C90"/>
  <c r="C104"/>
  <c r="C118"/>
  <c r="C33"/>
  <c r="C47"/>
  <c r="C61"/>
  <c r="C75"/>
  <c r="C89"/>
  <c r="C103"/>
  <c r="C117"/>
  <c r="C131"/>
  <c r="E118"/>
  <c r="C32"/>
  <c r="C46"/>
  <c r="C60"/>
  <c r="C74"/>
  <c r="C88"/>
  <c r="C102"/>
  <c r="C116"/>
  <c r="C130"/>
  <c r="C144"/>
  <c r="E117"/>
  <c r="E131"/>
  <c r="E116"/>
  <c r="E130"/>
  <c r="E144"/>
  <c r="C40"/>
  <c r="C39"/>
  <c r="C53"/>
  <c r="C38"/>
  <c r="C52"/>
  <c r="C66"/>
  <c r="C37"/>
  <c r="C51"/>
  <c r="C65"/>
  <c r="C79"/>
  <c r="C36"/>
  <c r="C50"/>
  <c r="C64"/>
  <c r="C78"/>
  <c r="C92"/>
  <c r="C35"/>
  <c r="C49"/>
  <c r="C63"/>
  <c r="C77"/>
  <c r="C91"/>
  <c r="C105"/>
  <c r="E79"/>
  <c r="E92"/>
  <c r="E105"/>
  <c r="E78"/>
  <c r="E91"/>
  <c r="E104"/>
  <c r="E77"/>
  <c r="E90"/>
  <c r="E103"/>
  <c r="E76"/>
  <c r="E89"/>
  <c r="E102"/>
  <c r="E75"/>
  <c r="E88"/>
  <c r="E74"/>
  <c r="E27"/>
  <c r="E40"/>
  <c r="E53"/>
  <c r="E66"/>
  <c r="E26"/>
  <c r="E39"/>
  <c r="E52"/>
  <c r="E65"/>
  <c r="E25"/>
  <c r="E38"/>
  <c r="E51"/>
  <c r="E64"/>
  <c r="E24"/>
  <c r="E37"/>
  <c r="E50"/>
  <c r="E63"/>
  <c r="E23"/>
  <c r="E36"/>
  <c r="E49"/>
  <c r="E62"/>
  <c r="E22"/>
  <c r="E35"/>
  <c r="E48"/>
  <c r="E61"/>
  <c r="E21"/>
  <c r="E34"/>
  <c r="E47"/>
  <c r="E60"/>
  <c r="E20"/>
  <c r="E33"/>
  <c r="E46"/>
  <c r="E19"/>
  <c r="E32"/>
  <c r="F79"/>
  <c r="F92"/>
  <c r="F105"/>
  <c r="F118"/>
  <c r="F131"/>
  <c r="F144"/>
  <c r="F78"/>
  <c r="F91"/>
  <c r="F104"/>
  <c r="F117"/>
  <c r="F130"/>
  <c r="F77"/>
  <c r="F90"/>
  <c r="F103"/>
  <c r="F116"/>
  <c r="F76"/>
  <c r="F89"/>
  <c r="F102"/>
  <c r="F75"/>
  <c r="F88"/>
  <c r="F74"/>
  <c r="F66"/>
  <c r="F65"/>
  <c r="F64"/>
  <c r="F63"/>
  <c r="F62"/>
  <c r="F61"/>
  <c r="F60"/>
  <c r="F40"/>
  <c r="F39"/>
  <c r="F38"/>
  <c r="F37"/>
  <c r="F36"/>
  <c r="F35"/>
  <c r="F34"/>
  <c r="F33"/>
  <c r="F32"/>
  <c r="F27"/>
  <c r="F26"/>
  <c r="F25"/>
  <c r="F24"/>
  <c r="F23"/>
  <c r="F22"/>
  <c r="F21"/>
  <c r="F20"/>
  <c r="F19"/>
  <c r="F18"/>
  <c r="G35" i="21" l="1"/>
  <c r="N35" s="1"/>
  <c r="P35" s="1"/>
  <c r="G116"/>
  <c r="G89" i="17"/>
  <c r="G19" i="21"/>
  <c r="D20" i="13"/>
  <c r="G40" i="15"/>
  <c r="D13" i="13"/>
  <c r="D33"/>
  <c r="D61"/>
  <c r="D131"/>
  <c r="D117" i="8"/>
  <c r="D53" i="13"/>
  <c r="D88"/>
  <c r="N40" i="15"/>
  <c r="P40" s="1"/>
  <c r="L40"/>
  <c r="G77" i="19"/>
  <c r="G66" i="21"/>
  <c r="D35" i="13"/>
  <c r="D37"/>
  <c r="D74"/>
  <c r="D91"/>
  <c r="G38" i="21"/>
  <c r="N38" s="1"/>
  <c r="P38" s="1"/>
  <c r="G130"/>
  <c r="D116" i="13"/>
  <c r="G64" i="15"/>
  <c r="N64" s="1"/>
  <c r="P64" s="1"/>
  <c r="D23" i="13"/>
  <c r="D34"/>
  <c r="D60"/>
  <c r="D62"/>
  <c r="D6"/>
  <c r="G22" i="17"/>
  <c r="D25" i="13"/>
  <c r="D49"/>
  <c r="D38"/>
  <c r="D22"/>
  <c r="D24"/>
  <c r="D77"/>
  <c r="P50" i="15"/>
  <c r="L50"/>
  <c r="M50" s="1"/>
  <c r="N50"/>
  <c r="D144" i="13"/>
  <c r="L22" i="19"/>
  <c r="G61" i="17"/>
  <c r="G118" i="21"/>
  <c r="D7" i="13"/>
  <c r="D9"/>
  <c r="D75"/>
  <c r="D89"/>
  <c r="D92"/>
  <c r="D39"/>
  <c r="D63"/>
  <c r="D65"/>
  <c r="D104"/>
  <c r="D47"/>
  <c r="D50"/>
  <c r="D52"/>
  <c r="D19"/>
  <c r="D117"/>
  <c r="D18"/>
  <c r="D27"/>
  <c r="D32"/>
  <c r="D12"/>
  <c r="D8"/>
  <c r="D21"/>
  <c r="D103"/>
  <c r="D46"/>
  <c r="D10"/>
  <c r="D36"/>
  <c r="D130"/>
  <c r="D64"/>
  <c r="D66"/>
  <c r="D79"/>
  <c r="D90"/>
  <c r="D5"/>
  <c r="D51"/>
  <c r="D78"/>
  <c r="D102"/>
  <c r="D105"/>
  <c r="D14"/>
  <c r="D118"/>
  <c r="D11"/>
  <c r="D48"/>
  <c r="D26"/>
  <c r="D76"/>
  <c r="N33" i="21"/>
  <c r="P33" s="1"/>
  <c r="M33"/>
  <c r="G33" i="19"/>
  <c r="N33" s="1"/>
  <c r="P33" s="1"/>
  <c r="D161" i="15"/>
  <c r="D4" i="13"/>
  <c r="G35"/>
  <c r="G47" i="19"/>
  <c r="N47" s="1"/>
  <c r="P47" s="1"/>
  <c r="E161" i="13"/>
  <c r="C161" i="8"/>
  <c r="G52" i="21"/>
  <c r="G34"/>
  <c r="N34" s="1"/>
  <c r="P34" s="1"/>
  <c r="G53" i="19"/>
  <c r="N53" s="1"/>
  <c r="P53" s="1"/>
  <c r="G90" i="21"/>
  <c r="L90" s="1"/>
  <c r="G77" i="15"/>
  <c r="N77" s="1"/>
  <c r="P77" s="1"/>
  <c r="C162" i="13"/>
  <c r="D131" i="8"/>
  <c r="D32"/>
  <c r="D63"/>
  <c r="D90"/>
  <c r="D62"/>
  <c r="D103"/>
  <c r="D60"/>
  <c r="G130" i="15"/>
  <c r="D89" i="8"/>
  <c r="G116" i="17"/>
  <c r="N116" s="1"/>
  <c r="P116" s="1"/>
  <c r="D102" i="8"/>
  <c r="M53" i="19"/>
  <c r="D116" i="8"/>
  <c r="G105"/>
  <c r="D105"/>
  <c r="G92"/>
  <c r="N92" s="1"/>
  <c r="P92" s="1"/>
  <c r="D92"/>
  <c r="G40"/>
  <c r="N40" s="1"/>
  <c r="P40" s="1"/>
  <c r="D40"/>
  <c r="D144"/>
  <c r="D38"/>
  <c r="D88"/>
  <c r="E161"/>
  <c r="G79"/>
  <c r="L79" s="1"/>
  <c r="D79"/>
  <c r="G36"/>
  <c r="N36" s="1"/>
  <c r="P36" s="1"/>
  <c r="D36"/>
  <c r="D118"/>
  <c r="D37"/>
  <c r="D91"/>
  <c r="D74"/>
  <c r="D104"/>
  <c r="G61"/>
  <c r="L61" s="1"/>
  <c r="D61"/>
  <c r="D66"/>
  <c r="G65"/>
  <c r="N65" s="1"/>
  <c r="P65" s="1"/>
  <c r="D65"/>
  <c r="D39"/>
  <c r="D78"/>
  <c r="D35"/>
  <c r="D18"/>
  <c r="D76"/>
  <c r="D75"/>
  <c r="D34"/>
  <c r="D130"/>
  <c r="D33"/>
  <c r="D64"/>
  <c r="D77"/>
  <c r="G74" i="17"/>
  <c r="M74" s="1"/>
  <c r="G76"/>
  <c r="F161" i="13"/>
  <c r="L24" i="19"/>
  <c r="G39" i="15"/>
  <c r="G39" i="17"/>
  <c r="L39" s="1"/>
  <c r="G131"/>
  <c r="N131" s="1"/>
  <c r="P131" s="1"/>
  <c r="G144" i="13"/>
  <c r="L144" s="1"/>
  <c r="G46" i="21"/>
  <c r="N46" s="1"/>
  <c r="P46" s="1"/>
  <c r="L22" i="17"/>
  <c r="G36"/>
  <c r="M36" s="1"/>
  <c r="G105" i="19"/>
  <c r="L105" s="1"/>
  <c r="G52" i="17"/>
  <c r="L52" s="1"/>
  <c r="G60" i="19"/>
  <c r="G90"/>
  <c r="L90" s="1"/>
  <c r="M19" i="21"/>
  <c r="G79" i="19"/>
  <c r="M79" s="1"/>
  <c r="N51" i="21"/>
  <c r="P51" s="1"/>
  <c r="M51"/>
  <c r="L51"/>
  <c r="G36" i="15"/>
  <c r="G117" i="17"/>
  <c r="N117" s="1"/>
  <c r="P117" s="1"/>
  <c r="G33" i="15"/>
  <c r="G33" i="17"/>
  <c r="N33" s="1"/>
  <c r="P33" s="1"/>
  <c r="G118"/>
  <c r="G19"/>
  <c r="M19" s="1"/>
  <c r="G63"/>
  <c r="N63" s="1"/>
  <c r="P63" s="1"/>
  <c r="G75" i="19"/>
  <c r="M75" s="1"/>
  <c r="G49" i="21"/>
  <c r="L49" s="1"/>
  <c r="G78" i="17"/>
  <c r="N78" s="1"/>
  <c r="P78" s="1"/>
  <c r="G53"/>
  <c r="L53" s="1"/>
  <c r="G88" i="21"/>
  <c r="M88" s="1"/>
  <c r="G22"/>
  <c r="L22" s="1"/>
  <c r="M24" i="19"/>
  <c r="D162"/>
  <c r="G21" i="17"/>
  <c r="M21" s="1"/>
  <c r="G79"/>
  <c r="M79" s="1"/>
  <c r="G89" i="15"/>
  <c r="L33" i="21"/>
  <c r="G51" i="19"/>
  <c r="N51" s="1"/>
  <c r="P51" s="1"/>
  <c r="M25" i="21"/>
  <c r="G48" i="17"/>
  <c r="L48" s="1"/>
  <c r="N130" i="25"/>
  <c r="P130" s="1"/>
  <c r="M130"/>
  <c r="L130"/>
  <c r="C163"/>
  <c r="E162"/>
  <c r="G27" i="17"/>
  <c r="N27" s="1"/>
  <c r="G102"/>
  <c r="M102" s="1"/>
  <c r="G51"/>
  <c r="N51" s="1"/>
  <c r="P51" s="1"/>
  <c r="G105" i="25"/>
  <c r="M49"/>
  <c r="G91"/>
  <c r="D162"/>
  <c r="L39"/>
  <c r="N52"/>
  <c r="P52" s="1"/>
  <c r="D167"/>
  <c r="L103"/>
  <c r="N103"/>
  <c r="P103" s="1"/>
  <c r="M103"/>
  <c r="C164"/>
  <c r="L117"/>
  <c r="N117"/>
  <c r="P117" s="1"/>
  <c r="M117"/>
  <c r="C160"/>
  <c r="E170"/>
  <c r="L88"/>
  <c r="N88"/>
  <c r="P88" s="1"/>
  <c r="M88"/>
  <c r="D164"/>
  <c r="G79"/>
  <c r="M53"/>
  <c r="L50"/>
  <c r="G92"/>
  <c r="C170"/>
  <c r="E167"/>
  <c r="D161"/>
  <c r="G144" i="17"/>
  <c r="N144" s="1"/>
  <c r="P144" s="1"/>
  <c r="C164"/>
  <c r="G40" i="19"/>
  <c r="L40" s="1"/>
  <c r="L51" i="25"/>
  <c r="N46"/>
  <c r="P46" s="1"/>
  <c r="N32"/>
  <c r="P32" s="1"/>
  <c r="L48"/>
  <c r="L52"/>
  <c r="C161"/>
  <c r="M144"/>
  <c r="N144"/>
  <c r="P144" s="1"/>
  <c r="L144"/>
  <c r="L78"/>
  <c r="N78"/>
  <c r="P78" s="1"/>
  <c r="M78"/>
  <c r="E164"/>
  <c r="G66" i="19"/>
  <c r="M66" s="1"/>
  <c r="M19" i="25"/>
  <c r="G18"/>
  <c r="M18" s="1"/>
  <c r="N39"/>
  <c r="P39" s="1"/>
  <c r="N48"/>
  <c r="P48" s="1"/>
  <c r="G47"/>
  <c r="N47" s="1"/>
  <c r="P47" s="1"/>
  <c r="D169"/>
  <c r="F168"/>
  <c r="G12"/>
  <c r="M12" s="1"/>
  <c r="L102"/>
  <c r="N102"/>
  <c r="P102" s="1"/>
  <c r="M102"/>
  <c r="G20"/>
  <c r="L20" s="1"/>
  <c r="E161"/>
  <c r="L62"/>
  <c r="N62"/>
  <c r="P62" s="1"/>
  <c r="M62"/>
  <c r="E163" i="15"/>
  <c r="G46"/>
  <c r="G75" i="17"/>
  <c r="N75" s="1"/>
  <c r="P75" s="1"/>
  <c r="G24" i="25"/>
  <c r="M24" s="1"/>
  <c r="N35"/>
  <c r="P35" s="1"/>
  <c r="G65"/>
  <c r="L37"/>
  <c r="M46"/>
  <c r="G40"/>
  <c r="M40" s="1"/>
  <c r="G75"/>
  <c r="L61"/>
  <c r="M61"/>
  <c r="N61"/>
  <c r="P61" s="1"/>
  <c r="F165"/>
  <c r="G9"/>
  <c r="L9" s="1"/>
  <c r="L116"/>
  <c r="N116"/>
  <c r="P116" s="1"/>
  <c r="M116"/>
  <c r="D166"/>
  <c r="L33"/>
  <c r="L35"/>
  <c r="M39"/>
  <c r="M32"/>
  <c r="G66"/>
  <c r="L77"/>
  <c r="N77"/>
  <c r="P77" s="1"/>
  <c r="M77"/>
  <c r="D163"/>
  <c r="G26"/>
  <c r="L26" s="1"/>
  <c r="G6"/>
  <c r="M6" s="1"/>
  <c r="F162"/>
  <c r="L104"/>
  <c r="N104"/>
  <c r="P104" s="1"/>
  <c r="M104"/>
  <c r="C168"/>
  <c r="N53"/>
  <c r="P53" s="1"/>
  <c r="M52"/>
  <c r="M36"/>
  <c r="G13"/>
  <c r="N13" s="1"/>
  <c r="P13" s="1"/>
  <c r="F169"/>
  <c r="D160"/>
  <c r="G23"/>
  <c r="L23" s="1"/>
  <c r="C165"/>
  <c r="L60"/>
  <c r="M60"/>
  <c r="N60"/>
  <c r="P60" s="1"/>
  <c r="N19"/>
  <c r="M51"/>
  <c r="L53"/>
  <c r="L34"/>
  <c r="L25"/>
  <c r="G10"/>
  <c r="M10" s="1"/>
  <c r="F166"/>
  <c r="E169"/>
  <c r="L89"/>
  <c r="N89"/>
  <c r="P89" s="1"/>
  <c r="M89"/>
  <c r="L74"/>
  <c r="N74"/>
  <c r="P74" s="1"/>
  <c r="M74"/>
  <c r="C162"/>
  <c r="F170"/>
  <c r="G14"/>
  <c r="M14" s="1"/>
  <c r="L90"/>
  <c r="N90"/>
  <c r="P90" s="1"/>
  <c r="M90"/>
  <c r="C167"/>
  <c r="G25" i="15"/>
  <c r="G18" i="17"/>
  <c r="N18" s="1"/>
  <c r="G50"/>
  <c r="N50" s="1"/>
  <c r="P50" s="1"/>
  <c r="L49" i="25"/>
  <c r="N21"/>
  <c r="L21"/>
  <c r="N36"/>
  <c r="P36" s="1"/>
  <c r="G27"/>
  <c r="M27" s="1"/>
  <c r="G7"/>
  <c r="N7" s="1"/>
  <c r="P7" s="1"/>
  <c r="F163"/>
  <c r="G163" s="1"/>
  <c r="E166"/>
  <c r="G11"/>
  <c r="M11" s="1"/>
  <c r="F167"/>
  <c r="N131"/>
  <c r="P131" s="1"/>
  <c r="M131"/>
  <c r="L131"/>
  <c r="G52" i="15"/>
  <c r="M50" i="25"/>
  <c r="M34"/>
  <c r="M25"/>
  <c r="F160"/>
  <c r="G4"/>
  <c r="N4" s="1"/>
  <c r="P4" s="1"/>
  <c r="C169"/>
  <c r="E168"/>
  <c r="L76"/>
  <c r="M76"/>
  <c r="N76"/>
  <c r="P76" s="1"/>
  <c r="L118"/>
  <c r="N118"/>
  <c r="P118" s="1"/>
  <c r="M118"/>
  <c r="F164"/>
  <c r="G8"/>
  <c r="N8" s="1"/>
  <c r="P8" s="1"/>
  <c r="N49"/>
  <c r="P49" s="1"/>
  <c r="M37"/>
  <c r="D168"/>
  <c r="M48"/>
  <c r="L32"/>
  <c r="G22"/>
  <c r="L22" s="1"/>
  <c r="E160"/>
  <c r="C166"/>
  <c r="E165"/>
  <c r="D165"/>
  <c r="F161"/>
  <c r="G5"/>
  <c r="M5" s="1"/>
  <c r="L64"/>
  <c r="N64"/>
  <c r="P64" s="1"/>
  <c r="M64"/>
  <c r="M33"/>
  <c r="G63"/>
  <c r="M35"/>
  <c r="L46"/>
  <c r="N25"/>
  <c r="D170"/>
  <c r="C169" i="23"/>
  <c r="L118"/>
  <c r="N118"/>
  <c r="P118" s="1"/>
  <c r="M118"/>
  <c r="L92"/>
  <c r="N92"/>
  <c r="P92" s="1"/>
  <c r="M92"/>
  <c r="C161" i="15"/>
  <c r="N39" i="23"/>
  <c r="P39" s="1"/>
  <c r="L39"/>
  <c r="N32"/>
  <c r="P32" s="1"/>
  <c r="L48"/>
  <c r="L32"/>
  <c r="M38"/>
  <c r="N117"/>
  <c r="P117" s="1"/>
  <c r="L117"/>
  <c r="M117"/>
  <c r="C166"/>
  <c r="L90"/>
  <c r="N90"/>
  <c r="P90" s="1"/>
  <c r="M90"/>
  <c r="G61" i="15"/>
  <c r="N61" s="1"/>
  <c r="P61" s="1"/>
  <c r="D167" i="17"/>
  <c r="N24" i="23"/>
  <c r="M53"/>
  <c r="N25"/>
  <c r="M36"/>
  <c r="L79"/>
  <c r="M79"/>
  <c r="N79"/>
  <c r="P79" s="1"/>
  <c r="C163"/>
  <c r="G23"/>
  <c r="L23" s="1"/>
  <c r="G20"/>
  <c r="L20" s="1"/>
  <c r="G49" i="15"/>
  <c r="G33" i="23"/>
  <c r="N33" s="1"/>
  <c r="P33" s="1"/>
  <c r="M21"/>
  <c r="L34"/>
  <c r="G103"/>
  <c r="C160"/>
  <c r="E170"/>
  <c r="G37" i="17"/>
  <c r="N37" s="1"/>
  <c r="P37" s="1"/>
  <c r="N19" i="23"/>
  <c r="M19"/>
  <c r="G46"/>
  <c r="N46" s="1"/>
  <c r="P46" s="1"/>
  <c r="L21"/>
  <c r="G76"/>
  <c r="L18"/>
  <c r="G27"/>
  <c r="M27" s="1"/>
  <c r="C170"/>
  <c r="L75"/>
  <c r="N75"/>
  <c r="P75" s="1"/>
  <c r="M75"/>
  <c r="E169"/>
  <c r="D169"/>
  <c r="L63"/>
  <c r="M63"/>
  <c r="N63"/>
  <c r="P63" s="1"/>
  <c r="L74"/>
  <c r="N74"/>
  <c r="P74" s="1"/>
  <c r="M74"/>
  <c r="C168"/>
  <c r="L88"/>
  <c r="N88"/>
  <c r="P88" s="1"/>
  <c r="M88"/>
  <c r="E167"/>
  <c r="L64"/>
  <c r="M64"/>
  <c r="N64"/>
  <c r="P64" s="1"/>
  <c r="G105" i="17"/>
  <c r="N105" s="1"/>
  <c r="P105" s="1"/>
  <c r="N18" i="23"/>
  <c r="M32"/>
  <c r="M25"/>
  <c r="C167"/>
  <c r="L66"/>
  <c r="N66"/>
  <c r="P66" s="1"/>
  <c r="M66"/>
  <c r="E166"/>
  <c r="E168"/>
  <c r="L78"/>
  <c r="N78"/>
  <c r="P78" s="1"/>
  <c r="M78"/>
  <c r="C165"/>
  <c r="E164"/>
  <c r="D166"/>
  <c r="D168"/>
  <c r="G22"/>
  <c r="L22" s="1"/>
  <c r="C164"/>
  <c r="L77"/>
  <c r="N77"/>
  <c r="P77" s="1"/>
  <c r="M77"/>
  <c r="L61"/>
  <c r="N61"/>
  <c r="P61" s="1"/>
  <c r="M61"/>
  <c r="D163"/>
  <c r="L102"/>
  <c r="M102"/>
  <c r="N102"/>
  <c r="P102" s="1"/>
  <c r="E165"/>
  <c r="D165"/>
  <c r="C162"/>
  <c r="E161"/>
  <c r="N53"/>
  <c r="P53" s="1"/>
  <c r="D170"/>
  <c r="C161"/>
  <c r="G13"/>
  <c r="N13" s="1"/>
  <c r="P13" s="1"/>
  <c r="F169"/>
  <c r="E160"/>
  <c r="D160"/>
  <c r="L91"/>
  <c r="N91"/>
  <c r="P91" s="1"/>
  <c r="M91"/>
  <c r="F168"/>
  <c r="G12"/>
  <c r="M12" s="1"/>
  <c r="E162"/>
  <c r="L60"/>
  <c r="N60"/>
  <c r="P60" s="1"/>
  <c r="M60"/>
  <c r="F170"/>
  <c r="G14"/>
  <c r="M14" s="1"/>
  <c r="G65"/>
  <c r="D162"/>
  <c r="M52"/>
  <c r="D167"/>
  <c r="G10"/>
  <c r="M10" s="1"/>
  <c r="F166"/>
  <c r="G26"/>
  <c r="L26" s="1"/>
  <c r="F165"/>
  <c r="G9"/>
  <c r="L9" s="1"/>
  <c r="G11"/>
  <c r="M11" s="1"/>
  <c r="F167"/>
  <c r="D164"/>
  <c r="G63" i="15"/>
  <c r="G35"/>
  <c r="G65"/>
  <c r="N65" s="1"/>
  <c r="P65" s="1"/>
  <c r="G19"/>
  <c r="G49" i="23"/>
  <c r="N49" s="1"/>
  <c r="P49" s="1"/>
  <c r="G62"/>
  <c r="G7"/>
  <c r="N7" s="1"/>
  <c r="P7" s="1"/>
  <c r="F163"/>
  <c r="G163" s="1"/>
  <c r="G6"/>
  <c r="M6" s="1"/>
  <c r="F162"/>
  <c r="N144"/>
  <c r="P144" s="1"/>
  <c r="M144"/>
  <c r="L144"/>
  <c r="F164"/>
  <c r="G8"/>
  <c r="L8" s="1"/>
  <c r="D161"/>
  <c r="D170" i="17"/>
  <c r="G37" i="23"/>
  <c r="M37" s="1"/>
  <c r="L24"/>
  <c r="M50"/>
  <c r="L52"/>
  <c r="F160"/>
  <c r="G4"/>
  <c r="L4" s="1"/>
  <c r="N130"/>
  <c r="P130" s="1"/>
  <c r="M130"/>
  <c r="L130"/>
  <c r="L116"/>
  <c r="M116"/>
  <c r="N116"/>
  <c r="P116" s="1"/>
  <c r="F161"/>
  <c r="G5"/>
  <c r="L5" s="1"/>
  <c r="N131"/>
  <c r="P131" s="1"/>
  <c r="M131"/>
  <c r="L131"/>
  <c r="G103" i="17"/>
  <c r="M103" s="1"/>
  <c r="G51" i="23"/>
  <c r="N51" s="1"/>
  <c r="P51" s="1"/>
  <c r="G35"/>
  <c r="M35" s="1"/>
  <c r="N21"/>
  <c r="L53"/>
  <c r="M39"/>
  <c r="N48"/>
  <c r="P48" s="1"/>
  <c r="M48"/>
  <c r="N52"/>
  <c r="P52" s="1"/>
  <c r="N36"/>
  <c r="P36" s="1"/>
  <c r="G47"/>
  <c r="N47" s="1"/>
  <c r="P47" s="1"/>
  <c r="L105"/>
  <c r="N105"/>
  <c r="P105" s="1"/>
  <c r="M105"/>
  <c r="L89"/>
  <c r="M89"/>
  <c r="N89"/>
  <c r="P89" s="1"/>
  <c r="L104"/>
  <c r="N104"/>
  <c r="P104" s="1"/>
  <c r="M104"/>
  <c r="G60" i="17"/>
  <c r="M60" s="1"/>
  <c r="G24"/>
  <c r="N24" s="1"/>
  <c r="G90"/>
  <c r="M90" s="1"/>
  <c r="L50" i="23"/>
  <c r="M34"/>
  <c r="N40"/>
  <c r="P40" s="1"/>
  <c r="E165" i="21"/>
  <c r="L78"/>
  <c r="M78"/>
  <c r="N78"/>
  <c r="P78" s="1"/>
  <c r="E170"/>
  <c r="L92"/>
  <c r="N92"/>
  <c r="P92" s="1"/>
  <c r="M92"/>
  <c r="M18"/>
  <c r="D168"/>
  <c r="L18"/>
  <c r="L34"/>
  <c r="L25"/>
  <c r="L19"/>
  <c r="F168"/>
  <c r="G12"/>
  <c r="M12" s="1"/>
  <c r="E162"/>
  <c r="D165"/>
  <c r="L76"/>
  <c r="N76"/>
  <c r="P76" s="1"/>
  <c r="M76"/>
  <c r="C168"/>
  <c r="E167"/>
  <c r="G13"/>
  <c r="L13" s="1"/>
  <c r="F169"/>
  <c r="L75"/>
  <c r="N75"/>
  <c r="P75" s="1"/>
  <c r="M75"/>
  <c r="G34" i="15"/>
  <c r="G21"/>
  <c r="G75"/>
  <c r="G79" i="21"/>
  <c r="N21"/>
  <c r="G65"/>
  <c r="G64"/>
  <c r="G27"/>
  <c r="M27" s="1"/>
  <c r="G105"/>
  <c r="F165"/>
  <c r="G9"/>
  <c r="M9" s="1"/>
  <c r="C165"/>
  <c r="F170"/>
  <c r="G14"/>
  <c r="M14" s="1"/>
  <c r="E164"/>
  <c r="C170"/>
  <c r="G10"/>
  <c r="M10" s="1"/>
  <c r="F166"/>
  <c r="D162"/>
  <c r="C169"/>
  <c r="G6"/>
  <c r="M6" s="1"/>
  <c r="F162"/>
  <c r="C162"/>
  <c r="G11"/>
  <c r="M11" s="1"/>
  <c r="F167"/>
  <c r="L62"/>
  <c r="N62"/>
  <c r="P62" s="1"/>
  <c r="M62"/>
  <c r="E161"/>
  <c r="C167"/>
  <c r="L66"/>
  <c r="N66"/>
  <c r="P66" s="1"/>
  <c r="M66"/>
  <c r="G7"/>
  <c r="N7" s="1"/>
  <c r="P7" s="1"/>
  <c r="F163"/>
  <c r="C166"/>
  <c r="L60"/>
  <c r="N60"/>
  <c r="P60" s="1"/>
  <c r="M60"/>
  <c r="F164"/>
  <c r="G8"/>
  <c r="L8" s="1"/>
  <c r="C164"/>
  <c r="F160"/>
  <c r="G4"/>
  <c r="L4" s="1"/>
  <c r="M39"/>
  <c r="M52"/>
  <c r="D170"/>
  <c r="D169"/>
  <c r="C163"/>
  <c r="F161"/>
  <c r="G5"/>
  <c r="L5" s="1"/>
  <c r="G63"/>
  <c r="N48"/>
  <c r="P48" s="1"/>
  <c r="N52"/>
  <c r="P52" s="1"/>
  <c r="D167"/>
  <c r="C161"/>
  <c r="N19"/>
  <c r="G77"/>
  <c r="C160"/>
  <c r="N130"/>
  <c r="P130" s="1"/>
  <c r="M130"/>
  <c r="L130"/>
  <c r="L102"/>
  <c r="M102"/>
  <c r="N102"/>
  <c r="P102" s="1"/>
  <c r="D164"/>
  <c r="E169"/>
  <c r="D166"/>
  <c r="N39"/>
  <c r="P39" s="1"/>
  <c r="M50"/>
  <c r="L50"/>
  <c r="D163"/>
  <c r="N144"/>
  <c r="P144" s="1"/>
  <c r="L144"/>
  <c r="M144"/>
  <c r="L118"/>
  <c r="N118"/>
  <c r="P118" s="1"/>
  <c r="M118"/>
  <c r="D161"/>
  <c r="E166"/>
  <c r="G91"/>
  <c r="L39"/>
  <c r="M48"/>
  <c r="L48"/>
  <c r="L52"/>
  <c r="L40"/>
  <c r="D160"/>
  <c r="G23"/>
  <c r="L23" s="1"/>
  <c r="L116"/>
  <c r="M116"/>
  <c r="N116"/>
  <c r="P116" s="1"/>
  <c r="M34"/>
  <c r="G47"/>
  <c r="N47" s="1"/>
  <c r="P47" s="1"/>
  <c r="M40"/>
  <c r="E163"/>
  <c r="G61"/>
  <c r="L104"/>
  <c r="N104"/>
  <c r="P104" s="1"/>
  <c r="M104"/>
  <c r="N103"/>
  <c r="P103" s="1"/>
  <c r="L103"/>
  <c r="M103"/>
  <c r="E160"/>
  <c r="G117"/>
  <c r="L21"/>
  <c r="N32"/>
  <c r="P32" s="1"/>
  <c r="G36"/>
  <c r="N36" s="1"/>
  <c r="P36" s="1"/>
  <c r="L32"/>
  <c r="N40"/>
  <c r="P40" s="1"/>
  <c r="L38"/>
  <c r="G53"/>
  <c r="N53" s="1"/>
  <c r="P53" s="1"/>
  <c r="L89"/>
  <c r="M89"/>
  <c r="N89"/>
  <c r="P89" s="1"/>
  <c r="G37"/>
  <c r="M37" s="1"/>
  <c r="N18"/>
  <c r="G74"/>
  <c r="N25"/>
  <c r="M38"/>
  <c r="G131"/>
  <c r="G24"/>
  <c r="M24" s="1"/>
  <c r="G26"/>
  <c r="L26" s="1"/>
  <c r="E168"/>
  <c r="G20"/>
  <c r="L20" s="1"/>
  <c r="C166" i="19"/>
  <c r="F168"/>
  <c r="G12"/>
  <c r="M12" s="1"/>
  <c r="L65"/>
  <c r="M65"/>
  <c r="N65"/>
  <c r="P65" s="1"/>
  <c r="L60"/>
  <c r="N60"/>
  <c r="P60" s="1"/>
  <c r="M60"/>
  <c r="E170"/>
  <c r="G62" i="15"/>
  <c r="L48" i="19"/>
  <c r="L25"/>
  <c r="N24"/>
  <c r="G35"/>
  <c r="M35" s="1"/>
  <c r="C163"/>
  <c r="F165"/>
  <c r="G9"/>
  <c r="N9" s="1"/>
  <c r="P9" s="1"/>
  <c r="E167"/>
  <c r="L64"/>
  <c r="N64"/>
  <c r="P64" s="1"/>
  <c r="M64"/>
  <c r="M46"/>
  <c r="G118"/>
  <c r="G52"/>
  <c r="M52" s="1"/>
  <c r="G38"/>
  <c r="N38" s="1"/>
  <c r="P38" s="1"/>
  <c r="G27"/>
  <c r="M27" s="1"/>
  <c r="N22"/>
  <c r="G89"/>
  <c r="G6"/>
  <c r="M6" s="1"/>
  <c r="F162"/>
  <c r="E164"/>
  <c r="C170"/>
  <c r="M39"/>
  <c r="N48"/>
  <c r="P48" s="1"/>
  <c r="M50"/>
  <c r="M25"/>
  <c r="N19"/>
  <c r="E161"/>
  <c r="C167"/>
  <c r="E169"/>
  <c r="G66" i="15"/>
  <c r="N66" s="1"/>
  <c r="P66" s="1"/>
  <c r="L46" i="19"/>
  <c r="N131"/>
  <c r="P131" s="1"/>
  <c r="M131"/>
  <c r="L131"/>
  <c r="L88"/>
  <c r="N88"/>
  <c r="P88" s="1"/>
  <c r="M88"/>
  <c r="C164"/>
  <c r="E166"/>
  <c r="G144"/>
  <c r="L35"/>
  <c r="L39"/>
  <c r="G34"/>
  <c r="N34" s="1"/>
  <c r="P34" s="1"/>
  <c r="M32"/>
  <c r="D170"/>
  <c r="G21"/>
  <c r="M21" s="1"/>
  <c r="L102"/>
  <c r="N102"/>
  <c r="P102" s="1"/>
  <c r="M102"/>
  <c r="C161"/>
  <c r="L61"/>
  <c r="M61"/>
  <c r="N61"/>
  <c r="P61" s="1"/>
  <c r="G32" i="15"/>
  <c r="N39" i="19"/>
  <c r="P39" s="1"/>
  <c r="N32"/>
  <c r="P32" s="1"/>
  <c r="D167"/>
  <c r="M22"/>
  <c r="E163"/>
  <c r="M19"/>
  <c r="L91"/>
  <c r="N91"/>
  <c r="P91" s="1"/>
  <c r="M91"/>
  <c r="L116"/>
  <c r="N116"/>
  <c r="P116" s="1"/>
  <c r="M116"/>
  <c r="G23"/>
  <c r="L23" s="1"/>
  <c r="D164"/>
  <c r="L77"/>
  <c r="N77"/>
  <c r="P77" s="1"/>
  <c r="M77"/>
  <c r="E160"/>
  <c r="D169"/>
  <c r="L19"/>
  <c r="G63"/>
  <c r="G26"/>
  <c r="L26" s="1"/>
  <c r="G20"/>
  <c r="L20" s="1"/>
  <c r="F170"/>
  <c r="G14"/>
  <c r="M14" s="1"/>
  <c r="D161"/>
  <c r="G13"/>
  <c r="N13" s="1"/>
  <c r="P13" s="1"/>
  <c r="F169"/>
  <c r="G104"/>
  <c r="G76"/>
  <c r="N36"/>
  <c r="P36" s="1"/>
  <c r="G130"/>
  <c r="D166"/>
  <c r="L74"/>
  <c r="N74"/>
  <c r="P74" s="1"/>
  <c r="M74"/>
  <c r="G11"/>
  <c r="M11" s="1"/>
  <c r="F167"/>
  <c r="L62"/>
  <c r="N62"/>
  <c r="P62" s="1"/>
  <c r="M62"/>
  <c r="N103"/>
  <c r="P103" s="1"/>
  <c r="L103"/>
  <c r="M103"/>
  <c r="G10"/>
  <c r="M10" s="1"/>
  <c r="F166"/>
  <c r="D163"/>
  <c r="M49"/>
  <c r="E168"/>
  <c r="C168"/>
  <c r="F164"/>
  <c r="G8"/>
  <c r="N8" s="1"/>
  <c r="P8" s="1"/>
  <c r="L92"/>
  <c r="N92"/>
  <c r="P92" s="1"/>
  <c r="M92"/>
  <c r="G7"/>
  <c r="N7" s="1"/>
  <c r="P7" s="1"/>
  <c r="F163"/>
  <c r="D160"/>
  <c r="G78" i="15"/>
  <c r="L78" s="1"/>
  <c r="D168" i="19"/>
  <c r="G78"/>
  <c r="L32"/>
  <c r="L47"/>
  <c r="E165"/>
  <c r="D165"/>
  <c r="C165"/>
  <c r="F161"/>
  <c r="G5"/>
  <c r="N5" s="1"/>
  <c r="P5" s="1"/>
  <c r="N117"/>
  <c r="P117" s="1"/>
  <c r="M117"/>
  <c r="L117"/>
  <c r="F160"/>
  <c r="G4"/>
  <c r="L4" s="1"/>
  <c r="N25"/>
  <c r="L36"/>
  <c r="L49"/>
  <c r="C169"/>
  <c r="E162"/>
  <c r="C162"/>
  <c r="G18"/>
  <c r="M18" s="1"/>
  <c r="L50"/>
  <c r="M36"/>
  <c r="N49"/>
  <c r="P49" s="1"/>
  <c r="G37"/>
  <c r="L37" s="1"/>
  <c r="M38" i="17"/>
  <c r="C167"/>
  <c r="E160"/>
  <c r="L88"/>
  <c r="N88"/>
  <c r="P88" s="1"/>
  <c r="M88"/>
  <c r="G34"/>
  <c r="N34" s="1"/>
  <c r="P34" s="1"/>
  <c r="L77"/>
  <c r="N77"/>
  <c r="P77" s="1"/>
  <c r="M77"/>
  <c r="C161"/>
  <c r="G13"/>
  <c r="M13" s="1"/>
  <c r="F169"/>
  <c r="G23"/>
  <c r="L23" s="1"/>
  <c r="N22"/>
  <c r="C170"/>
  <c r="G10"/>
  <c r="M10" s="1"/>
  <c r="F166"/>
  <c r="L61"/>
  <c r="N61"/>
  <c r="P61" s="1"/>
  <c r="M61"/>
  <c r="D168"/>
  <c r="L92"/>
  <c r="N92"/>
  <c r="P92" s="1"/>
  <c r="M92"/>
  <c r="G7"/>
  <c r="N7" s="1"/>
  <c r="P7" s="1"/>
  <c r="F163"/>
  <c r="C169"/>
  <c r="D165"/>
  <c r="G20"/>
  <c r="L20" s="1"/>
  <c r="G25"/>
  <c r="N25" s="1"/>
  <c r="G66"/>
  <c r="L49"/>
  <c r="E170"/>
  <c r="D164"/>
  <c r="F160"/>
  <c r="G4"/>
  <c r="L4" s="1"/>
  <c r="C166"/>
  <c r="L76"/>
  <c r="M76"/>
  <c r="N76"/>
  <c r="P76" s="1"/>
  <c r="E168"/>
  <c r="F170"/>
  <c r="G14"/>
  <c r="M14" s="1"/>
  <c r="E167"/>
  <c r="D161"/>
  <c r="D169"/>
  <c r="C163"/>
  <c r="E165"/>
  <c r="C168"/>
  <c r="M49"/>
  <c r="G65"/>
  <c r="G11"/>
  <c r="M11" s="1"/>
  <c r="F167"/>
  <c r="E164"/>
  <c r="F168"/>
  <c r="G12"/>
  <c r="M12" s="1"/>
  <c r="E162"/>
  <c r="C165"/>
  <c r="D162"/>
  <c r="N49"/>
  <c r="P49" s="1"/>
  <c r="L47"/>
  <c r="G130"/>
  <c r="D166"/>
  <c r="F164"/>
  <c r="G8"/>
  <c r="L8" s="1"/>
  <c r="L64"/>
  <c r="N64"/>
  <c r="P64" s="1"/>
  <c r="M64"/>
  <c r="E161"/>
  <c r="L91"/>
  <c r="N91"/>
  <c r="P91" s="1"/>
  <c r="M91"/>
  <c r="D163"/>
  <c r="F165"/>
  <c r="G9"/>
  <c r="M9" s="1"/>
  <c r="C162"/>
  <c r="M47"/>
  <c r="G62"/>
  <c r="F161"/>
  <c r="G5"/>
  <c r="M5" s="1"/>
  <c r="D160"/>
  <c r="G6"/>
  <c r="M6" s="1"/>
  <c r="F162"/>
  <c r="G104"/>
  <c r="M46"/>
  <c r="L46"/>
  <c r="L89"/>
  <c r="N89"/>
  <c r="P89" s="1"/>
  <c r="M89"/>
  <c r="E169"/>
  <c r="G60" i="15"/>
  <c r="G40" i="17"/>
  <c r="N40" s="1"/>
  <c r="P40" s="1"/>
  <c r="L38"/>
  <c r="E166"/>
  <c r="L118"/>
  <c r="N118"/>
  <c r="P118" s="1"/>
  <c r="M118"/>
  <c r="N46"/>
  <c r="P46" s="1"/>
  <c r="G32"/>
  <c r="M32" s="1"/>
  <c r="G26"/>
  <c r="L26" s="1"/>
  <c r="F162" i="13"/>
  <c r="M22" i="17"/>
  <c r="E163"/>
  <c r="G35"/>
  <c r="M35" s="1"/>
  <c r="G60" i="13"/>
  <c r="L60" s="1"/>
  <c r="G116" i="15"/>
  <c r="G118"/>
  <c r="G27" i="13"/>
  <c r="G19"/>
  <c r="G74" i="15"/>
  <c r="G91"/>
  <c r="L91" s="1"/>
  <c r="G52" i="13"/>
  <c r="G90" i="15"/>
  <c r="N90" s="1"/>
  <c r="P90" s="1"/>
  <c r="G8" i="13"/>
  <c r="G117" i="15"/>
  <c r="G144"/>
  <c r="N144" s="1"/>
  <c r="P144" s="1"/>
  <c r="G14" i="13"/>
  <c r="G4"/>
  <c r="E162"/>
  <c r="G104" i="15"/>
  <c r="N104" s="1"/>
  <c r="P104" s="1"/>
  <c r="G131"/>
  <c r="L131" s="1"/>
  <c r="G61" i="13"/>
  <c r="G37"/>
  <c r="E160"/>
  <c r="D169" i="15"/>
  <c r="G105"/>
  <c r="G76"/>
  <c r="G47"/>
  <c r="L103"/>
  <c r="N103"/>
  <c r="P103" s="1"/>
  <c r="C169"/>
  <c r="G38"/>
  <c r="G13"/>
  <c r="F169"/>
  <c r="C166"/>
  <c r="G20"/>
  <c r="E168"/>
  <c r="G10"/>
  <c r="F166"/>
  <c r="C160"/>
  <c r="E170"/>
  <c r="G79"/>
  <c r="G37"/>
  <c r="E165"/>
  <c r="C170"/>
  <c r="G7"/>
  <c r="F163"/>
  <c r="E167"/>
  <c r="D166"/>
  <c r="D165"/>
  <c r="C168"/>
  <c r="G88"/>
  <c r="C164"/>
  <c r="F160"/>
  <c r="G160" s="1"/>
  <c r="G4"/>
  <c r="E169"/>
  <c r="G51"/>
  <c r="G102"/>
  <c r="G48"/>
  <c r="C165"/>
  <c r="E164"/>
  <c r="G27"/>
  <c r="G92"/>
  <c r="E166"/>
  <c r="C162"/>
  <c r="E163" i="13"/>
  <c r="E161" i="15"/>
  <c r="C167"/>
  <c r="N130"/>
  <c r="P130" s="1"/>
  <c r="L130"/>
  <c r="L116"/>
  <c r="F170"/>
  <c r="G14"/>
  <c r="G22"/>
  <c r="G26"/>
  <c r="F164"/>
  <c r="G8"/>
  <c r="G11"/>
  <c r="F167"/>
  <c r="G6" i="13"/>
  <c r="G53" i="15"/>
  <c r="G18"/>
  <c r="D168"/>
  <c r="D170"/>
  <c r="F168"/>
  <c r="G12"/>
  <c r="D163"/>
  <c r="F161"/>
  <c r="G5"/>
  <c r="D164"/>
  <c r="D162"/>
  <c r="D167"/>
  <c r="E162"/>
  <c r="F165"/>
  <c r="G9"/>
  <c r="C163"/>
  <c r="G6"/>
  <c r="F162"/>
  <c r="G23"/>
  <c r="F166" i="13"/>
  <c r="G24" i="15"/>
  <c r="G46" i="13"/>
  <c r="G90"/>
  <c r="N90" s="1"/>
  <c r="P90" s="1"/>
  <c r="F163"/>
  <c r="C167"/>
  <c r="G51"/>
  <c r="F168"/>
  <c r="E165"/>
  <c r="G64"/>
  <c r="G21"/>
  <c r="F167"/>
  <c r="F170"/>
  <c r="G66"/>
  <c r="G40"/>
  <c r="G60" i="8"/>
  <c r="N60" s="1"/>
  <c r="P60" s="1"/>
  <c r="F160" i="13"/>
  <c r="D160" s="1"/>
  <c r="G88"/>
  <c r="C164"/>
  <c r="G105"/>
  <c r="G33"/>
  <c r="G23"/>
  <c r="G11"/>
  <c r="G131"/>
  <c r="G5"/>
  <c r="G116"/>
  <c r="G104"/>
  <c r="C161"/>
  <c r="C163"/>
  <c r="G53"/>
  <c r="G66" i="8"/>
  <c r="L66" s="1"/>
  <c r="G47" i="13"/>
  <c r="E169"/>
  <c r="G50"/>
  <c r="E164"/>
  <c r="F164"/>
  <c r="D164" s="1"/>
  <c r="G48"/>
  <c r="E166"/>
  <c r="G10"/>
  <c r="E168"/>
  <c r="C165"/>
  <c r="G130"/>
  <c r="C166"/>
  <c r="C168"/>
  <c r="C170"/>
  <c r="G63"/>
  <c r="G12"/>
  <c r="G102"/>
  <c r="G78"/>
  <c r="G13"/>
  <c r="G18"/>
  <c r="G20"/>
  <c r="G65"/>
  <c r="G7"/>
  <c r="G49"/>
  <c r="G22"/>
  <c r="G9"/>
  <c r="G74"/>
  <c r="G79"/>
  <c r="G24"/>
  <c r="E170"/>
  <c r="G76"/>
  <c r="G117"/>
  <c r="G91"/>
  <c r="G26"/>
  <c r="G92"/>
  <c r="F165"/>
  <c r="G75"/>
  <c r="E167"/>
  <c r="G38"/>
  <c r="G89"/>
  <c r="G32"/>
  <c r="G77"/>
  <c r="F169"/>
  <c r="D169" s="1"/>
  <c r="G25"/>
  <c r="C169"/>
  <c r="G62"/>
  <c r="G36"/>
  <c r="G34"/>
  <c r="G103"/>
  <c r="G39"/>
  <c r="G118"/>
  <c r="G63" i="8"/>
  <c r="L63" s="1"/>
  <c r="G27"/>
  <c r="N27" s="1"/>
  <c r="G103"/>
  <c r="G77"/>
  <c r="N77" s="1"/>
  <c r="P77" s="1"/>
  <c r="G89"/>
  <c r="N89" s="1"/>
  <c r="P89" s="1"/>
  <c r="G62"/>
  <c r="L62" s="1"/>
  <c r="G117"/>
  <c r="L117" s="1"/>
  <c r="G91"/>
  <c r="G88"/>
  <c r="G130"/>
  <c r="G90"/>
  <c r="N90" s="1"/>
  <c r="P90" s="1"/>
  <c r="G102"/>
  <c r="G144"/>
  <c r="G19"/>
  <c r="N19" s="1"/>
  <c r="G35"/>
  <c r="N35" s="1"/>
  <c r="P35" s="1"/>
  <c r="L36"/>
  <c r="G118"/>
  <c r="G32"/>
  <c r="G25"/>
  <c r="N25" s="1"/>
  <c r="G131"/>
  <c r="L131" s="1"/>
  <c r="G74"/>
  <c r="G104"/>
  <c r="G33"/>
  <c r="L33" s="1"/>
  <c r="G18"/>
  <c r="L18" s="1"/>
  <c r="G22"/>
  <c r="N22" s="1"/>
  <c r="G116"/>
  <c r="N105"/>
  <c r="P105" s="1"/>
  <c r="L105"/>
  <c r="G76"/>
  <c r="G37"/>
  <c r="L37" s="1"/>
  <c r="G20"/>
  <c r="N20" s="1"/>
  <c r="G34"/>
  <c r="G64"/>
  <c r="G26"/>
  <c r="G24"/>
  <c r="G23"/>
  <c r="G39"/>
  <c r="G38"/>
  <c r="L38" s="1"/>
  <c r="G75"/>
  <c r="G78"/>
  <c r="G21"/>
  <c r="C160"/>
  <c r="E160"/>
  <c r="C27"/>
  <c r="D27" s="1"/>
  <c r="C26"/>
  <c r="D26" s="1"/>
  <c r="C25"/>
  <c r="D25" s="1"/>
  <c r="C24"/>
  <c r="D24" s="1"/>
  <c r="C23"/>
  <c r="C166" s="1"/>
  <c r="C22"/>
  <c r="C165" s="1"/>
  <c r="C21"/>
  <c r="D21" s="1"/>
  <c r="C20"/>
  <c r="D20" s="1"/>
  <c r="C19"/>
  <c r="L19" s="1"/>
  <c r="M19" s="1"/>
  <c r="E14"/>
  <c r="E170" s="1"/>
  <c r="E13"/>
  <c r="E169" s="1"/>
  <c r="E12"/>
  <c r="E168" s="1"/>
  <c r="E11"/>
  <c r="E167" s="1"/>
  <c r="E10"/>
  <c r="E166" s="1"/>
  <c r="E9"/>
  <c r="E165" s="1"/>
  <c r="E8"/>
  <c r="E164" s="1"/>
  <c r="E7"/>
  <c r="E163" s="1"/>
  <c r="E6"/>
  <c r="E162" s="1"/>
  <c r="F53"/>
  <c r="F52"/>
  <c r="F51"/>
  <c r="F50"/>
  <c r="F49"/>
  <c r="F48"/>
  <c r="F47"/>
  <c r="F46"/>
  <c r="L64" i="15" l="1"/>
  <c r="M64" s="1"/>
  <c r="M35" i="21"/>
  <c r="L35"/>
  <c r="N36" i="13"/>
  <c r="L36"/>
  <c r="L7"/>
  <c r="M7" s="1"/>
  <c r="N7"/>
  <c r="N53"/>
  <c r="P53" s="1"/>
  <c r="L53"/>
  <c r="N53" i="15"/>
  <c r="L53"/>
  <c r="P51"/>
  <c r="L51"/>
  <c r="M51" s="1"/>
  <c r="N51"/>
  <c r="N52" i="13"/>
  <c r="P52" s="1"/>
  <c r="L52"/>
  <c r="P49" i="15"/>
  <c r="L49"/>
  <c r="M49" s="1"/>
  <c r="N49"/>
  <c r="M40"/>
  <c r="N34" i="13"/>
  <c r="L34"/>
  <c r="N49"/>
  <c r="L49"/>
  <c r="N51"/>
  <c r="L51"/>
  <c r="L18" i="15"/>
  <c r="M18" s="1"/>
  <c r="N18"/>
  <c r="N20"/>
  <c r="L20"/>
  <c r="D165" i="13"/>
  <c r="M130" i="15"/>
  <c r="D162" i="13"/>
  <c r="N26"/>
  <c r="L26"/>
  <c r="M26" s="1"/>
  <c r="P7" i="15"/>
  <c r="L7"/>
  <c r="M7" s="1"/>
  <c r="N7"/>
  <c r="P33"/>
  <c r="L33"/>
  <c r="M33" s="1"/>
  <c r="N33"/>
  <c r="N22" i="13"/>
  <c r="L22"/>
  <c r="L47"/>
  <c r="N47"/>
  <c r="N9" i="15"/>
  <c r="L9"/>
  <c r="M9" s="1"/>
  <c r="L48"/>
  <c r="M48" s="1"/>
  <c r="N48"/>
  <c r="L8" i="13"/>
  <c r="N8"/>
  <c r="P8" s="1"/>
  <c r="N52" i="15"/>
  <c r="P52" s="1"/>
  <c r="L52"/>
  <c r="D163" i="13"/>
  <c r="D168"/>
  <c r="L39"/>
  <c r="N39"/>
  <c r="L9"/>
  <c r="N9"/>
  <c r="N33"/>
  <c r="P33" s="1"/>
  <c r="L33"/>
  <c r="N10" i="15"/>
  <c r="L10"/>
  <c r="L35"/>
  <c r="M35" s="1"/>
  <c r="N35"/>
  <c r="G161" i="13"/>
  <c r="N161" s="1"/>
  <c r="P161" s="1"/>
  <c r="D161"/>
  <c r="N35"/>
  <c r="P35" s="1"/>
  <c r="L35"/>
  <c r="N6"/>
  <c r="L6"/>
  <c r="P37"/>
  <c r="L37"/>
  <c r="M37" s="1"/>
  <c r="N37"/>
  <c r="N38"/>
  <c r="L38"/>
  <c r="N50"/>
  <c r="L50"/>
  <c r="N23"/>
  <c r="L23"/>
  <c r="M23" s="1"/>
  <c r="L6" i="15"/>
  <c r="M6" s="1"/>
  <c r="N6"/>
  <c r="N14"/>
  <c r="L14"/>
  <c r="M14" s="1"/>
  <c r="P47"/>
  <c r="L47"/>
  <c r="N47"/>
  <c r="P46"/>
  <c r="N46"/>
  <c r="L46"/>
  <c r="N12" i="13"/>
  <c r="L12"/>
  <c r="M12" s="1"/>
  <c r="P11"/>
  <c r="N11"/>
  <c r="L11"/>
  <c r="L21"/>
  <c r="M21" s="1"/>
  <c r="N21"/>
  <c r="N12" i="15"/>
  <c r="L12"/>
  <c r="N22"/>
  <c r="L22"/>
  <c r="L27"/>
  <c r="M27" s="1"/>
  <c r="N27"/>
  <c r="N14" i="13"/>
  <c r="P14" s="1"/>
  <c r="L14"/>
  <c r="N19" i="15"/>
  <c r="L19"/>
  <c r="M19" s="1"/>
  <c r="N39"/>
  <c r="L39"/>
  <c r="M103"/>
  <c r="M33" i="19"/>
  <c r="L32" i="13"/>
  <c r="M32" s="1"/>
  <c r="N32"/>
  <c r="N24"/>
  <c r="L24"/>
  <c r="N23" i="15"/>
  <c r="L23"/>
  <c r="L26"/>
  <c r="M26" s="1"/>
  <c r="N26"/>
  <c r="N4" i="13"/>
  <c r="P4" s="1"/>
  <c r="L4"/>
  <c r="P34" i="15"/>
  <c r="L34"/>
  <c r="N34"/>
  <c r="D167" i="13"/>
  <c r="N48"/>
  <c r="L48"/>
  <c r="N5"/>
  <c r="P5" s="1"/>
  <c r="L5"/>
  <c r="N32" i="15"/>
  <c r="L32"/>
  <c r="M32" s="1"/>
  <c r="N21"/>
  <c r="L21"/>
  <c r="D170" i="13"/>
  <c r="D166"/>
  <c r="N13"/>
  <c r="L13"/>
  <c r="N24" i="15"/>
  <c r="L24"/>
  <c r="L5"/>
  <c r="M5" s="1"/>
  <c r="N5"/>
  <c r="P5" s="1"/>
  <c r="N8"/>
  <c r="P8" s="1"/>
  <c r="L8"/>
  <c r="N37"/>
  <c r="P37" s="1"/>
  <c r="L37"/>
  <c r="N38"/>
  <c r="P38" s="1"/>
  <c r="L38"/>
  <c r="N27" i="13"/>
  <c r="L27"/>
  <c r="N25"/>
  <c r="L25"/>
  <c r="M25" s="1"/>
  <c r="L18"/>
  <c r="M18" s="1"/>
  <c r="N18"/>
  <c r="N10"/>
  <c r="L10"/>
  <c r="P40"/>
  <c r="L40"/>
  <c r="M40" s="1"/>
  <c r="N40"/>
  <c r="N46"/>
  <c r="L46"/>
  <c r="N11" i="15"/>
  <c r="L11"/>
  <c r="L19" i="13"/>
  <c r="M19" s="1"/>
  <c r="N19"/>
  <c r="N36" i="15"/>
  <c r="P36" s="1"/>
  <c r="L36"/>
  <c r="L20" i="13"/>
  <c r="M20" s="1"/>
  <c r="N20"/>
  <c r="L4" i="15"/>
  <c r="N4"/>
  <c r="N13"/>
  <c r="L13"/>
  <c r="N25"/>
  <c r="L25"/>
  <c r="L77"/>
  <c r="M77" s="1"/>
  <c r="L33" i="19"/>
  <c r="M90" i="21"/>
  <c r="N90"/>
  <c r="P90" s="1"/>
  <c r="N79" i="17"/>
  <c r="P79" s="1"/>
  <c r="N102"/>
  <c r="P102" s="1"/>
  <c r="M47" i="19"/>
  <c r="L79" i="17"/>
  <c r="L102"/>
  <c r="L74"/>
  <c r="N40" i="25"/>
  <c r="P40" s="1"/>
  <c r="L24" i="17"/>
  <c r="M105" i="19"/>
  <c r="L65" i="8"/>
  <c r="M65" s="1"/>
  <c r="N79"/>
  <c r="P79" s="1"/>
  <c r="L92"/>
  <c r="M92" s="1"/>
  <c r="L18" i="17"/>
  <c r="M33"/>
  <c r="N105" i="19"/>
  <c r="P105" s="1"/>
  <c r="L53"/>
  <c r="M18" i="17"/>
  <c r="G161" i="25"/>
  <c r="G164" i="17"/>
  <c r="L164" s="1"/>
  <c r="L27"/>
  <c r="M27"/>
  <c r="M50"/>
  <c r="L21"/>
  <c r="N52"/>
  <c r="P52" s="1"/>
  <c r="N74"/>
  <c r="P74" s="1"/>
  <c r="M37"/>
  <c r="N21"/>
  <c r="M24"/>
  <c r="N18" i="25"/>
  <c r="L37" i="17"/>
  <c r="L116"/>
  <c r="N61" i="8"/>
  <c r="P61" s="1"/>
  <c r="M116" i="17"/>
  <c r="L38" i="19"/>
  <c r="M38"/>
  <c r="L13"/>
  <c r="D23" i="8"/>
  <c r="D22"/>
  <c r="C163"/>
  <c r="C167"/>
  <c r="G53"/>
  <c r="N53" s="1"/>
  <c r="P53" s="1"/>
  <c r="D53"/>
  <c r="M105"/>
  <c r="D19"/>
  <c r="G52"/>
  <c r="L52" s="1"/>
  <c r="D52"/>
  <c r="L40"/>
  <c r="M40" s="1"/>
  <c r="C169"/>
  <c r="G51"/>
  <c r="N51" s="1"/>
  <c r="P51" s="1"/>
  <c r="D51"/>
  <c r="N89" i="15"/>
  <c r="P89" s="1"/>
  <c r="G46" i="8"/>
  <c r="N46" s="1"/>
  <c r="P46" s="1"/>
  <c r="D46"/>
  <c r="G50"/>
  <c r="L50" s="1"/>
  <c r="D50"/>
  <c r="M36"/>
  <c r="C164"/>
  <c r="C170"/>
  <c r="G49"/>
  <c r="L49" s="1"/>
  <c r="D49"/>
  <c r="G48"/>
  <c r="L48" s="1"/>
  <c r="D48"/>
  <c r="G47"/>
  <c r="N47" s="1"/>
  <c r="P47" s="1"/>
  <c r="D47"/>
  <c r="C168"/>
  <c r="C162"/>
  <c r="M51" i="17"/>
  <c r="M90" i="19"/>
  <c r="L18" i="25"/>
  <c r="L19" i="17"/>
  <c r="L89" i="15"/>
  <c r="N90" i="19"/>
  <c r="P90" s="1"/>
  <c r="L51" i="17"/>
  <c r="N19"/>
  <c r="L60"/>
  <c r="N60"/>
  <c r="P60" s="1"/>
  <c r="L33"/>
  <c r="M4" i="21"/>
  <c r="M8"/>
  <c r="N36" i="17"/>
  <c r="P36" s="1"/>
  <c r="M7" i="21"/>
  <c r="G162" i="23"/>
  <c r="M162" s="1"/>
  <c r="N21" i="19"/>
  <c r="M20" i="25"/>
  <c r="N144" i="13"/>
  <c r="P144" s="1"/>
  <c r="G160" i="19"/>
  <c r="L160" s="1"/>
  <c r="L27" i="8"/>
  <c r="M27" s="1"/>
  <c r="N13" i="17"/>
  <c r="P13" s="1"/>
  <c r="L66" i="19"/>
  <c r="L65" i="15"/>
  <c r="M65" s="1"/>
  <c r="N66" i="19"/>
  <c r="P66" s="1"/>
  <c r="N12" i="21"/>
  <c r="P12" s="1"/>
  <c r="G163" i="19"/>
  <c r="L163" s="1"/>
  <c r="N4" i="21"/>
  <c r="P4" s="1"/>
  <c r="L36" i="17"/>
  <c r="G164" i="21"/>
  <c r="N164" s="1"/>
  <c r="P164" s="1"/>
  <c r="G160" i="13"/>
  <c r="L160" s="1"/>
  <c r="M9" i="25"/>
  <c r="L63" i="17"/>
  <c r="G163" i="15"/>
  <c r="L163" s="1"/>
  <c r="M63" i="17"/>
  <c r="N78" i="15"/>
  <c r="P78" s="1"/>
  <c r="L7" i="21"/>
  <c r="G165" i="15"/>
  <c r="L165" s="1"/>
  <c r="G166" i="19"/>
  <c r="L166" s="1"/>
  <c r="M22" i="21"/>
  <c r="N116" i="15"/>
  <c r="P116" s="1"/>
  <c r="N22" i="21"/>
  <c r="L74" i="15"/>
  <c r="N49" i="21"/>
  <c r="P49" s="1"/>
  <c r="L105" i="17"/>
  <c r="M117"/>
  <c r="M105"/>
  <c r="M5" i="21"/>
  <c r="G167"/>
  <c r="L167" s="1"/>
  <c r="M131" i="17"/>
  <c r="G161" i="15"/>
  <c r="N161" s="1"/>
  <c r="P161" s="1"/>
  <c r="L131" i="17"/>
  <c r="M46" i="21"/>
  <c r="M33" i="23"/>
  <c r="P39" i="15"/>
  <c r="N52" i="19"/>
  <c r="P52" s="1"/>
  <c r="N35"/>
  <c r="P35" s="1"/>
  <c r="L61" i="15"/>
  <c r="M61" s="1"/>
  <c r="N74"/>
  <c r="P74" s="1"/>
  <c r="M9" i="19"/>
  <c r="M40"/>
  <c r="N39" i="17"/>
  <c r="P39" s="1"/>
  <c r="L75"/>
  <c r="N27" i="19"/>
  <c r="L11" i="21"/>
  <c r="G164" i="15"/>
  <c r="N164" s="1"/>
  <c r="P164" s="1"/>
  <c r="P13"/>
  <c r="M75" i="17"/>
  <c r="L9" i="19"/>
  <c r="L51"/>
  <c r="G168" i="25"/>
  <c r="M168" s="1"/>
  <c r="L63" i="15"/>
  <c r="N90" i="17"/>
  <c r="P90" s="1"/>
  <c r="M39"/>
  <c r="N12" i="19"/>
  <c r="P12" s="1"/>
  <c r="L79"/>
  <c r="M49" i="21"/>
  <c r="L90" i="17"/>
  <c r="N79" i="19"/>
  <c r="P79" s="1"/>
  <c r="M20" i="23"/>
  <c r="G162" i="13"/>
  <c r="L12" i="19"/>
  <c r="M23"/>
  <c r="G163" i="13"/>
  <c r="L163" s="1"/>
  <c r="L33" i="23"/>
  <c r="N53" i="17"/>
  <c r="P53" s="1"/>
  <c r="L46" i="21"/>
  <c r="G161" i="19"/>
  <c r="L161" s="1"/>
  <c r="M53" i="17"/>
  <c r="N6" i="19"/>
  <c r="P6" s="1"/>
  <c r="L6"/>
  <c r="N40"/>
  <c r="P40" s="1"/>
  <c r="L88" i="21"/>
  <c r="M52" i="17"/>
  <c r="N88" i="21"/>
  <c r="P88" s="1"/>
  <c r="G166" i="13"/>
  <c r="L166" s="1"/>
  <c r="L117" i="17"/>
  <c r="N20" i="19"/>
  <c r="N23"/>
  <c r="M23" i="25"/>
  <c r="M36" i="21"/>
  <c r="M144" i="17"/>
  <c r="M23" i="21"/>
  <c r="L10"/>
  <c r="L13" i="25"/>
  <c r="L24"/>
  <c r="N63" i="15"/>
  <c r="P63" s="1"/>
  <c r="N12" i="25"/>
  <c r="P12" s="1"/>
  <c r="L118" i="15"/>
  <c r="L75"/>
  <c r="L6" i="25"/>
  <c r="P46" i="13"/>
  <c r="N118" i="15"/>
  <c r="P118" s="1"/>
  <c r="L117"/>
  <c r="M117" s="1"/>
  <c r="P35"/>
  <c r="N75"/>
  <c r="P75" s="1"/>
  <c r="L50" i="17"/>
  <c r="N48"/>
  <c r="P48" s="1"/>
  <c r="L78"/>
  <c r="N103"/>
  <c r="P103" s="1"/>
  <c r="L27" i="19"/>
  <c r="N10" i="21"/>
  <c r="P10" s="1"/>
  <c r="P6" i="13"/>
  <c r="N117" i="15"/>
  <c r="P117" s="1"/>
  <c r="N10" i="17"/>
  <c r="P10" s="1"/>
  <c r="M48"/>
  <c r="M78"/>
  <c r="L103"/>
  <c r="M26" i="19"/>
  <c r="L60" i="15"/>
  <c r="M51" i="19"/>
  <c r="M34"/>
  <c r="L36" i="21"/>
  <c r="N60" i="15"/>
  <c r="P60" s="1"/>
  <c r="L75" i="19"/>
  <c r="L10" i="25"/>
  <c r="L66" i="15"/>
  <c r="M66" s="1"/>
  <c r="L144" i="17"/>
  <c r="N75" i="19"/>
  <c r="P75" s="1"/>
  <c r="N9" i="25"/>
  <c r="P9" s="1"/>
  <c r="N10"/>
  <c r="P10" s="1"/>
  <c r="L12"/>
  <c r="N60" i="13"/>
  <c r="P60" s="1"/>
  <c r="N20" i="25"/>
  <c r="G170"/>
  <c r="L170" s="1"/>
  <c r="G167"/>
  <c r="L167" s="1"/>
  <c r="M47"/>
  <c r="N24"/>
  <c r="G162"/>
  <c r="N162" s="1"/>
  <c r="P162" s="1"/>
  <c r="N27"/>
  <c r="G164"/>
  <c r="M164" s="1"/>
  <c r="G169"/>
  <c r="L169" s="1"/>
  <c r="G160"/>
  <c r="L160" s="1"/>
  <c r="L11"/>
  <c r="M8"/>
  <c r="L8"/>
  <c r="N22"/>
  <c r="L63"/>
  <c r="N63"/>
  <c r="P63" s="1"/>
  <c r="M63"/>
  <c r="L75"/>
  <c r="M75"/>
  <c r="N75"/>
  <c r="P75" s="1"/>
  <c r="N26"/>
  <c r="L47"/>
  <c r="L79"/>
  <c r="N79"/>
  <c r="P79" s="1"/>
  <c r="M79"/>
  <c r="M13"/>
  <c r="M26"/>
  <c r="L91"/>
  <c r="N91"/>
  <c r="P91" s="1"/>
  <c r="M91"/>
  <c r="M4"/>
  <c r="L40"/>
  <c r="L7"/>
  <c r="N161"/>
  <c r="P161" s="1"/>
  <c r="M161"/>
  <c r="L161"/>
  <c r="L92"/>
  <c r="N92"/>
  <c r="P92" s="1"/>
  <c r="M92"/>
  <c r="N23"/>
  <c r="G165"/>
  <c r="L4"/>
  <c r="L66"/>
  <c r="N66"/>
  <c r="P66" s="1"/>
  <c r="M66"/>
  <c r="N4" i="23"/>
  <c r="P4" s="1"/>
  <c r="L14" i="25"/>
  <c r="N6"/>
  <c r="P6" s="1"/>
  <c r="L27"/>
  <c r="N14"/>
  <c r="P14" s="1"/>
  <c r="M8" i="23"/>
  <c r="G166" i="25"/>
  <c r="N11"/>
  <c r="P11" s="1"/>
  <c r="L65"/>
  <c r="M65"/>
  <c r="N65"/>
  <c r="P65" s="1"/>
  <c r="M22"/>
  <c r="L5"/>
  <c r="N163"/>
  <c r="P163" s="1"/>
  <c r="M163"/>
  <c r="L163"/>
  <c r="L105"/>
  <c r="N105"/>
  <c r="P105" s="1"/>
  <c r="M105"/>
  <c r="N23" i="21"/>
  <c r="M7" i="25"/>
  <c r="N5"/>
  <c r="P5" s="1"/>
  <c r="G169" i="23"/>
  <c r="L169" s="1"/>
  <c r="G166"/>
  <c r="N166" s="1"/>
  <c r="P166" s="1"/>
  <c r="L46"/>
  <c r="L47"/>
  <c r="M46"/>
  <c r="L37"/>
  <c r="G170"/>
  <c r="N170" s="1"/>
  <c r="P170" s="1"/>
  <c r="G165"/>
  <c r="N165" s="1"/>
  <c r="P165" s="1"/>
  <c r="M22"/>
  <c r="M23"/>
  <c r="N26"/>
  <c r="M13"/>
  <c r="G164"/>
  <c r="M164" s="1"/>
  <c r="M5"/>
  <c r="L6"/>
  <c r="M26"/>
  <c r="L35"/>
  <c r="L49"/>
  <c r="N8"/>
  <c r="P8" s="1"/>
  <c r="N11"/>
  <c r="P11" s="1"/>
  <c r="L7"/>
  <c r="L13"/>
  <c r="L62"/>
  <c r="N62"/>
  <c r="P62" s="1"/>
  <c r="M62"/>
  <c r="L76"/>
  <c r="N76"/>
  <c r="P76" s="1"/>
  <c r="M76"/>
  <c r="N103"/>
  <c r="P103" s="1"/>
  <c r="L103"/>
  <c r="M103"/>
  <c r="M49"/>
  <c r="M4"/>
  <c r="N5"/>
  <c r="P5" s="1"/>
  <c r="M7"/>
  <c r="N163"/>
  <c r="P163" s="1"/>
  <c r="M163"/>
  <c r="L163"/>
  <c r="N13" i="21"/>
  <c r="P13" s="1"/>
  <c r="L14"/>
  <c r="M51" i="23"/>
  <c r="N37"/>
  <c r="P37" s="1"/>
  <c r="N10"/>
  <c r="P10" s="1"/>
  <c r="N23"/>
  <c r="N27"/>
  <c r="M13" i="21"/>
  <c r="G161" i="23"/>
  <c r="G167"/>
  <c r="N35"/>
  <c r="P35" s="1"/>
  <c r="G168"/>
  <c r="L65"/>
  <c r="M65"/>
  <c r="N65"/>
  <c r="P65" s="1"/>
  <c r="N12"/>
  <c r="P12" s="1"/>
  <c r="L14"/>
  <c r="N14"/>
  <c r="P14" s="1"/>
  <c r="N20"/>
  <c r="N22"/>
  <c r="G160"/>
  <c r="N6"/>
  <c r="P6" s="1"/>
  <c r="N9"/>
  <c r="P9" s="1"/>
  <c r="L12"/>
  <c r="M47"/>
  <c r="L11"/>
  <c r="L51"/>
  <c r="L10"/>
  <c r="L27"/>
  <c r="M9"/>
  <c r="G170" i="21"/>
  <c r="N170" s="1"/>
  <c r="P170" s="1"/>
  <c r="L37"/>
  <c r="G162"/>
  <c r="M162" s="1"/>
  <c r="N37"/>
  <c r="P37" s="1"/>
  <c r="L27"/>
  <c r="N20"/>
  <c r="N27"/>
  <c r="G165"/>
  <c r="N165" s="1"/>
  <c r="P165" s="1"/>
  <c r="L12"/>
  <c r="L63"/>
  <c r="M63"/>
  <c r="N63"/>
  <c r="P63" s="1"/>
  <c r="N131"/>
  <c r="P131" s="1"/>
  <c r="M131"/>
  <c r="L131"/>
  <c r="N117"/>
  <c r="P117" s="1"/>
  <c r="L117"/>
  <c r="M117"/>
  <c r="L105"/>
  <c r="N105"/>
  <c r="P105" s="1"/>
  <c r="M105"/>
  <c r="M53"/>
  <c r="N24"/>
  <c r="G166"/>
  <c r="N9"/>
  <c r="P9" s="1"/>
  <c r="L53"/>
  <c r="L61"/>
  <c r="N61"/>
  <c r="P61" s="1"/>
  <c r="M61"/>
  <c r="M26"/>
  <c r="M47"/>
  <c r="N26"/>
  <c r="N5"/>
  <c r="P5" s="1"/>
  <c r="L9"/>
  <c r="N11"/>
  <c r="P11" s="1"/>
  <c r="L47"/>
  <c r="M170"/>
  <c r="L79"/>
  <c r="M79"/>
  <c r="N79"/>
  <c r="P79" s="1"/>
  <c r="G168"/>
  <c r="N14"/>
  <c r="P14" s="1"/>
  <c r="L91"/>
  <c r="N91"/>
  <c r="P91" s="1"/>
  <c r="M91"/>
  <c r="L77"/>
  <c r="N77"/>
  <c r="P77" s="1"/>
  <c r="M77"/>
  <c r="L65"/>
  <c r="M65"/>
  <c r="N65"/>
  <c r="P65" s="1"/>
  <c r="L6"/>
  <c r="N6"/>
  <c r="P6" s="1"/>
  <c r="N74"/>
  <c r="P74" s="1"/>
  <c r="M74"/>
  <c r="L74"/>
  <c r="N8"/>
  <c r="P8" s="1"/>
  <c r="M20"/>
  <c r="L64"/>
  <c r="M64"/>
  <c r="N64"/>
  <c r="P64" s="1"/>
  <c r="G161"/>
  <c r="L24"/>
  <c r="N167"/>
  <c r="P167" s="1"/>
  <c r="G160"/>
  <c r="G163"/>
  <c r="G169"/>
  <c r="G170" i="19"/>
  <c r="L170" s="1"/>
  <c r="G164"/>
  <c r="N164" s="1"/>
  <c r="P164" s="1"/>
  <c r="L52"/>
  <c r="G168"/>
  <c r="M168" s="1"/>
  <c r="G169"/>
  <c r="L169" s="1"/>
  <c r="L21"/>
  <c r="L11"/>
  <c r="M13"/>
  <c r="N91" i="15"/>
  <c r="P91" s="1"/>
  <c r="M4" i="17"/>
  <c r="M7"/>
  <c r="M7" i="19"/>
  <c r="M5"/>
  <c r="M37"/>
  <c r="L10"/>
  <c r="L78"/>
  <c r="N78"/>
  <c r="P78" s="1"/>
  <c r="M78"/>
  <c r="M23" i="17"/>
  <c r="L34" i="19"/>
  <c r="L89"/>
  <c r="N89"/>
  <c r="P89" s="1"/>
  <c r="M89"/>
  <c r="M20"/>
  <c r="L7" i="17"/>
  <c r="N18" i="19"/>
  <c r="G167"/>
  <c r="L8"/>
  <c r="L104"/>
  <c r="N104"/>
  <c r="P104" s="1"/>
  <c r="M104"/>
  <c r="L63"/>
  <c r="N63"/>
  <c r="P63" s="1"/>
  <c r="M63"/>
  <c r="L18"/>
  <c r="M8"/>
  <c r="G162"/>
  <c r="N10"/>
  <c r="P10" s="1"/>
  <c r="L76"/>
  <c r="M76"/>
  <c r="N76"/>
  <c r="P76" s="1"/>
  <c r="N26"/>
  <c r="N37"/>
  <c r="P37" s="1"/>
  <c r="M144"/>
  <c r="L144"/>
  <c r="N144"/>
  <c r="P144" s="1"/>
  <c r="L118"/>
  <c r="N118"/>
  <c r="P118" s="1"/>
  <c r="M118"/>
  <c r="G170" i="15"/>
  <c r="L5" i="19"/>
  <c r="L7"/>
  <c r="L62" i="15"/>
  <c r="P32"/>
  <c r="N5" i="17"/>
  <c r="P5" s="1"/>
  <c r="L14" i="19"/>
  <c r="G165"/>
  <c r="N130"/>
  <c r="P130" s="1"/>
  <c r="M130"/>
  <c r="L130"/>
  <c r="P48" i="15"/>
  <c r="N62"/>
  <c r="P62" s="1"/>
  <c r="M4" i="19"/>
  <c r="N4"/>
  <c r="P4" s="1"/>
  <c r="G160" i="17"/>
  <c r="N160" s="1"/>
  <c r="P160" s="1"/>
  <c r="N11" i="19"/>
  <c r="P11" s="1"/>
  <c r="N14"/>
  <c r="P14" s="1"/>
  <c r="L40" i="17"/>
  <c r="M34"/>
  <c r="N35"/>
  <c r="P35" s="1"/>
  <c r="L34"/>
  <c r="L35"/>
  <c r="G170"/>
  <c r="N170" s="1"/>
  <c r="P170" s="1"/>
  <c r="N23"/>
  <c r="G165"/>
  <c r="M165" s="1"/>
  <c r="L12"/>
  <c r="G166"/>
  <c r="L166" s="1"/>
  <c r="L13"/>
  <c r="N9"/>
  <c r="P9" s="1"/>
  <c r="M26"/>
  <c r="L32"/>
  <c r="L10"/>
  <c r="N20"/>
  <c r="L14"/>
  <c r="L66"/>
  <c r="N66"/>
  <c r="P66" s="1"/>
  <c r="M66"/>
  <c r="N6"/>
  <c r="P6" s="1"/>
  <c r="L11"/>
  <c r="G162"/>
  <c r="L6"/>
  <c r="N11"/>
  <c r="P11" s="1"/>
  <c r="L5"/>
  <c r="L65"/>
  <c r="M65"/>
  <c r="N65"/>
  <c r="P65" s="1"/>
  <c r="L90" i="15"/>
  <c r="M90" s="1"/>
  <c r="N26" i="17"/>
  <c r="M40"/>
  <c r="L9"/>
  <c r="G168"/>
  <c r="N32"/>
  <c r="P32" s="1"/>
  <c r="M25"/>
  <c r="N12"/>
  <c r="P12" s="1"/>
  <c r="G169"/>
  <c r="L25"/>
  <c r="N4"/>
  <c r="P4" s="1"/>
  <c r="N14"/>
  <c r="P14" s="1"/>
  <c r="G163"/>
  <c r="L104"/>
  <c r="M104"/>
  <c r="N104"/>
  <c r="P104" s="1"/>
  <c r="M130"/>
  <c r="L130"/>
  <c r="N130"/>
  <c r="P130" s="1"/>
  <c r="G167"/>
  <c r="M8"/>
  <c r="L62"/>
  <c r="N62"/>
  <c r="P62" s="1"/>
  <c r="M62"/>
  <c r="M20"/>
  <c r="G161"/>
  <c r="N8"/>
  <c r="P8" s="1"/>
  <c r="L144" i="15"/>
  <c r="M144" s="1"/>
  <c r="L104"/>
  <c r="M104" s="1"/>
  <c r="N131"/>
  <c r="P131" s="1"/>
  <c r="G167"/>
  <c r="L167" s="1"/>
  <c r="G168"/>
  <c r="P10"/>
  <c r="G162"/>
  <c r="L162" s="1"/>
  <c r="L79"/>
  <c r="M79" s="1"/>
  <c r="N79"/>
  <c r="P79" s="1"/>
  <c r="P9"/>
  <c r="L92"/>
  <c r="N92"/>
  <c r="P92" s="1"/>
  <c r="L76"/>
  <c r="N76"/>
  <c r="P76" s="1"/>
  <c r="L88"/>
  <c r="M88" s="1"/>
  <c r="N88"/>
  <c r="P88" s="1"/>
  <c r="P12"/>
  <c r="P11"/>
  <c r="G169"/>
  <c r="G166"/>
  <c r="L105"/>
  <c r="N105"/>
  <c r="P105" s="1"/>
  <c r="P6"/>
  <c r="L102"/>
  <c r="N102"/>
  <c r="P102" s="1"/>
  <c r="N160"/>
  <c r="P160" s="1"/>
  <c r="L160"/>
  <c r="P53"/>
  <c r="P4"/>
  <c r="P14"/>
  <c r="P51" i="13"/>
  <c r="L90"/>
  <c r="M90" s="1"/>
  <c r="N66" i="8"/>
  <c r="P66" s="1"/>
  <c r="G167" i="13"/>
  <c r="L167" s="1"/>
  <c r="G165"/>
  <c r="N165" s="1"/>
  <c r="P165" s="1"/>
  <c r="G168"/>
  <c r="N168" s="1"/>
  <c r="P168" s="1"/>
  <c r="G170"/>
  <c r="N170" s="1"/>
  <c r="P170" s="1"/>
  <c r="L60" i="8"/>
  <c r="M60" s="1"/>
  <c r="N64" i="13"/>
  <c r="P64" s="1"/>
  <c r="L64"/>
  <c r="N66"/>
  <c r="P66" s="1"/>
  <c r="L66"/>
  <c r="P47"/>
  <c r="G169"/>
  <c r="L161"/>
  <c r="M161" s="1"/>
  <c r="N92"/>
  <c r="P92" s="1"/>
  <c r="L92"/>
  <c r="P9"/>
  <c r="N105"/>
  <c r="P105" s="1"/>
  <c r="L105"/>
  <c r="L104"/>
  <c r="M104" s="1"/>
  <c r="N104"/>
  <c r="P104" s="1"/>
  <c r="G164"/>
  <c r="N164" s="1"/>
  <c r="N65"/>
  <c r="P65" s="1"/>
  <c r="L65"/>
  <c r="P48"/>
  <c r="L62"/>
  <c r="N62"/>
  <c r="P62" s="1"/>
  <c r="L75"/>
  <c r="N75"/>
  <c r="P75" s="1"/>
  <c r="N74"/>
  <c r="P74" s="1"/>
  <c r="L74"/>
  <c r="P7"/>
  <c r="P36"/>
  <c r="L79"/>
  <c r="M79" s="1"/>
  <c r="N79"/>
  <c r="P79" s="1"/>
  <c r="N63"/>
  <c r="P63" s="1"/>
  <c r="L63"/>
  <c r="P34"/>
  <c r="P12"/>
  <c r="P10"/>
  <c r="N103"/>
  <c r="P103" s="1"/>
  <c r="L103"/>
  <c r="P38"/>
  <c r="N76"/>
  <c r="P76" s="1"/>
  <c r="L76"/>
  <c r="M76" s="1"/>
  <c r="P49"/>
  <c r="P39"/>
  <c r="L89"/>
  <c r="M89" s="1"/>
  <c r="N89"/>
  <c r="P89" s="1"/>
  <c r="N61"/>
  <c r="P61" s="1"/>
  <c r="L61"/>
  <c r="N118"/>
  <c r="P118" s="1"/>
  <c r="L118"/>
  <c r="M118" s="1"/>
  <c r="P32"/>
  <c r="N102"/>
  <c r="P102" s="1"/>
  <c r="L102"/>
  <c r="L131"/>
  <c r="N131"/>
  <c r="P131" s="1"/>
  <c r="N77"/>
  <c r="P77" s="1"/>
  <c r="L77"/>
  <c r="N117"/>
  <c r="P117" s="1"/>
  <c r="L117"/>
  <c r="N78"/>
  <c r="P78" s="1"/>
  <c r="L78"/>
  <c r="N91"/>
  <c r="P91" s="1"/>
  <c r="L91"/>
  <c r="P13"/>
  <c r="N130"/>
  <c r="P130" s="1"/>
  <c r="L130"/>
  <c r="N88"/>
  <c r="P88" s="1"/>
  <c r="L88"/>
  <c r="P50"/>
  <c r="N116"/>
  <c r="P116" s="1"/>
  <c r="L116"/>
  <c r="M116" s="1"/>
  <c r="N117" i="8"/>
  <c r="P117" s="1"/>
  <c r="L77"/>
  <c r="M77" s="1"/>
  <c r="N63"/>
  <c r="P63" s="1"/>
  <c r="L103"/>
  <c r="N103"/>
  <c r="P103" s="1"/>
  <c r="L20"/>
  <c r="M20" s="1"/>
  <c r="L25"/>
  <c r="M25" s="1"/>
  <c r="L22"/>
  <c r="M22" s="1"/>
  <c r="L32"/>
  <c r="L23"/>
  <c r="L24"/>
  <c r="L21"/>
  <c r="L26"/>
  <c r="L35"/>
  <c r="M35" s="1"/>
  <c r="L90"/>
  <c r="M90" s="1"/>
  <c r="N32"/>
  <c r="P32" s="1"/>
  <c r="L118"/>
  <c r="L89"/>
  <c r="M89" s="1"/>
  <c r="N131"/>
  <c r="P131" s="1"/>
  <c r="N118"/>
  <c r="P118" s="1"/>
  <c r="L74"/>
  <c r="N74"/>
  <c r="P74" s="1"/>
  <c r="N62"/>
  <c r="P62" s="1"/>
  <c r="N23"/>
  <c r="N18"/>
  <c r="M18" s="1"/>
  <c r="N21"/>
  <c r="N33"/>
  <c r="P33" s="1"/>
  <c r="N34"/>
  <c r="P34" s="1"/>
  <c r="L75"/>
  <c r="N75"/>
  <c r="P75" s="1"/>
  <c r="N24"/>
  <c r="N76"/>
  <c r="P76" s="1"/>
  <c r="L76"/>
  <c r="N88"/>
  <c r="P88" s="1"/>
  <c r="L88"/>
  <c r="L104"/>
  <c r="N104"/>
  <c r="P104" s="1"/>
  <c r="L144"/>
  <c r="N144"/>
  <c r="P144" s="1"/>
  <c r="N130"/>
  <c r="P130" s="1"/>
  <c r="L130"/>
  <c r="N116"/>
  <c r="P116" s="1"/>
  <c r="L116"/>
  <c r="L91"/>
  <c r="M91" s="1"/>
  <c r="N91"/>
  <c r="P91" s="1"/>
  <c r="L78"/>
  <c r="N78"/>
  <c r="P78" s="1"/>
  <c r="N102"/>
  <c r="P102" s="1"/>
  <c r="L102"/>
  <c r="L64"/>
  <c r="N64"/>
  <c r="P64" s="1"/>
  <c r="L39"/>
  <c r="N39"/>
  <c r="P39" s="1"/>
  <c r="N50"/>
  <c r="P50" s="1"/>
  <c r="N52"/>
  <c r="P52" s="1"/>
  <c r="N37"/>
  <c r="P37" s="1"/>
  <c r="N49"/>
  <c r="P49" s="1"/>
  <c r="N26"/>
  <c r="L34"/>
  <c r="N38"/>
  <c r="P38" s="1"/>
  <c r="F14"/>
  <c r="D14" s="1"/>
  <c r="F13"/>
  <c r="D13" s="1"/>
  <c r="F12"/>
  <c r="D12" s="1"/>
  <c r="F11"/>
  <c r="D11" s="1"/>
  <c r="F10"/>
  <c r="D10" s="1"/>
  <c r="F9"/>
  <c r="D9" s="1"/>
  <c r="F8"/>
  <c r="D8" s="1"/>
  <c r="F7"/>
  <c r="D7" s="1"/>
  <c r="F6"/>
  <c r="D6" s="1"/>
  <c r="F5"/>
  <c r="D5" s="1"/>
  <c r="F4"/>
  <c r="D4" s="1"/>
  <c r="M88" i="13" l="1"/>
  <c r="M33"/>
  <c r="M77"/>
  <c r="M105" i="15"/>
  <c r="M34"/>
  <c r="M12"/>
  <c r="M92" i="13"/>
  <c r="M46"/>
  <c r="M27"/>
  <c r="M13"/>
  <c r="M61"/>
  <c r="L51" i="8"/>
  <c r="M102" i="15"/>
  <c r="M144" i="13"/>
  <c r="M46" i="15"/>
  <c r="M50" i="13"/>
  <c r="M24"/>
  <c r="N48" i="8"/>
  <c r="P48" s="1"/>
  <c r="M62" i="15"/>
  <c r="M53" i="13"/>
  <c r="N160"/>
  <c r="P160" s="1"/>
  <c r="M9"/>
  <c r="M131"/>
  <c r="M53" i="15"/>
  <c r="M130" i="13"/>
  <c r="M66"/>
  <c r="M5"/>
  <c r="M52"/>
  <c r="M36"/>
  <c r="M65"/>
  <c r="M13" i="15"/>
  <c r="M11"/>
  <c r="M39"/>
  <c r="M47"/>
  <c r="M10"/>
  <c r="M52"/>
  <c r="M20"/>
  <c r="M63" i="13"/>
  <c r="M60" i="15"/>
  <c r="M25"/>
  <c r="M8"/>
  <c r="M4" i="13"/>
  <c r="M60"/>
  <c r="M38"/>
  <c r="M91" i="15"/>
  <c r="M22" i="13"/>
  <c r="M117"/>
  <c r="M62"/>
  <c r="M92" i="15"/>
  <c r="M63"/>
  <c r="M21"/>
  <c r="M22"/>
  <c r="M47" i="13"/>
  <c r="M116" i="15"/>
  <c r="M78" i="13"/>
  <c r="M75"/>
  <c r="M76" i="15"/>
  <c r="M118"/>
  <c r="M36"/>
  <c r="M10" i="13"/>
  <c r="M37" i="15"/>
  <c r="M39" i="13"/>
  <c r="M34"/>
  <c r="M75" i="15"/>
  <c r="M89"/>
  <c r="M131"/>
  <c r="M103" i="13"/>
  <c r="M105"/>
  <c r="M160" i="15"/>
  <c r="M78"/>
  <c r="M35" i="13"/>
  <c r="M49"/>
  <c r="M91"/>
  <c r="M74"/>
  <c r="M38" i="15"/>
  <c r="M14" i="13"/>
  <c r="M102"/>
  <c r="M64"/>
  <c r="M74" i="15"/>
  <c r="M160" i="13"/>
  <c r="M4" i="15"/>
  <c r="M24"/>
  <c r="M48" i="13"/>
  <c r="M23" i="15"/>
  <c r="M11" i="13"/>
  <c r="M6"/>
  <c r="M8"/>
  <c r="M51"/>
  <c r="M79" i="8"/>
  <c r="N162" i="13"/>
  <c r="P162" s="1"/>
  <c r="M78" i="8"/>
  <c r="N164" i="17"/>
  <c r="P164" s="1"/>
  <c r="M164" i="21"/>
  <c r="L47" i="8"/>
  <c r="M47" s="1"/>
  <c r="M164" i="17"/>
  <c r="L164" i="21"/>
  <c r="M161" i="19"/>
  <c r="M23" i="8"/>
  <c r="M103"/>
  <c r="M117"/>
  <c r="M104"/>
  <c r="M24"/>
  <c r="N166" i="13"/>
  <c r="P166" s="1"/>
  <c r="M61" i="8"/>
  <c r="L53"/>
  <c r="M53" s="1"/>
  <c r="M21"/>
  <c r="M64"/>
  <c r="M144"/>
  <c r="L46"/>
  <c r="M46" s="1"/>
  <c r="M118"/>
  <c r="L162" i="23"/>
  <c r="M131" i="8"/>
  <c r="M102"/>
  <c r="M26"/>
  <c r="N162" i="23"/>
  <c r="P162" s="1"/>
  <c r="M49" i="8"/>
  <c r="N166" i="19"/>
  <c r="P166" s="1"/>
  <c r="M37" i="8"/>
  <c r="M88"/>
  <c r="M166" i="19"/>
  <c r="M48" i="8"/>
  <c r="M38"/>
  <c r="M39"/>
  <c r="M130"/>
  <c r="M75"/>
  <c r="M62"/>
  <c r="M33"/>
  <c r="M116"/>
  <c r="M66"/>
  <c r="M63"/>
  <c r="M34"/>
  <c r="M51"/>
  <c r="M50"/>
  <c r="M76"/>
  <c r="M74"/>
  <c r="M32"/>
  <c r="M52"/>
  <c r="L162" i="13"/>
  <c r="M162" s="1"/>
  <c r="L161" i="15"/>
  <c r="M161" s="1"/>
  <c r="M166" i="23"/>
  <c r="N163" i="19"/>
  <c r="P163" s="1"/>
  <c r="L166" i="23"/>
  <c r="M163" i="19"/>
  <c r="L164" i="15"/>
  <c r="M164" s="1"/>
  <c r="L168" i="25"/>
  <c r="N168"/>
  <c r="P168" s="1"/>
  <c r="N160" i="19"/>
  <c r="P160" s="1"/>
  <c r="M160"/>
  <c r="N163" i="15"/>
  <c r="P163" s="1"/>
  <c r="M160" i="17"/>
  <c r="N165" i="15"/>
  <c r="P165" s="1"/>
  <c r="M167" i="21"/>
  <c r="N161" i="19"/>
  <c r="P161" s="1"/>
  <c r="N163" i="13"/>
  <c r="P163" s="1"/>
  <c r="L170" i="15"/>
  <c r="L164" i="19"/>
  <c r="L160" i="17"/>
  <c r="L162" i="21"/>
  <c r="N170" i="19"/>
  <c r="P170" s="1"/>
  <c r="N162" i="15"/>
  <c r="P162" s="1"/>
  <c r="L164" i="23"/>
  <c r="N170" i="15"/>
  <c r="P170" s="1"/>
  <c r="N167" i="25"/>
  <c r="P167" s="1"/>
  <c r="N170"/>
  <c r="P170" s="1"/>
  <c r="M170"/>
  <c r="M167"/>
  <c r="L164"/>
  <c r="M162"/>
  <c r="N164"/>
  <c r="P164" s="1"/>
  <c r="L162"/>
  <c r="N169"/>
  <c r="P169" s="1"/>
  <c r="M169"/>
  <c r="N160"/>
  <c r="P160" s="1"/>
  <c r="M160"/>
  <c r="N166"/>
  <c r="P166" s="1"/>
  <c r="M166"/>
  <c r="L166"/>
  <c r="M165" i="21"/>
  <c r="N165" i="25"/>
  <c r="P165" s="1"/>
  <c r="M165"/>
  <c r="L165"/>
  <c r="L170" i="23"/>
  <c r="N169"/>
  <c r="P169" s="1"/>
  <c r="M169"/>
  <c r="N164"/>
  <c r="P164" s="1"/>
  <c r="M165"/>
  <c r="L165"/>
  <c r="M170"/>
  <c r="N161"/>
  <c r="P161" s="1"/>
  <c r="M161"/>
  <c r="L161"/>
  <c r="N167"/>
  <c r="P167" s="1"/>
  <c r="M167"/>
  <c r="L167"/>
  <c r="L168"/>
  <c r="N168"/>
  <c r="P168" s="1"/>
  <c r="M168"/>
  <c r="L160"/>
  <c r="N160"/>
  <c r="P160" s="1"/>
  <c r="M160"/>
  <c r="L170" i="21"/>
  <c r="N162"/>
  <c r="P162" s="1"/>
  <c r="L165"/>
  <c r="L168"/>
  <c r="N168"/>
  <c r="P168" s="1"/>
  <c r="M168"/>
  <c r="M166"/>
  <c r="L166"/>
  <c r="N166"/>
  <c r="P166" s="1"/>
  <c r="N161"/>
  <c r="P161" s="1"/>
  <c r="M161"/>
  <c r="L161"/>
  <c r="N160"/>
  <c r="P160" s="1"/>
  <c r="M160"/>
  <c r="L160"/>
  <c r="N163"/>
  <c r="P163" s="1"/>
  <c r="M163"/>
  <c r="L163"/>
  <c r="N169"/>
  <c r="P169" s="1"/>
  <c r="M169"/>
  <c r="L169"/>
  <c r="M164" i="19"/>
  <c r="M170"/>
  <c r="L168"/>
  <c r="N169"/>
  <c r="P169" s="1"/>
  <c r="N168"/>
  <c r="P168" s="1"/>
  <c r="M169"/>
  <c r="L162"/>
  <c r="N162"/>
  <c r="P162" s="1"/>
  <c r="M162"/>
  <c r="N167"/>
  <c r="P167" s="1"/>
  <c r="M167"/>
  <c r="L167"/>
  <c r="N165"/>
  <c r="P165" s="1"/>
  <c r="M165"/>
  <c r="L165"/>
  <c r="L170" i="17"/>
  <c r="L165"/>
  <c r="M170"/>
  <c r="N165"/>
  <c r="P165" s="1"/>
  <c r="N166"/>
  <c r="P166" s="1"/>
  <c r="M166"/>
  <c r="N167"/>
  <c r="P167" s="1"/>
  <c r="M167"/>
  <c r="L167"/>
  <c r="N169"/>
  <c r="P169" s="1"/>
  <c r="M169"/>
  <c r="L169"/>
  <c r="N163"/>
  <c r="P163" s="1"/>
  <c r="M163"/>
  <c r="L163"/>
  <c r="L161"/>
  <c r="N161"/>
  <c r="P161" s="1"/>
  <c r="M161"/>
  <c r="L168"/>
  <c r="N168"/>
  <c r="P168" s="1"/>
  <c r="M168"/>
  <c r="L162"/>
  <c r="N162"/>
  <c r="P162" s="1"/>
  <c r="M162"/>
  <c r="N167" i="15"/>
  <c r="P167" s="1"/>
  <c r="N168"/>
  <c r="P168" s="1"/>
  <c r="L168"/>
  <c r="L169"/>
  <c r="M169" s="1"/>
  <c r="N169"/>
  <c r="P169" s="1"/>
  <c r="L166"/>
  <c r="M166" s="1"/>
  <c r="N166"/>
  <c r="P166" s="1"/>
  <c r="N167" i="13"/>
  <c r="P167" s="1"/>
  <c r="L165"/>
  <c r="M165" s="1"/>
  <c r="L170"/>
  <c r="M170" s="1"/>
  <c r="L168"/>
  <c r="M168" s="1"/>
  <c r="N169"/>
  <c r="P169" s="1"/>
  <c r="L169"/>
  <c r="P164"/>
  <c r="L164"/>
  <c r="M164" s="1"/>
  <c r="F160" i="8"/>
  <c r="G4"/>
  <c r="G5"/>
  <c r="F161"/>
  <c r="F162"/>
  <c r="G6"/>
  <c r="F163"/>
  <c r="G7"/>
  <c r="L7" s="1"/>
  <c r="G8"/>
  <c r="F164"/>
  <c r="F165"/>
  <c r="G9"/>
  <c r="F166"/>
  <c r="G10"/>
  <c r="F167"/>
  <c r="G11"/>
  <c r="F168"/>
  <c r="D168" s="1"/>
  <c r="G12"/>
  <c r="F169"/>
  <c r="D169" s="1"/>
  <c r="G13"/>
  <c r="G14"/>
  <c r="F170"/>
  <c r="D170" s="1"/>
  <c r="M162" i="15" l="1"/>
  <c r="M167" i="13"/>
  <c r="M169"/>
  <c r="M163"/>
  <c r="M168" i="15"/>
  <c r="M170"/>
  <c r="M163"/>
  <c r="M167"/>
  <c r="M166" i="13"/>
  <c r="M165" i="15"/>
  <c r="G161" i="8"/>
  <c r="N161" s="1"/>
  <c r="D161"/>
  <c r="G165"/>
  <c r="N165" s="1"/>
  <c r="D165"/>
  <c r="G162"/>
  <c r="L162" s="1"/>
  <c r="D162"/>
  <c r="G167"/>
  <c r="N167" s="1"/>
  <c r="D167"/>
  <c r="G169"/>
  <c r="L169" s="1"/>
  <c r="G163"/>
  <c r="N163" s="1"/>
  <c r="P163" s="1"/>
  <c r="D163"/>
  <c r="G160"/>
  <c r="L160" s="1"/>
  <c r="D160"/>
  <c r="G168"/>
  <c r="N168" s="1"/>
  <c r="G166"/>
  <c r="N166" s="1"/>
  <c r="D166"/>
  <c r="G170"/>
  <c r="L170" s="1"/>
  <c r="G164"/>
  <c r="N164" s="1"/>
  <c r="D164"/>
  <c r="L4"/>
  <c r="N4"/>
  <c r="L5"/>
  <c r="N5"/>
  <c r="P5" s="1"/>
  <c r="L6"/>
  <c r="N6"/>
  <c r="P6" s="1"/>
  <c r="L13"/>
  <c r="N13"/>
  <c r="P13" s="1"/>
  <c r="N7"/>
  <c r="P7" s="1"/>
  <c r="L12"/>
  <c r="N12"/>
  <c r="P12" s="1"/>
  <c r="L14"/>
  <c r="N14"/>
  <c r="P14" s="1"/>
  <c r="L8"/>
  <c r="M8" s="1"/>
  <c r="N8"/>
  <c r="P8" s="1"/>
  <c r="L10"/>
  <c r="N10"/>
  <c r="P10" s="1"/>
  <c r="L11"/>
  <c r="M11" s="1"/>
  <c r="N11"/>
  <c r="P11" s="1"/>
  <c r="L9"/>
  <c r="N9"/>
  <c r="P9" s="1"/>
  <c r="N169" l="1"/>
  <c r="M169" s="1"/>
  <c r="L163"/>
  <c r="M163" s="1"/>
  <c r="L167"/>
  <c r="M167" s="1"/>
  <c r="N162"/>
  <c r="M162" s="1"/>
  <c r="M12"/>
  <c r="M6"/>
  <c r="M14"/>
  <c r="M9"/>
  <c r="M13"/>
  <c r="N170"/>
  <c r="P170" s="1"/>
  <c r="L164"/>
  <c r="M164" s="1"/>
  <c r="L165"/>
  <c r="M165" s="1"/>
  <c r="L166"/>
  <c r="M166" s="1"/>
  <c r="M5"/>
  <c r="M160"/>
  <c r="L161"/>
  <c r="M161" s="1"/>
  <c r="L168"/>
  <c r="M168" s="1"/>
  <c r="N160"/>
  <c r="P160" s="1"/>
  <c r="M7"/>
  <c r="M10"/>
  <c r="M4"/>
  <c r="P166"/>
  <c r="P161"/>
  <c r="P167"/>
  <c r="P168"/>
  <c r="P4"/>
  <c r="P165"/>
  <c r="P164"/>
  <c r="P169" l="1"/>
  <c r="P162"/>
  <c r="M170"/>
</calcChain>
</file>

<file path=xl/sharedStrings.xml><?xml version="1.0" encoding="utf-8"?>
<sst xmlns="http://schemas.openxmlformats.org/spreadsheetml/2006/main" count="86607" uniqueCount="8989">
  <si>
    <t>Retour OK</t>
  </si>
  <si>
    <t>Mois campagne</t>
  </si>
  <si>
    <t>Abandon</t>
  </si>
  <si>
    <t>FournisseurRegroupement</t>
  </si>
  <si>
    <t>Nom Fournisseur</t>
  </si>
  <si>
    <t>Mois de campagne</t>
  </si>
  <si>
    <t>Taxe</t>
  </si>
  <si>
    <t>Code fournisseur</t>
  </si>
  <si>
    <t>Regroupement</t>
  </si>
  <si>
    <t>EAN</t>
  </si>
  <si>
    <t>Date_Envoi1</t>
  </si>
  <si>
    <t>Negociateur</t>
  </si>
  <si>
    <t>Statut</t>
  </si>
  <si>
    <t>Date_Statut</t>
  </si>
  <si>
    <t>Destinataire</t>
  </si>
  <si>
    <t>Abandon motif</t>
  </si>
  <si>
    <t>Date_Relance_1</t>
  </si>
  <si>
    <t>Date_Relance_2</t>
  </si>
  <si>
    <t>Date_Relance_3</t>
  </si>
  <si>
    <t>Reponse_OK</t>
  </si>
  <si>
    <t>Reponse_KO</t>
  </si>
  <si>
    <t>Date_Relance_KO_1</t>
  </si>
  <si>
    <t>Date_Relance_KO_2</t>
  </si>
  <si>
    <t>Date_Relance_KO_3</t>
  </si>
  <si>
    <t>Déchets diffus spéc. ménagers</t>
  </si>
  <si>
    <t>00024</t>
  </si>
  <si>
    <t>16</t>
  </si>
  <si>
    <t>3664944100201</t>
  </si>
  <si>
    <t>ALDER LONGO</t>
  </si>
  <si>
    <t>Fournisseur</t>
  </si>
  <si>
    <t>8711252068763</t>
  </si>
  <si>
    <t>8711252131658</t>
  </si>
  <si>
    <t>8711252178233</t>
  </si>
  <si>
    <t>8711252178288</t>
  </si>
  <si>
    <t>8711252419008</t>
  </si>
  <si>
    <t>8711252823171</t>
  </si>
  <si>
    <t>8711252867830</t>
  </si>
  <si>
    <t>8711252867885</t>
  </si>
  <si>
    <t>8719987588655</t>
  </si>
  <si>
    <t>8719987860607</t>
  </si>
  <si>
    <t>11913</t>
  </si>
  <si>
    <t>21</t>
  </si>
  <si>
    <t>3616475719698</t>
  </si>
  <si>
    <t>HACENE SEDIK</t>
  </si>
  <si>
    <t>3616475719704</t>
  </si>
  <si>
    <t>3616475719711</t>
  </si>
  <si>
    <t>3616475719728</t>
  </si>
  <si>
    <t>3616475719735</t>
  </si>
  <si>
    <t>3616475719742</t>
  </si>
  <si>
    <t>3616475719773</t>
  </si>
  <si>
    <t>3616475719780</t>
  </si>
  <si>
    <t>3616475719797</t>
  </si>
  <si>
    <t>3616475719803</t>
  </si>
  <si>
    <t>3616475719810</t>
  </si>
  <si>
    <t>3616475719827</t>
  </si>
  <si>
    <t>3616475719834</t>
  </si>
  <si>
    <t>3616475719841</t>
  </si>
  <si>
    <t>3616475719858</t>
  </si>
  <si>
    <t>3616475719865</t>
  </si>
  <si>
    <t>3616475719872</t>
  </si>
  <si>
    <t>3616475719889</t>
  </si>
  <si>
    <t>3616475719896</t>
  </si>
  <si>
    <t>3616475719902</t>
  </si>
  <si>
    <t>3616475719919</t>
  </si>
  <si>
    <t>3616475719926</t>
  </si>
  <si>
    <t>3616475719933</t>
  </si>
  <si>
    <t>3616475719940</t>
  </si>
  <si>
    <t>3616475719964</t>
  </si>
  <si>
    <t>3616475721097</t>
  </si>
  <si>
    <t>3616475721103</t>
  </si>
  <si>
    <t>3616475721110</t>
  </si>
  <si>
    <t>3616475721127</t>
  </si>
  <si>
    <t>3616475721134</t>
  </si>
  <si>
    <t>3616475721141</t>
  </si>
  <si>
    <t>15909</t>
  </si>
  <si>
    <t>03</t>
  </si>
  <si>
    <t>8008090604377</t>
  </si>
  <si>
    <t>DJEBAILI MAYA</t>
  </si>
  <si>
    <t>23847</t>
  </si>
  <si>
    <t>06</t>
  </si>
  <si>
    <t>3560071325435</t>
  </si>
  <si>
    <t>CHARLON PAULINE</t>
  </si>
  <si>
    <t>44777</t>
  </si>
  <si>
    <t>05</t>
  </si>
  <si>
    <t>3616474650565</t>
  </si>
  <si>
    <t>MIKANOVIC CATHERINE</t>
  </si>
  <si>
    <t>8412081320168</t>
  </si>
  <si>
    <t>8412081320229</t>
  </si>
  <si>
    <t>8412081320335</t>
  </si>
  <si>
    <t>8412081320748</t>
  </si>
  <si>
    <t>8412081320779</t>
  </si>
  <si>
    <t>8412081320830</t>
  </si>
  <si>
    <t>3560071096854</t>
  </si>
  <si>
    <t>3560071096830</t>
  </si>
  <si>
    <t>3560071084868</t>
  </si>
  <si>
    <t>3560071161859</t>
  </si>
  <si>
    <t>42488</t>
  </si>
  <si>
    <t>12</t>
  </si>
  <si>
    <t>3488570055168</t>
  </si>
  <si>
    <t>DUBOIS ANNE</t>
  </si>
  <si>
    <t>3488570055175</t>
  </si>
  <si>
    <t>3488570058060</t>
  </si>
  <si>
    <t>3488570058077</t>
  </si>
  <si>
    <t>14</t>
  </si>
  <si>
    <t>3560071096892</t>
  </si>
  <si>
    <t>DJADI LAILA</t>
  </si>
  <si>
    <t>3560071193850</t>
  </si>
  <si>
    <t>90141</t>
  </si>
  <si>
    <t>3560071224806</t>
  </si>
  <si>
    <t>NICLAUSE CHLOE</t>
  </si>
  <si>
    <t>3560071429447</t>
  </si>
  <si>
    <t>10</t>
  </si>
  <si>
    <t>3616473094094</t>
  </si>
  <si>
    <t>3616473094100</t>
  </si>
  <si>
    <t>3616473094117</t>
  </si>
  <si>
    <t>3616473094124</t>
  </si>
  <si>
    <t>44574</t>
  </si>
  <si>
    <t>01</t>
  </si>
  <si>
    <t>3616479237563</t>
  </si>
  <si>
    <t>3616479237570</t>
  </si>
  <si>
    <t>8008090603424</t>
  </si>
  <si>
    <t>8412081272597</t>
  </si>
  <si>
    <t>8412081313078</t>
  </si>
  <si>
    <t>8427370081125</t>
  </si>
  <si>
    <t>8427370760013</t>
  </si>
  <si>
    <t>8427370760020</t>
  </si>
  <si>
    <t>8427370760044</t>
  </si>
  <si>
    <t>8427370760051</t>
  </si>
  <si>
    <t>8427370760068</t>
  </si>
  <si>
    <t>8427370760075</t>
  </si>
  <si>
    <t>8427370760082</t>
  </si>
  <si>
    <t>8427370760099</t>
  </si>
  <si>
    <t>8427370760112</t>
  </si>
  <si>
    <t>8427370760181</t>
  </si>
  <si>
    <t>8427370760198</t>
  </si>
  <si>
    <t>8427370760228</t>
  </si>
  <si>
    <t>8427370760242</t>
  </si>
  <si>
    <t>8427370760259</t>
  </si>
  <si>
    <t>8427370760266</t>
  </si>
  <si>
    <t>8427370760273</t>
  </si>
  <si>
    <t>8427370760310</t>
  </si>
  <si>
    <t>8427370760365</t>
  </si>
  <si>
    <t>8427370760389</t>
  </si>
  <si>
    <t>8427370760433</t>
  </si>
  <si>
    <t>8427370760440</t>
  </si>
  <si>
    <t>8427370760501</t>
  </si>
  <si>
    <t>8427370760655</t>
  </si>
  <si>
    <t>8427370760686</t>
  </si>
  <si>
    <t>8427370760693</t>
  </si>
  <si>
    <t>8427370760754</t>
  </si>
  <si>
    <t>8427370760761</t>
  </si>
  <si>
    <t>8427370760778</t>
  </si>
  <si>
    <t>8427370760822</t>
  </si>
  <si>
    <t>8427370900013</t>
  </si>
  <si>
    <t>8427370900051</t>
  </si>
  <si>
    <t>8427370900105</t>
  </si>
  <si>
    <t>8427370900129</t>
  </si>
  <si>
    <t>8427370900204</t>
  </si>
  <si>
    <t>8427370900259</t>
  </si>
  <si>
    <t>8427370900303</t>
  </si>
  <si>
    <t>8427370900501</t>
  </si>
  <si>
    <t>8427370900518</t>
  </si>
  <si>
    <t>8711295881473</t>
  </si>
  <si>
    <t>Relance 3</t>
  </si>
  <si>
    <t>Taxes Supports d enregistrement</t>
  </si>
  <si>
    <t>69151</t>
  </si>
  <si>
    <t>0023942431671</t>
  </si>
  <si>
    <t>KIROVA GERGANA</t>
  </si>
  <si>
    <t>Ampoules</t>
  </si>
  <si>
    <t>82596</t>
  </si>
  <si>
    <t>4004282432807</t>
  </si>
  <si>
    <t>UTRILLA OSCAR</t>
  </si>
  <si>
    <t>4004282432814</t>
  </si>
  <si>
    <t>4004282432821</t>
  </si>
  <si>
    <t>4004282432838</t>
  </si>
  <si>
    <t>4004282496700</t>
  </si>
  <si>
    <t>4004282496717</t>
  </si>
  <si>
    <t>4004282496724</t>
  </si>
  <si>
    <t>4004282496731</t>
  </si>
  <si>
    <t>80028</t>
  </si>
  <si>
    <t>7640104972440</t>
  </si>
  <si>
    <t>DUSAUTOIR XAVIERE</t>
  </si>
  <si>
    <t>7640104972457</t>
  </si>
  <si>
    <t>7640104972464</t>
  </si>
  <si>
    <t>7640104972549</t>
  </si>
  <si>
    <t>7640104975816</t>
  </si>
  <si>
    <t>7640104975847</t>
  </si>
  <si>
    <t>7640104975854</t>
  </si>
  <si>
    <t>7640162950022</t>
  </si>
  <si>
    <t>7640162950206</t>
  </si>
  <si>
    <t>7640162950213</t>
  </si>
  <si>
    <t>7640162950442</t>
  </si>
  <si>
    <t>7640162950459</t>
  </si>
  <si>
    <t>24</t>
  </si>
  <si>
    <t>8711252013695</t>
  </si>
  <si>
    <t>HENRY CORINNE OUAFAE</t>
  </si>
  <si>
    <t>8711252070872</t>
  </si>
  <si>
    <t>8711252100142</t>
  </si>
  <si>
    <t>8711252117515</t>
  </si>
  <si>
    <t>8711252117546</t>
  </si>
  <si>
    <t>18</t>
  </si>
  <si>
    <t>8711252117621</t>
  </si>
  <si>
    <t>8711252117638</t>
  </si>
  <si>
    <t>8711252117751</t>
  </si>
  <si>
    <t>8711252117805</t>
  </si>
  <si>
    <t>8711252117829</t>
  </si>
  <si>
    <t>89214</t>
  </si>
  <si>
    <t>8712879146094</t>
  </si>
  <si>
    <t>47575</t>
  </si>
  <si>
    <t>04</t>
  </si>
  <si>
    <t>8712953140864</t>
  </si>
  <si>
    <t>BAREILLE GLORIA</t>
  </si>
  <si>
    <t>Rejet 2</t>
  </si>
  <si>
    <t>8719202050080</t>
  </si>
  <si>
    <t>8719202680324</t>
  </si>
  <si>
    <t>3561866421585</t>
  </si>
  <si>
    <t>Contribution Piles</t>
  </si>
  <si>
    <t>4004282460077</t>
  </si>
  <si>
    <t>77844</t>
  </si>
  <si>
    <t>5016326090088</t>
  </si>
  <si>
    <t>RICHEROL JULIE</t>
  </si>
  <si>
    <t>5016326092006</t>
  </si>
  <si>
    <t>5016326094543</t>
  </si>
  <si>
    <t>5016326095656</t>
  </si>
  <si>
    <t>5016326097704</t>
  </si>
  <si>
    <t>5016326099326</t>
  </si>
  <si>
    <t>40524</t>
  </si>
  <si>
    <t>15</t>
  </si>
  <si>
    <t>5411074181246</t>
  </si>
  <si>
    <t>CHAGNON MARION</t>
  </si>
  <si>
    <t>76310</t>
  </si>
  <si>
    <t>02</t>
  </si>
  <si>
    <t>8001011010325</t>
  </si>
  <si>
    <t>8001011021123</t>
  </si>
  <si>
    <t>8001011023455</t>
  </si>
  <si>
    <t>8001011041916</t>
  </si>
  <si>
    <t>8001011042067</t>
  </si>
  <si>
    <t>8001011046003</t>
  </si>
  <si>
    <t>8001011046010</t>
  </si>
  <si>
    <t>8001011050734</t>
  </si>
  <si>
    <t>47096</t>
  </si>
  <si>
    <t>3614614649288</t>
  </si>
  <si>
    <t>3614614649295</t>
  </si>
  <si>
    <t>85438</t>
  </si>
  <si>
    <t>3616473157904</t>
  </si>
  <si>
    <t>3616473157911</t>
  </si>
  <si>
    <t>3616473157928</t>
  </si>
  <si>
    <t>3616473157935</t>
  </si>
  <si>
    <t>3616473157942</t>
  </si>
  <si>
    <t>3616473157973</t>
  </si>
  <si>
    <t>3616473157980</t>
  </si>
  <si>
    <t>3616473157997</t>
  </si>
  <si>
    <t>3616473158000</t>
  </si>
  <si>
    <t>3616473158024</t>
  </si>
  <si>
    <t>3616473158031</t>
  </si>
  <si>
    <t>4004282432883</t>
  </si>
  <si>
    <t>4004282432890</t>
  </si>
  <si>
    <t>8001011056415</t>
  </si>
  <si>
    <t>8001011069941</t>
  </si>
  <si>
    <t>8001011078523</t>
  </si>
  <si>
    <t>8001011091324</t>
  </si>
  <si>
    <t>8001011148615</t>
  </si>
  <si>
    <t>8001011260140</t>
  </si>
  <si>
    <t>8711252072142</t>
  </si>
  <si>
    <t>8711252075624</t>
  </si>
  <si>
    <t>8711252140131</t>
  </si>
  <si>
    <t>Eléments d ameublement</t>
  </si>
  <si>
    <t>4004282466314</t>
  </si>
  <si>
    <t>4004282460084</t>
  </si>
  <si>
    <t>Rejet 3</t>
  </si>
  <si>
    <t>4004282460305</t>
  </si>
  <si>
    <t>4004282460923</t>
  </si>
  <si>
    <t>Equipements élect. et électro.</t>
  </si>
  <si>
    <t>36415</t>
  </si>
  <si>
    <t>3380743074580</t>
  </si>
  <si>
    <t>LASSOUED KERIM</t>
  </si>
  <si>
    <t>Rejet 1</t>
  </si>
  <si>
    <t>3380743074627</t>
  </si>
  <si>
    <t>3380743083216</t>
  </si>
  <si>
    <t>3380743092638</t>
  </si>
  <si>
    <t>07</t>
  </si>
  <si>
    <t>3380743076805</t>
  </si>
  <si>
    <t>BENCTEUX LIDYA</t>
  </si>
  <si>
    <t>3380743077291</t>
  </si>
  <si>
    <t>3380743083704</t>
  </si>
  <si>
    <t>3380743084138</t>
  </si>
  <si>
    <t>3380743085142</t>
  </si>
  <si>
    <t>3380743085630</t>
  </si>
  <si>
    <t>3380743085647</t>
  </si>
  <si>
    <t>3380743085678</t>
  </si>
  <si>
    <t>3380743085852</t>
  </si>
  <si>
    <t>3380743086194</t>
  </si>
  <si>
    <t>3380743091211</t>
  </si>
  <si>
    <t>3380743091235</t>
  </si>
  <si>
    <t>3380743091242</t>
  </si>
  <si>
    <t>3380743092195</t>
  </si>
  <si>
    <t>3380743077208</t>
  </si>
  <si>
    <t>LECLERE CANDICE</t>
  </si>
  <si>
    <t>3380743084602</t>
  </si>
  <si>
    <t>3380743022413</t>
  </si>
  <si>
    <t>3380743048840</t>
  </si>
  <si>
    <t>3380743091778</t>
  </si>
  <si>
    <t>5411074122027</t>
  </si>
  <si>
    <t>5411074173203</t>
  </si>
  <si>
    <t>41393</t>
  </si>
  <si>
    <t>3417761133057</t>
  </si>
  <si>
    <t>CARTIER EMMANUELLE</t>
  </si>
  <si>
    <t>3417761176054</t>
  </si>
  <si>
    <t>3417761381458</t>
  </si>
  <si>
    <t>3417761508053</t>
  </si>
  <si>
    <t>3417761692059</t>
  </si>
  <si>
    <t>3417761851050</t>
  </si>
  <si>
    <t>3417762024156</t>
  </si>
  <si>
    <t>3417762152057</t>
  </si>
  <si>
    <t>3417762153054</t>
  </si>
  <si>
    <t>3417762172451</t>
  </si>
  <si>
    <t>3417762454052</t>
  </si>
  <si>
    <t>3417762468059</t>
  </si>
  <si>
    <t>3417762741053</t>
  </si>
  <si>
    <t>3417762745051</t>
  </si>
  <si>
    <t>44622</t>
  </si>
  <si>
    <t>4006885703308</t>
  </si>
  <si>
    <t>SABOT STEPHANE</t>
  </si>
  <si>
    <t>4006885703803</t>
  </si>
  <si>
    <t>58411</t>
  </si>
  <si>
    <t>0071662125752</t>
  </si>
  <si>
    <t>8711808310308</t>
  </si>
  <si>
    <t>8711808705821</t>
  </si>
  <si>
    <t>74606</t>
  </si>
  <si>
    <t>4711081043690</t>
  </si>
  <si>
    <t>NAUD PIERRE</t>
  </si>
  <si>
    <t>Abandon fournisseur Déclarant</t>
  </si>
  <si>
    <t>4711081096924</t>
  </si>
  <si>
    <t>4711081136477</t>
  </si>
  <si>
    <t>4711081138570</t>
  </si>
  <si>
    <t>4711081160205</t>
  </si>
  <si>
    <t>4711081195177</t>
  </si>
  <si>
    <t>4711081195191</t>
  </si>
  <si>
    <t>4711081195245</t>
  </si>
  <si>
    <t>4711081195269</t>
  </si>
  <si>
    <t>4711081195825</t>
  </si>
  <si>
    <t>4711081212188</t>
  </si>
  <si>
    <t>4711081212201</t>
  </si>
  <si>
    <t>4711081229353</t>
  </si>
  <si>
    <t>4711081229520</t>
  </si>
  <si>
    <t>4711081356677</t>
  </si>
  <si>
    <t>4711081484141</t>
  </si>
  <si>
    <t>4718017122795</t>
  </si>
  <si>
    <t>4718017875479</t>
  </si>
  <si>
    <t>4718017927475</t>
  </si>
  <si>
    <t>4718017929882</t>
  </si>
  <si>
    <t>4718017931618</t>
  </si>
  <si>
    <t>74810</t>
  </si>
  <si>
    <t>8410446310724</t>
  </si>
  <si>
    <t>8410446314531</t>
  </si>
  <si>
    <t>7640104977049</t>
  </si>
  <si>
    <t>80260</t>
  </si>
  <si>
    <t>3545411897995</t>
  </si>
  <si>
    <t>3545411898008</t>
  </si>
  <si>
    <t>3545411903733</t>
  </si>
  <si>
    <t>3545411903757</t>
  </si>
  <si>
    <t>3545411903764</t>
  </si>
  <si>
    <t>3545411923038</t>
  </si>
  <si>
    <t>3608140357342</t>
  </si>
  <si>
    <t>3608140357359</t>
  </si>
  <si>
    <t>3608140357397</t>
  </si>
  <si>
    <t>3608140357434</t>
  </si>
  <si>
    <t>3608140496355</t>
  </si>
  <si>
    <t>3608140496362</t>
  </si>
  <si>
    <t>3608140496379</t>
  </si>
  <si>
    <t>3608140496386</t>
  </si>
  <si>
    <t>3608140543578</t>
  </si>
  <si>
    <t>3610882832254</t>
  </si>
  <si>
    <t>3610882832261</t>
  </si>
  <si>
    <t>3610882832278</t>
  </si>
  <si>
    <t>3610882832285</t>
  </si>
  <si>
    <t>3610882832292</t>
  </si>
  <si>
    <t>3610882832308</t>
  </si>
  <si>
    <t>3613865140247</t>
  </si>
  <si>
    <t>3614612569137</t>
  </si>
  <si>
    <t>3614612569229</t>
  </si>
  <si>
    <t>3614614295102</t>
  </si>
  <si>
    <t>3614614295119</t>
  </si>
  <si>
    <t>3614614295126</t>
  </si>
  <si>
    <t>3614614295133</t>
  </si>
  <si>
    <t>3614614295140</t>
  </si>
  <si>
    <t>3614614295157</t>
  </si>
  <si>
    <t>3614614295164</t>
  </si>
  <si>
    <t>3614614295171</t>
  </si>
  <si>
    <t>3614614295188</t>
  </si>
  <si>
    <t>3614614295195</t>
  </si>
  <si>
    <t>3614614295201</t>
  </si>
  <si>
    <t>3614614295218</t>
  </si>
  <si>
    <t>3614614295225</t>
  </si>
  <si>
    <t>3614614295232</t>
  </si>
  <si>
    <t>3614614295249</t>
  </si>
  <si>
    <t>3614614295256</t>
  </si>
  <si>
    <t>3614614295263</t>
  </si>
  <si>
    <t>3614614295270</t>
  </si>
  <si>
    <t>3614614295287</t>
  </si>
  <si>
    <t>3614614295294</t>
  </si>
  <si>
    <t>3614614295300</t>
  </si>
  <si>
    <t>3614614295317</t>
  </si>
  <si>
    <t>3614614314315</t>
  </si>
  <si>
    <t>3614614314322</t>
  </si>
  <si>
    <t>3615005315041</t>
  </si>
  <si>
    <t>80644</t>
  </si>
  <si>
    <t>3610882172237</t>
  </si>
  <si>
    <t>SOHIER LAETITIA</t>
  </si>
  <si>
    <t>85861</t>
  </si>
  <si>
    <t>8003705114036</t>
  </si>
  <si>
    <t>DAMIEN DURANCEAU.</t>
  </si>
  <si>
    <t>8003705116085</t>
  </si>
  <si>
    <t>8003705116702</t>
  </si>
  <si>
    <t>7640143167517</t>
  </si>
  <si>
    <t>7640143167609</t>
  </si>
  <si>
    <t>8712879144311</t>
  </si>
  <si>
    <t>8712879144984</t>
  </si>
  <si>
    <t>8712879145004</t>
  </si>
  <si>
    <t>8712879145042</t>
  </si>
  <si>
    <t>8712879146100</t>
  </si>
  <si>
    <t>8712879146773</t>
  </si>
  <si>
    <t>8712879146780</t>
  </si>
  <si>
    <t>8712879149149</t>
  </si>
  <si>
    <t>8712879149156</t>
  </si>
  <si>
    <t>8712879149217</t>
  </si>
  <si>
    <t>8712879150947</t>
  </si>
  <si>
    <t>8712879151111</t>
  </si>
  <si>
    <t>8712879151180</t>
  </si>
  <si>
    <t>70049</t>
  </si>
  <si>
    <t>3048095008652</t>
  </si>
  <si>
    <t>WOLFE CHLOE</t>
  </si>
  <si>
    <t>14155</t>
  </si>
  <si>
    <t>08</t>
  </si>
  <si>
    <t>3156830085346</t>
  </si>
  <si>
    <t>26</t>
  </si>
  <si>
    <t>3276558357331</t>
  </si>
  <si>
    <t>3276558357348</t>
  </si>
  <si>
    <t>3276558357355</t>
  </si>
  <si>
    <t>44513</t>
  </si>
  <si>
    <t>3342382002737</t>
  </si>
  <si>
    <t>3380743096049</t>
  </si>
  <si>
    <t>3417761904053</t>
  </si>
  <si>
    <t>3561860289679</t>
  </si>
  <si>
    <t>3561860290774</t>
  </si>
  <si>
    <t>3606602264481</t>
  </si>
  <si>
    <t>3608141120594</t>
  </si>
  <si>
    <t>3609230834361</t>
  </si>
  <si>
    <t>76066</t>
  </si>
  <si>
    <t>3610882115289</t>
  </si>
  <si>
    <t>3610882115555</t>
  </si>
  <si>
    <t>3610882120603</t>
  </si>
  <si>
    <t>3610882120610</t>
  </si>
  <si>
    <t>3610882120627</t>
  </si>
  <si>
    <t>3610882120634</t>
  </si>
  <si>
    <t>3610883005299</t>
  </si>
  <si>
    <t>3614611111801</t>
  </si>
  <si>
    <t>3614611111818</t>
  </si>
  <si>
    <t>3614611111825</t>
  </si>
  <si>
    <t>3614612512997</t>
  </si>
  <si>
    <t>3614612513000</t>
  </si>
  <si>
    <t>3615004301274</t>
  </si>
  <si>
    <t>3615004301281</t>
  </si>
  <si>
    <t>3615004301298</t>
  </si>
  <si>
    <t>3616180349852</t>
  </si>
  <si>
    <t>3616180732067</t>
  </si>
  <si>
    <t>3616181173852</t>
  </si>
  <si>
    <t>3616181900564</t>
  </si>
  <si>
    <t>3616181900588</t>
  </si>
  <si>
    <t>3616181900595</t>
  </si>
  <si>
    <t>3616182166853</t>
  </si>
  <si>
    <t>3616182250828</t>
  </si>
  <si>
    <t>94594</t>
  </si>
  <si>
    <t>3616473898104</t>
  </si>
  <si>
    <t>3616473898111</t>
  </si>
  <si>
    <t>3616473898128</t>
  </si>
  <si>
    <t>3616473898135</t>
  </si>
  <si>
    <t>3616473898142</t>
  </si>
  <si>
    <t>3616473898159</t>
  </si>
  <si>
    <t>3616473913692</t>
  </si>
  <si>
    <t>3616473913739</t>
  </si>
  <si>
    <t>86830</t>
  </si>
  <si>
    <t>3616479239024</t>
  </si>
  <si>
    <t>GYSELS STEPHANE</t>
  </si>
  <si>
    <t>3616479239031</t>
  </si>
  <si>
    <t>3616479239048</t>
  </si>
  <si>
    <t>82718</t>
  </si>
  <si>
    <t>3663374015659</t>
  </si>
  <si>
    <t>HOBE THIERRY</t>
  </si>
  <si>
    <t>3663374015666</t>
  </si>
  <si>
    <t>3663374015673</t>
  </si>
  <si>
    <t>09</t>
  </si>
  <si>
    <t>3664944049470</t>
  </si>
  <si>
    <t>17</t>
  </si>
  <si>
    <t>3664944129509</t>
  </si>
  <si>
    <t>3664944214892</t>
  </si>
  <si>
    <t>3664944214908</t>
  </si>
  <si>
    <t>3664944306467</t>
  </si>
  <si>
    <t>3664944325833</t>
  </si>
  <si>
    <t>3664944337652</t>
  </si>
  <si>
    <t>3664944390695</t>
  </si>
  <si>
    <t>3664944397977</t>
  </si>
  <si>
    <t>3664944398226</t>
  </si>
  <si>
    <t>3664944398233</t>
  </si>
  <si>
    <t>3700902200597</t>
  </si>
  <si>
    <t>3999991614990</t>
  </si>
  <si>
    <t>4012093905304</t>
  </si>
  <si>
    <t>87208</t>
  </si>
  <si>
    <t>4015588882425</t>
  </si>
  <si>
    <t>GOHIER MAGALI</t>
  </si>
  <si>
    <t>4019199755741</t>
  </si>
  <si>
    <t>4058075030626</t>
  </si>
  <si>
    <t>54179</t>
  </si>
  <si>
    <t>5411478420361</t>
  </si>
  <si>
    <t>5411478420606</t>
  </si>
  <si>
    <t>84075</t>
  </si>
  <si>
    <t>8007382070739</t>
  </si>
  <si>
    <t>8007382071002</t>
  </si>
  <si>
    <t>8007382071101</t>
  </si>
  <si>
    <t>8007382071132</t>
  </si>
  <si>
    <t>8007382071156</t>
  </si>
  <si>
    <t>8007382073525</t>
  </si>
  <si>
    <t>8007382073563</t>
  </si>
  <si>
    <t>8007382073600</t>
  </si>
  <si>
    <t>8007382073655</t>
  </si>
  <si>
    <t>8007382073853</t>
  </si>
  <si>
    <t>8007382073952</t>
  </si>
  <si>
    <t>8007382080028</t>
  </si>
  <si>
    <t>8007382272003</t>
  </si>
  <si>
    <t>8007382973405</t>
  </si>
  <si>
    <t>8007382973450</t>
  </si>
  <si>
    <t>8007382973658</t>
  </si>
  <si>
    <t>8007382973900</t>
  </si>
  <si>
    <t>8410446300527</t>
  </si>
  <si>
    <t>8410446310007</t>
  </si>
  <si>
    <t>8410446311370</t>
  </si>
  <si>
    <t>8410446311394</t>
  </si>
  <si>
    <t>8410446311417</t>
  </si>
  <si>
    <t>8410446311448</t>
  </si>
  <si>
    <t>8410446315569</t>
  </si>
  <si>
    <t>8410446316221</t>
  </si>
  <si>
    <t>8435253549198</t>
  </si>
  <si>
    <t>8711252013060</t>
  </si>
  <si>
    <t>8711252014944</t>
  </si>
  <si>
    <t>8711252015729</t>
  </si>
  <si>
    <t>8711252015736</t>
  </si>
  <si>
    <t>8711252029757</t>
  </si>
  <si>
    <t>8711252044057</t>
  </si>
  <si>
    <t>8711252044088</t>
  </si>
  <si>
    <t>8711252053738</t>
  </si>
  <si>
    <t>8711252055527</t>
  </si>
  <si>
    <t>8711252057958</t>
  </si>
  <si>
    <t>8711252061894</t>
  </si>
  <si>
    <t>8711252069029</t>
  </si>
  <si>
    <t>8711252070452</t>
  </si>
  <si>
    <t>8711252070469</t>
  </si>
  <si>
    <t>8711252074191</t>
  </si>
  <si>
    <t>8711252079295</t>
  </si>
  <si>
    <t>8711252084091</t>
  </si>
  <si>
    <t>8711252084114</t>
  </si>
  <si>
    <t>8711252098265</t>
  </si>
  <si>
    <t>8711252105703</t>
  </si>
  <si>
    <t>8711252109046</t>
  </si>
  <si>
    <t>8711252109718</t>
  </si>
  <si>
    <t>8711252117539</t>
  </si>
  <si>
    <t>8711252117560</t>
  </si>
  <si>
    <t>8711252117577</t>
  </si>
  <si>
    <t>8711252117584</t>
  </si>
  <si>
    <t>8711252117768</t>
  </si>
  <si>
    <t>8711252119991</t>
  </si>
  <si>
    <t>8711252123240</t>
  </si>
  <si>
    <t>8711252131924</t>
  </si>
  <si>
    <t>8711252131948</t>
  </si>
  <si>
    <t>8711252131955</t>
  </si>
  <si>
    <t>8711252148212</t>
  </si>
  <si>
    <t>8711252150161</t>
  </si>
  <si>
    <t>8711252157665</t>
  </si>
  <si>
    <t>8711252162386</t>
  </si>
  <si>
    <t>8711252162959</t>
  </si>
  <si>
    <t>8711252162966</t>
  </si>
  <si>
    <t>8711252163635</t>
  </si>
  <si>
    <t>8711252163642</t>
  </si>
  <si>
    <t>8711252165523</t>
  </si>
  <si>
    <t>8711252167954</t>
  </si>
  <si>
    <t>8711252175584</t>
  </si>
  <si>
    <t>8711252176130</t>
  </si>
  <si>
    <t>8711252182773</t>
  </si>
  <si>
    <t>8711252185439</t>
  </si>
  <si>
    <t>8711252185927</t>
  </si>
  <si>
    <t>8711252193250</t>
  </si>
  <si>
    <t>8711252227764</t>
  </si>
  <si>
    <t>8711252265728</t>
  </si>
  <si>
    <t>8711252266640</t>
  </si>
  <si>
    <t>8711252266695</t>
  </si>
  <si>
    <t>8711252297019</t>
  </si>
  <si>
    <t>8711252310596</t>
  </si>
  <si>
    <t>8711252413365</t>
  </si>
  <si>
    <t>8711252537122</t>
  </si>
  <si>
    <t>8711252698298</t>
  </si>
  <si>
    <t>8711252783512</t>
  </si>
  <si>
    <t>8711252783642</t>
  </si>
  <si>
    <t>8711252947563</t>
  </si>
  <si>
    <t>8711252984254</t>
  </si>
  <si>
    <t>8711292121244</t>
  </si>
  <si>
    <t>8711295690679</t>
  </si>
  <si>
    <t>8711295987342</t>
  </si>
  <si>
    <t>8711866296248</t>
  </si>
  <si>
    <t>8715986153023</t>
  </si>
  <si>
    <t>8716068988717</t>
  </si>
  <si>
    <t>8718489002522</t>
  </si>
  <si>
    <t>8719202021080</t>
  </si>
  <si>
    <t>8719202049619</t>
  </si>
  <si>
    <t>8719202113334</t>
  </si>
  <si>
    <t>8719202113839</t>
  </si>
  <si>
    <t>8719202214048</t>
  </si>
  <si>
    <t>8719202392111</t>
  </si>
  <si>
    <t>8719202540239</t>
  </si>
  <si>
    <t>8719202568035</t>
  </si>
  <si>
    <t>8719202858310</t>
  </si>
  <si>
    <t>8719202917512</t>
  </si>
  <si>
    <t>8719202930962</t>
  </si>
  <si>
    <t>8719202956634</t>
  </si>
  <si>
    <t>8719407035059</t>
  </si>
  <si>
    <t>8719407058409</t>
  </si>
  <si>
    <t>8719987011733</t>
  </si>
  <si>
    <t>8719987016677</t>
  </si>
  <si>
    <t>8719987089015</t>
  </si>
  <si>
    <t>8719987090516</t>
  </si>
  <si>
    <t>8719987348235</t>
  </si>
  <si>
    <t>8719987364389</t>
  </si>
  <si>
    <t>8719987402135</t>
  </si>
  <si>
    <t>8719987406904</t>
  </si>
  <si>
    <t>8719987408663</t>
  </si>
  <si>
    <t>8719987409929</t>
  </si>
  <si>
    <t>8719987410116</t>
  </si>
  <si>
    <t>8719987410352</t>
  </si>
  <si>
    <t>8719987412721</t>
  </si>
  <si>
    <t>8719987436475</t>
  </si>
  <si>
    <t>8719987461774</t>
  </si>
  <si>
    <t>8719987609398</t>
  </si>
  <si>
    <t>8719987609961</t>
  </si>
  <si>
    <t>8719987610011</t>
  </si>
  <si>
    <t>8719987610042</t>
  </si>
  <si>
    <t>8719987771637</t>
  </si>
  <si>
    <t>8719987817984</t>
  </si>
  <si>
    <t>8719987879616</t>
  </si>
  <si>
    <t>8719987879821</t>
  </si>
  <si>
    <t>8719987882197</t>
  </si>
  <si>
    <t>8719987882333</t>
  </si>
  <si>
    <t>8719987882616</t>
  </si>
  <si>
    <t>8720039603783</t>
  </si>
  <si>
    <t>8720039603790</t>
  </si>
  <si>
    <t>8720039603806</t>
  </si>
  <si>
    <t>8720039603813</t>
  </si>
  <si>
    <t>8720039603820</t>
  </si>
  <si>
    <t>8720039605886</t>
  </si>
  <si>
    <t>8720039605893</t>
  </si>
  <si>
    <t>8720039605909</t>
  </si>
  <si>
    <t>8720039605916</t>
  </si>
  <si>
    <t>8720039605923</t>
  </si>
  <si>
    <t>8720039605930</t>
  </si>
  <si>
    <t>8720039605947</t>
  </si>
  <si>
    <t>8720039605954</t>
  </si>
  <si>
    <t>8720039605961</t>
  </si>
  <si>
    <t>8720039605978</t>
  </si>
  <si>
    <t>8720039605985</t>
  </si>
  <si>
    <t>8720039605992</t>
  </si>
  <si>
    <t>8720039606005</t>
  </si>
  <si>
    <t>8720039606012</t>
  </si>
  <si>
    <t>8720039606029</t>
  </si>
  <si>
    <t>8720039606036</t>
  </si>
  <si>
    <t>8720039606043</t>
  </si>
  <si>
    <t>8720039606050</t>
  </si>
  <si>
    <t>8720039606098</t>
  </si>
  <si>
    <t>8720039606104</t>
  </si>
  <si>
    <t>8720039606111</t>
  </si>
  <si>
    <t>8720039606128</t>
  </si>
  <si>
    <t>8720039606135</t>
  </si>
  <si>
    <t>8720039606876</t>
  </si>
  <si>
    <t>8720039606883</t>
  </si>
  <si>
    <t>8720039606890</t>
  </si>
  <si>
    <t>8720039606906</t>
  </si>
  <si>
    <t>8720039606913</t>
  </si>
  <si>
    <t>8720039606920</t>
  </si>
  <si>
    <t>8720039606937</t>
  </si>
  <si>
    <t>8720039606951</t>
  </si>
  <si>
    <t>8720039606968</t>
  </si>
  <si>
    <t>8720039606975</t>
  </si>
  <si>
    <t>8720039606982</t>
  </si>
  <si>
    <t>8720039606999</t>
  </si>
  <si>
    <t>8720039607002</t>
  </si>
  <si>
    <t>8720039607019</t>
  </si>
  <si>
    <t>8720039607026</t>
  </si>
  <si>
    <t>8720039607033</t>
  </si>
  <si>
    <t>8720039607040</t>
  </si>
  <si>
    <t>8720039607057</t>
  </si>
  <si>
    <t>8720039607064</t>
  </si>
  <si>
    <t>8720039607101</t>
  </si>
  <si>
    <t>8720039607118</t>
  </si>
  <si>
    <t>8720039607125</t>
  </si>
  <si>
    <t>8720039607132</t>
  </si>
  <si>
    <t>8720039607149</t>
  </si>
  <si>
    <t>8720039607156</t>
  </si>
  <si>
    <t>8720039607163</t>
  </si>
  <si>
    <t>8720039607170</t>
  </si>
  <si>
    <t>8720039607187</t>
  </si>
  <si>
    <t>8720039607323</t>
  </si>
  <si>
    <t>8720039607330</t>
  </si>
  <si>
    <t>8720039607347</t>
  </si>
  <si>
    <t>8720039607354</t>
  </si>
  <si>
    <t>8720039607361</t>
  </si>
  <si>
    <t>8720039607378</t>
  </si>
  <si>
    <t>8720039607385</t>
  </si>
  <si>
    <t>8720039607392</t>
  </si>
  <si>
    <t>8720039607408</t>
  </si>
  <si>
    <t>8720039607415</t>
  </si>
  <si>
    <t>8720039607422</t>
  </si>
  <si>
    <t>8720039607439</t>
  </si>
  <si>
    <t>8720039607446</t>
  </si>
  <si>
    <t>8720039607453</t>
  </si>
  <si>
    <t>8720039607460</t>
  </si>
  <si>
    <t>8720289266646</t>
  </si>
  <si>
    <t>8720289266707</t>
  </si>
  <si>
    <t>8720289266929</t>
  </si>
  <si>
    <t>8720289267308</t>
  </si>
  <si>
    <t>8720573210157</t>
  </si>
  <si>
    <t>8720573211789</t>
  </si>
  <si>
    <t>3059940006211</t>
  </si>
  <si>
    <t>3059940006433</t>
  </si>
  <si>
    <t>3059942101204</t>
  </si>
  <si>
    <t>3059942101396</t>
  </si>
  <si>
    <t>3107930040100</t>
  </si>
  <si>
    <t>3178041344982</t>
  </si>
  <si>
    <t>3181730186770</t>
  </si>
  <si>
    <t>3346027013157</t>
  </si>
  <si>
    <t>3346027013164</t>
  </si>
  <si>
    <t>3346027793813</t>
  </si>
  <si>
    <t>30053</t>
  </si>
  <si>
    <t>28</t>
  </si>
  <si>
    <t>3523670277413</t>
  </si>
  <si>
    <t>NEJAMAISUTILISER FAIRE MENAGE</t>
  </si>
  <si>
    <t>Article de Service à corriger sur BCP</t>
  </si>
  <si>
    <t>3523670293963</t>
  </si>
  <si>
    <t>3523670293970</t>
  </si>
  <si>
    <t>3523670293987</t>
  </si>
  <si>
    <t>3523670293994</t>
  </si>
  <si>
    <t>09721</t>
  </si>
  <si>
    <t>36</t>
  </si>
  <si>
    <t>3560071465773</t>
  </si>
  <si>
    <t>doublon avec 7/03</t>
  </si>
  <si>
    <t>44586</t>
  </si>
  <si>
    <t>3615005583754</t>
  </si>
  <si>
    <t>21543</t>
  </si>
  <si>
    <t>3616181581183</t>
  </si>
  <si>
    <t>39946</t>
  </si>
  <si>
    <t>3616181921279</t>
  </si>
  <si>
    <t>48669</t>
  </si>
  <si>
    <t>3616473217646</t>
  </si>
  <si>
    <t>BERNARDO CEDRIC</t>
  </si>
  <si>
    <t>3616473965189</t>
  </si>
  <si>
    <t>43014</t>
  </si>
  <si>
    <t>3616474504899</t>
  </si>
  <si>
    <t>3616474643765</t>
  </si>
  <si>
    <t>3616474643772</t>
  </si>
  <si>
    <t>3616479421825</t>
  </si>
  <si>
    <t>3616479421832</t>
  </si>
  <si>
    <t>3616479421849</t>
  </si>
  <si>
    <t>3616479422402</t>
  </si>
  <si>
    <t>3616479422419</t>
  </si>
  <si>
    <t>3616479422426</t>
  </si>
  <si>
    <t>3616479422433</t>
  </si>
  <si>
    <t>3616479458456</t>
  </si>
  <si>
    <t>3616479458463</t>
  </si>
  <si>
    <t>3616479458470</t>
  </si>
  <si>
    <t>3616479458487</t>
  </si>
  <si>
    <t>3616479458494</t>
  </si>
  <si>
    <t>3664944320531</t>
  </si>
  <si>
    <t>93376</t>
  </si>
  <si>
    <t>3760059701101</t>
  </si>
  <si>
    <t>73147</t>
  </si>
  <si>
    <t>3760100173185</t>
  </si>
  <si>
    <t>SCHNEIDER ROMAIN</t>
  </si>
  <si>
    <t>4002369324854</t>
  </si>
  <si>
    <t>4002369331104</t>
  </si>
  <si>
    <t>4002369331555</t>
  </si>
  <si>
    <t>4002369513654</t>
  </si>
  <si>
    <t>4002369991759</t>
  </si>
  <si>
    <t>80376</t>
  </si>
  <si>
    <t>5010218005433</t>
  </si>
  <si>
    <t>DESCAMPS BERNARD</t>
  </si>
  <si>
    <t>5010218005440</t>
  </si>
  <si>
    <t>5010218006041</t>
  </si>
  <si>
    <t>5010218006089</t>
  </si>
  <si>
    <t>5010218006140</t>
  </si>
  <si>
    <t>5010218006164</t>
  </si>
  <si>
    <t>5010218006188</t>
  </si>
  <si>
    <t>5012786038172</t>
  </si>
  <si>
    <t>5012786803282</t>
  </si>
  <si>
    <t>5060033821114</t>
  </si>
  <si>
    <t>5060033823682</t>
  </si>
  <si>
    <t>73275</t>
  </si>
  <si>
    <t>5060568342788</t>
  </si>
  <si>
    <t>5410036307144</t>
  </si>
  <si>
    <t>52</t>
  </si>
  <si>
    <t>5410306881978</t>
  </si>
  <si>
    <t>73209</t>
  </si>
  <si>
    <t>5411636875965</t>
  </si>
  <si>
    <t>LIGIER LAURE</t>
  </si>
  <si>
    <t>5419980153005</t>
  </si>
  <si>
    <t>5425031330042</t>
  </si>
  <si>
    <t>8007382076465</t>
  </si>
  <si>
    <t>8051511991983</t>
  </si>
  <si>
    <t>89556</t>
  </si>
  <si>
    <t>8414227025081</t>
  </si>
  <si>
    <t>MANONELLES NICOLAS</t>
  </si>
  <si>
    <t>8414227043214</t>
  </si>
  <si>
    <t>8414227043825</t>
  </si>
  <si>
    <t>8414227043832</t>
  </si>
  <si>
    <t>8414227692450</t>
  </si>
  <si>
    <t>8710439220987</t>
  </si>
  <si>
    <t>8711252010007</t>
  </si>
  <si>
    <t>8711252044712</t>
  </si>
  <si>
    <t>8711252086545</t>
  </si>
  <si>
    <t>8711252086576</t>
  </si>
  <si>
    <t>8711252087511</t>
  </si>
  <si>
    <t>8711252087528</t>
  </si>
  <si>
    <t>8711252087535</t>
  </si>
  <si>
    <t>8711252122595</t>
  </si>
  <si>
    <t>8711252122618</t>
  </si>
  <si>
    <t>8711252137216</t>
  </si>
  <si>
    <t>8711252137223</t>
  </si>
  <si>
    <t>8711252139128</t>
  </si>
  <si>
    <t>8711252164502</t>
  </si>
  <si>
    <t>8711252164519</t>
  </si>
  <si>
    <t>8711252164533</t>
  </si>
  <si>
    <t>8711252164557</t>
  </si>
  <si>
    <t>8711252166025</t>
  </si>
  <si>
    <t>8711252168487</t>
  </si>
  <si>
    <t>8711252170329</t>
  </si>
  <si>
    <t>8711252184494</t>
  </si>
  <si>
    <t>8711252188720</t>
  </si>
  <si>
    <t>8711252194769</t>
  </si>
  <si>
    <t>8711252196275</t>
  </si>
  <si>
    <t>8711252213453</t>
  </si>
  <si>
    <t>8711252293097</t>
  </si>
  <si>
    <t>8711252326009</t>
  </si>
  <si>
    <t>8711252343778</t>
  </si>
  <si>
    <t>8711252347714</t>
  </si>
  <si>
    <t>8711252347738</t>
  </si>
  <si>
    <t>8711252347776</t>
  </si>
  <si>
    <t>8711252348766</t>
  </si>
  <si>
    <t>8711252372686</t>
  </si>
  <si>
    <t>8711252385259</t>
  </si>
  <si>
    <t>8711252416748</t>
  </si>
  <si>
    <t>8711252474236</t>
  </si>
  <si>
    <t>8711252486642</t>
  </si>
  <si>
    <t>8711252793580</t>
  </si>
  <si>
    <t>8711252865805</t>
  </si>
  <si>
    <t>8711252921013</t>
  </si>
  <si>
    <t>8711252951959</t>
  </si>
  <si>
    <t>8711252952567</t>
  </si>
  <si>
    <t>8711252993423</t>
  </si>
  <si>
    <t>8711292113010</t>
  </si>
  <si>
    <t>8711292113652</t>
  </si>
  <si>
    <t>8711292202486</t>
  </si>
  <si>
    <t>8711295090271</t>
  </si>
  <si>
    <t>8711295204005</t>
  </si>
  <si>
    <t>8711295758997</t>
  </si>
  <si>
    <t>8711295983658</t>
  </si>
  <si>
    <t>8718158253736</t>
  </si>
  <si>
    <t>8718158454874</t>
  </si>
  <si>
    <t>8718924870921</t>
  </si>
  <si>
    <t>8718951331334</t>
  </si>
  <si>
    <t>8719202189261</t>
  </si>
  <si>
    <t>8719202201307</t>
  </si>
  <si>
    <t>8719202228748</t>
  </si>
  <si>
    <t>8719202905922</t>
  </si>
  <si>
    <t>8719987409257</t>
  </si>
  <si>
    <t>8719987540394</t>
  </si>
  <si>
    <t>8719987898686</t>
  </si>
  <si>
    <t>98880</t>
  </si>
  <si>
    <t>3087880024712</t>
  </si>
  <si>
    <t>FIDON LYDIE NJF BIERRY</t>
  </si>
  <si>
    <t>3087880024729</t>
  </si>
  <si>
    <t>3087880024736</t>
  </si>
  <si>
    <t>03161</t>
  </si>
  <si>
    <t>3245411945787</t>
  </si>
  <si>
    <t>08333</t>
  </si>
  <si>
    <t>3245412041501</t>
  </si>
  <si>
    <t>3245413048295</t>
  </si>
  <si>
    <t>70290</t>
  </si>
  <si>
    <t>3245413703064</t>
  </si>
  <si>
    <t>50804</t>
  </si>
  <si>
    <t>3606606487718</t>
  </si>
  <si>
    <t>3608142633222</t>
  </si>
  <si>
    <t>3608142702812</t>
  </si>
  <si>
    <t>3608142702836</t>
  </si>
  <si>
    <t>3608142702850</t>
  </si>
  <si>
    <t>57572</t>
  </si>
  <si>
    <t>3608143043136</t>
  </si>
  <si>
    <t>3608143431360</t>
  </si>
  <si>
    <t>43384</t>
  </si>
  <si>
    <t>3609230060623</t>
  </si>
  <si>
    <t>LAGOUARDAT CLAIRE</t>
  </si>
  <si>
    <t>3609230166981</t>
  </si>
  <si>
    <t>83414</t>
  </si>
  <si>
    <t>3610882192280</t>
  </si>
  <si>
    <t>3610882531966</t>
  </si>
  <si>
    <t>42472</t>
  </si>
  <si>
    <t>3610882531980</t>
  </si>
  <si>
    <t>3610882531997</t>
  </si>
  <si>
    <t>3610882538576</t>
  </si>
  <si>
    <t>3613865411514</t>
  </si>
  <si>
    <t>3613866555507</t>
  </si>
  <si>
    <t>3613866565766</t>
  </si>
  <si>
    <t>98635</t>
  </si>
  <si>
    <t>3613866585467</t>
  </si>
  <si>
    <t>3613866585481</t>
  </si>
  <si>
    <t>3613866585504</t>
  </si>
  <si>
    <t>3613866585528</t>
  </si>
  <si>
    <t>3613866585542</t>
  </si>
  <si>
    <t>3613866585566</t>
  </si>
  <si>
    <t>3613866585580</t>
  </si>
  <si>
    <t>3613866585603</t>
  </si>
  <si>
    <t>3613866585702</t>
  </si>
  <si>
    <t>3613866585726</t>
  </si>
  <si>
    <t>3613866585740</t>
  </si>
  <si>
    <t>3613866585764</t>
  </si>
  <si>
    <t>3613866590393</t>
  </si>
  <si>
    <t>3613866590416</t>
  </si>
  <si>
    <t>3613866590430</t>
  </si>
  <si>
    <t>3613866590454</t>
  </si>
  <si>
    <t>3613866590478</t>
  </si>
  <si>
    <t>3613866590492</t>
  </si>
  <si>
    <t>3613866590515</t>
  </si>
  <si>
    <t>3613866612842</t>
  </si>
  <si>
    <t>3613866612866</t>
  </si>
  <si>
    <t>3613866612880</t>
  </si>
  <si>
    <t>3613866612903</t>
  </si>
  <si>
    <t>3613866612989</t>
  </si>
  <si>
    <t>3613866613009</t>
  </si>
  <si>
    <t>3613866613023</t>
  </si>
  <si>
    <t>3613866613047</t>
  </si>
  <si>
    <t>3613866613061</t>
  </si>
  <si>
    <t>3613866613085</t>
  </si>
  <si>
    <t>3613866613108</t>
  </si>
  <si>
    <t>3613866613122</t>
  </si>
  <si>
    <t>3613866613160</t>
  </si>
  <si>
    <t>3613866613184</t>
  </si>
  <si>
    <t>02746</t>
  </si>
  <si>
    <t>3613866618288</t>
  </si>
  <si>
    <t>3613866618325</t>
  </si>
  <si>
    <t>3613866774137</t>
  </si>
  <si>
    <t>3613866774151</t>
  </si>
  <si>
    <t>3613866774175</t>
  </si>
  <si>
    <t>3614612237814</t>
  </si>
  <si>
    <t>3614612237838</t>
  </si>
  <si>
    <t>3614612237852</t>
  </si>
  <si>
    <t>3614612237876</t>
  </si>
  <si>
    <t>3614612237913</t>
  </si>
  <si>
    <t>3614612237937</t>
  </si>
  <si>
    <t>3614612237951</t>
  </si>
  <si>
    <t>3614612237975</t>
  </si>
  <si>
    <t>3614612568123</t>
  </si>
  <si>
    <t>3614612573752</t>
  </si>
  <si>
    <t>76058</t>
  </si>
  <si>
    <t>3614612588381</t>
  </si>
  <si>
    <t>3614612656325</t>
  </si>
  <si>
    <t>3614612656363</t>
  </si>
  <si>
    <t>3614613440275</t>
  </si>
  <si>
    <t>3614614275272</t>
  </si>
  <si>
    <t>3614614275296</t>
  </si>
  <si>
    <t>3614614275319</t>
  </si>
  <si>
    <t>3614614275333</t>
  </si>
  <si>
    <t>3614614275371</t>
  </si>
  <si>
    <t>3614614275395</t>
  </si>
  <si>
    <t>3614614275418</t>
  </si>
  <si>
    <t>3614614280597</t>
  </si>
  <si>
    <t>3614614280610</t>
  </si>
  <si>
    <t>58076</t>
  </si>
  <si>
    <t>3614614447723</t>
  </si>
  <si>
    <t>3614614931390</t>
  </si>
  <si>
    <t>69374</t>
  </si>
  <si>
    <t>3615004154023</t>
  </si>
  <si>
    <t>OLIVEIRA ADELINE</t>
  </si>
  <si>
    <t>3615004154313</t>
  </si>
  <si>
    <t>3615004161106</t>
  </si>
  <si>
    <t>3615005738482</t>
  </si>
  <si>
    <t>3615005891989</t>
  </si>
  <si>
    <t>3615005892252</t>
  </si>
  <si>
    <t>05093</t>
  </si>
  <si>
    <t>3615008760404</t>
  </si>
  <si>
    <t>3615008760411</t>
  </si>
  <si>
    <t>57143</t>
  </si>
  <si>
    <t>3615008870721</t>
  </si>
  <si>
    <t>3615008870769</t>
  </si>
  <si>
    <t>3616180073412</t>
  </si>
  <si>
    <t>3616180073429</t>
  </si>
  <si>
    <t>70775</t>
  </si>
  <si>
    <t>3616181090883</t>
  </si>
  <si>
    <t>3616181090944</t>
  </si>
  <si>
    <t>76572</t>
  </si>
  <si>
    <t>3616473122117</t>
  </si>
  <si>
    <t>3616473122162</t>
  </si>
  <si>
    <t>3616473122193</t>
  </si>
  <si>
    <t>3616473151179</t>
  </si>
  <si>
    <t>3616473151193</t>
  </si>
  <si>
    <t>3616473151476</t>
  </si>
  <si>
    <t>3616473635037</t>
  </si>
  <si>
    <t>43285</t>
  </si>
  <si>
    <t>3616474823907</t>
  </si>
  <si>
    <t>3616474824027</t>
  </si>
  <si>
    <t>3701221701680</t>
  </si>
  <si>
    <t>3701221701963</t>
  </si>
  <si>
    <t>3760297990787</t>
  </si>
  <si>
    <t>95096</t>
  </si>
  <si>
    <t>3856004409342</t>
  </si>
  <si>
    <t>3856004409410</t>
  </si>
  <si>
    <t>79606</t>
  </si>
  <si>
    <t>4017239205270</t>
  </si>
  <si>
    <t>19237</t>
  </si>
  <si>
    <t>5412416263538</t>
  </si>
  <si>
    <t>5412416263545</t>
  </si>
  <si>
    <t>5412416263552</t>
  </si>
  <si>
    <t>5412416280818</t>
  </si>
  <si>
    <t>5412416280825</t>
  </si>
  <si>
    <t>90511</t>
  </si>
  <si>
    <t>5412618080414</t>
  </si>
  <si>
    <t>5412618080438</t>
  </si>
  <si>
    <t>5412618084740</t>
  </si>
  <si>
    <t>5412618084757</t>
  </si>
  <si>
    <t>5412618100105</t>
  </si>
  <si>
    <t>57585</t>
  </si>
  <si>
    <t>7290103658441</t>
  </si>
  <si>
    <t>81420</t>
  </si>
  <si>
    <t>7290106922655</t>
  </si>
  <si>
    <t>7290106928732</t>
  </si>
  <si>
    <t>54749</t>
  </si>
  <si>
    <t>8003572002788</t>
  </si>
  <si>
    <t>8003572002986</t>
  </si>
  <si>
    <t>93474</t>
  </si>
  <si>
    <t>8003723000458</t>
  </si>
  <si>
    <t>8003723003008</t>
  </si>
  <si>
    <t>8003723400289</t>
  </si>
  <si>
    <t>8003723403006</t>
  </si>
  <si>
    <t>8003723404379</t>
  </si>
  <si>
    <t>8003723703007</t>
  </si>
  <si>
    <t>8003723901571</t>
  </si>
  <si>
    <t>8005465822626</t>
  </si>
  <si>
    <t>8005465961493</t>
  </si>
  <si>
    <t>45287</t>
  </si>
  <si>
    <t>8009271909908</t>
  </si>
  <si>
    <t>8009271978003</t>
  </si>
  <si>
    <t>98567</t>
  </si>
  <si>
    <t>8009371001212</t>
  </si>
  <si>
    <t>8009371016513</t>
  </si>
  <si>
    <t>58478</t>
  </si>
  <si>
    <t>8013674001466</t>
  </si>
  <si>
    <t>8013674008021</t>
  </si>
  <si>
    <t>8414174833043</t>
  </si>
  <si>
    <t>86703</t>
  </si>
  <si>
    <t>8435511432811</t>
  </si>
  <si>
    <t>8435511432828</t>
  </si>
  <si>
    <t>8435511473319</t>
  </si>
  <si>
    <t>8435511473326</t>
  </si>
  <si>
    <t>8711245147307</t>
  </si>
  <si>
    <t>Saisie manuelle salon de jardin</t>
  </si>
  <si>
    <t>8711245147956</t>
  </si>
  <si>
    <t>70172</t>
  </si>
  <si>
    <t>0039897090337</t>
  </si>
  <si>
    <t>THOMAS DORINE</t>
  </si>
  <si>
    <t>0039897090344</t>
  </si>
  <si>
    <t>84400</t>
  </si>
  <si>
    <t>0050743655333</t>
  </si>
  <si>
    <t>0050743655340</t>
  </si>
  <si>
    <t>90449</t>
  </si>
  <si>
    <t>0708056000585</t>
  </si>
  <si>
    <t>BLANCHOT MATHIEU</t>
  </si>
  <si>
    <t>0708056057527</t>
  </si>
  <si>
    <t>0708056060640</t>
  </si>
  <si>
    <t>0708056060916</t>
  </si>
  <si>
    <t>0708056060930</t>
  </si>
  <si>
    <t>0708056061234</t>
  </si>
  <si>
    <t>0708056061319</t>
  </si>
  <si>
    <t>0708056061487</t>
  </si>
  <si>
    <t>0708056061517</t>
  </si>
  <si>
    <t>0708056063313</t>
  </si>
  <si>
    <t>0708056063375</t>
  </si>
  <si>
    <t>0887961873184</t>
  </si>
  <si>
    <t>0887961873191</t>
  </si>
  <si>
    <t>0887961873207</t>
  </si>
  <si>
    <t>0887961873221</t>
  </si>
  <si>
    <t>0887961917543</t>
  </si>
  <si>
    <t>70506</t>
  </si>
  <si>
    <t>0889698302845</t>
  </si>
  <si>
    <t>0889698302876</t>
  </si>
  <si>
    <t>0889698304498</t>
  </si>
  <si>
    <t>0889698305082</t>
  </si>
  <si>
    <t>0889698308472</t>
  </si>
  <si>
    <t>0889698321327</t>
  </si>
  <si>
    <t>0889698326537</t>
  </si>
  <si>
    <t>0889698327800</t>
  </si>
  <si>
    <t>0889698372008</t>
  </si>
  <si>
    <t>0889698427531</t>
  </si>
  <si>
    <t>0889698427548</t>
  </si>
  <si>
    <t>0889698434928</t>
  </si>
  <si>
    <t>0889698496605</t>
  </si>
  <si>
    <t>0889698496681</t>
  </si>
  <si>
    <t>0889698507301</t>
  </si>
  <si>
    <t>0889698518901</t>
  </si>
  <si>
    <t>0889698518918</t>
  </si>
  <si>
    <t>0889698518925</t>
  </si>
  <si>
    <t>0889698518932</t>
  </si>
  <si>
    <t>0889698518949</t>
  </si>
  <si>
    <t>0889698518956</t>
  </si>
  <si>
    <t>0889698591676</t>
  </si>
  <si>
    <t>0889698619844</t>
  </si>
  <si>
    <t>0889698620901</t>
  </si>
  <si>
    <t>0889698620925</t>
  </si>
  <si>
    <t>0889698620932</t>
  </si>
  <si>
    <t>3014260262709</t>
  </si>
  <si>
    <t>3380743060248</t>
  </si>
  <si>
    <t>3380743064093</t>
  </si>
  <si>
    <t>3380743072180</t>
  </si>
  <si>
    <t>3380743072906</t>
  </si>
  <si>
    <t>3380743077307</t>
  </si>
  <si>
    <t>3380743077314</t>
  </si>
  <si>
    <t>3380743078441</t>
  </si>
  <si>
    <t>3380743078946</t>
  </si>
  <si>
    <t>3380743079189</t>
  </si>
  <si>
    <t>3380743079202</t>
  </si>
  <si>
    <t>3380743079219</t>
  </si>
  <si>
    <t>3380743084640</t>
  </si>
  <si>
    <t>3380743085654</t>
  </si>
  <si>
    <t>3380743088273</t>
  </si>
  <si>
    <t>3380743088297</t>
  </si>
  <si>
    <t>3380743089027</t>
  </si>
  <si>
    <t>3380743090603</t>
  </si>
  <si>
    <t>3380743092256</t>
  </si>
  <si>
    <t>3380743096100</t>
  </si>
  <si>
    <t>3417760814292</t>
  </si>
  <si>
    <t>3417761088050</t>
  </si>
  <si>
    <t>3417761088555</t>
  </si>
  <si>
    <t>3417761126059</t>
  </si>
  <si>
    <t>3417761338452</t>
  </si>
  <si>
    <t>3417761338650</t>
  </si>
  <si>
    <t>3417761381656</t>
  </si>
  <si>
    <t>3417761394755</t>
  </si>
  <si>
    <t>3417761505052</t>
  </si>
  <si>
    <t>3417761513156</t>
  </si>
  <si>
    <t>3417761514757</t>
  </si>
  <si>
    <t>3417761555057</t>
  </si>
  <si>
    <t>3417761555552</t>
  </si>
  <si>
    <t>3417761563052</t>
  </si>
  <si>
    <t>3417761636053</t>
  </si>
  <si>
    <t>3417761636756</t>
  </si>
  <si>
    <t>3417761639054</t>
  </si>
  <si>
    <t>3417761647059</t>
  </si>
  <si>
    <t>3417761648056</t>
  </si>
  <si>
    <t>3417761656051</t>
  </si>
  <si>
    <t>3417761658055</t>
  </si>
  <si>
    <t>3417761659052</t>
  </si>
  <si>
    <t>3417761659656</t>
  </si>
  <si>
    <t>3417761661055</t>
  </si>
  <si>
    <t>3417761666050</t>
  </si>
  <si>
    <t>3417761667057</t>
  </si>
  <si>
    <t>3417761667552</t>
  </si>
  <si>
    <t>3417761667750</t>
  </si>
  <si>
    <t>3417761667859</t>
  </si>
  <si>
    <t>3417761695050</t>
  </si>
  <si>
    <t>3417761695555</t>
  </si>
  <si>
    <t>3417761759059</t>
  </si>
  <si>
    <t>3417761771051</t>
  </si>
  <si>
    <t>3417761774052</t>
  </si>
  <si>
    <t>3417761778050</t>
  </si>
  <si>
    <t>3417761780053</t>
  </si>
  <si>
    <t>3417761791059</t>
  </si>
  <si>
    <t>3417761803653</t>
  </si>
  <si>
    <t>3417761809051</t>
  </si>
  <si>
    <t>3417761811054</t>
  </si>
  <si>
    <t>3417761815151</t>
  </si>
  <si>
    <t>3417761834053</t>
  </si>
  <si>
    <t>3417761861059</t>
  </si>
  <si>
    <t>3417761863053</t>
  </si>
  <si>
    <t>3417761866054</t>
  </si>
  <si>
    <t>3417761866559</t>
  </si>
  <si>
    <t>3417761892053</t>
  </si>
  <si>
    <t>3417761892657</t>
  </si>
  <si>
    <t>3417761893050</t>
  </si>
  <si>
    <t>3417761906057</t>
  </si>
  <si>
    <t>3417761912058</t>
  </si>
  <si>
    <t>3417761915059</t>
  </si>
  <si>
    <t>3417761925058</t>
  </si>
  <si>
    <t>3417761929056</t>
  </si>
  <si>
    <t>3417761930052</t>
  </si>
  <si>
    <t>3417761934050</t>
  </si>
  <si>
    <t>3417761936054</t>
  </si>
  <si>
    <t>3417761936351</t>
  </si>
  <si>
    <t>3417761936559</t>
  </si>
  <si>
    <t>3417761943052</t>
  </si>
  <si>
    <t>3417761946053</t>
  </si>
  <si>
    <t>3417761946558</t>
  </si>
  <si>
    <t>3417761959756</t>
  </si>
  <si>
    <t>3417761962053</t>
  </si>
  <si>
    <t>3417761963050</t>
  </si>
  <si>
    <t>3417761963555</t>
  </si>
  <si>
    <t>3417761975053</t>
  </si>
  <si>
    <t>3417761989050</t>
  </si>
  <si>
    <t>3417761995051</t>
  </si>
  <si>
    <t>3417761995655</t>
  </si>
  <si>
    <t>3417762058656</t>
  </si>
  <si>
    <t>3417762073352</t>
  </si>
  <si>
    <t>3417762172659</t>
  </si>
  <si>
    <t>3417762428657</t>
  </si>
  <si>
    <t>3417762453055</t>
  </si>
  <si>
    <t>3417762463054</t>
  </si>
  <si>
    <t>3417762499053</t>
  </si>
  <si>
    <t>3417762711056</t>
  </si>
  <si>
    <t>3417762734055</t>
  </si>
  <si>
    <t>3417764031053</t>
  </si>
  <si>
    <t>3417764050054</t>
  </si>
  <si>
    <t>3417764111052</t>
  </si>
  <si>
    <t>3417764112059</t>
  </si>
  <si>
    <t>3417764134051</t>
  </si>
  <si>
    <t>3417764168056</t>
  </si>
  <si>
    <t>3417764169053</t>
  </si>
  <si>
    <t>3417764177058</t>
  </si>
  <si>
    <t>3417764203054</t>
  </si>
  <si>
    <t>3417764204051</t>
  </si>
  <si>
    <t>3417764387051</t>
  </si>
  <si>
    <t>3417764388058</t>
  </si>
  <si>
    <t>3417764621056</t>
  </si>
  <si>
    <t>3417764802059</t>
  </si>
  <si>
    <t>3417764804053</t>
  </si>
  <si>
    <t>3417764808051</t>
  </si>
  <si>
    <t>3417764888053</t>
  </si>
  <si>
    <t>3417764889050</t>
  </si>
  <si>
    <t>3417764890056</t>
  </si>
  <si>
    <t>3417765007057</t>
  </si>
  <si>
    <t>3417765014055</t>
  </si>
  <si>
    <t>3417765016059</t>
  </si>
  <si>
    <t>3417765021053</t>
  </si>
  <si>
    <t>3417765023057</t>
  </si>
  <si>
    <t>3417765023552</t>
  </si>
  <si>
    <t>3417765025051</t>
  </si>
  <si>
    <t>3417765025556</t>
  </si>
  <si>
    <t>3417765027055</t>
  </si>
  <si>
    <t>3417765027550</t>
  </si>
  <si>
    <t>3417765028052</t>
  </si>
  <si>
    <t>3417765029059</t>
  </si>
  <si>
    <t>3417765031052</t>
  </si>
  <si>
    <t>3417765033056</t>
  </si>
  <si>
    <t>3417765037054</t>
  </si>
  <si>
    <t>3417765039058</t>
  </si>
  <si>
    <t>3417765044052</t>
  </si>
  <si>
    <t>3417765045059</t>
  </si>
  <si>
    <t>3417765051050</t>
  </si>
  <si>
    <t>3417765056055</t>
  </si>
  <si>
    <t>3417765056550</t>
  </si>
  <si>
    <t>3417765058059</t>
  </si>
  <si>
    <t>3417765059056</t>
  </si>
  <si>
    <t>3417765059551</t>
  </si>
  <si>
    <t>3417765067051</t>
  </si>
  <si>
    <t>3417765069055</t>
  </si>
  <si>
    <t>3417765070051</t>
  </si>
  <si>
    <t>3417765071058</t>
  </si>
  <si>
    <t>3417765086052</t>
  </si>
  <si>
    <t>3417765087059</t>
  </si>
  <si>
    <t>3417765087554</t>
  </si>
  <si>
    <t>3417765090059</t>
  </si>
  <si>
    <t>3417765098055</t>
  </si>
  <si>
    <t>3417765107054</t>
  </si>
  <si>
    <t>3417765109058</t>
  </si>
  <si>
    <t>3417765120053</t>
  </si>
  <si>
    <t>3417765127052</t>
  </si>
  <si>
    <t>3417765131059</t>
  </si>
  <si>
    <t>3417765134050</t>
  </si>
  <si>
    <t>3417765135057</t>
  </si>
  <si>
    <t>3417765136054</t>
  </si>
  <si>
    <t>3417765139055</t>
  </si>
  <si>
    <t>3417765150050</t>
  </si>
  <si>
    <t>3417765151057</t>
  </si>
  <si>
    <t>3417765152054</t>
  </si>
  <si>
    <t>3417765153051</t>
  </si>
  <si>
    <t>3417765165054</t>
  </si>
  <si>
    <t>3417765185656</t>
  </si>
  <si>
    <t>3417765187056</t>
  </si>
  <si>
    <t>3417765196058</t>
  </si>
  <si>
    <t>3417765197055</t>
  </si>
  <si>
    <t>3417765200052</t>
  </si>
  <si>
    <t>3417765200557</t>
  </si>
  <si>
    <t>3417765204050</t>
  </si>
  <si>
    <t>3417765212055</t>
  </si>
  <si>
    <t>3417765218057</t>
  </si>
  <si>
    <t>3417765220050</t>
  </si>
  <si>
    <t>3417765220555</t>
  </si>
  <si>
    <t>3417765223051</t>
  </si>
  <si>
    <t>3417765224058</t>
  </si>
  <si>
    <t>3417765226052</t>
  </si>
  <si>
    <t>3417765230059</t>
  </si>
  <si>
    <t>3417765244056</t>
  </si>
  <si>
    <t>3417765257056</t>
  </si>
  <si>
    <t>3417765258053</t>
  </si>
  <si>
    <t>3417765261053</t>
  </si>
  <si>
    <t>3417765275050</t>
  </si>
  <si>
    <t>3417765281051</t>
  </si>
  <si>
    <t>3417765282058</t>
  </si>
  <si>
    <t>3417765284052</t>
  </si>
  <si>
    <t>3417765286056</t>
  </si>
  <si>
    <t>3417765293658</t>
  </si>
  <si>
    <t>3417765294655</t>
  </si>
  <si>
    <t>3417765298059</t>
  </si>
  <si>
    <t>3417765299056</t>
  </si>
  <si>
    <t>3417765318856</t>
  </si>
  <si>
    <t>3417765319051</t>
  </si>
  <si>
    <t>3417765330056</t>
  </si>
  <si>
    <t>3417765334054</t>
  </si>
  <si>
    <t>3417765336058</t>
  </si>
  <si>
    <t>3417765339059</t>
  </si>
  <si>
    <t>3417765349058</t>
  </si>
  <si>
    <t>3417765350054</t>
  </si>
  <si>
    <t>3417765354052</t>
  </si>
  <si>
    <t>3417765366055</t>
  </si>
  <si>
    <t>3417765367052</t>
  </si>
  <si>
    <t>3417765369056</t>
  </si>
  <si>
    <t>3417765374050</t>
  </si>
  <si>
    <t>3417765376054</t>
  </si>
  <si>
    <t>3417765393655</t>
  </si>
  <si>
    <t>3417765405051</t>
  </si>
  <si>
    <t>3417765406058</t>
  </si>
  <si>
    <t>3417765410055</t>
  </si>
  <si>
    <t>3417765411052</t>
  </si>
  <si>
    <t>3417765411557</t>
  </si>
  <si>
    <t>3417765418051</t>
  </si>
  <si>
    <t>3417765420054</t>
  </si>
  <si>
    <t>3417765421051</t>
  </si>
  <si>
    <t>3417765423499</t>
  </si>
  <si>
    <t>3417765459054</t>
  </si>
  <si>
    <t>3417765462054</t>
  </si>
  <si>
    <t>3417765462559</t>
  </si>
  <si>
    <t>3417765465055</t>
  </si>
  <si>
    <t>3417765465550</t>
  </si>
  <si>
    <t>3417765466052</t>
  </si>
  <si>
    <t>3417765474057</t>
  </si>
  <si>
    <t>3417765475054</t>
  </si>
  <si>
    <t>3417765476051</t>
  </si>
  <si>
    <t>3417765478055</t>
  </si>
  <si>
    <t>3417765482052</t>
  </si>
  <si>
    <t>3417765491856</t>
  </si>
  <si>
    <t>3417765492051</t>
  </si>
  <si>
    <t>3417765492556</t>
  </si>
  <si>
    <t>3417765502057</t>
  </si>
  <si>
    <t>3417765505058</t>
  </si>
  <si>
    <t>3417765510052</t>
  </si>
  <si>
    <t>3417765516856</t>
  </si>
  <si>
    <t>3417765517051</t>
  </si>
  <si>
    <t>3417765522055</t>
  </si>
  <si>
    <t>3417765527050</t>
  </si>
  <si>
    <t>3417765528057</t>
  </si>
  <si>
    <t>3417765528552</t>
  </si>
  <si>
    <t>3417765537059</t>
  </si>
  <si>
    <t>3417765547058</t>
  </si>
  <si>
    <t>3417765548055</t>
  </si>
  <si>
    <t>3417765551055</t>
  </si>
  <si>
    <t>3417765552052</t>
  </si>
  <si>
    <t>3417765575051</t>
  </si>
  <si>
    <t>3417766015051</t>
  </si>
  <si>
    <t>3417766019059</t>
  </si>
  <si>
    <t>3417766021052</t>
  </si>
  <si>
    <t>3417766021557</t>
  </si>
  <si>
    <t>3417766024053</t>
  </si>
  <si>
    <t>3417766029058</t>
  </si>
  <si>
    <t>3417766029553</t>
  </si>
  <si>
    <t>3417766037558</t>
  </si>
  <si>
    <t>3417766037855</t>
  </si>
  <si>
    <t>3417766046055</t>
  </si>
  <si>
    <t>3417766054050</t>
  </si>
  <si>
    <t>3417766062758</t>
  </si>
  <si>
    <t>3417766063052</t>
  </si>
  <si>
    <t>3417766071057</t>
  </si>
  <si>
    <t>3417766075451</t>
  </si>
  <si>
    <t>3417766080059</t>
  </si>
  <si>
    <t>3417766080653</t>
  </si>
  <si>
    <t>3417766083050</t>
  </si>
  <si>
    <t>3417766091055</t>
  </si>
  <si>
    <t>3417766092052</t>
  </si>
  <si>
    <t>3417766095459</t>
  </si>
  <si>
    <t>3417766097057</t>
  </si>
  <si>
    <t>3417766101051</t>
  </si>
  <si>
    <t>3417766112057</t>
  </si>
  <si>
    <t>3417766121059</t>
  </si>
  <si>
    <t>3417766122056</t>
  </si>
  <si>
    <t>3417766125453</t>
  </si>
  <si>
    <t>3417766130457</t>
  </si>
  <si>
    <t>3417766132659</t>
  </si>
  <si>
    <t>3417766134059</t>
  </si>
  <si>
    <t>3417766135056</t>
  </si>
  <si>
    <t>3417766136459</t>
  </si>
  <si>
    <t>3417766137555</t>
  </si>
  <si>
    <t>3417766144058</t>
  </si>
  <si>
    <t>3417766148452</t>
  </si>
  <si>
    <t>3417766149053</t>
  </si>
  <si>
    <t>3417766150653</t>
  </si>
  <si>
    <t>3417766150851</t>
  </si>
  <si>
    <t>3417766155054</t>
  </si>
  <si>
    <t>3417766159052</t>
  </si>
  <si>
    <t>3417766160058</t>
  </si>
  <si>
    <t>3417766162052</t>
  </si>
  <si>
    <t>3417766165053</t>
  </si>
  <si>
    <t>3561865923394</t>
  </si>
  <si>
    <t>3561865924032</t>
  </si>
  <si>
    <t>3561865924049</t>
  </si>
  <si>
    <t>3561865924056</t>
  </si>
  <si>
    <t>3561865924063</t>
  </si>
  <si>
    <t>3561868911268</t>
  </si>
  <si>
    <t>3664944310020</t>
  </si>
  <si>
    <t>3664944310037</t>
  </si>
  <si>
    <t>3664944310044</t>
  </si>
  <si>
    <t>3664944310051</t>
  </si>
  <si>
    <t>3664944310075</t>
  </si>
  <si>
    <t>3664944310082</t>
  </si>
  <si>
    <t>3664944310105</t>
  </si>
  <si>
    <t>3664944310181</t>
  </si>
  <si>
    <t>3664944310198</t>
  </si>
  <si>
    <t>3664944310228</t>
  </si>
  <si>
    <t>3664944310235</t>
  </si>
  <si>
    <t>3664944310242</t>
  </si>
  <si>
    <t>3664944310259</t>
  </si>
  <si>
    <t>3770004697953</t>
  </si>
  <si>
    <t>3770007893574</t>
  </si>
  <si>
    <t>4012093903867</t>
  </si>
  <si>
    <t>4027800007103</t>
  </si>
  <si>
    <t>4027800037803</t>
  </si>
  <si>
    <t>98704</t>
  </si>
  <si>
    <t>5010993382415</t>
  </si>
  <si>
    <t>SAIDI MARTIN</t>
  </si>
  <si>
    <t>5010993504343</t>
  </si>
  <si>
    <t>5010993548200</t>
  </si>
  <si>
    <t>5010993650019</t>
  </si>
  <si>
    <t>5010993650064</t>
  </si>
  <si>
    <t>5010993656820</t>
  </si>
  <si>
    <t>5010993723065</t>
  </si>
  <si>
    <t>5010993723089</t>
  </si>
  <si>
    <t>5010993797547</t>
  </si>
  <si>
    <t>5010993837595</t>
  </si>
  <si>
    <t>5010993933068</t>
  </si>
  <si>
    <t>5010994158620</t>
  </si>
  <si>
    <t>5010994169008</t>
  </si>
  <si>
    <t>5035048193778</t>
  </si>
  <si>
    <t>5060285171975</t>
  </si>
  <si>
    <t>5410329655297</t>
  </si>
  <si>
    <t>5411478349426</t>
  </si>
  <si>
    <t>5411478349433</t>
  </si>
  <si>
    <t>5411478420316</t>
  </si>
  <si>
    <t>5411478420323</t>
  </si>
  <si>
    <t>5411478420330</t>
  </si>
  <si>
    <t>5411478420347</t>
  </si>
  <si>
    <t>5411478420620</t>
  </si>
  <si>
    <t>5411895993325</t>
  </si>
  <si>
    <t>5411895993332</t>
  </si>
  <si>
    <t>5411895993349</t>
  </si>
  <si>
    <t>5412479028624</t>
  </si>
  <si>
    <t>5710409102919</t>
  </si>
  <si>
    <t>5710409200721</t>
  </si>
  <si>
    <t>6942138900033</t>
  </si>
  <si>
    <t>7702018273423</t>
  </si>
  <si>
    <t>7702018323609</t>
  </si>
  <si>
    <t>7702018458141</t>
  </si>
  <si>
    <t>7702018514410</t>
  </si>
  <si>
    <t>7702018566808</t>
  </si>
  <si>
    <t>7702018567737</t>
  </si>
  <si>
    <t>54137</t>
  </si>
  <si>
    <t>8033685118274</t>
  </si>
  <si>
    <t>44699</t>
  </si>
  <si>
    <t>8410964060125</t>
  </si>
  <si>
    <t>8410964068329</t>
  </si>
  <si>
    <t>95860</t>
  </si>
  <si>
    <t>8422084001124</t>
  </si>
  <si>
    <t>8422084001421</t>
  </si>
  <si>
    <t>8422084001537</t>
  </si>
  <si>
    <t>8422084006112</t>
  </si>
  <si>
    <t>8422084006815</t>
  </si>
  <si>
    <t>8422084007324</t>
  </si>
  <si>
    <t>8422084012724</t>
  </si>
  <si>
    <t>8422084016432</t>
  </si>
  <si>
    <t>8422084016821</t>
  </si>
  <si>
    <t>8422084017446</t>
  </si>
  <si>
    <t>8422084114749</t>
  </si>
  <si>
    <t>8422084120016</t>
  </si>
  <si>
    <t>8422084120061</t>
  </si>
  <si>
    <t>8422084141226</t>
  </si>
  <si>
    <t>8422084141424</t>
  </si>
  <si>
    <t>92594</t>
  </si>
  <si>
    <t>8436561399253</t>
  </si>
  <si>
    <t>8592627003493</t>
  </si>
  <si>
    <t>8592627007637</t>
  </si>
  <si>
    <t>8592627018183</t>
  </si>
  <si>
    <t>8681933415622</t>
  </si>
  <si>
    <t>8681933415639</t>
  </si>
  <si>
    <t>8681933415646</t>
  </si>
  <si>
    <t>8681933415684</t>
  </si>
  <si>
    <t>8681933415707</t>
  </si>
  <si>
    <t>8681933415745</t>
  </si>
  <si>
    <t>8681933415752</t>
  </si>
  <si>
    <t>8681933415769</t>
  </si>
  <si>
    <t>8681933415813</t>
  </si>
  <si>
    <t>8681933415820</t>
  </si>
  <si>
    <t>8681933415929</t>
  </si>
  <si>
    <t>8681933415936</t>
  </si>
  <si>
    <t>8681933415943</t>
  </si>
  <si>
    <t>8681933415950</t>
  </si>
  <si>
    <t>8681933416001</t>
  </si>
  <si>
    <t>8681933416858</t>
  </si>
  <si>
    <t>8681933416872</t>
  </si>
  <si>
    <t>8681933416889</t>
  </si>
  <si>
    <t>8681933416896</t>
  </si>
  <si>
    <t>8681933416902</t>
  </si>
  <si>
    <t>8681933416933</t>
  </si>
  <si>
    <t>8681933416940</t>
  </si>
  <si>
    <t>8681933416971</t>
  </si>
  <si>
    <t>8711252018560</t>
  </si>
  <si>
    <t>8711252027395</t>
  </si>
  <si>
    <t>8711252029252</t>
  </si>
  <si>
    <t>8711252032535</t>
  </si>
  <si>
    <t>8711252033815</t>
  </si>
  <si>
    <t>8711252040424</t>
  </si>
  <si>
    <t>8711252051130</t>
  </si>
  <si>
    <t>8711252051147</t>
  </si>
  <si>
    <t>8711252053110</t>
  </si>
  <si>
    <t>8711252053127</t>
  </si>
  <si>
    <t>8711252053134</t>
  </si>
  <si>
    <t>8711252058320</t>
  </si>
  <si>
    <t>8711252064420</t>
  </si>
  <si>
    <t>8711252067025</t>
  </si>
  <si>
    <t>8711252067179</t>
  </si>
  <si>
    <t>8711252068909</t>
  </si>
  <si>
    <t>8711252068923</t>
  </si>
  <si>
    <t>8711252068978</t>
  </si>
  <si>
    <t>8711252069036</t>
  </si>
  <si>
    <t>8711252076867</t>
  </si>
  <si>
    <t>8711252076881</t>
  </si>
  <si>
    <t>8711252076898</t>
  </si>
  <si>
    <t>8711252076966</t>
  </si>
  <si>
    <t>8711252079615</t>
  </si>
  <si>
    <t>8711252082523</t>
  </si>
  <si>
    <t>8711252082585</t>
  </si>
  <si>
    <t>8711252083650</t>
  </si>
  <si>
    <t>8711252091204</t>
  </si>
  <si>
    <t>8711252099873</t>
  </si>
  <si>
    <t>8711252102221</t>
  </si>
  <si>
    <t>8711252102276</t>
  </si>
  <si>
    <t>8711252104522</t>
  </si>
  <si>
    <t>8711252105260</t>
  </si>
  <si>
    <t>8711252116938</t>
  </si>
  <si>
    <t>8711252119861</t>
  </si>
  <si>
    <t>8711252122137</t>
  </si>
  <si>
    <t>8711252123455</t>
  </si>
  <si>
    <t>8711252123523</t>
  </si>
  <si>
    <t>8711252140230</t>
  </si>
  <si>
    <t>8711252140247</t>
  </si>
  <si>
    <t>8711252146119</t>
  </si>
  <si>
    <t>8711252146386</t>
  </si>
  <si>
    <t>8711252146812</t>
  </si>
  <si>
    <t>8711252150383</t>
  </si>
  <si>
    <t>8711252152141</t>
  </si>
  <si>
    <t>8711252157085</t>
  </si>
  <si>
    <t>8711252162225</t>
  </si>
  <si>
    <t>8711252163666</t>
  </si>
  <si>
    <t>8711252168883</t>
  </si>
  <si>
    <t>8711252172309</t>
  </si>
  <si>
    <t>8711252174440</t>
  </si>
  <si>
    <t>8711252176901</t>
  </si>
  <si>
    <t>8711252185842</t>
  </si>
  <si>
    <t>8711252250007</t>
  </si>
  <si>
    <t>8711252250014</t>
  </si>
  <si>
    <t>8711252264936</t>
  </si>
  <si>
    <t>8711252266435</t>
  </si>
  <si>
    <t>8711252386928</t>
  </si>
  <si>
    <t>8711252413099</t>
  </si>
  <si>
    <t>8711252416809</t>
  </si>
  <si>
    <t>8711252417035</t>
  </si>
  <si>
    <t>8711252417172</t>
  </si>
  <si>
    <t>8711252530246</t>
  </si>
  <si>
    <t>8711252536156</t>
  </si>
  <si>
    <t>8711252538938</t>
  </si>
  <si>
    <t>8711252538945</t>
  </si>
  <si>
    <t>8711252538952</t>
  </si>
  <si>
    <t>8711252563763</t>
  </si>
  <si>
    <t>8711252789996</t>
  </si>
  <si>
    <t>8711252793795</t>
  </si>
  <si>
    <t>8711252793825</t>
  </si>
  <si>
    <t>8711252820576</t>
  </si>
  <si>
    <t>8711252855752</t>
  </si>
  <si>
    <t>8711252855783</t>
  </si>
  <si>
    <t>8711252863320</t>
  </si>
  <si>
    <t>8711252916835</t>
  </si>
  <si>
    <t>8711252960210</t>
  </si>
  <si>
    <t>8711252960241</t>
  </si>
  <si>
    <t>8711252962252</t>
  </si>
  <si>
    <t>8711292202608</t>
  </si>
  <si>
    <t>8711292202646</t>
  </si>
  <si>
    <t>8711295093241</t>
  </si>
  <si>
    <t>8711295117541</t>
  </si>
  <si>
    <t>8711295372216</t>
  </si>
  <si>
    <t>8711295932083</t>
  </si>
  <si>
    <t>8711866800278</t>
  </si>
  <si>
    <t>8712581660109</t>
  </si>
  <si>
    <t>8714627605020</t>
  </si>
  <si>
    <t>8717278864020</t>
  </si>
  <si>
    <t>8718158861795</t>
  </si>
  <si>
    <t>8718158949196</t>
  </si>
  <si>
    <t>8718924871744</t>
  </si>
  <si>
    <t>8718924871768</t>
  </si>
  <si>
    <t>8719202046519</t>
  </si>
  <si>
    <t>8719202110647</t>
  </si>
  <si>
    <t>8719202214710</t>
  </si>
  <si>
    <t>8719202217162</t>
  </si>
  <si>
    <t>8719202218633</t>
  </si>
  <si>
    <t>8719202490077</t>
  </si>
  <si>
    <t>8719202820669</t>
  </si>
  <si>
    <t>8719202820881</t>
  </si>
  <si>
    <t>8719202830156</t>
  </si>
  <si>
    <t>8719202875867</t>
  </si>
  <si>
    <t>8719407002419</t>
  </si>
  <si>
    <t>8719407035721</t>
  </si>
  <si>
    <t>8719407038456</t>
  </si>
  <si>
    <t>8719407048943</t>
  </si>
  <si>
    <t>8719558018666</t>
  </si>
  <si>
    <t>8719987040511</t>
  </si>
  <si>
    <t>8719987088681</t>
  </si>
  <si>
    <t>8719987169946</t>
  </si>
  <si>
    <t>8719987280702</t>
  </si>
  <si>
    <t>8719987283246</t>
  </si>
  <si>
    <t>8719987283444</t>
  </si>
  <si>
    <t>8719987284151</t>
  </si>
  <si>
    <t>8719987286698</t>
  </si>
  <si>
    <t>8719987286841</t>
  </si>
  <si>
    <t>8719987290978</t>
  </si>
  <si>
    <t>8719987319327</t>
  </si>
  <si>
    <t>8719987347009</t>
  </si>
  <si>
    <t>8719987348174</t>
  </si>
  <si>
    <t>8719987410468</t>
  </si>
  <si>
    <t>8719987558337</t>
  </si>
  <si>
    <t>8719987581601</t>
  </si>
  <si>
    <t>8719987581748</t>
  </si>
  <si>
    <t>8719987589553</t>
  </si>
  <si>
    <t>8719987697975</t>
  </si>
  <si>
    <t>8719987734809</t>
  </si>
  <si>
    <t>8719987827747</t>
  </si>
  <si>
    <t>8720143121852</t>
  </si>
  <si>
    <t>8720573037518</t>
  </si>
  <si>
    <t>8720573097314</t>
  </si>
  <si>
    <t>8720573208284</t>
  </si>
  <si>
    <t>8720573209069</t>
  </si>
  <si>
    <t>8720573220002</t>
  </si>
  <si>
    <t>Taxes Boissons</t>
  </si>
  <si>
    <t>0000054492653</t>
  </si>
  <si>
    <t>0000090357473</t>
  </si>
  <si>
    <t>02988</t>
  </si>
  <si>
    <t>3287121101008</t>
  </si>
  <si>
    <t>CASSINADRI MARILYNE</t>
  </si>
  <si>
    <t>3287121102005</t>
  </si>
  <si>
    <t>3287121103002</t>
  </si>
  <si>
    <t>3287121105006</t>
  </si>
  <si>
    <t>3287121117009</t>
  </si>
  <si>
    <t>3287121139001</t>
  </si>
  <si>
    <t>3287121140007</t>
  </si>
  <si>
    <t>3287121156008</t>
  </si>
  <si>
    <t>3287121175016</t>
  </si>
  <si>
    <t>3287121175023</t>
  </si>
  <si>
    <t>3287121175030</t>
  </si>
  <si>
    <t>3287121175047</t>
  </si>
  <si>
    <t>3287121175177</t>
  </si>
  <si>
    <t>3287121175566</t>
  </si>
  <si>
    <t>3287121175863</t>
  </si>
  <si>
    <t>3287121175887</t>
  </si>
  <si>
    <t>5000112609547</t>
  </si>
  <si>
    <t>5060335632302</t>
  </si>
  <si>
    <t>5060335635426</t>
  </si>
  <si>
    <t>5060335635808</t>
  </si>
  <si>
    <t>5449000052179</t>
  </si>
  <si>
    <t>5449000133328</t>
  </si>
  <si>
    <t>5449000239785</t>
  </si>
  <si>
    <t>9002490208592</t>
  </si>
  <si>
    <t>9002490210779</t>
  </si>
  <si>
    <t>9002490219567</t>
  </si>
  <si>
    <t>Abandon fournisseur Non concerné</t>
  </si>
  <si>
    <t>22</t>
  </si>
  <si>
    <t>0195235798966</t>
  </si>
  <si>
    <t>0471108109863</t>
  </si>
  <si>
    <t>0711719709893</t>
  </si>
  <si>
    <t>3380740028746</t>
  </si>
  <si>
    <t>3380743004358</t>
  </si>
  <si>
    <t>3380743046143</t>
  </si>
  <si>
    <t>3380743063096</t>
  </si>
  <si>
    <t>3380743063430</t>
  </si>
  <si>
    <t>3380743063508</t>
  </si>
  <si>
    <t>3380743063515</t>
  </si>
  <si>
    <t>3380743063720</t>
  </si>
  <si>
    <t>3380743065304</t>
  </si>
  <si>
    <t>3380743067025</t>
  </si>
  <si>
    <t>3380743067421</t>
  </si>
  <si>
    <t>3380743067520</t>
  </si>
  <si>
    <t>3380743067599</t>
  </si>
  <si>
    <t>3380743068855</t>
  </si>
  <si>
    <t>3380743069104</t>
  </si>
  <si>
    <t>3380743070353</t>
  </si>
  <si>
    <t>3380743075976</t>
  </si>
  <si>
    <t>3380743076249</t>
  </si>
  <si>
    <t>3380743076300</t>
  </si>
  <si>
    <t>3380743076379</t>
  </si>
  <si>
    <t>3380743081465</t>
  </si>
  <si>
    <t>3380743084527</t>
  </si>
  <si>
    <t>3380743084909</t>
  </si>
  <si>
    <t>3380743092324</t>
  </si>
  <si>
    <t>3417765473050</t>
  </si>
  <si>
    <t>3417765523052</t>
  </si>
  <si>
    <t>3417766137654</t>
  </si>
  <si>
    <t>23</t>
  </si>
  <si>
    <t>3561864809033</t>
  </si>
  <si>
    <t>3561864810053</t>
  </si>
  <si>
    <t>3561866615977</t>
  </si>
  <si>
    <t>3664944162667</t>
  </si>
  <si>
    <t>3664944206637</t>
  </si>
  <si>
    <t>69036</t>
  </si>
  <si>
    <t>3700527308401</t>
  </si>
  <si>
    <t>3700527308418</t>
  </si>
  <si>
    <t>3760086500838</t>
  </si>
  <si>
    <t>3760206480279</t>
  </si>
  <si>
    <t>3760206480286</t>
  </si>
  <si>
    <t>3760206481542</t>
  </si>
  <si>
    <t>3760206483089</t>
  </si>
  <si>
    <t>3760206483096</t>
  </si>
  <si>
    <t>3760206483225</t>
  </si>
  <si>
    <t>3760206483256</t>
  </si>
  <si>
    <t>3760206483331</t>
  </si>
  <si>
    <t>3760206483546</t>
  </si>
  <si>
    <t>3760206483553</t>
  </si>
  <si>
    <t>3760206483669</t>
  </si>
  <si>
    <t>3760206483898</t>
  </si>
  <si>
    <t>3760206483904</t>
  </si>
  <si>
    <t>4711081024460</t>
  </si>
  <si>
    <t>4711081160151</t>
  </si>
  <si>
    <t>4711081226505</t>
  </si>
  <si>
    <t>4711081260745</t>
  </si>
  <si>
    <t>4711081275008</t>
  </si>
  <si>
    <t>4711081321439</t>
  </si>
  <si>
    <t>4711081338475</t>
  </si>
  <si>
    <t>4711081385615</t>
  </si>
  <si>
    <t>4711081441595</t>
  </si>
  <si>
    <t>4711081441618</t>
  </si>
  <si>
    <t>4711081484165</t>
  </si>
  <si>
    <t>4711081515401</t>
  </si>
  <si>
    <t>4711081543282</t>
  </si>
  <si>
    <t>4711081544043</t>
  </si>
  <si>
    <t>4711081578468</t>
  </si>
  <si>
    <t>4711081597520</t>
  </si>
  <si>
    <t>4711081605966</t>
  </si>
  <si>
    <t>4711081605973</t>
  </si>
  <si>
    <t>4711081605980</t>
  </si>
  <si>
    <t>4711081605997</t>
  </si>
  <si>
    <t>4711081606000</t>
  </si>
  <si>
    <t>4711081606017</t>
  </si>
  <si>
    <t>4711081606024</t>
  </si>
  <si>
    <t>4711081606031</t>
  </si>
  <si>
    <t>4711081606048</t>
  </si>
  <si>
    <t>4711081606123</t>
  </si>
  <si>
    <t>4711081606130</t>
  </si>
  <si>
    <t>4711081606246</t>
  </si>
  <si>
    <t>4711081606277</t>
  </si>
  <si>
    <t>4711081606284</t>
  </si>
  <si>
    <t>4711081606291</t>
  </si>
  <si>
    <t>4711081610793</t>
  </si>
  <si>
    <t>4711081626817</t>
  </si>
  <si>
    <t>4711081749127</t>
  </si>
  <si>
    <t>4711081750734</t>
  </si>
  <si>
    <t>4718017395823</t>
  </si>
  <si>
    <t>4718017407403</t>
  </si>
  <si>
    <t>4718017882262</t>
  </si>
  <si>
    <t>4718017898867</t>
  </si>
  <si>
    <t>68464</t>
  </si>
  <si>
    <t>4719072658052</t>
  </si>
  <si>
    <t>4719072669607</t>
  </si>
  <si>
    <t>4719072755676</t>
  </si>
  <si>
    <t>4719072796273</t>
  </si>
  <si>
    <t>4719072803360</t>
  </si>
  <si>
    <t>4719072815431</t>
  </si>
  <si>
    <t>4719072837778</t>
  </si>
  <si>
    <t>4719072872304</t>
  </si>
  <si>
    <t>4719072885229</t>
  </si>
  <si>
    <t>85047</t>
  </si>
  <si>
    <t>4895229100466</t>
  </si>
  <si>
    <t>4895229100473</t>
  </si>
  <si>
    <t>4895229100480</t>
  </si>
  <si>
    <t>4895229100527</t>
  </si>
  <si>
    <t>4895229100596</t>
  </si>
  <si>
    <t>4895229109698</t>
  </si>
  <si>
    <t>4895229109896</t>
  </si>
  <si>
    <t>4895229110311</t>
  </si>
  <si>
    <t>4895229110366</t>
  </si>
  <si>
    <t>4895229110380</t>
  </si>
  <si>
    <t>4895229117440</t>
  </si>
  <si>
    <t>4895229117594</t>
  </si>
  <si>
    <t>5012786039636</t>
  </si>
  <si>
    <t>5012786040830</t>
  </si>
  <si>
    <t>5012786040854</t>
  </si>
  <si>
    <t>5012786803718</t>
  </si>
  <si>
    <t>5012786803725</t>
  </si>
  <si>
    <t>5054061318142</t>
  </si>
  <si>
    <t>5056219028156</t>
  </si>
  <si>
    <t>5412416183263</t>
  </si>
  <si>
    <t>5413346351746</t>
  </si>
  <si>
    <t>6923410724516</t>
  </si>
  <si>
    <t>6923410729221</t>
  </si>
  <si>
    <t>6923410732948</t>
  </si>
  <si>
    <t>6925970701969</t>
  </si>
  <si>
    <t>6925970707596</t>
  </si>
  <si>
    <t>6925970709378</t>
  </si>
  <si>
    <t>6941059602200</t>
  </si>
  <si>
    <t>6951613991152</t>
  </si>
  <si>
    <t>6951613991480</t>
  </si>
  <si>
    <t>6951613991701</t>
  </si>
  <si>
    <t>6951613993453</t>
  </si>
  <si>
    <t>6951613995211</t>
  </si>
  <si>
    <t>6971408152254</t>
  </si>
  <si>
    <t>8423793335340</t>
  </si>
  <si>
    <t>92068</t>
  </si>
  <si>
    <t>8435507831765</t>
  </si>
  <si>
    <t>8680876412330</t>
  </si>
  <si>
    <t>8680876412347</t>
  </si>
  <si>
    <t>8680876412354</t>
  </si>
  <si>
    <t>8680876412361</t>
  </si>
  <si>
    <t>8711252040080</t>
  </si>
  <si>
    <t>8711252065663</t>
  </si>
  <si>
    <t>8711252065885</t>
  </si>
  <si>
    <t>27</t>
  </si>
  <si>
    <t>8711252065953</t>
  </si>
  <si>
    <t>8711252086484</t>
  </si>
  <si>
    <t>8711252101033</t>
  </si>
  <si>
    <t>8711252146720</t>
  </si>
  <si>
    <t>8711252155005</t>
  </si>
  <si>
    <t>8711252163543</t>
  </si>
  <si>
    <t>8711252166575</t>
  </si>
  <si>
    <t>8711252173979</t>
  </si>
  <si>
    <t>8711252174273</t>
  </si>
  <si>
    <t>8711252221700</t>
  </si>
  <si>
    <t>8711252228150</t>
  </si>
  <si>
    <t>8711252228174</t>
  </si>
  <si>
    <t>8711252264776</t>
  </si>
  <si>
    <t>8711252266046</t>
  </si>
  <si>
    <t>8711252267173</t>
  </si>
  <si>
    <t>8711252267180</t>
  </si>
  <si>
    <t>8711252386065</t>
  </si>
  <si>
    <t>8711252485379</t>
  </si>
  <si>
    <t>8711252520339</t>
  </si>
  <si>
    <t>8711252526683</t>
  </si>
  <si>
    <t>8711252853048</t>
  </si>
  <si>
    <t>8711252863337</t>
  </si>
  <si>
    <t>8711252863566</t>
  </si>
  <si>
    <t>8711292202714</t>
  </si>
  <si>
    <t>8711292891826</t>
  </si>
  <si>
    <t>8711295843518</t>
  </si>
  <si>
    <t>8711808321755</t>
  </si>
  <si>
    <t>8711866222520</t>
  </si>
  <si>
    <t>8712581584276</t>
  </si>
  <si>
    <t>8712581758196</t>
  </si>
  <si>
    <t>8714627351569</t>
  </si>
  <si>
    <t>8714627357905</t>
  </si>
  <si>
    <t>8719904352161</t>
  </si>
  <si>
    <t>8719904354103</t>
  </si>
  <si>
    <t>8719904357876</t>
  </si>
  <si>
    <t>8719904460354</t>
  </si>
  <si>
    <t>8719925606953</t>
  </si>
  <si>
    <t>8719925607011</t>
  </si>
  <si>
    <t>8719925607028</t>
  </si>
  <si>
    <t>8719925607035</t>
  </si>
  <si>
    <t>8719925607042</t>
  </si>
  <si>
    <t>8719925607080</t>
  </si>
  <si>
    <t>8719925607097</t>
  </si>
  <si>
    <t>8719987303173</t>
  </si>
  <si>
    <t>8719987419706</t>
  </si>
  <si>
    <t>8719987745287</t>
  </si>
  <si>
    <t>8719987818110</t>
  </si>
  <si>
    <t>8719987831577</t>
  </si>
  <si>
    <t>8720573095655</t>
  </si>
  <si>
    <t>8720573208314</t>
  </si>
  <si>
    <t>8720573208376</t>
  </si>
  <si>
    <t>8806087740158</t>
  </si>
  <si>
    <t>87341</t>
  </si>
  <si>
    <t>9120106660012</t>
  </si>
  <si>
    <t>3616474685383</t>
  </si>
  <si>
    <t>3616474704299</t>
  </si>
  <si>
    <t>3616474996823</t>
  </si>
  <si>
    <t>3616474996816</t>
  </si>
  <si>
    <t>7290103660352</t>
  </si>
  <si>
    <t>7290103660413</t>
  </si>
  <si>
    <t>7290112633620</t>
  </si>
  <si>
    <t>7290112634641</t>
  </si>
  <si>
    <t>7290106923843</t>
  </si>
  <si>
    <t>7290106934894</t>
  </si>
  <si>
    <t>7290103655358</t>
  </si>
  <si>
    <t>7290106936300</t>
  </si>
  <si>
    <t>7290106929913</t>
  </si>
  <si>
    <t>7290112631275</t>
  </si>
  <si>
    <t>7290106931336</t>
  </si>
  <si>
    <t>7290106938854</t>
  </si>
  <si>
    <t>3270190352051</t>
  </si>
  <si>
    <t>3270190570288</t>
  </si>
  <si>
    <t>Emballages ménagers</t>
  </si>
  <si>
    <t>7640143167449</t>
  </si>
  <si>
    <t>7640143167524</t>
  </si>
  <si>
    <t>7640143167616</t>
  </si>
  <si>
    <t>7640143167531</t>
  </si>
  <si>
    <t>7640143167562</t>
  </si>
  <si>
    <t>7640143167586</t>
  </si>
  <si>
    <t>7640143167319</t>
  </si>
  <si>
    <t>3616474678996</t>
  </si>
  <si>
    <t>3616474675568</t>
  </si>
  <si>
    <t>3609233023687</t>
  </si>
  <si>
    <t>3608143048902</t>
  </si>
  <si>
    <t>3616181579692</t>
  </si>
  <si>
    <t>3616181581176</t>
  </si>
  <si>
    <t>3616181579685</t>
  </si>
  <si>
    <t>3608143046601</t>
  </si>
  <si>
    <t>3616181808501</t>
  </si>
  <si>
    <t>3609233023595</t>
  </si>
  <si>
    <t>3616181579555</t>
  </si>
  <si>
    <t>3614610760420</t>
  </si>
  <si>
    <t>Doublon avec 6/04</t>
  </si>
  <si>
    <t>Doublon alim tec 6/04 t 12/05</t>
  </si>
  <si>
    <t>doublon alim tec 6/04 et 12/05</t>
  </si>
  <si>
    <t>3417761938058</t>
  </si>
  <si>
    <t>3417761938355</t>
  </si>
  <si>
    <t>87685</t>
  </si>
  <si>
    <t>3584179055674</t>
  </si>
  <si>
    <t>3584179055810</t>
  </si>
  <si>
    <t>3584179059382</t>
  </si>
  <si>
    <t>3584179059399</t>
  </si>
  <si>
    <t>3584179059405</t>
  </si>
  <si>
    <t>3609020145240</t>
  </si>
  <si>
    <t>3609020151791</t>
  </si>
  <si>
    <t>3760161463768</t>
  </si>
  <si>
    <t>3760161464918</t>
  </si>
  <si>
    <t>3760161464932</t>
  </si>
  <si>
    <t>3760161464949</t>
  </si>
  <si>
    <t>8013674001190</t>
  </si>
  <si>
    <t>8013674008069</t>
  </si>
  <si>
    <t>8013674001763</t>
  </si>
  <si>
    <t>8013674008427</t>
  </si>
  <si>
    <t>3560071153007</t>
  </si>
  <si>
    <t>3560071158606</t>
  </si>
  <si>
    <t>3560071164713</t>
  </si>
  <si>
    <t>3560071242725</t>
  </si>
  <si>
    <t>3610882172299</t>
  </si>
  <si>
    <t>0023942490654</t>
  </si>
  <si>
    <t>Relance 1</t>
  </si>
  <si>
    <t>0023942989387</t>
  </si>
  <si>
    <t>79267</t>
  </si>
  <si>
    <t>0031262065896</t>
  </si>
  <si>
    <t>0031262081735</t>
  </si>
  <si>
    <t>0031262081742</t>
  </si>
  <si>
    <t>0031262091758</t>
  </si>
  <si>
    <t>0035051117841</t>
  </si>
  <si>
    <t>0035051117933</t>
  </si>
  <si>
    <t>0035051117988</t>
  </si>
  <si>
    <t>0035051117995</t>
  </si>
  <si>
    <t>0035051118992</t>
  </si>
  <si>
    <t>0035051119005</t>
  </si>
  <si>
    <t>0035051119357</t>
  </si>
  <si>
    <t>0035051119364</t>
  </si>
  <si>
    <t>0035051119371</t>
  </si>
  <si>
    <t>0035051119388</t>
  </si>
  <si>
    <t>0035051119395</t>
  </si>
  <si>
    <t>0035051119401</t>
  </si>
  <si>
    <t>0035051119449</t>
  </si>
  <si>
    <t>0035051562757</t>
  </si>
  <si>
    <t>0035051569329</t>
  </si>
  <si>
    <t>0035051571049</t>
  </si>
  <si>
    <t>0035051572411</t>
  </si>
  <si>
    <t>0035051572657</t>
  </si>
  <si>
    <t>0035051572794</t>
  </si>
  <si>
    <t>0035051573418</t>
  </si>
  <si>
    <t>0035051573425</t>
  </si>
  <si>
    <t>0035051573432</t>
  </si>
  <si>
    <t>0035051573449</t>
  </si>
  <si>
    <t>0035051574316</t>
  </si>
  <si>
    <t>0035051574323</t>
  </si>
  <si>
    <t>0035051574330</t>
  </si>
  <si>
    <t>0035051575733</t>
  </si>
  <si>
    <t>0035051575740</t>
  </si>
  <si>
    <t>0035051575757</t>
  </si>
  <si>
    <t>0035051575764</t>
  </si>
  <si>
    <t>0035051575771</t>
  </si>
  <si>
    <t>0035051575788</t>
  </si>
  <si>
    <t>0035051575986</t>
  </si>
  <si>
    <t>0035051576006</t>
  </si>
  <si>
    <t>0035051576327</t>
  </si>
  <si>
    <t>0035051576341</t>
  </si>
  <si>
    <t>0035051576396</t>
  </si>
  <si>
    <t>0035051576440</t>
  </si>
  <si>
    <t>0035051576471</t>
  </si>
  <si>
    <t>0035051576570</t>
  </si>
  <si>
    <t>0035051576587</t>
  </si>
  <si>
    <t>0035051576594</t>
  </si>
  <si>
    <t>0035051576716</t>
  </si>
  <si>
    <t>0035051576730</t>
  </si>
  <si>
    <t>0035051576747</t>
  </si>
  <si>
    <t>0035051577522</t>
  </si>
  <si>
    <t>0035051579168</t>
  </si>
  <si>
    <t>0035051579236</t>
  </si>
  <si>
    <t>0035051579571</t>
  </si>
  <si>
    <t>0035051579588</t>
  </si>
  <si>
    <t>0035051579595</t>
  </si>
  <si>
    <t>0035051579601</t>
  </si>
  <si>
    <t>0035051579618</t>
  </si>
  <si>
    <t>0035051579632</t>
  </si>
  <si>
    <t>0035051579755</t>
  </si>
  <si>
    <t>0035051579816</t>
  </si>
  <si>
    <t>0035051579830</t>
  </si>
  <si>
    <t>0035051580348</t>
  </si>
  <si>
    <t>0035051580423</t>
  </si>
  <si>
    <t>0035051580430</t>
  </si>
  <si>
    <t>0035051580492</t>
  </si>
  <si>
    <t>0035051580645</t>
  </si>
  <si>
    <t>0035051580805</t>
  </si>
  <si>
    <t>0035051580812</t>
  </si>
  <si>
    <t>0035051580829</t>
  </si>
  <si>
    <t>0035051580836</t>
  </si>
  <si>
    <t>0035051581352</t>
  </si>
  <si>
    <t>0035051581857</t>
  </si>
  <si>
    <t>0035051581864</t>
  </si>
  <si>
    <t>0035051581895</t>
  </si>
  <si>
    <t>0035051582489</t>
  </si>
  <si>
    <t>0035051582496</t>
  </si>
  <si>
    <t>0035051582502</t>
  </si>
  <si>
    <t>0035051582519</t>
  </si>
  <si>
    <t>0035051582526</t>
  </si>
  <si>
    <t>0035051582533</t>
  </si>
  <si>
    <t>0035051582700</t>
  </si>
  <si>
    <t>0035051582717</t>
  </si>
  <si>
    <t>0035051582953</t>
  </si>
  <si>
    <t>0035051582960</t>
  </si>
  <si>
    <t>0035051582977</t>
  </si>
  <si>
    <t>0035051582984</t>
  </si>
  <si>
    <t>0035051582991</t>
  </si>
  <si>
    <t>0035051583004</t>
  </si>
  <si>
    <t>0035051583387</t>
  </si>
  <si>
    <t>0035051583776</t>
  </si>
  <si>
    <t>0035051583783</t>
  </si>
  <si>
    <t>0035051583790</t>
  </si>
  <si>
    <t>0035051583806</t>
  </si>
  <si>
    <t>0035051583929</t>
  </si>
  <si>
    <t>0035051583943</t>
  </si>
  <si>
    <t>0035051584001</t>
  </si>
  <si>
    <t>0035051584032</t>
  </si>
  <si>
    <t>0035051584056</t>
  </si>
  <si>
    <t>0035051584063</t>
  </si>
  <si>
    <t>0035051584070</t>
  </si>
  <si>
    <t>0035051584087</t>
  </si>
  <si>
    <t>0035051584254</t>
  </si>
  <si>
    <t>0035051584285</t>
  </si>
  <si>
    <t>0035051584292</t>
  </si>
  <si>
    <t>0035051584315</t>
  </si>
  <si>
    <t>0035051584322</t>
  </si>
  <si>
    <t>0035051584339</t>
  </si>
  <si>
    <t>0035051584445</t>
  </si>
  <si>
    <t>0035051584650</t>
  </si>
  <si>
    <t>0035051584674</t>
  </si>
  <si>
    <t>0035051584681</t>
  </si>
  <si>
    <t>0035051585107</t>
  </si>
  <si>
    <t>0035051585114</t>
  </si>
  <si>
    <t>0035051585121</t>
  </si>
  <si>
    <t>0035051585244</t>
  </si>
  <si>
    <t>0035051585251</t>
  </si>
  <si>
    <t>0035051585268</t>
  </si>
  <si>
    <t>0035051585275</t>
  </si>
  <si>
    <t>0035051585299</t>
  </si>
  <si>
    <t>0035051585305</t>
  </si>
  <si>
    <t>0035051585398</t>
  </si>
  <si>
    <t>0035051585404</t>
  </si>
  <si>
    <t>0035051585411</t>
  </si>
  <si>
    <t>0035051585428</t>
  </si>
  <si>
    <t>0035051585435</t>
  </si>
  <si>
    <t>0035051585572</t>
  </si>
  <si>
    <t>0035051585589</t>
  </si>
  <si>
    <t>0035051586050</t>
  </si>
  <si>
    <t>0035051586067</t>
  </si>
  <si>
    <t>0035051586074</t>
  </si>
  <si>
    <t>0035051586111</t>
  </si>
  <si>
    <t>0035051586128</t>
  </si>
  <si>
    <t>0035051586135</t>
  </si>
  <si>
    <t>0035051586142</t>
  </si>
  <si>
    <t>0035051586951</t>
  </si>
  <si>
    <t>0035051916086</t>
  </si>
  <si>
    <t>0035051916260</t>
  </si>
  <si>
    <t>83340</t>
  </si>
  <si>
    <t>0043917000336</t>
  </si>
  <si>
    <t>0043917008073</t>
  </si>
  <si>
    <t>0043917997056</t>
  </si>
  <si>
    <t>0050743612060</t>
  </si>
  <si>
    <t>0071662028329</t>
  </si>
  <si>
    <t>0071662074333</t>
  </si>
  <si>
    <t>0071662074975</t>
  </si>
  <si>
    <t>0071662275006</t>
  </si>
  <si>
    <t>0088381862165</t>
  </si>
  <si>
    <t>44203</t>
  </si>
  <si>
    <t>67</t>
  </si>
  <si>
    <t>0093573637254</t>
  </si>
  <si>
    <t>HAEFFNER JONATHAN</t>
  </si>
  <si>
    <t>87301</t>
  </si>
  <si>
    <t>0761318352228</t>
  </si>
  <si>
    <t>3059943012646</t>
  </si>
  <si>
    <t>3059943021129</t>
  </si>
  <si>
    <t>3059943021273</t>
  </si>
  <si>
    <t>3059943021297</t>
  </si>
  <si>
    <t>3059943022614</t>
  </si>
  <si>
    <t>3059943024434</t>
  </si>
  <si>
    <t>3059943024670</t>
  </si>
  <si>
    <t>3059943025257</t>
  </si>
  <si>
    <t>01831</t>
  </si>
  <si>
    <t>3162450002281</t>
  </si>
  <si>
    <t>BERGER PIERRE ALEXANDRE</t>
  </si>
  <si>
    <t>3162450003899</t>
  </si>
  <si>
    <t>96</t>
  </si>
  <si>
    <t>3179630001248</t>
  </si>
  <si>
    <t>18308</t>
  </si>
  <si>
    <t>39</t>
  </si>
  <si>
    <t>3245411839734</t>
  </si>
  <si>
    <t>98497</t>
  </si>
  <si>
    <t>3245413507471</t>
  </si>
  <si>
    <t>BIAR CAPUCINE</t>
  </si>
  <si>
    <t>3270190380832</t>
  </si>
  <si>
    <t>3270190380863</t>
  </si>
  <si>
    <t>3270190380887</t>
  </si>
  <si>
    <t>3270190380924</t>
  </si>
  <si>
    <t>3270192578008</t>
  </si>
  <si>
    <t>3270192578015</t>
  </si>
  <si>
    <t>3270192578039</t>
  </si>
  <si>
    <t>3270192578053</t>
  </si>
  <si>
    <t>3270192578138</t>
  </si>
  <si>
    <t>3270192578145</t>
  </si>
  <si>
    <t>3270192578169</t>
  </si>
  <si>
    <t>21030</t>
  </si>
  <si>
    <t>3281690123430</t>
  </si>
  <si>
    <t>3281690234310</t>
  </si>
  <si>
    <t>3281690241349</t>
  </si>
  <si>
    <t>3281690241387</t>
  </si>
  <si>
    <t>3281690243572</t>
  </si>
  <si>
    <t>3281690243688</t>
  </si>
  <si>
    <t>3284090007980</t>
  </si>
  <si>
    <t>3284090621025</t>
  </si>
  <si>
    <t>3284090623029</t>
  </si>
  <si>
    <t>3284090719012</t>
  </si>
  <si>
    <t>3367305286568</t>
  </si>
  <si>
    <t>3380743059525</t>
  </si>
  <si>
    <t>3380743059884</t>
  </si>
  <si>
    <t>3380743072562</t>
  </si>
  <si>
    <t>3380743074740</t>
  </si>
  <si>
    <t>3380743081151</t>
  </si>
  <si>
    <t>3380743082080</t>
  </si>
  <si>
    <t>3380743083391</t>
  </si>
  <si>
    <t>3380743085487</t>
  </si>
  <si>
    <t>3380743086613</t>
  </si>
  <si>
    <t>3380743088617</t>
  </si>
  <si>
    <t>3380743091303</t>
  </si>
  <si>
    <t>3380743091389</t>
  </si>
  <si>
    <t>3380743094823</t>
  </si>
  <si>
    <t>3380743094830</t>
  </si>
  <si>
    <t>3380743094854</t>
  </si>
  <si>
    <t>3380743095066</t>
  </si>
  <si>
    <t>3380743095875</t>
  </si>
  <si>
    <t>3380743095998</t>
  </si>
  <si>
    <t>3380743096445</t>
  </si>
  <si>
    <t>3380743097251</t>
  </si>
  <si>
    <t>3390500483517</t>
  </si>
  <si>
    <t>48767</t>
  </si>
  <si>
    <t>3390500690793</t>
  </si>
  <si>
    <t>3390502598011</t>
  </si>
  <si>
    <t>3390502598059</t>
  </si>
  <si>
    <t>3390502598097</t>
  </si>
  <si>
    <t>3390509510245</t>
  </si>
  <si>
    <t>3390509994205</t>
  </si>
  <si>
    <t>3474636819713</t>
  </si>
  <si>
    <t>43265</t>
  </si>
  <si>
    <t>13</t>
  </si>
  <si>
    <t>3482351000040</t>
  </si>
  <si>
    <t>3482353489003</t>
  </si>
  <si>
    <t>CATTO CLAIRE</t>
  </si>
  <si>
    <t>3482353489010</t>
  </si>
  <si>
    <t>3482353489034</t>
  </si>
  <si>
    <t>3482353489058</t>
  </si>
  <si>
    <t>3482353489065</t>
  </si>
  <si>
    <t>3482353489096</t>
  </si>
  <si>
    <t>3482353489102</t>
  </si>
  <si>
    <t>3482353489133</t>
  </si>
  <si>
    <t>3482353489140</t>
  </si>
  <si>
    <t>3482353489287</t>
  </si>
  <si>
    <t>3482353489294</t>
  </si>
  <si>
    <t>3482353489300</t>
  </si>
  <si>
    <t>3482353489317</t>
  </si>
  <si>
    <t>3482353489324</t>
  </si>
  <si>
    <t>3482353489331</t>
  </si>
  <si>
    <t>3482353489348</t>
  </si>
  <si>
    <t>3482353489355</t>
  </si>
  <si>
    <t>3482353489362</t>
  </si>
  <si>
    <t>3482353489379</t>
  </si>
  <si>
    <t>3482353489386</t>
  </si>
  <si>
    <t>3482353489393</t>
  </si>
  <si>
    <t>3482353489409</t>
  </si>
  <si>
    <t>3482353489416</t>
  </si>
  <si>
    <t>3482353489423</t>
  </si>
  <si>
    <t>3482353489430</t>
  </si>
  <si>
    <t>3482353489447</t>
  </si>
  <si>
    <t>3482353489454</t>
  </si>
  <si>
    <t>3482353489461</t>
  </si>
  <si>
    <t>3482353489478</t>
  </si>
  <si>
    <t>3482353489485</t>
  </si>
  <si>
    <t>3482353489492</t>
  </si>
  <si>
    <t>3482353489508</t>
  </si>
  <si>
    <t>3482353498005</t>
  </si>
  <si>
    <t>3482353498012</t>
  </si>
  <si>
    <t>3482353498029</t>
  </si>
  <si>
    <t>3482353498036</t>
  </si>
  <si>
    <t>3482353498043</t>
  </si>
  <si>
    <t>3482353498050</t>
  </si>
  <si>
    <t>3482353498067</t>
  </si>
  <si>
    <t>3482353498074</t>
  </si>
  <si>
    <t>44207</t>
  </si>
  <si>
    <t>3483075000019</t>
  </si>
  <si>
    <t>86376</t>
  </si>
  <si>
    <t>3523670293925</t>
  </si>
  <si>
    <t>BOUDJAOUI FREDERIC</t>
  </si>
  <si>
    <t>3523670293932</t>
  </si>
  <si>
    <t>3523670293949</t>
  </si>
  <si>
    <t>3560070484959</t>
  </si>
  <si>
    <t>3560070620968</t>
  </si>
  <si>
    <t>79485</t>
  </si>
  <si>
    <t>3560070697717</t>
  </si>
  <si>
    <t>51635</t>
  </si>
  <si>
    <t>3560070768837</t>
  </si>
  <si>
    <t>07824</t>
  </si>
  <si>
    <t>3560070885497</t>
  </si>
  <si>
    <t>3560070886418</t>
  </si>
  <si>
    <t>3560070925117</t>
  </si>
  <si>
    <t>3560071061968</t>
  </si>
  <si>
    <t>3560071078355</t>
  </si>
  <si>
    <t>3560071078362</t>
  </si>
  <si>
    <t>3560071078379</t>
  </si>
  <si>
    <t>3560071078386</t>
  </si>
  <si>
    <t>3560071078393</t>
  </si>
  <si>
    <t>44</t>
  </si>
  <si>
    <t>3560071098988</t>
  </si>
  <si>
    <t>14454</t>
  </si>
  <si>
    <t>20</t>
  </si>
  <si>
    <t>3560071153557</t>
  </si>
  <si>
    <t>3560071153649</t>
  </si>
  <si>
    <t>07565</t>
  </si>
  <si>
    <t>3560071157258</t>
  </si>
  <si>
    <t>3560071169763</t>
  </si>
  <si>
    <t>3560071169770</t>
  </si>
  <si>
    <t>97095</t>
  </si>
  <si>
    <t>3560071174378</t>
  </si>
  <si>
    <t>DALLONGEVILLE ARTHUR</t>
  </si>
  <si>
    <t>3560071185978</t>
  </si>
  <si>
    <t>3560071186005</t>
  </si>
  <si>
    <t>3560071186036</t>
  </si>
  <si>
    <t>3560071186067</t>
  </si>
  <si>
    <t>3560071224301</t>
  </si>
  <si>
    <t>3560071224318</t>
  </si>
  <si>
    <t>3560071224325</t>
  </si>
  <si>
    <t>3560071224332</t>
  </si>
  <si>
    <t>3560071224349</t>
  </si>
  <si>
    <t>3560071226398</t>
  </si>
  <si>
    <t>3560071226404</t>
  </si>
  <si>
    <t>3560071228316</t>
  </si>
  <si>
    <t>3560071228323</t>
  </si>
  <si>
    <t>12419</t>
  </si>
  <si>
    <t>3560071228330</t>
  </si>
  <si>
    <t>3560071235758</t>
  </si>
  <si>
    <t>3560071245603</t>
  </si>
  <si>
    <t>3560071246464</t>
  </si>
  <si>
    <t>3560071246532</t>
  </si>
  <si>
    <t>3560071260651</t>
  </si>
  <si>
    <t>3560071260699</t>
  </si>
  <si>
    <t>3560071260729</t>
  </si>
  <si>
    <t>3560071260842</t>
  </si>
  <si>
    <t>3560071260873</t>
  </si>
  <si>
    <t>3560071260903</t>
  </si>
  <si>
    <t>3560071268473</t>
  </si>
  <si>
    <t>3560071268503</t>
  </si>
  <si>
    <t>3560071268534</t>
  </si>
  <si>
    <t>3560071271657</t>
  </si>
  <si>
    <t>3560071271718</t>
  </si>
  <si>
    <t>3560071271770</t>
  </si>
  <si>
    <t>3560071271862</t>
  </si>
  <si>
    <t>3560071271893</t>
  </si>
  <si>
    <t>3560071271954</t>
  </si>
  <si>
    <t>3560071272012</t>
  </si>
  <si>
    <t>3560071272074</t>
  </si>
  <si>
    <t>3560071272104</t>
  </si>
  <si>
    <t>3560071272135</t>
  </si>
  <si>
    <t>3560071272166</t>
  </si>
  <si>
    <t>3560071272197</t>
  </si>
  <si>
    <t>3560071272227</t>
  </si>
  <si>
    <t>3560071272258</t>
  </si>
  <si>
    <t>3560071272289</t>
  </si>
  <si>
    <t>3560071320515</t>
  </si>
  <si>
    <t>40</t>
  </si>
  <si>
    <t>3560071400217</t>
  </si>
  <si>
    <t>3560071400248</t>
  </si>
  <si>
    <t>3560071400279</t>
  </si>
  <si>
    <t>3560071400484</t>
  </si>
  <si>
    <t>3560071401580</t>
  </si>
  <si>
    <t>3560071401733</t>
  </si>
  <si>
    <t>3560071401764</t>
  </si>
  <si>
    <t>3560071401825</t>
  </si>
  <si>
    <t>3560071401948</t>
  </si>
  <si>
    <t>3560071401979</t>
  </si>
  <si>
    <t>3560071402006</t>
  </si>
  <si>
    <t>3560071402037</t>
  </si>
  <si>
    <t>3560071403546</t>
  </si>
  <si>
    <t>3560071403591</t>
  </si>
  <si>
    <t>3560071403607</t>
  </si>
  <si>
    <t>3560071403638</t>
  </si>
  <si>
    <t>3560071408176</t>
  </si>
  <si>
    <t>3560071409678</t>
  </si>
  <si>
    <t>3560071409722</t>
  </si>
  <si>
    <t>3560071409739</t>
  </si>
  <si>
    <t>3560071409746</t>
  </si>
  <si>
    <t>3560071409753</t>
  </si>
  <si>
    <t>3560071409760</t>
  </si>
  <si>
    <t>3560071409784</t>
  </si>
  <si>
    <t>3560071409791</t>
  </si>
  <si>
    <t>3560071409838</t>
  </si>
  <si>
    <t>3560071409883</t>
  </si>
  <si>
    <t>3560071409890</t>
  </si>
  <si>
    <t>3560071409906</t>
  </si>
  <si>
    <t>3560071412029</t>
  </si>
  <si>
    <t>3560071451448</t>
  </si>
  <si>
    <t>3560071451479</t>
  </si>
  <si>
    <t>3560234516229</t>
  </si>
  <si>
    <t>3561866421479</t>
  </si>
  <si>
    <t>3606606486360</t>
  </si>
  <si>
    <t>3606606486377</t>
  </si>
  <si>
    <t>3606606486384</t>
  </si>
  <si>
    <t>3606606487138</t>
  </si>
  <si>
    <t>3606606487152</t>
  </si>
  <si>
    <t>3606606487169</t>
  </si>
  <si>
    <t>3608140814876</t>
  </si>
  <si>
    <t>3608140820532</t>
  </si>
  <si>
    <t>3608141635470</t>
  </si>
  <si>
    <t>3608141635807</t>
  </si>
  <si>
    <t>3608142029773</t>
  </si>
  <si>
    <t>3608142029889</t>
  </si>
  <si>
    <t>3608142032582</t>
  </si>
  <si>
    <t>3608142032599</t>
  </si>
  <si>
    <t>3608142032605</t>
  </si>
  <si>
    <t>3608142032612</t>
  </si>
  <si>
    <t>3608142032629</t>
  </si>
  <si>
    <t>3608142032636</t>
  </si>
  <si>
    <t>68347</t>
  </si>
  <si>
    <t>3608142554749</t>
  </si>
  <si>
    <t>CHAFFAR AHLEM</t>
  </si>
  <si>
    <t>3608142932264</t>
  </si>
  <si>
    <t>3608142932349</t>
  </si>
  <si>
    <t>3608143066456</t>
  </si>
  <si>
    <t>3608144240329</t>
  </si>
  <si>
    <t>3609230146037</t>
  </si>
  <si>
    <t>3609230272965</t>
  </si>
  <si>
    <t>3609230272972</t>
  </si>
  <si>
    <t>3609230272989</t>
  </si>
  <si>
    <t>3609230272996</t>
  </si>
  <si>
    <t>3609230273009</t>
  </si>
  <si>
    <t>3609230273016</t>
  </si>
  <si>
    <t>3609230273023</t>
  </si>
  <si>
    <t>3609230273030</t>
  </si>
  <si>
    <t>3609230278943</t>
  </si>
  <si>
    <t>3609232737158</t>
  </si>
  <si>
    <t>3609232737202</t>
  </si>
  <si>
    <t>3609232737257</t>
  </si>
  <si>
    <t>3609232737301</t>
  </si>
  <si>
    <t>3610882098834</t>
  </si>
  <si>
    <t>3610882098841</t>
  </si>
  <si>
    <t>3610882098858</t>
  </si>
  <si>
    <t>3610882874360</t>
  </si>
  <si>
    <t>3613866445525</t>
  </si>
  <si>
    <t>46478</t>
  </si>
  <si>
    <t>3613866845790</t>
  </si>
  <si>
    <t>NZOUKOUDI NADIA</t>
  </si>
  <si>
    <t>3613866845806</t>
  </si>
  <si>
    <t>3613866845813</t>
  </si>
  <si>
    <t>3613866845875</t>
  </si>
  <si>
    <t>3613867301585</t>
  </si>
  <si>
    <t>3613867301592</t>
  </si>
  <si>
    <t>3613867301615</t>
  </si>
  <si>
    <t>3613867313496</t>
  </si>
  <si>
    <t>3613867313502</t>
  </si>
  <si>
    <t>3613867313519</t>
  </si>
  <si>
    <t>3614610093801</t>
  </si>
  <si>
    <t>3614610093818</t>
  </si>
  <si>
    <t>3614612086184</t>
  </si>
  <si>
    <t>3614612086191</t>
  </si>
  <si>
    <t>3614612086207</t>
  </si>
  <si>
    <t>3614612086214</t>
  </si>
  <si>
    <t>3614612619320</t>
  </si>
  <si>
    <t>3614612619337</t>
  </si>
  <si>
    <t>3614612826384</t>
  </si>
  <si>
    <t>92329</t>
  </si>
  <si>
    <t>3614613592240</t>
  </si>
  <si>
    <t>3614613612597</t>
  </si>
  <si>
    <t>3614613612603</t>
  </si>
  <si>
    <t>3614613612610</t>
  </si>
  <si>
    <t>3614613612696</t>
  </si>
  <si>
    <t>3614614048609</t>
  </si>
  <si>
    <t>3614614149740</t>
  </si>
  <si>
    <t>3614614149757</t>
  </si>
  <si>
    <t>3614614149764</t>
  </si>
  <si>
    <t>3614614149771</t>
  </si>
  <si>
    <t>3614614149788</t>
  </si>
  <si>
    <t>3614614149795</t>
  </si>
  <si>
    <t>3614614149801</t>
  </si>
  <si>
    <t>3614614149818</t>
  </si>
  <si>
    <t>3614614149825</t>
  </si>
  <si>
    <t>3614614247644</t>
  </si>
  <si>
    <t>3614614247651</t>
  </si>
  <si>
    <t>3614614253393</t>
  </si>
  <si>
    <t>69182</t>
  </si>
  <si>
    <t>3614614415456</t>
  </si>
  <si>
    <t>3615004301366</t>
  </si>
  <si>
    <t>3615005336282</t>
  </si>
  <si>
    <t>3615005350738</t>
  </si>
  <si>
    <t>3615005356839</t>
  </si>
  <si>
    <t>3615005356846</t>
  </si>
  <si>
    <t>3615005356853</t>
  </si>
  <si>
    <t>3615005357812</t>
  </si>
  <si>
    <t>3615005357829</t>
  </si>
  <si>
    <t>3615005357836</t>
  </si>
  <si>
    <t>3615005357850</t>
  </si>
  <si>
    <t>3615005357867</t>
  </si>
  <si>
    <t>3615005366203</t>
  </si>
  <si>
    <t>3615005366470</t>
  </si>
  <si>
    <t>3615005376783</t>
  </si>
  <si>
    <t>3615005383798</t>
  </si>
  <si>
    <t>3615005383804</t>
  </si>
  <si>
    <t>3615005383811</t>
  </si>
  <si>
    <t>3615005383828</t>
  </si>
  <si>
    <t>3615005383835</t>
  </si>
  <si>
    <t>3615005383842</t>
  </si>
  <si>
    <t>3615005383859</t>
  </si>
  <si>
    <t>3615005383866</t>
  </si>
  <si>
    <t>3615005383873</t>
  </si>
  <si>
    <t>3615005383880</t>
  </si>
  <si>
    <t>3615005383897</t>
  </si>
  <si>
    <t>3615005383903</t>
  </si>
  <si>
    <t>3615005383972</t>
  </si>
  <si>
    <t>3615005383989</t>
  </si>
  <si>
    <t>3615005383996</t>
  </si>
  <si>
    <t>3615005384009</t>
  </si>
  <si>
    <t>3615005384016</t>
  </si>
  <si>
    <t>3615005384023</t>
  </si>
  <si>
    <t>3615005384030</t>
  </si>
  <si>
    <t>3615005384047</t>
  </si>
  <si>
    <t>3615005384054</t>
  </si>
  <si>
    <t>98405</t>
  </si>
  <si>
    <t>3615005411989</t>
  </si>
  <si>
    <t>3615005411996</t>
  </si>
  <si>
    <t>3615005412016</t>
  </si>
  <si>
    <t>3615005412023</t>
  </si>
  <si>
    <t>3615005412030</t>
  </si>
  <si>
    <t>3616180034338</t>
  </si>
  <si>
    <t>3616180426423</t>
  </si>
  <si>
    <t>3616180426430</t>
  </si>
  <si>
    <t>3616180426447</t>
  </si>
  <si>
    <t>3616180879069</t>
  </si>
  <si>
    <t>3616180879076</t>
  </si>
  <si>
    <t>3616181013141</t>
  </si>
  <si>
    <t>3616181013172</t>
  </si>
  <si>
    <t>3616181013233</t>
  </si>
  <si>
    <t>3616181013271</t>
  </si>
  <si>
    <t>3616181013288</t>
  </si>
  <si>
    <t>3616181013295</t>
  </si>
  <si>
    <t>3616181013301</t>
  </si>
  <si>
    <t>3616181013318</t>
  </si>
  <si>
    <t>3616181013325</t>
  </si>
  <si>
    <t>3616181013332</t>
  </si>
  <si>
    <t>3616181013875</t>
  </si>
  <si>
    <t>3616181030711</t>
  </si>
  <si>
    <t>3616181034924</t>
  </si>
  <si>
    <t>3616181035662</t>
  </si>
  <si>
    <t>3616182435881</t>
  </si>
  <si>
    <t>3616182435898</t>
  </si>
  <si>
    <t>3616182435904</t>
  </si>
  <si>
    <t>3616473092137</t>
  </si>
  <si>
    <t>3616473092144</t>
  </si>
  <si>
    <t>3616473092151</t>
  </si>
  <si>
    <t>3616473100665</t>
  </si>
  <si>
    <t>00536</t>
  </si>
  <si>
    <t>3616473134974</t>
  </si>
  <si>
    <t>3616473134981</t>
  </si>
  <si>
    <t>3616473448088</t>
  </si>
  <si>
    <t>3616473913708</t>
  </si>
  <si>
    <t>3616473913746</t>
  </si>
  <si>
    <t>3616474028067</t>
  </si>
  <si>
    <t>62164</t>
  </si>
  <si>
    <t>3616474417649</t>
  </si>
  <si>
    <t>3616474417663</t>
  </si>
  <si>
    <t>3616474417687</t>
  </si>
  <si>
    <t>3616474475083</t>
  </si>
  <si>
    <t>3616474475090</t>
  </si>
  <si>
    <t>3616474668966</t>
  </si>
  <si>
    <t>3616474668973</t>
  </si>
  <si>
    <t>3616474668980</t>
  </si>
  <si>
    <t>3616474668997</t>
  </si>
  <si>
    <t>3616474669000</t>
  </si>
  <si>
    <t>3616474669017</t>
  </si>
  <si>
    <t>3616474669024</t>
  </si>
  <si>
    <t>3616474669031</t>
  </si>
  <si>
    <t>3616474669048</t>
  </si>
  <si>
    <t>3616474669055</t>
  </si>
  <si>
    <t>3616474669062</t>
  </si>
  <si>
    <t>3616474669079</t>
  </si>
  <si>
    <t>3616474669086</t>
  </si>
  <si>
    <t>3616474669093</t>
  </si>
  <si>
    <t>3616474669109</t>
  </si>
  <si>
    <t>3616474669116</t>
  </si>
  <si>
    <t>3616474669130</t>
  </si>
  <si>
    <t>3616474669147</t>
  </si>
  <si>
    <t>3616474669154</t>
  </si>
  <si>
    <t>3616474669161</t>
  </si>
  <si>
    <t>3616474669178</t>
  </si>
  <si>
    <t>3616474669185</t>
  </si>
  <si>
    <t>3616474669192</t>
  </si>
  <si>
    <t>3616474669208</t>
  </si>
  <si>
    <t>3616474669215</t>
  </si>
  <si>
    <t>3616474669222</t>
  </si>
  <si>
    <t>3616474669239</t>
  </si>
  <si>
    <t>3616474669246</t>
  </si>
  <si>
    <t>3616474669253</t>
  </si>
  <si>
    <t>3616474669314</t>
  </si>
  <si>
    <t>3616474669338</t>
  </si>
  <si>
    <t>3616474669345</t>
  </si>
  <si>
    <t>3616474669352</t>
  </si>
  <si>
    <t>3616474670556</t>
  </si>
  <si>
    <t>3616474670563</t>
  </si>
  <si>
    <t>3616474670570</t>
  </si>
  <si>
    <t>3616474670617</t>
  </si>
  <si>
    <t>3616474670624</t>
  </si>
  <si>
    <t>3616475884310</t>
  </si>
  <si>
    <t>3616479092247</t>
  </si>
  <si>
    <t>3616479092254</t>
  </si>
  <si>
    <t>3616479123774</t>
  </si>
  <si>
    <t>3664944179818</t>
  </si>
  <si>
    <t>3664944179825</t>
  </si>
  <si>
    <t>3664944300120</t>
  </si>
  <si>
    <t>3664944300137</t>
  </si>
  <si>
    <t>3664944300144</t>
  </si>
  <si>
    <t>3664944300151</t>
  </si>
  <si>
    <t>3664944311720</t>
  </si>
  <si>
    <t>3664944325857</t>
  </si>
  <si>
    <t>3664944325871</t>
  </si>
  <si>
    <t>3664944390404</t>
  </si>
  <si>
    <t>3664944390435</t>
  </si>
  <si>
    <t>3664944390459</t>
  </si>
  <si>
    <t>3664944390497</t>
  </si>
  <si>
    <t>3664944393306</t>
  </si>
  <si>
    <t>3664944398103</t>
  </si>
  <si>
    <t>3664944398196</t>
  </si>
  <si>
    <t>3700590910181</t>
  </si>
  <si>
    <t>3701124303844</t>
  </si>
  <si>
    <t>3760020991272</t>
  </si>
  <si>
    <t>3760020993733</t>
  </si>
  <si>
    <t>3760020993757</t>
  </si>
  <si>
    <t>3760020993764</t>
  </si>
  <si>
    <t>3770017093414</t>
  </si>
  <si>
    <t>3872007725555</t>
  </si>
  <si>
    <t>58352</t>
  </si>
  <si>
    <t>4001702010034</t>
  </si>
  <si>
    <t>4001702010225</t>
  </si>
  <si>
    <t>4001702011420</t>
  </si>
  <si>
    <t>4001702011697</t>
  </si>
  <si>
    <t>4001702016289</t>
  </si>
  <si>
    <t>4001702016296</t>
  </si>
  <si>
    <t>4001702016548</t>
  </si>
  <si>
    <t>4001702017606</t>
  </si>
  <si>
    <t>4001702019631</t>
  </si>
  <si>
    <t>4001702019983</t>
  </si>
  <si>
    <t>4001702024260</t>
  </si>
  <si>
    <t>4001702024277</t>
  </si>
  <si>
    <t>4001702024321</t>
  </si>
  <si>
    <t>4001702024413</t>
  </si>
  <si>
    <t>4001702024550</t>
  </si>
  <si>
    <t>4001702025939</t>
  </si>
  <si>
    <t>4001702035709</t>
  </si>
  <si>
    <t>4006885213302</t>
  </si>
  <si>
    <t>4006885271609</t>
  </si>
  <si>
    <t>4006885272101</t>
  </si>
  <si>
    <t>4006885272309</t>
  </si>
  <si>
    <t>4006885703407</t>
  </si>
  <si>
    <t>4006885710603</t>
  </si>
  <si>
    <t>4006885710801</t>
  </si>
  <si>
    <t>4006885919198</t>
  </si>
  <si>
    <t>4015110007517</t>
  </si>
  <si>
    <t>4015588234002</t>
  </si>
  <si>
    <t>4016491093526</t>
  </si>
  <si>
    <t>4027521260047</t>
  </si>
  <si>
    <t>68747</t>
  </si>
  <si>
    <t>4045365119406</t>
  </si>
  <si>
    <t>4045365121218</t>
  </si>
  <si>
    <t>4045365123113</t>
  </si>
  <si>
    <t>68105</t>
  </si>
  <si>
    <t>4053423204230</t>
  </si>
  <si>
    <t>69861</t>
  </si>
  <si>
    <t>4260672432172</t>
  </si>
  <si>
    <t>4260672432998</t>
  </si>
  <si>
    <t>4719072671426</t>
  </si>
  <si>
    <t>5000204826432</t>
  </si>
  <si>
    <t>5000204826760</t>
  </si>
  <si>
    <t>5010777144246</t>
  </si>
  <si>
    <t>5010777145977</t>
  </si>
  <si>
    <t>5010777147865</t>
  </si>
  <si>
    <t>5010777153644</t>
  </si>
  <si>
    <t>DESNOUE JEROME</t>
  </si>
  <si>
    <t>16764</t>
  </si>
  <si>
    <t>5054903594086</t>
  </si>
  <si>
    <t>5054903594161</t>
  </si>
  <si>
    <t>5054903595809</t>
  </si>
  <si>
    <t>5054903626282</t>
  </si>
  <si>
    <t>5054903626329</t>
  </si>
  <si>
    <t>5054903638445</t>
  </si>
  <si>
    <t>58246</t>
  </si>
  <si>
    <t>5099179004822</t>
  </si>
  <si>
    <t>5410306007132</t>
  </si>
  <si>
    <t>5410329684754</t>
  </si>
  <si>
    <t>5411074160630</t>
  </si>
  <si>
    <t>5411074175863</t>
  </si>
  <si>
    <t>5411074178833</t>
  </si>
  <si>
    <t>5411074181253</t>
  </si>
  <si>
    <t>5411074187835</t>
  </si>
  <si>
    <t>5411074195144</t>
  </si>
  <si>
    <t>5411074202804</t>
  </si>
  <si>
    <t>5411074215866</t>
  </si>
  <si>
    <t>5411074215880</t>
  </si>
  <si>
    <t>5411074219628</t>
  </si>
  <si>
    <t>5411074219635</t>
  </si>
  <si>
    <t>5411478340331</t>
  </si>
  <si>
    <t>5411478340423</t>
  </si>
  <si>
    <t>5411478341475</t>
  </si>
  <si>
    <t>5411478342342</t>
  </si>
  <si>
    <t>5411478342373</t>
  </si>
  <si>
    <t>5411478343028</t>
  </si>
  <si>
    <t>5411478420026</t>
  </si>
  <si>
    <t>5411478420040</t>
  </si>
  <si>
    <t>5411478420163</t>
  </si>
  <si>
    <t>5411478420569</t>
  </si>
  <si>
    <t>5411478540007</t>
  </si>
  <si>
    <t>5411478540106</t>
  </si>
  <si>
    <t>5411478540151</t>
  </si>
  <si>
    <t>5411478540175</t>
  </si>
  <si>
    <t>5411478540205</t>
  </si>
  <si>
    <t>5411478540311</t>
  </si>
  <si>
    <t>5411478544142</t>
  </si>
  <si>
    <t>5411478544203</t>
  </si>
  <si>
    <t>5411478544227</t>
  </si>
  <si>
    <t>5411478544395</t>
  </si>
  <si>
    <t>5411478544418</t>
  </si>
  <si>
    <t>5411478544425</t>
  </si>
  <si>
    <t>5411478546610</t>
  </si>
  <si>
    <t>5411478546627</t>
  </si>
  <si>
    <t>5411478841630</t>
  </si>
  <si>
    <t>5411478841647</t>
  </si>
  <si>
    <t>5411478841722</t>
  </si>
  <si>
    <t>5411478841739</t>
  </si>
  <si>
    <t>5411478841791</t>
  </si>
  <si>
    <t>5411478990505</t>
  </si>
  <si>
    <t>5411478998594</t>
  </si>
  <si>
    <t>5411478998600</t>
  </si>
  <si>
    <t>5411478998617</t>
  </si>
  <si>
    <t>5411478998624</t>
  </si>
  <si>
    <t>57025</t>
  </si>
  <si>
    <t>5411708030964</t>
  </si>
  <si>
    <t>5411708043476</t>
  </si>
  <si>
    <t>5411708053116</t>
  </si>
  <si>
    <t>5411708053178</t>
  </si>
  <si>
    <t>5411708082512</t>
  </si>
  <si>
    <t>5411708179588</t>
  </si>
  <si>
    <t>5411708179595</t>
  </si>
  <si>
    <t>5411708179601</t>
  </si>
  <si>
    <t>5411708179618</t>
  </si>
  <si>
    <t>5411708179762</t>
  </si>
  <si>
    <t>5411708179786</t>
  </si>
  <si>
    <t>5411708179809</t>
  </si>
  <si>
    <t>53486</t>
  </si>
  <si>
    <t>5412488300001</t>
  </si>
  <si>
    <t>49133</t>
  </si>
  <si>
    <t>5414635037464</t>
  </si>
  <si>
    <t>5414635077545</t>
  </si>
  <si>
    <t>5414635094160</t>
  </si>
  <si>
    <t>5414635109116</t>
  </si>
  <si>
    <t>5414635113717</t>
  </si>
  <si>
    <t>5414635113809</t>
  </si>
  <si>
    <t>5414635118101</t>
  </si>
  <si>
    <t>5414635118118</t>
  </si>
  <si>
    <t>5414635119085</t>
  </si>
  <si>
    <t>5414635119092</t>
  </si>
  <si>
    <t>5414635119238</t>
  </si>
  <si>
    <t>5414635119245</t>
  </si>
  <si>
    <t>5414635119252</t>
  </si>
  <si>
    <t>5414635120432</t>
  </si>
  <si>
    <t>5414635120449</t>
  </si>
  <si>
    <t>5414635120883</t>
  </si>
  <si>
    <t>5414635120890</t>
  </si>
  <si>
    <t>96909</t>
  </si>
  <si>
    <t>5420047138590</t>
  </si>
  <si>
    <t>70258</t>
  </si>
  <si>
    <t>5901276107750</t>
  </si>
  <si>
    <t>ZHANG WEIDONG</t>
  </si>
  <si>
    <t>5901299954348</t>
  </si>
  <si>
    <t>69324</t>
  </si>
  <si>
    <t>5903802466133</t>
  </si>
  <si>
    <t>MONJANEL ADRIEN</t>
  </si>
  <si>
    <t>5903802466249</t>
  </si>
  <si>
    <t>5903855423756</t>
  </si>
  <si>
    <t>5903919593456</t>
  </si>
  <si>
    <t>5996415032161</t>
  </si>
  <si>
    <t>5996415034264</t>
  </si>
  <si>
    <t>5996415034295</t>
  </si>
  <si>
    <t>6001067004943</t>
  </si>
  <si>
    <t>6921756492427</t>
  </si>
  <si>
    <t>6921756492434</t>
  </si>
  <si>
    <t>6921756493721</t>
  </si>
  <si>
    <t>6925912711698</t>
  </si>
  <si>
    <t>6933289801928</t>
  </si>
  <si>
    <t>6938384621051</t>
  </si>
  <si>
    <t>6939663976893</t>
  </si>
  <si>
    <t>6950334808220</t>
  </si>
  <si>
    <t>6971225931728</t>
  </si>
  <si>
    <t>6971348761059</t>
  </si>
  <si>
    <t>6972235840284</t>
  </si>
  <si>
    <t>6973841000185</t>
  </si>
  <si>
    <t>6974108068818</t>
  </si>
  <si>
    <t>7290016952056</t>
  </si>
  <si>
    <t>7290016952506</t>
  </si>
  <si>
    <t>7290016952544</t>
  </si>
  <si>
    <t>7640143167630</t>
  </si>
  <si>
    <t>7640143168132</t>
  </si>
  <si>
    <t>7640162951227</t>
  </si>
  <si>
    <t>8001011631667</t>
  </si>
  <si>
    <t>8001011631773</t>
  </si>
  <si>
    <t>8001011635351</t>
  </si>
  <si>
    <t>8001011636433</t>
  </si>
  <si>
    <t>8001011636488</t>
  </si>
  <si>
    <t>8001011636679</t>
  </si>
  <si>
    <t>8001011636877</t>
  </si>
  <si>
    <t>8001011637119</t>
  </si>
  <si>
    <t>8001011637218</t>
  </si>
  <si>
    <t>8001365055003</t>
  </si>
  <si>
    <t>8001365055379</t>
  </si>
  <si>
    <t>8001841263144</t>
  </si>
  <si>
    <t>44832</t>
  </si>
  <si>
    <t>8003186006707</t>
  </si>
  <si>
    <t>8003186101501</t>
  </si>
  <si>
    <t>8006090604373</t>
  </si>
  <si>
    <t>8007382070715</t>
  </si>
  <si>
    <t>8008090604360</t>
  </si>
  <si>
    <t>8008090604384</t>
  </si>
  <si>
    <t>8008090605220</t>
  </si>
  <si>
    <t>8008090605732</t>
  </si>
  <si>
    <t>8009271142107</t>
  </si>
  <si>
    <t>8009404171486</t>
  </si>
  <si>
    <t>8013213003586</t>
  </si>
  <si>
    <t>95693</t>
  </si>
  <si>
    <t>8014966119937</t>
  </si>
  <si>
    <t>8014966397236</t>
  </si>
  <si>
    <t>8014966407584</t>
  </si>
  <si>
    <t>8014966409922</t>
  </si>
  <si>
    <t>8014966411703</t>
  </si>
  <si>
    <t>8014966414261</t>
  </si>
  <si>
    <t>8014966414308</t>
  </si>
  <si>
    <t>8051511991495</t>
  </si>
  <si>
    <t>8410446314975</t>
  </si>
  <si>
    <t>8410446316122</t>
  </si>
  <si>
    <t>8410446316146</t>
  </si>
  <si>
    <t>8410446316153</t>
  </si>
  <si>
    <t>8410446378618</t>
  </si>
  <si>
    <t>8410446378649</t>
  </si>
  <si>
    <t>8410964012834</t>
  </si>
  <si>
    <t>8410964018737</t>
  </si>
  <si>
    <t>8410964040097</t>
  </si>
  <si>
    <t>8410964040530</t>
  </si>
  <si>
    <t>8410964041100</t>
  </si>
  <si>
    <t>8410964041117</t>
  </si>
  <si>
    <t>8410964050058</t>
  </si>
  <si>
    <t>8410964050119</t>
  </si>
  <si>
    <t>8410964050195</t>
  </si>
  <si>
    <t>8410964064178</t>
  </si>
  <si>
    <t>8410964065045</t>
  </si>
  <si>
    <t>8410964128238</t>
  </si>
  <si>
    <t>8410964187600</t>
  </si>
  <si>
    <t>8410964187884</t>
  </si>
  <si>
    <t>8410964187990</t>
  </si>
  <si>
    <t>96292</t>
  </si>
  <si>
    <t>8431687400401</t>
  </si>
  <si>
    <t>8431687400418</t>
  </si>
  <si>
    <t>8431687400432</t>
  </si>
  <si>
    <t>8431687400562</t>
  </si>
  <si>
    <t>8431687402245</t>
  </si>
  <si>
    <t>8445255112917</t>
  </si>
  <si>
    <t>8586018084499</t>
  </si>
  <si>
    <t>8586018084505</t>
  </si>
  <si>
    <t>8682887043121</t>
  </si>
  <si>
    <t>8710126198209</t>
  </si>
  <si>
    <t>8710126198216</t>
  </si>
  <si>
    <t>8710126198414</t>
  </si>
  <si>
    <t>8710126198421</t>
  </si>
  <si>
    <t>8710447464489</t>
  </si>
  <si>
    <t>8711252008165</t>
  </si>
  <si>
    <t>8711252018607</t>
  </si>
  <si>
    <t>8711252022499</t>
  </si>
  <si>
    <t>8711252029108</t>
  </si>
  <si>
    <t>8711252040622</t>
  </si>
  <si>
    <t>8711252043883</t>
  </si>
  <si>
    <t>8711252043975</t>
  </si>
  <si>
    <t>8711252044842</t>
  </si>
  <si>
    <t>8711252045849</t>
  </si>
  <si>
    <t>8711252045993</t>
  </si>
  <si>
    <t>8711252053219</t>
  </si>
  <si>
    <t>8711252053301</t>
  </si>
  <si>
    <t>8711252053882</t>
  </si>
  <si>
    <t>8711252057033</t>
  </si>
  <si>
    <t>8711252058382</t>
  </si>
  <si>
    <t>8711252059754</t>
  </si>
  <si>
    <t>8711252061580</t>
  </si>
  <si>
    <t>8711252061610</t>
  </si>
  <si>
    <t>8711252064185</t>
  </si>
  <si>
    <t>8711252068251</t>
  </si>
  <si>
    <t>8711252068275</t>
  </si>
  <si>
    <t>8711252068732</t>
  </si>
  <si>
    <t>8711252074986</t>
  </si>
  <si>
    <t>8711252076287</t>
  </si>
  <si>
    <t>8711252081274</t>
  </si>
  <si>
    <t>8711252088242</t>
  </si>
  <si>
    <t>8711252095660</t>
  </si>
  <si>
    <t>8711252103600</t>
  </si>
  <si>
    <t>8711252123196</t>
  </si>
  <si>
    <t>8711252124476</t>
  </si>
  <si>
    <t>8711252146508</t>
  </si>
  <si>
    <t>8711252151274</t>
  </si>
  <si>
    <t>8711252151281</t>
  </si>
  <si>
    <t>8711252156699</t>
  </si>
  <si>
    <t>8711252156705</t>
  </si>
  <si>
    <t>8711252156736</t>
  </si>
  <si>
    <t>8711252159096</t>
  </si>
  <si>
    <t>8711252159713</t>
  </si>
  <si>
    <t>8711252162515</t>
  </si>
  <si>
    <t>8711252166117</t>
  </si>
  <si>
    <t>8711252166384</t>
  </si>
  <si>
    <t>8711252166445</t>
  </si>
  <si>
    <t>8711252166704</t>
  </si>
  <si>
    <t>8711252167886</t>
  </si>
  <si>
    <t>8711252167923</t>
  </si>
  <si>
    <t>8711252173177</t>
  </si>
  <si>
    <t>8711252177854</t>
  </si>
  <si>
    <t>8711252177861</t>
  </si>
  <si>
    <t>8711252177991</t>
  </si>
  <si>
    <t>8711252178004</t>
  </si>
  <si>
    <t>8711252179155</t>
  </si>
  <si>
    <t>8711252182131</t>
  </si>
  <si>
    <t>8711252182322</t>
  </si>
  <si>
    <t>8711252182926</t>
  </si>
  <si>
    <t>8711252185699</t>
  </si>
  <si>
    <t>8711252189383</t>
  </si>
  <si>
    <t>8711252221212</t>
  </si>
  <si>
    <t>8711252230016</t>
  </si>
  <si>
    <t>8711252265711</t>
  </si>
  <si>
    <t>8711252265759</t>
  </si>
  <si>
    <t>8711252266053</t>
  </si>
  <si>
    <t>8711252266190</t>
  </si>
  <si>
    <t>8711252267814</t>
  </si>
  <si>
    <t>8711252381176</t>
  </si>
  <si>
    <t>8711252388281</t>
  </si>
  <si>
    <t>8711252418063</t>
  </si>
  <si>
    <t>8711252418971</t>
  </si>
  <si>
    <t>8711252433967</t>
  </si>
  <si>
    <t>8711252472737</t>
  </si>
  <si>
    <t>8711252472751</t>
  </si>
  <si>
    <t>8711252487335</t>
  </si>
  <si>
    <t>8711252487342</t>
  </si>
  <si>
    <t>8711252492315</t>
  </si>
  <si>
    <t>8711252542041</t>
  </si>
  <si>
    <t>8711252544120</t>
  </si>
  <si>
    <t>8711252544854</t>
  </si>
  <si>
    <t>8711252546513</t>
  </si>
  <si>
    <t>8711252645643</t>
  </si>
  <si>
    <t>8711252706009</t>
  </si>
  <si>
    <t>8711252718576</t>
  </si>
  <si>
    <t>8711252718637</t>
  </si>
  <si>
    <t>8711252719160</t>
  </si>
  <si>
    <t>8711252720524</t>
  </si>
  <si>
    <t>8711252720951</t>
  </si>
  <si>
    <t>8711252720982</t>
  </si>
  <si>
    <t>8711252721040</t>
  </si>
  <si>
    <t>8711252721057</t>
  </si>
  <si>
    <t>8711252721125</t>
  </si>
  <si>
    <t>8711252721149</t>
  </si>
  <si>
    <t>8711252791791</t>
  </si>
  <si>
    <t>8711252793610</t>
  </si>
  <si>
    <t>8711252793887</t>
  </si>
  <si>
    <t>8711252793917</t>
  </si>
  <si>
    <t>8711252794426</t>
  </si>
  <si>
    <t>8711252794754</t>
  </si>
  <si>
    <t>8711252797410</t>
  </si>
  <si>
    <t>8711252797502</t>
  </si>
  <si>
    <t>8711252800875</t>
  </si>
  <si>
    <t>8711252820484</t>
  </si>
  <si>
    <t>8711252884165</t>
  </si>
  <si>
    <t>8711252898582</t>
  </si>
  <si>
    <t>8711252928357</t>
  </si>
  <si>
    <t>8711252956039</t>
  </si>
  <si>
    <t>8711252979502</t>
  </si>
  <si>
    <t>8711252979984</t>
  </si>
  <si>
    <t>8711252983769</t>
  </si>
  <si>
    <t>8711252986180</t>
  </si>
  <si>
    <t>8711252986197</t>
  </si>
  <si>
    <t>8711252997797</t>
  </si>
  <si>
    <t>8711252997988</t>
  </si>
  <si>
    <t>8711292202448</t>
  </si>
  <si>
    <t>8711292202912</t>
  </si>
  <si>
    <t>8711292202974</t>
  </si>
  <si>
    <t>8711292203179</t>
  </si>
  <si>
    <t>8711295038884</t>
  </si>
  <si>
    <t>8711295158742</t>
  </si>
  <si>
    <t>8711295327841</t>
  </si>
  <si>
    <t>8711295327902</t>
  </si>
  <si>
    <t>8711295390296</t>
  </si>
  <si>
    <t>8711295429880</t>
  </si>
  <si>
    <t>8711295442186</t>
  </si>
  <si>
    <t>8711295514616</t>
  </si>
  <si>
    <t>8711295660276</t>
  </si>
  <si>
    <t>8711295679636</t>
  </si>
  <si>
    <t>8711295705984</t>
  </si>
  <si>
    <t>8711295727740</t>
  </si>
  <si>
    <t>8711295751967</t>
  </si>
  <si>
    <t>8711295864575</t>
  </si>
  <si>
    <t>8711295867798</t>
  </si>
  <si>
    <t>8711295888700</t>
  </si>
  <si>
    <t>8711295932069</t>
  </si>
  <si>
    <t>8711295934216</t>
  </si>
  <si>
    <t>8711808312913</t>
  </si>
  <si>
    <t>8711808607262</t>
  </si>
  <si>
    <t>8711808810358</t>
  </si>
  <si>
    <t>8712026003188</t>
  </si>
  <si>
    <t>8712026440846</t>
  </si>
  <si>
    <t>97820</t>
  </si>
  <si>
    <t>8712628071004</t>
  </si>
  <si>
    <t>93450</t>
  </si>
  <si>
    <t>8712856049950</t>
  </si>
  <si>
    <t>8712856053650</t>
  </si>
  <si>
    <t>8712856055302</t>
  </si>
  <si>
    <t>8712856061051</t>
  </si>
  <si>
    <t>8712856062737</t>
  </si>
  <si>
    <t>8712856064007</t>
  </si>
  <si>
    <t>8712856066674</t>
  </si>
  <si>
    <t>8712856066698</t>
  </si>
  <si>
    <t>8712879149545</t>
  </si>
  <si>
    <t>8712879149552</t>
  </si>
  <si>
    <t>8712879149569</t>
  </si>
  <si>
    <t>8712879149576</t>
  </si>
  <si>
    <t>8712879149583</t>
  </si>
  <si>
    <t>8712879149750</t>
  </si>
  <si>
    <t>8712879149989</t>
  </si>
  <si>
    <t>8712879150053</t>
  </si>
  <si>
    <t>8712879150626</t>
  </si>
  <si>
    <t>8713305813238</t>
  </si>
  <si>
    <t>8717163640692</t>
  </si>
  <si>
    <t>8717234004286</t>
  </si>
  <si>
    <t>57156</t>
  </si>
  <si>
    <t>8717448004522</t>
  </si>
  <si>
    <t>GOURMELON ROMAIN</t>
  </si>
  <si>
    <t>8717448030729</t>
  </si>
  <si>
    <t>8717448034949</t>
  </si>
  <si>
    <t>8717448036950</t>
  </si>
  <si>
    <t>8718158320643</t>
  </si>
  <si>
    <t>8718158427861</t>
  </si>
  <si>
    <t>8718158721365</t>
  </si>
  <si>
    <t>8718692412873</t>
  </si>
  <si>
    <t>8718776015716</t>
  </si>
  <si>
    <t>8718776107350</t>
  </si>
  <si>
    <t>8719202023251</t>
  </si>
  <si>
    <t>8719202185614</t>
  </si>
  <si>
    <t>8719202355765</t>
  </si>
  <si>
    <t>8719202518351</t>
  </si>
  <si>
    <t>8719202531473</t>
  </si>
  <si>
    <t>8719202531503</t>
  </si>
  <si>
    <t>8719202538724</t>
  </si>
  <si>
    <t>8719202811223</t>
  </si>
  <si>
    <t>8719202889420</t>
  </si>
  <si>
    <t>8719202900095</t>
  </si>
  <si>
    <t>8719202923599</t>
  </si>
  <si>
    <t>8719407037701</t>
  </si>
  <si>
    <t>8719987011290</t>
  </si>
  <si>
    <t>8719987019395</t>
  </si>
  <si>
    <t>8719987076589</t>
  </si>
  <si>
    <t>8719987076657</t>
  </si>
  <si>
    <t>8719987171802</t>
  </si>
  <si>
    <t>8719987173899</t>
  </si>
  <si>
    <t>8719987196003</t>
  </si>
  <si>
    <t>8719987291203</t>
  </si>
  <si>
    <t>8719987326288</t>
  </si>
  <si>
    <t>8719987387289</t>
  </si>
  <si>
    <t>8719987387821</t>
  </si>
  <si>
    <t>8719987451393</t>
  </si>
  <si>
    <t>8719987452314</t>
  </si>
  <si>
    <t>8719987465253</t>
  </si>
  <si>
    <t>8719987510410</t>
  </si>
  <si>
    <t>8719987525827</t>
  </si>
  <si>
    <t>8719987586088</t>
  </si>
  <si>
    <t>8719987591020</t>
  </si>
  <si>
    <t>8719987644290</t>
  </si>
  <si>
    <t>8719987749865</t>
  </si>
  <si>
    <t>8719987795725</t>
  </si>
  <si>
    <t>8719987875113</t>
  </si>
  <si>
    <t>8719987882692</t>
  </si>
  <si>
    <t>8720077145320</t>
  </si>
  <si>
    <t>8720077191150</t>
  </si>
  <si>
    <t>8720077191167</t>
  </si>
  <si>
    <t>8720077197527</t>
  </si>
  <si>
    <t>8720077212060</t>
  </si>
  <si>
    <t>8720077228474</t>
  </si>
  <si>
    <t>8720077230088</t>
  </si>
  <si>
    <t>8720077242524</t>
  </si>
  <si>
    <t>8720077242548</t>
  </si>
  <si>
    <t>8720077255517</t>
  </si>
  <si>
    <t>8720077259973</t>
  </si>
  <si>
    <t>8720077261792</t>
  </si>
  <si>
    <t>8720077262201</t>
  </si>
  <si>
    <t>8720077262218</t>
  </si>
  <si>
    <t>8720077263536</t>
  </si>
  <si>
    <t>8720077270121</t>
  </si>
  <si>
    <t>8720573057721</t>
  </si>
  <si>
    <t>8720573074650</t>
  </si>
  <si>
    <t>8720573126458</t>
  </si>
  <si>
    <t>8720573126502</t>
  </si>
  <si>
    <t>8720573143257</t>
  </si>
  <si>
    <t>8720573178457</t>
  </si>
  <si>
    <t>8720573207799</t>
  </si>
  <si>
    <t>8720573207829</t>
  </si>
  <si>
    <t>8720573207850</t>
  </si>
  <si>
    <t>8720573207904</t>
  </si>
  <si>
    <t>8720573208444</t>
  </si>
  <si>
    <t>8720573357418</t>
  </si>
  <si>
    <t>8711252174952</t>
  </si>
  <si>
    <t>8711252174969</t>
  </si>
  <si>
    <t>8711252174976</t>
  </si>
  <si>
    <t>8711252174983</t>
  </si>
  <si>
    <t>8719202049527</t>
  </si>
  <si>
    <t>8719987880100</t>
  </si>
  <si>
    <t>8720588048165</t>
  </si>
  <si>
    <t>3560071440688</t>
  </si>
  <si>
    <t>8412081320090</t>
  </si>
  <si>
    <t>8412081320250</t>
  </si>
  <si>
    <t>8412081320373</t>
  </si>
  <si>
    <t>8412081320380</t>
  </si>
  <si>
    <t>8412081320427</t>
  </si>
  <si>
    <t>8412081320540</t>
  </si>
  <si>
    <t>8412081320588</t>
  </si>
  <si>
    <t>8710552262512</t>
  </si>
  <si>
    <t>8718158254733</t>
  </si>
  <si>
    <t>8719987588594</t>
  </si>
  <si>
    <t>8719987588631</t>
  </si>
  <si>
    <t>24496</t>
  </si>
  <si>
    <t>11</t>
  </si>
  <si>
    <t>3112430098049</t>
  </si>
  <si>
    <t>3112430098056</t>
  </si>
  <si>
    <t>3112430099886</t>
  </si>
  <si>
    <t>3112430099893</t>
  </si>
  <si>
    <t>3120092810121</t>
  </si>
  <si>
    <t>3120092860416</t>
  </si>
  <si>
    <t>3156830060077</t>
  </si>
  <si>
    <t>3156839907885</t>
  </si>
  <si>
    <t>3162450003110</t>
  </si>
  <si>
    <t>3165140882880</t>
  </si>
  <si>
    <t>3165140962742</t>
  </si>
  <si>
    <t>3165140966337</t>
  </si>
  <si>
    <t>45</t>
  </si>
  <si>
    <t>3245411836290</t>
  </si>
  <si>
    <t>3270190118817</t>
  </si>
  <si>
    <t>3270190131526</t>
  </si>
  <si>
    <t>3270190138815</t>
  </si>
  <si>
    <t>55890</t>
  </si>
  <si>
    <t>3270190194705</t>
  </si>
  <si>
    <t>90112</t>
  </si>
  <si>
    <t>3270190583349</t>
  </si>
  <si>
    <t>CHARLENE</t>
  </si>
  <si>
    <t>3270190583356</t>
  </si>
  <si>
    <t>3270190583363</t>
  </si>
  <si>
    <t>3270190583370</t>
  </si>
  <si>
    <t>3270190583387</t>
  </si>
  <si>
    <t>3270190684114</t>
  </si>
  <si>
    <t>3270190684336</t>
  </si>
  <si>
    <t>3270192721190</t>
  </si>
  <si>
    <t>56416</t>
  </si>
  <si>
    <t>3270192754396</t>
  </si>
  <si>
    <t>VALLIER AMANDINE</t>
  </si>
  <si>
    <t>3367305274558</t>
  </si>
  <si>
    <t>3390509643585</t>
  </si>
  <si>
    <t>95540</t>
  </si>
  <si>
    <t>0074451102996</t>
  </si>
  <si>
    <t>BOULAKHSAS AMAR</t>
  </si>
  <si>
    <t>0074451111547</t>
  </si>
  <si>
    <t>0074451607019</t>
  </si>
  <si>
    <t>0811642007612</t>
  </si>
  <si>
    <t>0811642007629</t>
  </si>
  <si>
    <t>0883314761122</t>
  </si>
  <si>
    <t>0883314761160</t>
  </si>
  <si>
    <t>0883314761177</t>
  </si>
  <si>
    <t>0883314761184</t>
  </si>
  <si>
    <t>0883314772180</t>
  </si>
  <si>
    <t>0883314825749</t>
  </si>
  <si>
    <t>0883314842760</t>
  </si>
  <si>
    <t>0883314881943</t>
  </si>
  <si>
    <t>13475</t>
  </si>
  <si>
    <t>19</t>
  </si>
  <si>
    <t>3020122503507</t>
  </si>
  <si>
    <t>FERNANDES PIERRE</t>
  </si>
  <si>
    <t>3020122503521</t>
  </si>
  <si>
    <t>3020122503569</t>
  </si>
  <si>
    <t>3020122503811</t>
  </si>
  <si>
    <t>3045050073991</t>
  </si>
  <si>
    <t>3112430019303</t>
  </si>
  <si>
    <t>3112430028480</t>
  </si>
  <si>
    <t>3112430029067</t>
  </si>
  <si>
    <t>3112430029104</t>
  </si>
  <si>
    <t>3112430089801</t>
  </si>
  <si>
    <t>3112430097509</t>
  </si>
  <si>
    <t>3112430098032</t>
  </si>
  <si>
    <t>41859</t>
  </si>
  <si>
    <t>3390509945504</t>
  </si>
  <si>
    <t>3390509945511</t>
  </si>
  <si>
    <t>3390509945528</t>
  </si>
  <si>
    <t>3390509945535</t>
  </si>
  <si>
    <t>3390509945542</t>
  </si>
  <si>
    <t>3390509945566</t>
  </si>
  <si>
    <t>3390509945573</t>
  </si>
  <si>
    <t>3390509945597</t>
  </si>
  <si>
    <t>3390509945603</t>
  </si>
  <si>
    <t>3390509945610</t>
  </si>
  <si>
    <t>3390509945627</t>
  </si>
  <si>
    <t>3390509945634</t>
  </si>
  <si>
    <t>3390509945641</t>
  </si>
  <si>
    <t>3390509945658</t>
  </si>
  <si>
    <t>3390509945665</t>
  </si>
  <si>
    <t>3390509945672</t>
  </si>
  <si>
    <t>3390509945689</t>
  </si>
  <si>
    <t>3390509945696</t>
  </si>
  <si>
    <t>3390509945702</t>
  </si>
  <si>
    <t>3390509945719</t>
  </si>
  <si>
    <t>3390509945726</t>
  </si>
  <si>
    <t>3390509945733</t>
  </si>
  <si>
    <t>3390509945740</t>
  </si>
  <si>
    <t>3390509945757</t>
  </si>
  <si>
    <t>3390509945788</t>
  </si>
  <si>
    <t>3390509945795</t>
  </si>
  <si>
    <t>3390509945801</t>
  </si>
  <si>
    <t>3390509945818</t>
  </si>
  <si>
    <t>3390509945849</t>
  </si>
  <si>
    <t>3390509945856</t>
  </si>
  <si>
    <t>3390509945870</t>
  </si>
  <si>
    <t>3390509945887</t>
  </si>
  <si>
    <t>BOUSSION DAVID</t>
  </si>
  <si>
    <t>3390509945894</t>
  </si>
  <si>
    <t>3390509952274</t>
  </si>
  <si>
    <t>3390509952281</t>
  </si>
  <si>
    <t>3390509952298</t>
  </si>
  <si>
    <t>3390509952328</t>
  </si>
  <si>
    <t>3390509952342</t>
  </si>
  <si>
    <t>3390509952441</t>
  </si>
  <si>
    <t>3390509952465</t>
  </si>
  <si>
    <t>3390509952496</t>
  </si>
  <si>
    <t>3390509959235</t>
  </si>
  <si>
    <t>45676</t>
  </si>
  <si>
    <t>3390509962440</t>
  </si>
  <si>
    <t>3390509962457</t>
  </si>
  <si>
    <t>3390509962495</t>
  </si>
  <si>
    <t>3390509962501</t>
  </si>
  <si>
    <t>3390509963959</t>
  </si>
  <si>
    <t>3390509963973</t>
  </si>
  <si>
    <t>3390509963980</t>
  </si>
  <si>
    <t>3390509999057</t>
  </si>
  <si>
    <t>47069</t>
  </si>
  <si>
    <t>3523670150594</t>
  </si>
  <si>
    <t>SAV NON CONFORME NE PAS UTILIS</t>
  </si>
  <si>
    <t>3560070182367</t>
  </si>
  <si>
    <t>3560070215218</t>
  </si>
  <si>
    <t>3560070635368</t>
  </si>
  <si>
    <t>3560070715336</t>
  </si>
  <si>
    <t>3560070723836</t>
  </si>
  <si>
    <t>3560070759163</t>
  </si>
  <si>
    <t>3560070802586</t>
  </si>
  <si>
    <t>3560070823024</t>
  </si>
  <si>
    <t>54267</t>
  </si>
  <si>
    <t>3560070827893</t>
  </si>
  <si>
    <t>3560070829767</t>
  </si>
  <si>
    <t>3560071094584</t>
  </si>
  <si>
    <t>3560071244316</t>
  </si>
  <si>
    <t>3560071320478</t>
  </si>
  <si>
    <t>3560071320485</t>
  </si>
  <si>
    <t>3560071320508</t>
  </si>
  <si>
    <t>3560071320522</t>
  </si>
  <si>
    <t>3560071320553</t>
  </si>
  <si>
    <t>93429</t>
  </si>
  <si>
    <t>3560071442453</t>
  </si>
  <si>
    <t>SILLIERE MELISSA</t>
  </si>
  <si>
    <t>3560071442484</t>
  </si>
  <si>
    <t>3606606487800</t>
  </si>
  <si>
    <t>3608141634954</t>
  </si>
  <si>
    <t>3608141635258</t>
  </si>
  <si>
    <t>3608141635661</t>
  </si>
  <si>
    <t>3608141635791</t>
  </si>
  <si>
    <t>3608141635975</t>
  </si>
  <si>
    <t>3608141873018</t>
  </si>
  <si>
    <t>3608142554701</t>
  </si>
  <si>
    <t>3608142554756</t>
  </si>
  <si>
    <t>3608142813938</t>
  </si>
  <si>
    <t>3608142813952</t>
  </si>
  <si>
    <t>3608142932356</t>
  </si>
  <si>
    <t>3608142932363</t>
  </si>
  <si>
    <t>3608142932370</t>
  </si>
  <si>
    <t>3608142932387</t>
  </si>
  <si>
    <t>3608143170504</t>
  </si>
  <si>
    <t>3608143170511</t>
  </si>
  <si>
    <t>3608143170528</t>
  </si>
  <si>
    <t>19113</t>
  </si>
  <si>
    <t>3608143327939</t>
  </si>
  <si>
    <t>3608143537154</t>
  </si>
  <si>
    <t>3608143537161</t>
  </si>
  <si>
    <t>3608143650037</t>
  </si>
  <si>
    <t>3608143650044</t>
  </si>
  <si>
    <t>3608144332246</t>
  </si>
  <si>
    <t>99476</t>
  </si>
  <si>
    <t>3608144531380</t>
  </si>
  <si>
    <t>3608144711072</t>
  </si>
  <si>
    <t>3608480152829</t>
  </si>
  <si>
    <t>3609230417342</t>
  </si>
  <si>
    <t>3609230674363</t>
  </si>
  <si>
    <t>3609231001366</t>
  </si>
  <si>
    <t>3609231808323</t>
  </si>
  <si>
    <t>3609231814195</t>
  </si>
  <si>
    <t>93389</t>
  </si>
  <si>
    <t>3609232009484</t>
  </si>
  <si>
    <t>3609232009491</t>
  </si>
  <si>
    <t>3609232009507</t>
  </si>
  <si>
    <t>3609232009521</t>
  </si>
  <si>
    <t>3609232009538</t>
  </si>
  <si>
    <t>3609232009545</t>
  </si>
  <si>
    <t>3609232009590</t>
  </si>
  <si>
    <t>3609232009606</t>
  </si>
  <si>
    <t>3609232009637</t>
  </si>
  <si>
    <t>46624</t>
  </si>
  <si>
    <t>3609232611489</t>
  </si>
  <si>
    <t>3609232611519</t>
  </si>
  <si>
    <t>3610882195359</t>
  </si>
  <si>
    <t>3610882476625</t>
  </si>
  <si>
    <t>3610882476632</t>
  </si>
  <si>
    <t>3610882476649</t>
  </si>
  <si>
    <t>3610882476656</t>
  </si>
  <si>
    <t>3610883036804</t>
  </si>
  <si>
    <t>3610883316081</t>
  </si>
  <si>
    <t>3610883316142</t>
  </si>
  <si>
    <t>3613865240244</t>
  </si>
  <si>
    <t>3613865240749</t>
  </si>
  <si>
    <t>3613865240756</t>
  </si>
  <si>
    <t>3613865451459</t>
  </si>
  <si>
    <t>46775</t>
  </si>
  <si>
    <t>3613866427859</t>
  </si>
  <si>
    <t>3613866427866</t>
  </si>
  <si>
    <t>3614610147276</t>
  </si>
  <si>
    <t>3614610147283</t>
  </si>
  <si>
    <t>3614610147306</t>
  </si>
  <si>
    <t>3614610822654</t>
  </si>
  <si>
    <t>85536</t>
  </si>
  <si>
    <t>3614610822661</t>
  </si>
  <si>
    <t>3614610822678</t>
  </si>
  <si>
    <t>82764</t>
  </si>
  <si>
    <t>3614610847343</t>
  </si>
  <si>
    <t>3614611302780</t>
  </si>
  <si>
    <t>3614611302803</t>
  </si>
  <si>
    <t>3614611312741</t>
  </si>
  <si>
    <t>3614611312765</t>
  </si>
  <si>
    <t>59144</t>
  </si>
  <si>
    <t>3614611577157</t>
  </si>
  <si>
    <t>3614611577171</t>
  </si>
  <si>
    <t>3614611616726</t>
  </si>
  <si>
    <t>3614611616740</t>
  </si>
  <si>
    <t>3614612156283</t>
  </si>
  <si>
    <t>3614612258062</t>
  </si>
  <si>
    <t>3614612258079</t>
  </si>
  <si>
    <t>3614612258833</t>
  </si>
  <si>
    <t>3614612267224</t>
  </si>
  <si>
    <t>3614612348558</t>
  </si>
  <si>
    <t>3614612364626</t>
  </si>
  <si>
    <t>3614612573745</t>
  </si>
  <si>
    <t>3614613385446</t>
  </si>
  <si>
    <t>3614613385453</t>
  </si>
  <si>
    <t>3614613385460</t>
  </si>
  <si>
    <t>3614613413798</t>
  </si>
  <si>
    <t>3614613612702</t>
  </si>
  <si>
    <t>3614613612719</t>
  </si>
  <si>
    <t>3614613612726</t>
  </si>
  <si>
    <t>3614613612733</t>
  </si>
  <si>
    <t>3614613612740</t>
  </si>
  <si>
    <t>3614614121111</t>
  </si>
  <si>
    <t>3614614245008</t>
  </si>
  <si>
    <t>3614614245022</t>
  </si>
  <si>
    <t>3614614245046</t>
  </si>
  <si>
    <t>3614614507304</t>
  </si>
  <si>
    <t>3614614904226</t>
  </si>
  <si>
    <t>3614614904233</t>
  </si>
  <si>
    <t>3615004360226</t>
  </si>
  <si>
    <t>3615004360240</t>
  </si>
  <si>
    <t>3615004360264</t>
  </si>
  <si>
    <t>3615004360288</t>
  </si>
  <si>
    <t>3615004360301</t>
  </si>
  <si>
    <t>3615004555097</t>
  </si>
  <si>
    <t>3615004555103</t>
  </si>
  <si>
    <t>3615004555110</t>
  </si>
  <si>
    <t>3615004555127</t>
  </si>
  <si>
    <t>3615004555158</t>
  </si>
  <si>
    <t>3615004555165</t>
  </si>
  <si>
    <t>3615004555172</t>
  </si>
  <si>
    <t>3615004555189</t>
  </si>
  <si>
    <t>3615004555257</t>
  </si>
  <si>
    <t>3615004555264</t>
  </si>
  <si>
    <t>3615004572728</t>
  </si>
  <si>
    <t>94906</t>
  </si>
  <si>
    <t>3615004582147</t>
  </si>
  <si>
    <t>3615004582208</t>
  </si>
  <si>
    <t>3615004582260</t>
  </si>
  <si>
    <t>3615004582277</t>
  </si>
  <si>
    <t>3615004582307</t>
  </si>
  <si>
    <t>3615004582314</t>
  </si>
  <si>
    <t>3615004582338</t>
  </si>
  <si>
    <t>3615004582345</t>
  </si>
  <si>
    <t>3615004582352</t>
  </si>
  <si>
    <t>3615004582369</t>
  </si>
  <si>
    <t>3615004582376</t>
  </si>
  <si>
    <t>3615004582390</t>
  </si>
  <si>
    <t>3615004582406</t>
  </si>
  <si>
    <t>82420</t>
  </si>
  <si>
    <t>3615004657173</t>
  </si>
  <si>
    <t>3615004657180</t>
  </si>
  <si>
    <t>3615004922790</t>
  </si>
  <si>
    <t>3615004922813</t>
  </si>
  <si>
    <t>3615004923001</t>
  </si>
  <si>
    <t>3615004923025</t>
  </si>
  <si>
    <t>3615004923032</t>
  </si>
  <si>
    <t>3615004923056</t>
  </si>
  <si>
    <t>3615004923063</t>
  </si>
  <si>
    <t>3615004923087</t>
  </si>
  <si>
    <t>3615005361758</t>
  </si>
  <si>
    <t>3615005361765</t>
  </si>
  <si>
    <t>3615005361789</t>
  </si>
  <si>
    <t>3615005361796</t>
  </si>
  <si>
    <t>3615005375267</t>
  </si>
  <si>
    <t>3615005375274</t>
  </si>
  <si>
    <t>3615005424590</t>
  </si>
  <si>
    <t>3615005424637</t>
  </si>
  <si>
    <t>3615005424651</t>
  </si>
  <si>
    <t>3615005424699</t>
  </si>
  <si>
    <t>3615005424866</t>
  </si>
  <si>
    <t>3615005424873</t>
  </si>
  <si>
    <t>3615005495484</t>
  </si>
  <si>
    <t>3615005677248</t>
  </si>
  <si>
    <t>92309</t>
  </si>
  <si>
    <t>3615005681023</t>
  </si>
  <si>
    <t>3615005837901</t>
  </si>
  <si>
    <t>3615005891972</t>
  </si>
  <si>
    <t>3616180076208</t>
  </si>
  <si>
    <t>3616180076239</t>
  </si>
  <si>
    <t>3616180076246</t>
  </si>
  <si>
    <t>3616180372188</t>
  </si>
  <si>
    <t>3616180385935</t>
  </si>
  <si>
    <t>3616180385959</t>
  </si>
  <si>
    <t>3616180385966</t>
  </si>
  <si>
    <t>3616180398331</t>
  </si>
  <si>
    <t>3616180398348</t>
  </si>
  <si>
    <t>3616180398355</t>
  </si>
  <si>
    <t>3616180398362</t>
  </si>
  <si>
    <t>3616180398379</t>
  </si>
  <si>
    <t>3616180398454</t>
  </si>
  <si>
    <t>3616180398461</t>
  </si>
  <si>
    <t>3616180398478</t>
  </si>
  <si>
    <t>3616180398492</t>
  </si>
  <si>
    <t>3616180398508</t>
  </si>
  <si>
    <t>3616180398515</t>
  </si>
  <si>
    <t>3616180398553</t>
  </si>
  <si>
    <t>3616180398560</t>
  </si>
  <si>
    <t>3616180398577</t>
  </si>
  <si>
    <t>3616180398584</t>
  </si>
  <si>
    <t>3616180398591</t>
  </si>
  <si>
    <t>3616180398607</t>
  </si>
  <si>
    <t>3616180398614</t>
  </si>
  <si>
    <t>3616180420353</t>
  </si>
  <si>
    <t>3616180420551</t>
  </si>
  <si>
    <t>3616180782352</t>
  </si>
  <si>
    <t>3616180782369</t>
  </si>
  <si>
    <t>3616180782376</t>
  </si>
  <si>
    <t>3616180782383</t>
  </si>
  <si>
    <t>3616180782390</t>
  </si>
  <si>
    <t>3616180782406</t>
  </si>
  <si>
    <t>3616180782413</t>
  </si>
  <si>
    <t>3616180782420</t>
  </si>
  <si>
    <t>3616180867622</t>
  </si>
  <si>
    <t>3616180867639</t>
  </si>
  <si>
    <t>3616180867646</t>
  </si>
  <si>
    <t>3616180867684</t>
  </si>
  <si>
    <t>3616180867691</t>
  </si>
  <si>
    <t>3616181039158</t>
  </si>
  <si>
    <t>3616181066734</t>
  </si>
  <si>
    <t>3616181066918</t>
  </si>
  <si>
    <t>3616181066925</t>
  </si>
  <si>
    <t>3616181095918</t>
  </si>
  <si>
    <t>3616181096243</t>
  </si>
  <si>
    <t>3616181096267</t>
  </si>
  <si>
    <t>3616181098117</t>
  </si>
  <si>
    <t>3616181098124</t>
  </si>
  <si>
    <t>3616181123918</t>
  </si>
  <si>
    <t>3616181136888</t>
  </si>
  <si>
    <t>3616181138820</t>
  </si>
  <si>
    <t>3616181169688</t>
  </si>
  <si>
    <t>3616181921750</t>
  </si>
  <si>
    <t>3616181921767</t>
  </si>
  <si>
    <t>3616182363412</t>
  </si>
  <si>
    <t>3616182369155</t>
  </si>
  <si>
    <t>3616182369162</t>
  </si>
  <si>
    <t>3616182369179</t>
  </si>
  <si>
    <t>3616182369186</t>
  </si>
  <si>
    <t>3616182369193</t>
  </si>
  <si>
    <t>3616182369209</t>
  </si>
  <si>
    <t>3616182369216</t>
  </si>
  <si>
    <t>3616182369223</t>
  </si>
  <si>
    <t>3616182369230</t>
  </si>
  <si>
    <t>3616182440045</t>
  </si>
  <si>
    <t>3616473100290</t>
  </si>
  <si>
    <t>3616473100313</t>
  </si>
  <si>
    <t>3616473100320</t>
  </si>
  <si>
    <t>3616473100337</t>
  </si>
  <si>
    <t>3616473100344</t>
  </si>
  <si>
    <t>3616473100368</t>
  </si>
  <si>
    <t>3616473100641</t>
  </si>
  <si>
    <t>3616473100658</t>
  </si>
  <si>
    <t>3616473120687</t>
  </si>
  <si>
    <t>3616473120694</t>
  </si>
  <si>
    <t>3616473122131</t>
  </si>
  <si>
    <t>3616473122148</t>
  </si>
  <si>
    <t>3616473122155</t>
  </si>
  <si>
    <t>3616473122186</t>
  </si>
  <si>
    <t>3616473195340</t>
  </si>
  <si>
    <t>3616473195357</t>
  </si>
  <si>
    <t>3616473195364</t>
  </si>
  <si>
    <t>3616473670892</t>
  </si>
  <si>
    <t>3616473670915</t>
  </si>
  <si>
    <t>3616473894458</t>
  </si>
  <si>
    <t>3616473894489</t>
  </si>
  <si>
    <t>3616473894496</t>
  </si>
  <si>
    <t>3616473894502</t>
  </si>
  <si>
    <t>3616474011847</t>
  </si>
  <si>
    <t>3616474011885</t>
  </si>
  <si>
    <t>3616474011892</t>
  </si>
  <si>
    <t>3616474011915</t>
  </si>
  <si>
    <t>3616474028074</t>
  </si>
  <si>
    <t>3616474028104</t>
  </si>
  <si>
    <t>3616474414884</t>
  </si>
  <si>
    <t>3616474414914</t>
  </si>
  <si>
    <t>3616474473393</t>
  </si>
  <si>
    <t>3616474501416</t>
  </si>
  <si>
    <t>3616474651326</t>
  </si>
  <si>
    <t>3616474651333</t>
  </si>
  <si>
    <t>3616474651340</t>
  </si>
  <si>
    <t>3616474651357</t>
  </si>
  <si>
    <t>3616474651364</t>
  </si>
  <si>
    <t>3616474651371</t>
  </si>
  <si>
    <t>3616474651388</t>
  </si>
  <si>
    <t>3616474671744</t>
  </si>
  <si>
    <t>3616474671768</t>
  </si>
  <si>
    <t>3616474671782</t>
  </si>
  <si>
    <t>3616474671805</t>
  </si>
  <si>
    <t>3616474681194</t>
  </si>
  <si>
    <t>3616474681217</t>
  </si>
  <si>
    <t>3616474774933</t>
  </si>
  <si>
    <t>3616474824010</t>
  </si>
  <si>
    <t>3616475255585</t>
  </si>
  <si>
    <t>3616475854948</t>
  </si>
  <si>
    <t>3616475854962</t>
  </si>
  <si>
    <t>3616475918350</t>
  </si>
  <si>
    <t>3616479204015</t>
  </si>
  <si>
    <t>3616479228592</t>
  </si>
  <si>
    <t>3616479228608</t>
  </si>
  <si>
    <t>3616479228615</t>
  </si>
  <si>
    <t>3616479228622</t>
  </si>
  <si>
    <t>3616479228639</t>
  </si>
  <si>
    <t>3616479259411</t>
  </si>
  <si>
    <t>3616479524359</t>
  </si>
  <si>
    <t>87680</t>
  </si>
  <si>
    <t>3616479615989</t>
  </si>
  <si>
    <t>3663374020370</t>
  </si>
  <si>
    <t>3663374020387</t>
  </si>
  <si>
    <t>3664944184911</t>
  </si>
  <si>
    <t>3664944310143</t>
  </si>
  <si>
    <t>3664944326809</t>
  </si>
  <si>
    <t>3664944326823</t>
  </si>
  <si>
    <t>3664944390503</t>
  </si>
  <si>
    <t>48749</t>
  </si>
  <si>
    <t>3700008733746</t>
  </si>
  <si>
    <t>87690</t>
  </si>
  <si>
    <t>3700292915705</t>
  </si>
  <si>
    <t>3700292916184</t>
  </si>
  <si>
    <t>3700292916207</t>
  </si>
  <si>
    <t>3760165680123</t>
  </si>
  <si>
    <t>3856004414292</t>
  </si>
  <si>
    <t>4003686283381</t>
  </si>
  <si>
    <t>4006885150201</t>
  </si>
  <si>
    <t>4006885162198</t>
  </si>
  <si>
    <t>4006885162693</t>
  </si>
  <si>
    <t>4006885168596</t>
  </si>
  <si>
    <t>4006885170599</t>
  </si>
  <si>
    <t>4006885175600</t>
  </si>
  <si>
    <t>4006885175709</t>
  </si>
  <si>
    <t>4006885176201</t>
  </si>
  <si>
    <t>4006885176300</t>
  </si>
  <si>
    <t>4006885185005</t>
  </si>
  <si>
    <t>4006885185203</t>
  </si>
  <si>
    <t>4006885186514</t>
  </si>
  <si>
    <t>4006885186903</t>
  </si>
  <si>
    <t>4006885191617</t>
  </si>
  <si>
    <t>4006885196919</t>
  </si>
  <si>
    <t>4006885198623</t>
  </si>
  <si>
    <t>4006885199804</t>
  </si>
  <si>
    <t>4006885204904</t>
  </si>
  <si>
    <t>4006885207004</t>
  </si>
  <si>
    <t>4006885210004</t>
  </si>
  <si>
    <t>4006885210905</t>
  </si>
  <si>
    <t>4006885214200</t>
  </si>
  <si>
    <t>4006885216204</t>
  </si>
  <si>
    <t>4006885217409</t>
  </si>
  <si>
    <t>4006885225107</t>
  </si>
  <si>
    <t>4006885225916</t>
  </si>
  <si>
    <t>4006885254008</t>
  </si>
  <si>
    <t>4006885264908</t>
  </si>
  <si>
    <t>4006885271500</t>
  </si>
  <si>
    <t>4006885290600</t>
  </si>
  <si>
    <t>4006885290808</t>
  </si>
  <si>
    <t>4006885314108</t>
  </si>
  <si>
    <t>4006885399600</t>
  </si>
  <si>
    <t>4006885424708</t>
  </si>
  <si>
    <t>4006885702608</t>
  </si>
  <si>
    <t>4006885703100</t>
  </si>
  <si>
    <t>4006885703605</t>
  </si>
  <si>
    <t>4006885704602</t>
  </si>
  <si>
    <t>4006885840904</t>
  </si>
  <si>
    <t>4006885872806</t>
  </si>
  <si>
    <t>4012093690835</t>
  </si>
  <si>
    <t>4012093904192</t>
  </si>
  <si>
    <t>4017239205331</t>
  </si>
  <si>
    <t>4084500980075</t>
  </si>
  <si>
    <t>4690509033232</t>
  </si>
  <si>
    <t>4895229108592</t>
  </si>
  <si>
    <t>4895229108851</t>
  </si>
  <si>
    <t>5016326091719</t>
  </si>
  <si>
    <t>5016326092075</t>
  </si>
  <si>
    <t>5016326093287</t>
  </si>
  <si>
    <t>5016326093348</t>
  </si>
  <si>
    <t>5016326093386</t>
  </si>
  <si>
    <t>5016326096752</t>
  </si>
  <si>
    <t>5016326097001</t>
  </si>
  <si>
    <t>5023041544246</t>
  </si>
  <si>
    <t>5023041544369</t>
  </si>
  <si>
    <t>5023041544406</t>
  </si>
  <si>
    <t>5023041544444</t>
  </si>
  <si>
    <t>5023041544529</t>
  </si>
  <si>
    <t>5023041544604</t>
  </si>
  <si>
    <t>5023041544642</t>
  </si>
  <si>
    <t>5035048486283</t>
  </si>
  <si>
    <t>5054903628729</t>
  </si>
  <si>
    <t>5054903638247</t>
  </si>
  <si>
    <t>5054903638322</t>
  </si>
  <si>
    <t>5054903638360</t>
  </si>
  <si>
    <t>94001</t>
  </si>
  <si>
    <t>5404014502034</t>
  </si>
  <si>
    <t>5404014502225</t>
  </si>
  <si>
    <t>5404014502294</t>
  </si>
  <si>
    <t>5404014502379</t>
  </si>
  <si>
    <t>5404014502447</t>
  </si>
  <si>
    <t>5404014502515</t>
  </si>
  <si>
    <t>5404014502591</t>
  </si>
  <si>
    <t>5411895599992</t>
  </si>
  <si>
    <t>5412416229077</t>
  </si>
  <si>
    <t>5412416229114</t>
  </si>
  <si>
    <t>5412618082166</t>
  </si>
  <si>
    <t>5412618082173</t>
  </si>
  <si>
    <t>5412618093421</t>
  </si>
  <si>
    <t>5412618093803</t>
  </si>
  <si>
    <t>5412618125368</t>
  </si>
  <si>
    <t>5412618125771</t>
  </si>
  <si>
    <t>5413149055773</t>
  </si>
  <si>
    <t>5413149130692</t>
  </si>
  <si>
    <t>5425038681529</t>
  </si>
  <si>
    <t>5425038681536</t>
  </si>
  <si>
    <t>5425038681550</t>
  </si>
  <si>
    <t>5425038681567</t>
  </si>
  <si>
    <t>5425038681659</t>
  </si>
  <si>
    <t>5425038681802</t>
  </si>
  <si>
    <t>5425038681840</t>
  </si>
  <si>
    <t>5425038683394</t>
  </si>
  <si>
    <t>5425038683424</t>
  </si>
  <si>
    <t>5425038683431</t>
  </si>
  <si>
    <t>5425038683448</t>
  </si>
  <si>
    <t>5425038683455</t>
  </si>
  <si>
    <t>5425038683462</t>
  </si>
  <si>
    <t>5425038683479</t>
  </si>
  <si>
    <t>5425038683486</t>
  </si>
  <si>
    <t>53215</t>
  </si>
  <si>
    <t>5900886188654</t>
  </si>
  <si>
    <t>5900886240086</t>
  </si>
  <si>
    <t>5900886317832</t>
  </si>
  <si>
    <t>5900886361354</t>
  </si>
  <si>
    <t>5900886366083</t>
  </si>
  <si>
    <t>5900886366403</t>
  </si>
  <si>
    <t>5900886380928</t>
  </si>
  <si>
    <t>5900886384131</t>
  </si>
  <si>
    <t>5900886401760</t>
  </si>
  <si>
    <t>5900886402217</t>
  </si>
  <si>
    <t>5900886403894</t>
  </si>
  <si>
    <t>5900886405188</t>
  </si>
  <si>
    <t>5900886405249</t>
  </si>
  <si>
    <t>5900886407434</t>
  </si>
  <si>
    <t>5900886414425</t>
  </si>
  <si>
    <t>5900886418133</t>
  </si>
  <si>
    <t>5900886418188</t>
  </si>
  <si>
    <t>5900886418485</t>
  </si>
  <si>
    <t>5900886511599</t>
  </si>
  <si>
    <t>69398</t>
  </si>
  <si>
    <t>6411760104107</t>
  </si>
  <si>
    <t>6411760105630</t>
  </si>
  <si>
    <t>6411760105906</t>
  </si>
  <si>
    <t>6411760106101</t>
  </si>
  <si>
    <t>6411760107634</t>
  </si>
  <si>
    <t>6411760107900</t>
  </si>
  <si>
    <t>6411760108105</t>
  </si>
  <si>
    <t>6411760109638</t>
  </si>
  <si>
    <t>6411760109904</t>
  </si>
  <si>
    <t>6411760110108</t>
  </si>
  <si>
    <t>6411760111631</t>
  </si>
  <si>
    <t>6411760111907</t>
  </si>
  <si>
    <t>6411761043900</t>
  </si>
  <si>
    <t>6411761063908</t>
  </si>
  <si>
    <t>6411761083906</t>
  </si>
  <si>
    <t>6411761103901</t>
  </si>
  <si>
    <t>6411763091107</t>
  </si>
  <si>
    <t>6411763091657</t>
  </si>
  <si>
    <t>7290106922648</t>
  </si>
  <si>
    <t>7290112631459</t>
  </si>
  <si>
    <t>7332462014053</t>
  </si>
  <si>
    <t>7332462014084</t>
  </si>
  <si>
    <t>7332462062146</t>
  </si>
  <si>
    <t>7332462062153</t>
  </si>
  <si>
    <t>7332462070325</t>
  </si>
  <si>
    <t>7332462080782</t>
  </si>
  <si>
    <t>7332462080799</t>
  </si>
  <si>
    <t>7332462080997</t>
  </si>
  <si>
    <t>7332462081000</t>
  </si>
  <si>
    <t>7332462081017</t>
  </si>
  <si>
    <t>7332462081031</t>
  </si>
  <si>
    <t>7332462081048</t>
  </si>
  <si>
    <t>7332462081444</t>
  </si>
  <si>
    <t>7332462081451</t>
  </si>
  <si>
    <t>7332462081468</t>
  </si>
  <si>
    <t>7332462081475</t>
  </si>
  <si>
    <t>7332462081482</t>
  </si>
  <si>
    <t>7332462081499</t>
  </si>
  <si>
    <t>7332462081505</t>
  </si>
  <si>
    <t>7332462081529</t>
  </si>
  <si>
    <t>7332462081543</t>
  </si>
  <si>
    <t>7332462082199</t>
  </si>
  <si>
    <t>7332462083769</t>
  </si>
  <si>
    <t>7332462085190</t>
  </si>
  <si>
    <t>7332462085206</t>
  </si>
  <si>
    <t>7332462085213</t>
  </si>
  <si>
    <t>7332462085220</t>
  </si>
  <si>
    <t>7332462085237</t>
  </si>
  <si>
    <t>7332462085244</t>
  </si>
  <si>
    <t>7332462085251</t>
  </si>
  <si>
    <t>7332462085268</t>
  </si>
  <si>
    <t>7332462085275</t>
  </si>
  <si>
    <t>7332462085282</t>
  </si>
  <si>
    <t>7332462085299</t>
  </si>
  <si>
    <t>7332462085305</t>
  </si>
  <si>
    <t>7332462085312</t>
  </si>
  <si>
    <t>7332462085329</t>
  </si>
  <si>
    <t>7332462085336</t>
  </si>
  <si>
    <t>7332462093980</t>
  </si>
  <si>
    <t>7610859184566</t>
  </si>
  <si>
    <t>8001090380210</t>
  </si>
  <si>
    <t>95385</t>
  </si>
  <si>
    <t>8003507502536</t>
  </si>
  <si>
    <t>8003723403501</t>
  </si>
  <si>
    <t>8003723901816</t>
  </si>
  <si>
    <t>8005989100781</t>
  </si>
  <si>
    <t>8005989111695</t>
  </si>
  <si>
    <t>8005989188369</t>
  </si>
  <si>
    <t>8005989204311</t>
  </si>
  <si>
    <t>8005989224890</t>
  </si>
  <si>
    <t>8005989237036</t>
  </si>
  <si>
    <t>8006540040843</t>
  </si>
  <si>
    <t>94500</t>
  </si>
  <si>
    <t>8006729910219</t>
  </si>
  <si>
    <t>8006729910226</t>
  </si>
  <si>
    <t>94211</t>
  </si>
  <si>
    <t>8008990127112</t>
  </si>
  <si>
    <t>8009271006508</t>
  </si>
  <si>
    <t>8009271006669</t>
  </si>
  <si>
    <t>8009271061507</t>
  </si>
  <si>
    <t>8009271862678</t>
  </si>
  <si>
    <t>8009371002523</t>
  </si>
  <si>
    <t>8009371006019</t>
  </si>
  <si>
    <t>8009371007115</t>
  </si>
  <si>
    <t>8009371012515</t>
  </si>
  <si>
    <t>8009371014410</t>
  </si>
  <si>
    <t>8009404016114</t>
  </si>
  <si>
    <t>8009404154625</t>
  </si>
  <si>
    <t>8009404164204</t>
  </si>
  <si>
    <t>8009404183762</t>
  </si>
  <si>
    <t>8009404196557</t>
  </si>
  <si>
    <t>8009404198988</t>
  </si>
  <si>
    <t>8009404207185</t>
  </si>
  <si>
    <t>8009404208229</t>
  </si>
  <si>
    <t>8009404208236</t>
  </si>
  <si>
    <t>8009404208243</t>
  </si>
  <si>
    <t>8009404208250</t>
  </si>
  <si>
    <t>8009404215135</t>
  </si>
  <si>
    <t>8009404220108</t>
  </si>
  <si>
    <t>8009404237021</t>
  </si>
  <si>
    <t>8009404238677</t>
  </si>
  <si>
    <t>8009404241134</t>
  </si>
  <si>
    <t>8009404354018</t>
  </si>
  <si>
    <t>70546</t>
  </si>
  <si>
    <t>8011250562011</t>
  </si>
  <si>
    <t>94786</t>
  </si>
  <si>
    <t>8012824001677</t>
  </si>
  <si>
    <t>58271</t>
  </si>
  <si>
    <t>8023034042787</t>
  </si>
  <si>
    <t>8023034042794</t>
  </si>
  <si>
    <t>8023034047645</t>
  </si>
  <si>
    <t>8024135510090</t>
  </si>
  <si>
    <t>8024135510793</t>
  </si>
  <si>
    <t>8024135510809</t>
  </si>
  <si>
    <t>90740</t>
  </si>
  <si>
    <t>8033102910351</t>
  </si>
  <si>
    <t>93415</t>
  </si>
  <si>
    <t>8058773898890</t>
  </si>
  <si>
    <t>8410474042093</t>
  </si>
  <si>
    <t>8411457125116</t>
  </si>
  <si>
    <t>8411457134026</t>
  </si>
  <si>
    <t>8431687400470</t>
  </si>
  <si>
    <t>8431687401347</t>
  </si>
  <si>
    <t>92040</t>
  </si>
  <si>
    <t>8435474419331</t>
  </si>
  <si>
    <t>Plus de contact avec carrefour depuis 2020</t>
  </si>
  <si>
    <t>8435474419348</t>
  </si>
  <si>
    <t>8435474419409</t>
  </si>
  <si>
    <t>92865</t>
  </si>
  <si>
    <t>8435497201685</t>
  </si>
  <si>
    <t>BRICHE CECILE</t>
  </si>
  <si>
    <t>8435497201692</t>
  </si>
  <si>
    <t>8435497202002</t>
  </si>
  <si>
    <t>8435509129112</t>
  </si>
  <si>
    <t>8445255115260</t>
  </si>
  <si>
    <t>53965</t>
  </si>
  <si>
    <t>8693357288782</t>
  </si>
  <si>
    <t>MAZALTARIN RALPH</t>
  </si>
  <si>
    <t>8694064018495</t>
  </si>
  <si>
    <t>8694064061040</t>
  </si>
  <si>
    <t>8697853095042</t>
  </si>
  <si>
    <t>43308</t>
  </si>
  <si>
    <t>8710755106088</t>
  </si>
  <si>
    <t>8711245127866</t>
  </si>
  <si>
    <t>8711245130439</t>
  </si>
  <si>
    <t>8711245132273</t>
  </si>
  <si>
    <t>8711245139500</t>
  </si>
  <si>
    <t>8711245144870</t>
  </si>
  <si>
    <t>8711245147918</t>
  </si>
  <si>
    <t>8711245150376</t>
  </si>
  <si>
    <t>8711245150697</t>
  </si>
  <si>
    <t>8711245154930</t>
  </si>
  <si>
    <t>8711245154947</t>
  </si>
  <si>
    <t>8711245154961</t>
  </si>
  <si>
    <t>8711245154978</t>
  </si>
  <si>
    <t>8711245155036</t>
  </si>
  <si>
    <t>8711252029160</t>
  </si>
  <si>
    <t>8711252052038</t>
  </si>
  <si>
    <t>8711252058573</t>
  </si>
  <si>
    <t>8711252059983</t>
  </si>
  <si>
    <t>8711252068220</t>
  </si>
  <si>
    <t>8711252068282</t>
  </si>
  <si>
    <t>8711252080680</t>
  </si>
  <si>
    <t>8711252081267</t>
  </si>
  <si>
    <t>8711252102856</t>
  </si>
  <si>
    <t>8711252105642</t>
  </si>
  <si>
    <t>8711252109961</t>
  </si>
  <si>
    <t>8711252119472</t>
  </si>
  <si>
    <t>8711252120485</t>
  </si>
  <si>
    <t>8711252122335</t>
  </si>
  <si>
    <t>8711252123806</t>
  </si>
  <si>
    <t>8711252127125</t>
  </si>
  <si>
    <t>8711252136981</t>
  </si>
  <si>
    <t>8711252138497</t>
  </si>
  <si>
    <t>8711252146515</t>
  </si>
  <si>
    <t>8711252150260</t>
  </si>
  <si>
    <t>8711252154541</t>
  </si>
  <si>
    <t>8711252154565</t>
  </si>
  <si>
    <t>8711252154633</t>
  </si>
  <si>
    <t>8711252154831</t>
  </si>
  <si>
    <t>8711252154848</t>
  </si>
  <si>
    <t>8711252156149</t>
  </si>
  <si>
    <t>8711252156668</t>
  </si>
  <si>
    <t>8711252161990</t>
  </si>
  <si>
    <t>8711252162195</t>
  </si>
  <si>
    <t>8711252163222</t>
  </si>
  <si>
    <t>8711252164663</t>
  </si>
  <si>
    <t>8711252165691</t>
  </si>
  <si>
    <t>8711252166100</t>
  </si>
  <si>
    <t>8711252166216</t>
  </si>
  <si>
    <t>8711252166414</t>
  </si>
  <si>
    <t>8711252169309</t>
  </si>
  <si>
    <t>8711252171272</t>
  </si>
  <si>
    <t>8711252176987</t>
  </si>
  <si>
    <t>8711252177953</t>
  </si>
  <si>
    <t>8711252192451</t>
  </si>
  <si>
    <t>8711252227672</t>
  </si>
  <si>
    <t>8711252251707</t>
  </si>
  <si>
    <t>8711252277493</t>
  </si>
  <si>
    <t>8711252296319</t>
  </si>
  <si>
    <t>8711252329499</t>
  </si>
  <si>
    <t>8711252343525</t>
  </si>
  <si>
    <t>8711252389837</t>
  </si>
  <si>
    <t>8711252415802</t>
  </si>
  <si>
    <t>8711252418582</t>
  </si>
  <si>
    <t>8711252434087</t>
  </si>
  <si>
    <t>8711252453286</t>
  </si>
  <si>
    <t>8711252489858</t>
  </si>
  <si>
    <t>8711252494197</t>
  </si>
  <si>
    <t>8711252494210</t>
  </si>
  <si>
    <t>8711252541556</t>
  </si>
  <si>
    <t>8711252792408</t>
  </si>
  <si>
    <t>8711252793535</t>
  </si>
  <si>
    <t>8711252793597</t>
  </si>
  <si>
    <t>8711252794402</t>
  </si>
  <si>
    <t>8711252796598</t>
  </si>
  <si>
    <t>8711252797465</t>
  </si>
  <si>
    <t>8711252797489</t>
  </si>
  <si>
    <t>8711252797540</t>
  </si>
  <si>
    <t>8711252855639</t>
  </si>
  <si>
    <t>8711252900452</t>
  </si>
  <si>
    <t>8711252949222</t>
  </si>
  <si>
    <t>8711252949239</t>
  </si>
  <si>
    <t>8711252986920</t>
  </si>
  <si>
    <t>8711252995601</t>
  </si>
  <si>
    <t>8711292113584</t>
  </si>
  <si>
    <t>8711292130970</t>
  </si>
  <si>
    <t>8711292296782</t>
  </si>
  <si>
    <t>8711292296799</t>
  </si>
  <si>
    <t>8711295186189</t>
  </si>
  <si>
    <t>8711295356025</t>
  </si>
  <si>
    <t>8711295463037</t>
  </si>
  <si>
    <t>8711295463044</t>
  </si>
  <si>
    <t>8711295482304</t>
  </si>
  <si>
    <t>8711295509230</t>
  </si>
  <si>
    <t>8711295696923</t>
  </si>
  <si>
    <t>8711295705212</t>
  </si>
  <si>
    <t>8711295722882</t>
  </si>
  <si>
    <t>8711295796609</t>
  </si>
  <si>
    <t>8711295830044</t>
  </si>
  <si>
    <t>8711295862786</t>
  </si>
  <si>
    <t>8711295887819</t>
  </si>
  <si>
    <t>8711295996566</t>
  </si>
  <si>
    <t>8718158185976</t>
  </si>
  <si>
    <t>8718158186010</t>
  </si>
  <si>
    <t>8718158491046</t>
  </si>
  <si>
    <t>8718158872180</t>
  </si>
  <si>
    <t>8718158961921</t>
  </si>
  <si>
    <t>8718489002058</t>
  </si>
  <si>
    <t>8718502001440</t>
  </si>
  <si>
    <t>8719202138375</t>
  </si>
  <si>
    <t>8719202400106</t>
  </si>
  <si>
    <t>8719202454116</t>
  </si>
  <si>
    <t>8719202594010</t>
  </si>
  <si>
    <t>8719202594034</t>
  </si>
  <si>
    <t>8719202828597</t>
  </si>
  <si>
    <t>8719202876260</t>
  </si>
  <si>
    <t>8719202876307</t>
  </si>
  <si>
    <t>8719202890921</t>
  </si>
  <si>
    <t>8719202905649</t>
  </si>
  <si>
    <t>8719202917963</t>
  </si>
  <si>
    <t>8719202927597</t>
  </si>
  <si>
    <t>8719202931808</t>
  </si>
  <si>
    <t>8719202933918</t>
  </si>
  <si>
    <t>8719202933949</t>
  </si>
  <si>
    <t>8719202976953</t>
  </si>
  <si>
    <t>8719202984941</t>
  </si>
  <si>
    <t>8719202986495</t>
  </si>
  <si>
    <t>8719407001832</t>
  </si>
  <si>
    <t>8719925607523</t>
  </si>
  <si>
    <t>8719987036125</t>
  </si>
  <si>
    <t>8719987046032</t>
  </si>
  <si>
    <t>8719987076695</t>
  </si>
  <si>
    <t>8719987076855</t>
  </si>
  <si>
    <t>8719987083693</t>
  </si>
  <si>
    <t>8719987116513</t>
  </si>
  <si>
    <t>8719987116803</t>
  </si>
  <si>
    <t>8719987116872</t>
  </si>
  <si>
    <t>8719987195396</t>
  </si>
  <si>
    <t>8719987243400</t>
  </si>
  <si>
    <t>8719987305191</t>
  </si>
  <si>
    <t>8719987387722</t>
  </si>
  <si>
    <t>8719987387791</t>
  </si>
  <si>
    <t>8719987387869</t>
  </si>
  <si>
    <t>8719987407574</t>
  </si>
  <si>
    <t>8719987407895</t>
  </si>
  <si>
    <t>8719987409660</t>
  </si>
  <si>
    <t>8719987413124</t>
  </si>
  <si>
    <t>8719987413797</t>
  </si>
  <si>
    <t>8719987437724</t>
  </si>
  <si>
    <t>8719987452109</t>
  </si>
  <si>
    <t>8719987465307</t>
  </si>
  <si>
    <t>8719987469169</t>
  </si>
  <si>
    <t>8719987508691</t>
  </si>
  <si>
    <t>8719987563188</t>
  </si>
  <si>
    <t>8719987573934</t>
  </si>
  <si>
    <t>8719987574153</t>
  </si>
  <si>
    <t>8719987583377</t>
  </si>
  <si>
    <t>8719987585241</t>
  </si>
  <si>
    <t>8719987859953</t>
  </si>
  <si>
    <t>8719987916090</t>
  </si>
  <si>
    <t>8720573208901</t>
  </si>
  <si>
    <t>8720573208970</t>
  </si>
  <si>
    <t>8720573209908</t>
  </si>
  <si>
    <t>8935275214055</t>
  </si>
  <si>
    <t>3616479614838</t>
  </si>
  <si>
    <t>5411074215736</t>
  </si>
  <si>
    <t>8410446310755</t>
  </si>
  <si>
    <t>8410446311172</t>
  </si>
  <si>
    <t>8711295770142</t>
  </si>
  <si>
    <t>0000090153419</t>
  </si>
  <si>
    <t>3080920994129</t>
  </si>
  <si>
    <t>3092718605971</t>
  </si>
  <si>
    <t>3092718627096</t>
  </si>
  <si>
    <t>3192200002117</t>
  </si>
  <si>
    <t>3229820787008</t>
  </si>
  <si>
    <t>3229820787015</t>
  </si>
  <si>
    <t>3249778011093</t>
  </si>
  <si>
    <t>3502110009401</t>
  </si>
  <si>
    <t>82923</t>
  </si>
  <si>
    <t>3505040240128</t>
  </si>
  <si>
    <t>IVEY WILLIAM</t>
  </si>
  <si>
    <t>3505040240173</t>
  </si>
  <si>
    <t>3505040240180</t>
  </si>
  <si>
    <t>3505040240197</t>
  </si>
  <si>
    <t>3505040240203</t>
  </si>
  <si>
    <t>3505040240210</t>
  </si>
  <si>
    <t>3505040241033</t>
  </si>
  <si>
    <t>3505040242016</t>
  </si>
  <si>
    <t>3505040243006</t>
  </si>
  <si>
    <t>3505040243020</t>
  </si>
  <si>
    <t>3505040243037</t>
  </si>
  <si>
    <t>3505040243044</t>
  </si>
  <si>
    <t>3505040243099</t>
  </si>
  <si>
    <t>3505040244003</t>
  </si>
  <si>
    <t>82156</t>
  </si>
  <si>
    <t>3560071417536</t>
  </si>
  <si>
    <t>BRETHEREAU ANNE</t>
  </si>
  <si>
    <t>3560071417628</t>
  </si>
  <si>
    <t>3700232011238</t>
  </si>
  <si>
    <t>3700232011306</t>
  </si>
  <si>
    <t>3700232011313</t>
  </si>
  <si>
    <t>81466</t>
  </si>
  <si>
    <t>3760186970562</t>
  </si>
  <si>
    <t>3760186970593</t>
  </si>
  <si>
    <t>3760186970609</t>
  </si>
  <si>
    <t>3760186970722</t>
  </si>
  <si>
    <t>3760186970739</t>
  </si>
  <si>
    <t>3760186970784</t>
  </si>
  <si>
    <t>3760186970791</t>
  </si>
  <si>
    <t>3760186971279</t>
  </si>
  <si>
    <t>68084</t>
  </si>
  <si>
    <t>3760289610150</t>
  </si>
  <si>
    <t>3770004173495</t>
  </si>
  <si>
    <t>3770004173556</t>
  </si>
  <si>
    <t>3770004173624</t>
  </si>
  <si>
    <t>3770004173655</t>
  </si>
  <si>
    <t>3770004173679</t>
  </si>
  <si>
    <t>3770004173686</t>
  </si>
  <si>
    <t>3770004173778</t>
  </si>
  <si>
    <t>3770004173785</t>
  </si>
  <si>
    <t>3770004173792</t>
  </si>
  <si>
    <t>3770004173808</t>
  </si>
  <si>
    <t>3770004173815</t>
  </si>
  <si>
    <t>3770004173860</t>
  </si>
  <si>
    <t>3770004173877</t>
  </si>
  <si>
    <t>3770004173891</t>
  </si>
  <si>
    <t>3770006676024</t>
  </si>
  <si>
    <t>70209</t>
  </si>
  <si>
    <t>3770009733618</t>
  </si>
  <si>
    <t>LAUDE DE HAUT SERGE</t>
  </si>
  <si>
    <t>3770009733632</t>
  </si>
  <si>
    <t>3770009733656</t>
  </si>
  <si>
    <t>3770009733670</t>
  </si>
  <si>
    <t>5449000000279</t>
  </si>
  <si>
    <t>5449000000286</t>
  </si>
  <si>
    <t>5449000008688</t>
  </si>
  <si>
    <t>5449000130389</t>
  </si>
  <si>
    <t>5449000149695</t>
  </si>
  <si>
    <t>5900497017909</t>
  </si>
  <si>
    <t>5902860411406</t>
  </si>
  <si>
    <t>5998811759659</t>
  </si>
  <si>
    <t>5998811759666</t>
  </si>
  <si>
    <t>5998811759673</t>
  </si>
  <si>
    <t>5998811760457</t>
  </si>
  <si>
    <t>5998811764172</t>
  </si>
  <si>
    <t>7613034580566</t>
  </si>
  <si>
    <t>7613034580603</t>
  </si>
  <si>
    <t>8412997002240</t>
  </si>
  <si>
    <t>8412997002257</t>
  </si>
  <si>
    <t>9002490210717</t>
  </si>
  <si>
    <t>9002859045424</t>
  </si>
  <si>
    <t>9002859045431</t>
  </si>
  <si>
    <t>9002859045448</t>
  </si>
  <si>
    <t>9002859045929</t>
  </si>
  <si>
    <t>9002859048111</t>
  </si>
  <si>
    <t>9002859048142</t>
  </si>
  <si>
    <t>9002859080258</t>
  </si>
  <si>
    <t>8720589823051</t>
  </si>
  <si>
    <t>Economat</t>
  </si>
  <si>
    <t>28614</t>
  </si>
  <si>
    <t>80982</t>
  </si>
  <si>
    <t>01842</t>
  </si>
  <si>
    <t>86116</t>
  </si>
  <si>
    <t>35718</t>
  </si>
  <si>
    <t>13371</t>
  </si>
  <si>
    <t>14955</t>
  </si>
  <si>
    <t>37103</t>
  </si>
  <si>
    <t>89053</t>
  </si>
  <si>
    <t>92230</t>
  </si>
  <si>
    <t>60875</t>
  </si>
  <si>
    <t>96327</t>
  </si>
  <si>
    <t>13843</t>
  </si>
  <si>
    <t>86601</t>
  </si>
  <si>
    <t>19648</t>
  </si>
  <si>
    <t>44937</t>
  </si>
  <si>
    <t>97825</t>
  </si>
  <si>
    <t>30009</t>
  </si>
  <si>
    <t>51218</t>
  </si>
  <si>
    <t>82688</t>
  </si>
  <si>
    <t>81034</t>
  </si>
  <si>
    <t>96820</t>
  </si>
  <si>
    <t>Doublon avec envoi du 21/06/2022</t>
  </si>
  <si>
    <t>15177</t>
  </si>
  <si>
    <t>94880</t>
  </si>
  <si>
    <t>18759</t>
  </si>
  <si>
    <t>95178</t>
  </si>
  <si>
    <t>83069</t>
  </si>
  <si>
    <t>0736920111310</t>
  </si>
  <si>
    <t>94544</t>
  </si>
  <si>
    <t>DOS SANTOS MELISSA</t>
  </si>
  <si>
    <t>81874</t>
  </si>
  <si>
    <t>54600</t>
  </si>
  <si>
    <t>23647</t>
  </si>
  <si>
    <t>Négoce virtuel-non concerné</t>
  </si>
  <si>
    <t>14203</t>
  </si>
  <si>
    <t>21123</t>
  </si>
  <si>
    <t>03983</t>
  </si>
  <si>
    <t>25435</t>
  </si>
  <si>
    <t>29222</t>
  </si>
  <si>
    <t>45022</t>
  </si>
  <si>
    <t>48423</t>
  </si>
  <si>
    <t>48910</t>
  </si>
  <si>
    <t>49071</t>
  </si>
  <si>
    <t>52669</t>
  </si>
  <si>
    <t>54924</t>
  </si>
  <si>
    <t>54929</t>
  </si>
  <si>
    <t>68979</t>
  </si>
  <si>
    <t>76736</t>
  </si>
  <si>
    <t>79337</t>
  </si>
  <si>
    <t>79542</t>
  </si>
  <si>
    <t>82694</t>
  </si>
  <si>
    <t>97789</t>
  </si>
  <si>
    <t>01567</t>
  </si>
  <si>
    <t>47942</t>
  </si>
  <si>
    <t>64192</t>
  </si>
  <si>
    <t>44537</t>
  </si>
  <si>
    <t>10171</t>
  </si>
  <si>
    <t>76002</t>
  </si>
  <si>
    <t>38629</t>
  </si>
  <si>
    <t>13148</t>
  </si>
  <si>
    <t>93910</t>
  </si>
  <si>
    <t>37307</t>
  </si>
  <si>
    <t>33906</t>
  </si>
  <si>
    <t>22630</t>
  </si>
  <si>
    <t>01535</t>
  </si>
  <si>
    <t>23788</t>
  </si>
  <si>
    <t>10009</t>
  </si>
  <si>
    <t>75732</t>
  </si>
  <si>
    <t>13547</t>
  </si>
  <si>
    <t>16544</t>
  </si>
  <si>
    <t>3080210004491</t>
  </si>
  <si>
    <t>09310</t>
  </si>
  <si>
    <t>13333</t>
  </si>
  <si>
    <t>37200</t>
  </si>
  <si>
    <t>76718</t>
  </si>
  <si>
    <t>49031</t>
  </si>
  <si>
    <t>19473</t>
  </si>
  <si>
    <t>07161</t>
  </si>
  <si>
    <t>74872</t>
  </si>
  <si>
    <t>06443</t>
  </si>
  <si>
    <t>20215</t>
  </si>
  <si>
    <t>35692</t>
  </si>
  <si>
    <t>14094</t>
  </si>
  <si>
    <t>82726</t>
  </si>
  <si>
    <t>81791</t>
  </si>
  <si>
    <t>08776</t>
  </si>
  <si>
    <t>92919</t>
  </si>
  <si>
    <t>80952</t>
  </si>
  <si>
    <t>08753</t>
  </si>
  <si>
    <t>18478</t>
  </si>
  <si>
    <t>98981</t>
  </si>
  <si>
    <t>15892</t>
  </si>
  <si>
    <t>98572</t>
  </si>
  <si>
    <t>01645</t>
  </si>
  <si>
    <t>30528</t>
  </si>
  <si>
    <t>32955</t>
  </si>
  <si>
    <t>31817</t>
  </si>
  <si>
    <t>28207</t>
  </si>
  <si>
    <t>02098</t>
  </si>
  <si>
    <t>04243</t>
  </si>
  <si>
    <t>63395</t>
  </si>
  <si>
    <t>92569</t>
  </si>
  <si>
    <t>69125</t>
  </si>
  <si>
    <t>06930</t>
  </si>
  <si>
    <t>97616</t>
  </si>
  <si>
    <t>05465</t>
  </si>
  <si>
    <t>92885</t>
  </si>
  <si>
    <t>35666</t>
  </si>
  <si>
    <t>01879</t>
  </si>
  <si>
    <t>27094</t>
  </si>
  <si>
    <t>10221</t>
  </si>
  <si>
    <t>31508</t>
  </si>
  <si>
    <t>37469</t>
  </si>
  <si>
    <t>10196</t>
  </si>
  <si>
    <t>08889</t>
  </si>
  <si>
    <t>98009</t>
  </si>
  <si>
    <t>44530</t>
  </si>
  <si>
    <t>20045</t>
  </si>
  <si>
    <t>96114</t>
  </si>
  <si>
    <t>28572</t>
  </si>
  <si>
    <t>03232</t>
  </si>
  <si>
    <t>68860</t>
  </si>
  <si>
    <t>82959</t>
  </si>
  <si>
    <t>95067</t>
  </si>
  <si>
    <t>04536</t>
  </si>
  <si>
    <t>61714</t>
  </si>
  <si>
    <t>29339</t>
  </si>
  <si>
    <t>82429</t>
  </si>
  <si>
    <t>47652</t>
  </si>
  <si>
    <t>07602</t>
  </si>
  <si>
    <t>08808</t>
  </si>
  <si>
    <t>25658</t>
  </si>
  <si>
    <t>22907</t>
  </si>
  <si>
    <t>47584</t>
  </si>
  <si>
    <t>52342</t>
  </si>
  <si>
    <t>22380</t>
  </si>
  <si>
    <t>08128</t>
  </si>
  <si>
    <t>02965</t>
  </si>
  <si>
    <t>25937</t>
  </si>
  <si>
    <t>35071</t>
  </si>
  <si>
    <t>14475</t>
  </si>
  <si>
    <t>12132</t>
  </si>
  <si>
    <t>01419</t>
  </si>
  <si>
    <t>04205</t>
  </si>
  <si>
    <t>03325</t>
  </si>
  <si>
    <t>30648</t>
  </si>
  <si>
    <t>92728</t>
  </si>
  <si>
    <t>55986</t>
  </si>
  <si>
    <t>36720</t>
  </si>
  <si>
    <t>87011</t>
  </si>
  <si>
    <t>19887</t>
  </si>
  <si>
    <t>05128</t>
  </si>
  <si>
    <t>95580</t>
  </si>
  <si>
    <t>00438</t>
  </si>
  <si>
    <t>17430</t>
  </si>
  <si>
    <t>23540</t>
  </si>
  <si>
    <t>47699</t>
  </si>
  <si>
    <t>10958</t>
  </si>
  <si>
    <t>30445</t>
  </si>
  <si>
    <t>38618</t>
  </si>
  <si>
    <t>01836</t>
  </si>
  <si>
    <t>48356</t>
  </si>
  <si>
    <t>16562</t>
  </si>
  <si>
    <t>05805</t>
  </si>
  <si>
    <t>31762</t>
  </si>
  <si>
    <t>21872</t>
  </si>
  <si>
    <t>12838</t>
  </si>
  <si>
    <t>61461</t>
  </si>
  <si>
    <t>00836</t>
  </si>
  <si>
    <t>31060</t>
  </si>
  <si>
    <t>77152</t>
  </si>
  <si>
    <t>29056</t>
  </si>
  <si>
    <t>14387</t>
  </si>
  <si>
    <t>12145</t>
  </si>
  <si>
    <t>35013</t>
  </si>
  <si>
    <t>12444</t>
  </si>
  <si>
    <t>92327</t>
  </si>
  <si>
    <t>38140</t>
  </si>
  <si>
    <t>69053</t>
  </si>
  <si>
    <t>45709</t>
  </si>
  <si>
    <t>31686</t>
  </si>
  <si>
    <t>10546</t>
  </si>
  <si>
    <t>14299</t>
  </si>
  <si>
    <t>18486</t>
  </si>
  <si>
    <t>95520</t>
  </si>
  <si>
    <t>38291</t>
  </si>
  <si>
    <t>29911</t>
  </si>
  <si>
    <t>28553</t>
  </si>
  <si>
    <t>12236</t>
  </si>
  <si>
    <t>26314</t>
  </si>
  <si>
    <t>13062</t>
  </si>
  <si>
    <t>98574</t>
  </si>
  <si>
    <t>23818</t>
  </si>
  <si>
    <t>90633</t>
  </si>
  <si>
    <t>69048</t>
  </si>
  <si>
    <t>34057</t>
  </si>
  <si>
    <t>18176</t>
  </si>
  <si>
    <t>18744</t>
  </si>
  <si>
    <t>08367</t>
  </si>
  <si>
    <t>01738</t>
  </si>
  <si>
    <t>08783</t>
  </si>
  <si>
    <t>01581</t>
  </si>
  <si>
    <t>81786</t>
  </si>
  <si>
    <t>29041</t>
  </si>
  <si>
    <t>33529</t>
  </si>
  <si>
    <t>02579</t>
  </si>
  <si>
    <t>11666</t>
  </si>
  <si>
    <t>98657</t>
  </si>
  <si>
    <t>08072</t>
  </si>
  <si>
    <t>09292</t>
  </si>
  <si>
    <t>87851</t>
  </si>
  <si>
    <t>29604</t>
  </si>
  <si>
    <t>46</t>
  </si>
  <si>
    <t>47663</t>
  </si>
  <si>
    <t>02522</t>
  </si>
  <si>
    <t>25206</t>
  </si>
  <si>
    <t>38062</t>
  </si>
  <si>
    <t>00248</t>
  </si>
  <si>
    <t>85902</t>
  </si>
  <si>
    <t>06925</t>
  </si>
  <si>
    <t>04220</t>
  </si>
  <si>
    <t>79297</t>
  </si>
  <si>
    <t>07820</t>
  </si>
  <si>
    <t>28523</t>
  </si>
  <si>
    <t>20237</t>
  </si>
  <si>
    <t>00678</t>
  </si>
  <si>
    <t>10184</t>
  </si>
  <si>
    <t>54008</t>
  </si>
  <si>
    <t>07310</t>
  </si>
  <si>
    <t>79990</t>
  </si>
  <si>
    <t>04846</t>
  </si>
  <si>
    <t>37304</t>
  </si>
  <si>
    <t>03090</t>
  </si>
  <si>
    <t>22838</t>
  </si>
  <si>
    <t>13439</t>
  </si>
  <si>
    <t>97123</t>
  </si>
  <si>
    <t>25816</t>
  </si>
  <si>
    <t>09788</t>
  </si>
  <si>
    <t>76562</t>
  </si>
  <si>
    <t>48078</t>
  </si>
  <si>
    <t>66206</t>
  </si>
  <si>
    <t>63378</t>
  </si>
  <si>
    <t>06104</t>
  </si>
  <si>
    <t>99161</t>
  </si>
  <si>
    <t>13642</t>
  </si>
  <si>
    <t>92934</t>
  </si>
  <si>
    <t>19127</t>
  </si>
  <si>
    <t>44827</t>
  </si>
  <si>
    <t>12570</t>
  </si>
  <si>
    <t>92888</t>
  </si>
  <si>
    <t>02569</t>
  </si>
  <si>
    <t>04242</t>
  </si>
  <si>
    <t>51544</t>
  </si>
  <si>
    <t>10735</t>
  </si>
  <si>
    <t>89720</t>
  </si>
  <si>
    <t>40189</t>
  </si>
  <si>
    <t>98721</t>
  </si>
  <si>
    <t>79091</t>
  </si>
  <si>
    <t>39048</t>
  </si>
  <si>
    <t>28552</t>
  </si>
  <si>
    <t>02596</t>
  </si>
  <si>
    <t>30958</t>
  </si>
  <si>
    <t>10364</t>
  </si>
  <si>
    <t>DUBOIS JULIE</t>
  </si>
  <si>
    <t>23566</t>
  </si>
  <si>
    <t>68335</t>
  </si>
  <si>
    <t>07130</t>
  </si>
  <si>
    <t>12911</t>
  </si>
  <si>
    <t>89679</t>
  </si>
  <si>
    <t>26584</t>
  </si>
  <si>
    <t>08506</t>
  </si>
  <si>
    <t>58438</t>
  </si>
  <si>
    <t>80018</t>
  </si>
  <si>
    <t>03520</t>
  </si>
  <si>
    <t>04240</t>
  </si>
  <si>
    <t>81372</t>
  </si>
  <si>
    <t>18059</t>
  </si>
  <si>
    <t>03128</t>
  </si>
  <si>
    <t>07365</t>
  </si>
  <si>
    <t>07343</t>
  </si>
  <si>
    <t>19390</t>
  </si>
  <si>
    <t>23795</t>
  </si>
  <si>
    <t>18026</t>
  </si>
  <si>
    <t>20177</t>
  </si>
  <si>
    <t>07010</t>
  </si>
  <si>
    <t>24232</t>
  </si>
  <si>
    <t>86713</t>
  </si>
  <si>
    <t>98540</t>
  </si>
  <si>
    <t>41044</t>
  </si>
  <si>
    <t>13011</t>
  </si>
  <si>
    <t>90663</t>
  </si>
  <si>
    <t>08339</t>
  </si>
  <si>
    <t>51874</t>
  </si>
  <si>
    <t>95127</t>
  </si>
  <si>
    <t>97436</t>
  </si>
  <si>
    <t>20192</t>
  </si>
  <si>
    <t>41050</t>
  </si>
  <si>
    <t>22843</t>
  </si>
  <si>
    <t>60679</t>
  </si>
  <si>
    <t>94591</t>
  </si>
  <si>
    <t>30357</t>
  </si>
  <si>
    <t>07527</t>
  </si>
  <si>
    <t>13829</t>
  </si>
  <si>
    <t>23067</t>
  </si>
  <si>
    <t>03214</t>
  </si>
  <si>
    <t>17211</t>
  </si>
  <si>
    <t>18217</t>
  </si>
  <si>
    <t>95723</t>
  </si>
  <si>
    <t>74377</t>
  </si>
  <si>
    <t>06277</t>
  </si>
  <si>
    <t>36447</t>
  </si>
  <si>
    <t>09330</t>
  </si>
  <si>
    <t>23412</t>
  </si>
  <si>
    <t>68790</t>
  </si>
  <si>
    <t>70843</t>
  </si>
  <si>
    <t>56093</t>
  </si>
  <si>
    <t>18837</t>
  </si>
  <si>
    <t>00592</t>
  </si>
  <si>
    <t>06297</t>
  </si>
  <si>
    <t>07679</t>
  </si>
  <si>
    <t>13420</t>
  </si>
  <si>
    <t>83415</t>
  </si>
  <si>
    <t>08064</t>
  </si>
  <si>
    <t>14625</t>
  </si>
  <si>
    <t>19006</t>
  </si>
  <si>
    <t>23256</t>
  </si>
  <si>
    <t>54055</t>
  </si>
  <si>
    <t>95777</t>
  </si>
  <si>
    <t>37298</t>
  </si>
  <si>
    <t>69896</t>
  </si>
  <si>
    <t>74948</t>
  </si>
  <si>
    <t>03781</t>
  </si>
  <si>
    <t>10950</t>
  </si>
  <si>
    <t>63077</t>
  </si>
  <si>
    <t>53480</t>
  </si>
  <si>
    <t>38806</t>
  </si>
  <si>
    <t>05316</t>
  </si>
  <si>
    <t>74964</t>
  </si>
  <si>
    <t>39527</t>
  </si>
  <si>
    <t>11832</t>
  </si>
  <si>
    <t>02051</t>
  </si>
  <si>
    <t>23361</t>
  </si>
  <si>
    <t>89819</t>
  </si>
  <si>
    <t>52733</t>
  </si>
  <si>
    <t>15117</t>
  </si>
  <si>
    <t>16184</t>
  </si>
  <si>
    <t>99351</t>
  </si>
  <si>
    <t>44464</t>
  </si>
  <si>
    <t>76654</t>
  </si>
  <si>
    <t>18274</t>
  </si>
  <si>
    <t>94085</t>
  </si>
  <si>
    <t>64620</t>
  </si>
  <si>
    <t>40661</t>
  </si>
  <si>
    <t>60087</t>
  </si>
  <si>
    <t>61034</t>
  </si>
  <si>
    <t>44946</t>
  </si>
  <si>
    <t>41098</t>
  </si>
  <si>
    <t>95943</t>
  </si>
  <si>
    <t>21759</t>
  </si>
  <si>
    <t>10165</t>
  </si>
  <si>
    <t>16185</t>
  </si>
  <si>
    <t>00875</t>
  </si>
  <si>
    <t>24983</t>
  </si>
  <si>
    <t>77411</t>
  </si>
  <si>
    <t>96853</t>
  </si>
  <si>
    <t>38950</t>
  </si>
  <si>
    <t>03744</t>
  </si>
  <si>
    <t>14620</t>
  </si>
  <si>
    <t>00472</t>
  </si>
  <si>
    <t>52202</t>
  </si>
  <si>
    <t>30072</t>
  </si>
  <si>
    <t>12387</t>
  </si>
  <si>
    <t>46639</t>
  </si>
  <si>
    <t>33261</t>
  </si>
  <si>
    <t>33452</t>
  </si>
  <si>
    <t>94410</t>
  </si>
  <si>
    <t>98454</t>
  </si>
  <si>
    <t>51770</t>
  </si>
  <si>
    <t>22679</t>
  </si>
  <si>
    <t>40007</t>
  </si>
  <si>
    <t>68092</t>
  </si>
  <si>
    <t>99610</t>
  </si>
  <si>
    <t>40293</t>
  </si>
  <si>
    <t>22481</t>
  </si>
  <si>
    <t>82130</t>
  </si>
  <si>
    <t>11954</t>
  </si>
  <si>
    <t>97902</t>
  </si>
  <si>
    <t>06566</t>
  </si>
  <si>
    <t>16969</t>
  </si>
  <si>
    <t>82394</t>
  </si>
  <si>
    <t>35308</t>
  </si>
  <si>
    <t>21174</t>
  </si>
  <si>
    <t>19243</t>
  </si>
  <si>
    <t>33379</t>
  </si>
  <si>
    <t>13593</t>
  </si>
  <si>
    <t>62926</t>
  </si>
  <si>
    <t>23214</t>
  </si>
  <si>
    <t>94778</t>
  </si>
  <si>
    <t>29819</t>
  </si>
  <si>
    <t>01579</t>
  </si>
  <si>
    <t>08413</t>
  </si>
  <si>
    <t>97316</t>
  </si>
  <si>
    <t>12989</t>
  </si>
  <si>
    <t>75392</t>
  </si>
  <si>
    <t>96323</t>
  </si>
  <si>
    <t>68890</t>
  </si>
  <si>
    <t>18549</t>
  </si>
  <si>
    <t>82775</t>
  </si>
  <si>
    <t>61149</t>
  </si>
  <si>
    <t>26309</t>
  </si>
  <si>
    <t>13046</t>
  </si>
  <si>
    <t>31685</t>
  </si>
  <si>
    <t>36956</t>
  </si>
  <si>
    <t>19095</t>
  </si>
  <si>
    <t>13781</t>
  </si>
  <si>
    <t>79148</t>
  </si>
  <si>
    <t>30819</t>
  </si>
  <si>
    <t>07146</t>
  </si>
  <si>
    <t>98717</t>
  </si>
  <si>
    <t>28695</t>
  </si>
  <si>
    <t>96499</t>
  </si>
  <si>
    <t>44475</t>
  </si>
  <si>
    <t>50877</t>
  </si>
  <si>
    <t>97841</t>
  </si>
  <si>
    <t>92886</t>
  </si>
  <si>
    <t>34423</t>
  </si>
  <si>
    <t>12319</t>
  </si>
  <si>
    <t>36895</t>
  </si>
  <si>
    <t>63216</t>
  </si>
  <si>
    <t>10200</t>
  </si>
  <si>
    <t>40765</t>
  </si>
  <si>
    <t>55656</t>
  </si>
  <si>
    <t>76466</t>
  </si>
  <si>
    <t>75743</t>
  </si>
  <si>
    <t>14999</t>
  </si>
  <si>
    <t>44536</t>
  </si>
  <si>
    <t>47412</t>
  </si>
  <si>
    <t>53784</t>
  </si>
  <si>
    <t>76570</t>
  </si>
  <si>
    <t>80159</t>
  </si>
  <si>
    <t>05554</t>
  </si>
  <si>
    <t>54574</t>
  </si>
  <si>
    <t>72114</t>
  </si>
  <si>
    <t>93323</t>
  </si>
  <si>
    <t>81558</t>
  </si>
  <si>
    <t>10153</t>
  </si>
  <si>
    <t>96905</t>
  </si>
  <si>
    <t>20103</t>
  </si>
  <si>
    <t>61993</t>
  </si>
  <si>
    <t>75124</t>
  </si>
  <si>
    <t>93648</t>
  </si>
  <si>
    <t>79312</t>
  </si>
  <si>
    <t>21322</t>
  </si>
  <si>
    <t>22356</t>
  </si>
  <si>
    <t>93308</t>
  </si>
  <si>
    <t>16087</t>
  </si>
  <si>
    <t>60702</t>
  </si>
  <si>
    <t>05299</t>
  </si>
  <si>
    <t>94514</t>
  </si>
  <si>
    <t>15953</t>
  </si>
  <si>
    <t>16146</t>
  </si>
  <si>
    <t>99770</t>
  </si>
  <si>
    <t>04954</t>
  </si>
  <si>
    <t>14385</t>
  </si>
  <si>
    <t>15145</t>
  </si>
  <si>
    <t>18784</t>
  </si>
  <si>
    <t>09368</t>
  </si>
  <si>
    <t>01771</t>
  </si>
  <si>
    <t>19302</t>
  </si>
  <si>
    <t>87989</t>
  </si>
  <si>
    <t>07851</t>
  </si>
  <si>
    <t>14312</t>
  </si>
  <si>
    <t>13599</t>
  </si>
  <si>
    <t>79865</t>
  </si>
  <si>
    <t>70629</t>
  </si>
  <si>
    <t>37608</t>
  </si>
  <si>
    <t>02456</t>
  </si>
  <si>
    <t>05181</t>
  </si>
  <si>
    <t>19154</t>
  </si>
  <si>
    <t>36207</t>
  </si>
  <si>
    <t>85969</t>
  </si>
  <si>
    <t>77615</t>
  </si>
  <si>
    <t>00306</t>
  </si>
  <si>
    <t>90248</t>
  </si>
  <si>
    <t>16737</t>
  </si>
  <si>
    <t>28882</t>
  </si>
  <si>
    <t>21182</t>
  </si>
  <si>
    <t>21785</t>
  </si>
  <si>
    <t>20034</t>
  </si>
  <si>
    <t>95612</t>
  </si>
  <si>
    <t>34819</t>
  </si>
  <si>
    <t>48412</t>
  </si>
  <si>
    <t>59241</t>
  </si>
  <si>
    <t>99588</t>
  </si>
  <si>
    <t>57080</t>
  </si>
  <si>
    <t>94576</t>
  </si>
  <si>
    <t>95513</t>
  </si>
  <si>
    <t>12508</t>
  </si>
  <si>
    <t>35931</t>
  </si>
  <si>
    <t>04841</t>
  </si>
  <si>
    <t>26178</t>
  </si>
  <si>
    <t>26036</t>
  </si>
  <si>
    <t>84914</t>
  </si>
  <si>
    <t>78311</t>
  </si>
  <si>
    <t>08622</t>
  </si>
  <si>
    <t>41390</t>
  </si>
  <si>
    <t>92244</t>
  </si>
  <si>
    <t>57048</t>
  </si>
  <si>
    <t>12332</t>
  </si>
  <si>
    <t>75075</t>
  </si>
  <si>
    <t>46739</t>
  </si>
  <si>
    <t>18242</t>
  </si>
  <si>
    <t>18283</t>
  </si>
  <si>
    <t>80210</t>
  </si>
  <si>
    <t>85</t>
  </si>
  <si>
    <t>49416</t>
  </si>
  <si>
    <t>63752</t>
  </si>
  <si>
    <t>42566</t>
  </si>
  <si>
    <t>06110</t>
  </si>
  <si>
    <t>02581</t>
  </si>
  <si>
    <t>13862</t>
  </si>
  <si>
    <t>83301</t>
  </si>
  <si>
    <t>18999</t>
  </si>
  <si>
    <t>39901</t>
  </si>
  <si>
    <t>72056</t>
  </si>
  <si>
    <t>76790</t>
  </si>
  <si>
    <t>05232</t>
  </si>
  <si>
    <t>19657</t>
  </si>
  <si>
    <t>94063</t>
  </si>
  <si>
    <t>42958</t>
  </si>
  <si>
    <t>72035</t>
  </si>
  <si>
    <t>68888</t>
  </si>
  <si>
    <t>14505</t>
  </si>
  <si>
    <t>95584</t>
  </si>
  <si>
    <t>93634</t>
  </si>
  <si>
    <t>07808</t>
  </si>
  <si>
    <t>76839</t>
  </si>
  <si>
    <t>97709</t>
  </si>
  <si>
    <t>75243</t>
  </si>
  <si>
    <t>51739</t>
  </si>
  <si>
    <t>94228</t>
  </si>
  <si>
    <t>63132</t>
  </si>
  <si>
    <t>70268</t>
  </si>
  <si>
    <t>93765</t>
  </si>
  <si>
    <t>80974</t>
  </si>
  <si>
    <t>93380</t>
  </si>
  <si>
    <t>27458</t>
  </si>
  <si>
    <t>18637</t>
  </si>
  <si>
    <t>63510</t>
  </si>
  <si>
    <t>87687</t>
  </si>
  <si>
    <t>24144</t>
  </si>
  <si>
    <t>98142</t>
  </si>
  <si>
    <t>55875</t>
  </si>
  <si>
    <t>13102</t>
  </si>
  <si>
    <t>84270</t>
  </si>
  <si>
    <t>35387</t>
  </si>
  <si>
    <t>98342</t>
  </si>
  <si>
    <t>95339</t>
  </si>
  <si>
    <t>12416</t>
  </si>
  <si>
    <t>80669</t>
  </si>
  <si>
    <t>64250</t>
  </si>
  <si>
    <t>03363</t>
  </si>
  <si>
    <t>69557</t>
  </si>
  <si>
    <t>76948</t>
  </si>
  <si>
    <t>70088</t>
  </si>
  <si>
    <t>18944</t>
  </si>
  <si>
    <t>77546</t>
  </si>
  <si>
    <t>16966</t>
  </si>
  <si>
    <t>97899</t>
  </si>
  <si>
    <t>00756</t>
  </si>
  <si>
    <t>94086</t>
  </si>
  <si>
    <t>95049</t>
  </si>
  <si>
    <t>05262</t>
  </si>
  <si>
    <t>04653</t>
  </si>
  <si>
    <t>82108</t>
  </si>
  <si>
    <t>77312</t>
  </si>
  <si>
    <t>98671</t>
  </si>
  <si>
    <t>77018</t>
  </si>
  <si>
    <t>69158</t>
  </si>
  <si>
    <t>30554</t>
  </si>
  <si>
    <t>77649</t>
  </si>
  <si>
    <t>95677</t>
  </si>
  <si>
    <t>60957</t>
  </si>
  <si>
    <t>98747</t>
  </si>
  <si>
    <t>70517</t>
  </si>
  <si>
    <t>18531</t>
  </si>
  <si>
    <t>81166</t>
  </si>
  <si>
    <t>16645</t>
  </si>
  <si>
    <t>98429</t>
  </si>
  <si>
    <t>97651</t>
  </si>
  <si>
    <t>79903</t>
  </si>
  <si>
    <t>13928</t>
  </si>
  <si>
    <t>89392</t>
  </si>
  <si>
    <t>16468</t>
  </si>
  <si>
    <t>03056</t>
  </si>
  <si>
    <t>36343</t>
  </si>
  <si>
    <t>72139</t>
  </si>
  <si>
    <t>19263</t>
  </si>
  <si>
    <t>96139</t>
  </si>
  <si>
    <t>52136</t>
  </si>
  <si>
    <t>28397</t>
  </si>
  <si>
    <t>31848</t>
  </si>
  <si>
    <t>02264</t>
  </si>
  <si>
    <t>80643</t>
  </si>
  <si>
    <t>14152</t>
  </si>
  <si>
    <t>80107</t>
  </si>
  <si>
    <t>52303</t>
  </si>
  <si>
    <t>95663</t>
  </si>
  <si>
    <t>16055</t>
  </si>
  <si>
    <t>15889</t>
  </si>
  <si>
    <t>95615</t>
  </si>
  <si>
    <t>18715</t>
  </si>
  <si>
    <t>02537</t>
  </si>
  <si>
    <t>21176</t>
  </si>
  <si>
    <t>90524</t>
  </si>
  <si>
    <t>95195</t>
  </si>
  <si>
    <t>20568</t>
  </si>
  <si>
    <t>81006</t>
  </si>
  <si>
    <t>77788</t>
  </si>
  <si>
    <t>92750</t>
  </si>
  <si>
    <t>98557</t>
  </si>
  <si>
    <t>76679</t>
  </si>
  <si>
    <t>29546</t>
  </si>
  <si>
    <t>26253</t>
  </si>
  <si>
    <t>80251</t>
  </si>
  <si>
    <t>03901</t>
  </si>
  <si>
    <t>92522</t>
  </si>
  <si>
    <t>61462</t>
  </si>
  <si>
    <t>80576</t>
  </si>
  <si>
    <t>98668</t>
  </si>
  <si>
    <t>22117</t>
  </si>
  <si>
    <t>23396</t>
  </si>
  <si>
    <t>11107</t>
  </si>
  <si>
    <t>30435</t>
  </si>
  <si>
    <t>12193</t>
  </si>
  <si>
    <t>81371</t>
  </si>
  <si>
    <t>81429</t>
  </si>
  <si>
    <t>18385</t>
  </si>
  <si>
    <t>35505</t>
  </si>
  <si>
    <t>79156</t>
  </si>
  <si>
    <t>90180</t>
  </si>
  <si>
    <t>92887</t>
  </si>
  <si>
    <t>06954</t>
  </si>
  <si>
    <t>10356</t>
  </si>
  <si>
    <t>09283</t>
  </si>
  <si>
    <t>76052</t>
  </si>
  <si>
    <t>69764</t>
  </si>
  <si>
    <t>94163</t>
  </si>
  <si>
    <t>94877</t>
  </si>
  <si>
    <t>72200</t>
  </si>
  <si>
    <t>69270</t>
  </si>
  <si>
    <t>3560070822386</t>
  </si>
  <si>
    <t>13966</t>
  </si>
  <si>
    <t>62446</t>
  </si>
  <si>
    <t>97749</t>
  </si>
  <si>
    <t>61790</t>
  </si>
  <si>
    <t>68145</t>
  </si>
  <si>
    <t>11385</t>
  </si>
  <si>
    <t>36698</t>
  </si>
  <si>
    <t>68766</t>
  </si>
  <si>
    <t>35865</t>
  </si>
  <si>
    <t>70161</t>
  </si>
  <si>
    <t>67795</t>
  </si>
  <si>
    <t>82447</t>
  </si>
  <si>
    <t>23220</t>
  </si>
  <si>
    <t>09190</t>
  </si>
  <si>
    <t>25493</t>
  </si>
  <si>
    <t>98994</t>
  </si>
  <si>
    <t>03270</t>
  </si>
  <si>
    <t>14582</t>
  </si>
  <si>
    <t>93606</t>
  </si>
  <si>
    <t>51246</t>
  </si>
  <si>
    <t>15728</t>
  </si>
  <si>
    <t>60168</t>
  </si>
  <si>
    <t>82825</t>
  </si>
  <si>
    <t>12079</t>
  </si>
  <si>
    <t>69686</t>
  </si>
  <si>
    <t>60116</t>
  </si>
  <si>
    <t>95839</t>
  </si>
  <si>
    <t>94972</t>
  </si>
  <si>
    <t>51750</t>
  </si>
  <si>
    <t>76334</t>
  </si>
  <si>
    <t>41316</t>
  </si>
  <si>
    <t>94004</t>
  </si>
  <si>
    <t>68627</t>
  </si>
  <si>
    <t>15980</t>
  </si>
  <si>
    <t>92214</t>
  </si>
  <si>
    <t>18523</t>
  </si>
  <si>
    <t>23389</t>
  </si>
  <si>
    <t>68505</t>
  </si>
  <si>
    <t>76194</t>
  </si>
  <si>
    <t>08291</t>
  </si>
  <si>
    <t>76869</t>
  </si>
  <si>
    <t>84049</t>
  </si>
  <si>
    <t>96291</t>
  </si>
  <si>
    <t>19859</t>
  </si>
  <si>
    <t>95821</t>
  </si>
  <si>
    <t>55862</t>
  </si>
  <si>
    <t>69683</t>
  </si>
  <si>
    <t>14601</t>
  </si>
  <si>
    <t>72045</t>
  </si>
  <si>
    <t>70702</t>
  </si>
  <si>
    <t>93673</t>
  </si>
  <si>
    <t>69516</t>
  </si>
  <si>
    <t>94123</t>
  </si>
  <si>
    <t>30455</t>
  </si>
  <si>
    <t>80394</t>
  </si>
  <si>
    <t>70310</t>
  </si>
  <si>
    <t>20972</t>
  </si>
  <si>
    <t>70682</t>
  </si>
  <si>
    <t>44861</t>
  </si>
  <si>
    <t>68357</t>
  </si>
  <si>
    <t>13501</t>
  </si>
  <si>
    <t>01676</t>
  </si>
  <si>
    <t>02241</t>
  </si>
  <si>
    <t>89128</t>
  </si>
  <si>
    <t>84137</t>
  </si>
  <si>
    <t>69030</t>
  </si>
  <si>
    <t>85632</t>
  </si>
  <si>
    <t>06351</t>
  </si>
  <si>
    <t>93270</t>
  </si>
  <si>
    <t>99137</t>
  </si>
  <si>
    <t>23446</t>
  </si>
  <si>
    <t>92060</t>
  </si>
  <si>
    <t>95848</t>
  </si>
  <si>
    <t>08420</t>
  </si>
  <si>
    <t>20711</t>
  </si>
  <si>
    <t>19412</t>
  </si>
  <si>
    <t>13133</t>
  </si>
  <si>
    <t>16646</t>
  </si>
  <si>
    <t>87207</t>
  </si>
  <si>
    <t>32433</t>
  </si>
  <si>
    <t>81159</t>
  </si>
  <si>
    <t>96083</t>
  </si>
  <si>
    <t>11378</t>
  </si>
  <si>
    <t>92834</t>
  </si>
  <si>
    <t>09809</t>
  </si>
  <si>
    <t>21275</t>
  </si>
  <si>
    <t>08624</t>
  </si>
  <si>
    <t>66030</t>
  </si>
  <si>
    <t>87945</t>
  </si>
  <si>
    <t>08628</t>
  </si>
  <si>
    <t>68307</t>
  </si>
  <si>
    <t>95300</t>
  </si>
  <si>
    <t>20022</t>
  </si>
  <si>
    <t>40749</t>
  </si>
  <si>
    <t>79949</t>
  </si>
  <si>
    <t>47850</t>
  </si>
  <si>
    <t>99244</t>
  </si>
  <si>
    <t>54964</t>
  </si>
  <si>
    <t>55529</t>
  </si>
  <si>
    <t>53557</t>
  </si>
  <si>
    <t>43789</t>
  </si>
  <si>
    <t>46462</t>
  </si>
  <si>
    <t>81088</t>
  </si>
  <si>
    <t>74609</t>
  </si>
  <si>
    <t>57797</t>
  </si>
  <si>
    <t>65847</t>
  </si>
  <si>
    <t>44522</t>
  </si>
  <si>
    <t>68325</t>
  </si>
  <si>
    <t>58669</t>
  </si>
  <si>
    <t>90664</t>
  </si>
  <si>
    <t>81189</t>
  </si>
  <si>
    <t>80086</t>
  </si>
  <si>
    <t>95983</t>
  </si>
  <si>
    <t>92029</t>
  </si>
  <si>
    <t>28130</t>
  </si>
  <si>
    <t>11362</t>
  </si>
  <si>
    <t>92274</t>
  </si>
  <si>
    <t>06743</t>
  </si>
  <si>
    <t>74550</t>
  </si>
  <si>
    <t>54428</t>
  </si>
  <si>
    <t>68359</t>
  </si>
  <si>
    <t>46497</t>
  </si>
  <si>
    <t>76113</t>
  </si>
  <si>
    <t>43778</t>
  </si>
  <si>
    <t>76274</t>
  </si>
  <si>
    <t>92354</t>
  </si>
  <si>
    <t>47280</t>
  </si>
  <si>
    <t>99060</t>
  </si>
  <si>
    <t>10766</t>
  </si>
  <si>
    <t>53069</t>
  </si>
  <si>
    <t>48696</t>
  </si>
  <si>
    <t>09926</t>
  </si>
  <si>
    <t>61706</t>
  </si>
  <si>
    <t>85213</t>
  </si>
  <si>
    <t>70440</t>
  </si>
  <si>
    <t>94331</t>
  </si>
  <si>
    <t>RAGOT CELINE</t>
  </si>
  <si>
    <t>50500</t>
  </si>
  <si>
    <t>85317</t>
  </si>
  <si>
    <t>45051</t>
  </si>
  <si>
    <t>92127</t>
  </si>
  <si>
    <t>89324</t>
  </si>
  <si>
    <t>94528</t>
  </si>
  <si>
    <t>94667</t>
  </si>
  <si>
    <t>44807</t>
  </si>
  <si>
    <t>3616182436277</t>
  </si>
  <si>
    <t>3616182436284</t>
  </si>
  <si>
    <t>3616182436291</t>
  </si>
  <si>
    <t>3616182436307</t>
  </si>
  <si>
    <t>3616182436314</t>
  </si>
  <si>
    <t>52613</t>
  </si>
  <si>
    <t>43356</t>
  </si>
  <si>
    <t>79847</t>
  </si>
  <si>
    <t>3616474486256</t>
  </si>
  <si>
    <t>90675</t>
  </si>
  <si>
    <t>19646</t>
  </si>
  <si>
    <t>70174</t>
  </si>
  <si>
    <t>92325</t>
  </si>
  <si>
    <t>15461</t>
  </si>
  <si>
    <t>19144</t>
  </si>
  <si>
    <t>69164</t>
  </si>
  <si>
    <t>HEUCQ ALEXANDRE</t>
  </si>
  <si>
    <t>68181</t>
  </si>
  <si>
    <t>81852</t>
  </si>
  <si>
    <t>75315</t>
  </si>
  <si>
    <t>58853</t>
  </si>
  <si>
    <t>11398</t>
  </si>
  <si>
    <t>79054</t>
  </si>
  <si>
    <t>89674</t>
  </si>
  <si>
    <t>92876</t>
  </si>
  <si>
    <t>68108</t>
  </si>
  <si>
    <t>63586</t>
  </si>
  <si>
    <t>69325</t>
  </si>
  <si>
    <t>82542</t>
  </si>
  <si>
    <t>4895152708258</t>
  </si>
  <si>
    <t>4895152708289</t>
  </si>
  <si>
    <t>4895152708296</t>
  </si>
  <si>
    <t>92589</t>
  </si>
  <si>
    <t>18864</t>
  </si>
  <si>
    <t>84604</t>
  </si>
  <si>
    <t>76278</t>
  </si>
  <si>
    <t>97808</t>
  </si>
  <si>
    <t>68377</t>
  </si>
  <si>
    <t>85383</t>
  </si>
  <si>
    <t>79643</t>
  </si>
  <si>
    <t>80794</t>
  </si>
  <si>
    <t>85584</t>
  </si>
  <si>
    <t>82449</t>
  </si>
  <si>
    <t>85508</t>
  </si>
  <si>
    <t>18642</t>
  </si>
  <si>
    <t>10979</t>
  </si>
  <si>
    <t>82860</t>
  </si>
  <si>
    <t>86752</t>
  </si>
  <si>
    <t>16546</t>
  </si>
  <si>
    <t>77172</t>
  </si>
  <si>
    <t>5410228222941</t>
  </si>
  <si>
    <t>31262</t>
  </si>
  <si>
    <t>07706</t>
  </si>
  <si>
    <t>18700</t>
  </si>
  <si>
    <t>17485</t>
  </si>
  <si>
    <t>84097</t>
  </si>
  <si>
    <t>49685</t>
  </si>
  <si>
    <t>96411</t>
  </si>
  <si>
    <t>LEMAIRE PATRICK</t>
  </si>
  <si>
    <t>68334</t>
  </si>
  <si>
    <t>60354</t>
  </si>
  <si>
    <t>63050</t>
  </si>
  <si>
    <t>62711</t>
  </si>
  <si>
    <t>69845</t>
  </si>
  <si>
    <t>58730</t>
  </si>
  <si>
    <t>68922</t>
  </si>
  <si>
    <t>81919</t>
  </si>
  <si>
    <t>15547</t>
  </si>
  <si>
    <t>63264</t>
  </si>
  <si>
    <t>17204</t>
  </si>
  <si>
    <t>BELLIER THOMAS</t>
  </si>
  <si>
    <t>90879</t>
  </si>
  <si>
    <t>94593</t>
  </si>
  <si>
    <t>24318</t>
  </si>
  <si>
    <t>94679</t>
  </si>
  <si>
    <t>93420</t>
  </si>
  <si>
    <t>95329</t>
  </si>
  <si>
    <t>96431</t>
  </si>
  <si>
    <t>5998837542136</t>
  </si>
  <si>
    <t>7501064191466</t>
  </si>
  <si>
    <t>27978</t>
  </si>
  <si>
    <t>58213</t>
  </si>
  <si>
    <t>68966</t>
  </si>
  <si>
    <t>68629</t>
  </si>
  <si>
    <t>44571</t>
  </si>
  <si>
    <t>98986</t>
  </si>
  <si>
    <t>84687</t>
  </si>
  <si>
    <t>55891</t>
  </si>
  <si>
    <t>68508</t>
  </si>
  <si>
    <t>86290</t>
  </si>
  <si>
    <t>82212</t>
  </si>
  <si>
    <t>BOUSQUET PATRICK</t>
  </si>
  <si>
    <t>8051772911102</t>
  </si>
  <si>
    <t>51608</t>
  </si>
  <si>
    <t>97819</t>
  </si>
  <si>
    <t>51174</t>
  </si>
  <si>
    <t>14657</t>
  </si>
  <si>
    <t>87201</t>
  </si>
  <si>
    <t>98898</t>
  </si>
  <si>
    <t>95054</t>
  </si>
  <si>
    <t>69717</t>
  </si>
  <si>
    <t>24731</t>
  </si>
  <si>
    <t>31256</t>
  </si>
  <si>
    <t>98571</t>
  </si>
  <si>
    <t>84609</t>
  </si>
  <si>
    <t>93791</t>
  </si>
  <si>
    <t>87944</t>
  </si>
  <si>
    <t>21156</t>
  </si>
  <si>
    <t>68522</t>
  </si>
  <si>
    <t>84037</t>
  </si>
  <si>
    <t>69149</t>
  </si>
  <si>
    <t>87128</t>
  </si>
  <si>
    <t>53211</t>
  </si>
  <si>
    <t>01046</t>
  </si>
  <si>
    <t>83299</t>
  </si>
  <si>
    <t>8711252023120</t>
  </si>
  <si>
    <t>8711295008351</t>
  </si>
  <si>
    <t>8711295037863</t>
  </si>
  <si>
    <t>8711295092916</t>
  </si>
  <si>
    <t>8711295214202</t>
  </si>
  <si>
    <t>8711295290459</t>
  </si>
  <si>
    <t>8711295356858</t>
  </si>
  <si>
    <t>8711295503603</t>
  </si>
  <si>
    <t>8711295553349</t>
  </si>
  <si>
    <t>8711295830242</t>
  </si>
  <si>
    <t>8711295884351</t>
  </si>
  <si>
    <t>8711295960246</t>
  </si>
  <si>
    <t>52723</t>
  </si>
  <si>
    <t>8713305811180</t>
  </si>
  <si>
    <t>47236</t>
  </si>
  <si>
    <t>90680</t>
  </si>
  <si>
    <t>90603</t>
  </si>
  <si>
    <t>81335</t>
  </si>
  <si>
    <t>94842</t>
  </si>
  <si>
    <t>8718158109781</t>
  </si>
  <si>
    <t>8718158109811</t>
  </si>
  <si>
    <t>8718158247261</t>
  </si>
  <si>
    <t>8718158318046</t>
  </si>
  <si>
    <t>8718158596826</t>
  </si>
  <si>
    <t>8718158742612</t>
  </si>
  <si>
    <t>8718158838865</t>
  </si>
  <si>
    <t>8718158906991</t>
  </si>
  <si>
    <t>8718158907011</t>
  </si>
  <si>
    <t>8718158907530</t>
  </si>
  <si>
    <t>8718158961891</t>
  </si>
  <si>
    <t>8719202008531</t>
  </si>
  <si>
    <t>8719202045987</t>
  </si>
  <si>
    <t>8719202049206</t>
  </si>
  <si>
    <t>8719202049350</t>
  </si>
  <si>
    <t>8719202049381</t>
  </si>
  <si>
    <t>8719202049442</t>
  </si>
  <si>
    <t>8719202049473</t>
  </si>
  <si>
    <t>8719202049893</t>
  </si>
  <si>
    <t>8719202050486</t>
  </si>
  <si>
    <t>8719202050561</t>
  </si>
  <si>
    <t>8719202095937</t>
  </si>
  <si>
    <t>8719202120660</t>
  </si>
  <si>
    <t>8719202180732</t>
  </si>
  <si>
    <t>8719202202571</t>
  </si>
  <si>
    <t>8719202202632</t>
  </si>
  <si>
    <t>8719202389869</t>
  </si>
  <si>
    <t>8719202421613</t>
  </si>
  <si>
    <t>8719202470284</t>
  </si>
  <si>
    <t>8719202516456</t>
  </si>
  <si>
    <t>8719202542516</t>
  </si>
  <si>
    <t>8719202631128</t>
  </si>
  <si>
    <t>8719202659399</t>
  </si>
  <si>
    <t>8719202679335</t>
  </si>
  <si>
    <t>8719202679458</t>
  </si>
  <si>
    <t>8719202679663</t>
  </si>
  <si>
    <t>8719202680058</t>
  </si>
  <si>
    <t>8719202680089</t>
  </si>
  <si>
    <t>8719202680119</t>
  </si>
  <si>
    <t>8719202680201</t>
  </si>
  <si>
    <t>8719202758795</t>
  </si>
  <si>
    <t>8719202839029</t>
  </si>
  <si>
    <t>8719202852912</t>
  </si>
  <si>
    <t>8719202905700</t>
  </si>
  <si>
    <t>8719202905717</t>
  </si>
  <si>
    <t>8719202911350</t>
  </si>
  <si>
    <t>8719202913118</t>
  </si>
  <si>
    <t>8719202919714</t>
  </si>
  <si>
    <t>8719202939309</t>
  </si>
  <si>
    <t>8719202954302</t>
  </si>
  <si>
    <t>92468</t>
  </si>
  <si>
    <t>8719987035753</t>
  </si>
  <si>
    <t>8719987076640</t>
  </si>
  <si>
    <t>8719987076831</t>
  </si>
  <si>
    <t>8719987076848</t>
  </si>
  <si>
    <t>8719987090868</t>
  </si>
  <si>
    <t>8719987203428</t>
  </si>
  <si>
    <t>8719987270659</t>
  </si>
  <si>
    <t>8719987317354</t>
  </si>
  <si>
    <t>8719987347733</t>
  </si>
  <si>
    <t>8719987363368</t>
  </si>
  <si>
    <t>8719987363504</t>
  </si>
  <si>
    <t>8719987363726</t>
  </si>
  <si>
    <t>8719987383229</t>
  </si>
  <si>
    <t>8719987383465</t>
  </si>
  <si>
    <t>8719987387623</t>
  </si>
  <si>
    <t>8719987389542</t>
  </si>
  <si>
    <t>8719987392115</t>
  </si>
  <si>
    <t>8719987404818</t>
  </si>
  <si>
    <t>8719987404900</t>
  </si>
  <si>
    <t>8719987410673</t>
  </si>
  <si>
    <t>8719987432699</t>
  </si>
  <si>
    <t>8719987434235</t>
  </si>
  <si>
    <t>8719987469466</t>
  </si>
  <si>
    <t>8719987469961</t>
  </si>
  <si>
    <t>8719987502415</t>
  </si>
  <si>
    <t>8719987517396</t>
  </si>
  <si>
    <t>8719987519321</t>
  </si>
  <si>
    <t>8719987540080</t>
  </si>
  <si>
    <t>8719987542459</t>
  </si>
  <si>
    <t>8719987551116</t>
  </si>
  <si>
    <t>8719987551147</t>
  </si>
  <si>
    <t>8719987580123</t>
  </si>
  <si>
    <t>8719987580963</t>
  </si>
  <si>
    <t>8719987583254</t>
  </si>
  <si>
    <t>8719987583285</t>
  </si>
  <si>
    <t>8719987589218</t>
  </si>
  <si>
    <t>8719987602399</t>
  </si>
  <si>
    <t>8719987606007</t>
  </si>
  <si>
    <t>8719987760327</t>
  </si>
  <si>
    <t>8719987760341</t>
  </si>
  <si>
    <t>8719987810794</t>
  </si>
  <si>
    <t>8719987823121</t>
  </si>
  <si>
    <t>8719987851537</t>
  </si>
  <si>
    <t>8719987858758</t>
  </si>
  <si>
    <t>8719987858819</t>
  </si>
  <si>
    <t>8719987858833</t>
  </si>
  <si>
    <t>8719987858918</t>
  </si>
  <si>
    <t>8719987858932</t>
  </si>
  <si>
    <t>8719987859908</t>
  </si>
  <si>
    <t>8719987859991</t>
  </si>
  <si>
    <t>8719987860676</t>
  </si>
  <si>
    <t>8719987879371</t>
  </si>
  <si>
    <t>8719987880162</t>
  </si>
  <si>
    <t>8719987881510</t>
  </si>
  <si>
    <t>8719987882135</t>
  </si>
  <si>
    <t>8719987882166</t>
  </si>
  <si>
    <t>8719987882746</t>
  </si>
  <si>
    <t>8719987882777</t>
  </si>
  <si>
    <t>8719987882821</t>
  </si>
  <si>
    <t>8719987882890</t>
  </si>
  <si>
    <t>8719987898259</t>
  </si>
  <si>
    <t>8719987949050</t>
  </si>
  <si>
    <t>8720573054546</t>
  </si>
  <si>
    <t>8720573073806</t>
  </si>
  <si>
    <t>8720573138734</t>
  </si>
  <si>
    <t>8720573142106</t>
  </si>
  <si>
    <t>8720573146562</t>
  </si>
  <si>
    <t>8720573153690</t>
  </si>
  <si>
    <t>8720573199711</t>
  </si>
  <si>
    <t>8720573200004</t>
  </si>
  <si>
    <t>8720573200158</t>
  </si>
  <si>
    <t>8720573200806</t>
  </si>
  <si>
    <t>8720573202862</t>
  </si>
  <si>
    <t>8720573202893</t>
  </si>
  <si>
    <t>8720573204255</t>
  </si>
  <si>
    <t>8720573204286</t>
  </si>
  <si>
    <t>8720573205801</t>
  </si>
  <si>
    <t>8720573208666</t>
  </si>
  <si>
    <t>8720573208697</t>
  </si>
  <si>
    <t>8720573209281</t>
  </si>
  <si>
    <t>8720573209519</t>
  </si>
  <si>
    <t>8720573209687</t>
  </si>
  <si>
    <t>8720573209854</t>
  </si>
  <si>
    <t>8720573210065</t>
  </si>
  <si>
    <t>8720573210072</t>
  </si>
  <si>
    <t>8720573225854</t>
  </si>
  <si>
    <t>8720573233095</t>
  </si>
  <si>
    <t>8720573256285</t>
  </si>
  <si>
    <t>8720573256438</t>
  </si>
  <si>
    <t>9001704001264</t>
  </si>
  <si>
    <t>77363</t>
  </si>
  <si>
    <t>00772</t>
  </si>
  <si>
    <t>68</t>
  </si>
  <si>
    <t>erreur code fournisseur concerne le 77268 rgt 01</t>
  </si>
  <si>
    <t>5411074221812</t>
  </si>
  <si>
    <t>5411074221942</t>
  </si>
  <si>
    <t>5411074230166</t>
  </si>
  <si>
    <t>5411074230173</t>
  </si>
  <si>
    <t>5414635119931</t>
  </si>
  <si>
    <t>5414635119948</t>
  </si>
  <si>
    <t>5414635119955</t>
  </si>
  <si>
    <t>5414635119962</t>
  </si>
  <si>
    <t>5419980237033</t>
  </si>
  <si>
    <t>7640143167548</t>
  </si>
  <si>
    <t>7640143168217</t>
  </si>
  <si>
    <t>8003186077301</t>
  </si>
  <si>
    <t>8711252268323</t>
  </si>
  <si>
    <t>8712856064151</t>
  </si>
  <si>
    <t>8717448018802</t>
  </si>
  <si>
    <t>8719987655746</t>
  </si>
  <si>
    <t>3059940007294</t>
  </si>
  <si>
    <t>3616479710578</t>
  </si>
  <si>
    <t>3665468000169</t>
  </si>
  <si>
    <t>0883314937930</t>
  </si>
  <si>
    <t>0883314937947</t>
  </si>
  <si>
    <t>0883314937961</t>
  </si>
  <si>
    <t>0883314937978</t>
  </si>
  <si>
    <t>0883314937985</t>
  </si>
  <si>
    <t>0883314937992</t>
  </si>
  <si>
    <t>3184830053348</t>
  </si>
  <si>
    <t>3616479608042</t>
  </si>
  <si>
    <t>3616479608059</t>
  </si>
  <si>
    <t>3616479608066</t>
  </si>
  <si>
    <t>3616479613367</t>
  </si>
  <si>
    <t>3616479613381</t>
  </si>
  <si>
    <t>3616479613398</t>
  </si>
  <si>
    <t>3616479613404</t>
  </si>
  <si>
    <t>3616479644538</t>
  </si>
  <si>
    <t>8003723001554</t>
  </si>
  <si>
    <t>8003723101926</t>
  </si>
  <si>
    <t>8003723200551</t>
  </si>
  <si>
    <t>8003723201923</t>
  </si>
  <si>
    <t>8003723203538</t>
  </si>
  <si>
    <t>8003723403532</t>
  </si>
  <si>
    <t>8009271006515</t>
  </si>
  <si>
    <t>8009271086661</t>
  </si>
  <si>
    <t>6130732002240</t>
  </si>
  <si>
    <t>6130732003285</t>
  </si>
  <si>
    <t>6130732003292</t>
  </si>
  <si>
    <t>6130732003308</t>
  </si>
  <si>
    <t>6130732003315</t>
  </si>
  <si>
    <t>6130732003353</t>
  </si>
  <si>
    <t>6130732003360</t>
  </si>
  <si>
    <t>6130732003377</t>
  </si>
  <si>
    <t>98550</t>
  </si>
  <si>
    <t>87957</t>
  </si>
  <si>
    <t>87996</t>
  </si>
  <si>
    <t>30755</t>
  </si>
  <si>
    <t>89139</t>
  </si>
  <si>
    <t>6411760104909</t>
  </si>
  <si>
    <t>6411760106903</t>
  </si>
  <si>
    <t>6411760108907</t>
  </si>
  <si>
    <t>6411760110900</t>
  </si>
  <si>
    <t>00989</t>
  </si>
  <si>
    <t>77268</t>
  </si>
  <si>
    <t>83770</t>
  </si>
  <si>
    <t>0684678110096</t>
  </si>
  <si>
    <t>1er envoi</t>
  </si>
  <si>
    <t>79616</t>
  </si>
  <si>
    <t>3113610119561</t>
  </si>
  <si>
    <t>3560071400361</t>
  </si>
  <si>
    <t>3560071400392</t>
  </si>
  <si>
    <t>3560071402365</t>
  </si>
  <si>
    <t>85243</t>
  </si>
  <si>
    <t>3616474461864</t>
  </si>
  <si>
    <t>3616474461871</t>
  </si>
  <si>
    <t>3616474461888</t>
  </si>
  <si>
    <t>3616474461895</t>
  </si>
  <si>
    <t>3616474461901</t>
  </si>
  <si>
    <t>3616474461918</t>
  </si>
  <si>
    <t>3616474461925</t>
  </si>
  <si>
    <t>3616474461932</t>
  </si>
  <si>
    <t>3616474461949</t>
  </si>
  <si>
    <t>3616474461956</t>
  </si>
  <si>
    <t>3616474461963</t>
  </si>
  <si>
    <t>3616474461970</t>
  </si>
  <si>
    <t>3616474461987</t>
  </si>
  <si>
    <t>3616474483514</t>
  </si>
  <si>
    <t>3616479199663</t>
  </si>
  <si>
    <t>3616479199670</t>
  </si>
  <si>
    <t>3616479199687</t>
  </si>
  <si>
    <t>3616479199694</t>
  </si>
  <si>
    <t>3616479199700</t>
  </si>
  <si>
    <t>3616479199717</t>
  </si>
  <si>
    <t>3616479199724</t>
  </si>
  <si>
    <t>3616479199731</t>
  </si>
  <si>
    <t>3616479199748</t>
  </si>
  <si>
    <t>3616479199755</t>
  </si>
  <si>
    <t>3616479202110</t>
  </si>
  <si>
    <t>3616479606680</t>
  </si>
  <si>
    <t>3616479606697</t>
  </si>
  <si>
    <t>3616479606703</t>
  </si>
  <si>
    <t>3616479650027</t>
  </si>
  <si>
    <t>3616479658078</t>
  </si>
  <si>
    <t>3616479658085</t>
  </si>
  <si>
    <t>3616479658092</t>
  </si>
  <si>
    <t>3616479658108</t>
  </si>
  <si>
    <t>3616479658115</t>
  </si>
  <si>
    <t>4008146038792</t>
  </si>
  <si>
    <t>4012093902143</t>
  </si>
  <si>
    <t>4719072913526</t>
  </si>
  <si>
    <t>8003705120679</t>
  </si>
  <si>
    <t>8003705120686</t>
  </si>
  <si>
    <t>8051511994137</t>
  </si>
  <si>
    <t>8410964040462</t>
  </si>
  <si>
    <t>8410964040653</t>
  </si>
  <si>
    <t>8410964040820</t>
  </si>
  <si>
    <t>8410964040844</t>
  </si>
  <si>
    <t>8410964040905</t>
  </si>
  <si>
    <t>8410964040998</t>
  </si>
  <si>
    <t>8410964041049</t>
  </si>
  <si>
    <t>8410964050157</t>
  </si>
  <si>
    <t>8410964050164</t>
  </si>
  <si>
    <t>8414227032591</t>
  </si>
  <si>
    <t>8414227032607</t>
  </si>
  <si>
    <t>8414227034656</t>
  </si>
  <si>
    <t>8414227036728</t>
  </si>
  <si>
    <t>8414227044280</t>
  </si>
  <si>
    <t>8414227044303</t>
  </si>
  <si>
    <t>8414227656933</t>
  </si>
  <si>
    <t>8445255146431</t>
  </si>
  <si>
    <t>8445255146448</t>
  </si>
  <si>
    <t>8445255146455</t>
  </si>
  <si>
    <t>8445255146523</t>
  </si>
  <si>
    <t>8718158009494</t>
  </si>
  <si>
    <t>8718158647634</t>
  </si>
  <si>
    <t>8719987387203</t>
  </si>
  <si>
    <t>8719987518928</t>
  </si>
  <si>
    <t>8719987858895</t>
  </si>
  <si>
    <t>5050574259095</t>
  </si>
  <si>
    <t>8681842285453</t>
  </si>
  <si>
    <t>8681842285460</t>
  </si>
  <si>
    <t>8681842285491</t>
  </si>
  <si>
    <t>3059940006839</t>
  </si>
  <si>
    <t>3560071440640</t>
  </si>
  <si>
    <t>3560071440657</t>
  </si>
  <si>
    <t>3560071440664</t>
  </si>
  <si>
    <t>3616479520405</t>
  </si>
  <si>
    <t>3616479606574</t>
  </si>
  <si>
    <t>3616479606581</t>
  </si>
  <si>
    <t>3616479606598</t>
  </si>
  <si>
    <t>3616479606604</t>
  </si>
  <si>
    <t>3616479606611</t>
  </si>
  <si>
    <t>3616479606628</t>
  </si>
  <si>
    <t>3616479606635</t>
  </si>
  <si>
    <t>3616479613336</t>
  </si>
  <si>
    <t>3616479613343</t>
  </si>
  <si>
    <t>3616479613374</t>
  </si>
  <si>
    <t>3616479613411</t>
  </si>
  <si>
    <t>3616479614364</t>
  </si>
  <si>
    <t>3616479617792</t>
  </si>
  <si>
    <t>3616479617808</t>
  </si>
  <si>
    <t>3616479617815</t>
  </si>
  <si>
    <t>3616479617822</t>
  </si>
  <si>
    <t>3616479617839</t>
  </si>
  <si>
    <t>3616479617846</t>
  </si>
  <si>
    <t>3616479617853</t>
  </si>
  <si>
    <t>3616479617860</t>
  </si>
  <si>
    <t>3616479617877</t>
  </si>
  <si>
    <t>3616479617884</t>
  </si>
  <si>
    <t>3616479617891</t>
  </si>
  <si>
    <t>3616479617907</t>
  </si>
  <si>
    <t>3616479673033</t>
  </si>
  <si>
    <t>3616479825357</t>
  </si>
  <si>
    <t>3616479825364</t>
  </si>
  <si>
    <t>5900886405232</t>
  </si>
  <si>
    <t>3664696000460</t>
  </si>
  <si>
    <t>89548</t>
  </si>
  <si>
    <t>3770011822072</t>
  </si>
  <si>
    <t>3770011822089</t>
  </si>
  <si>
    <t>82238</t>
  </si>
  <si>
    <t>5425030341209</t>
  </si>
  <si>
    <t>5425030341742</t>
  </si>
  <si>
    <t>8714443709759</t>
  </si>
  <si>
    <t>19000</t>
  </si>
  <si>
    <t>LAMBERT GEOFFROY</t>
  </si>
  <si>
    <t>3616479658290</t>
  </si>
  <si>
    <t>94864</t>
  </si>
  <si>
    <t>8432325398920</t>
  </si>
  <si>
    <t>8432325398975</t>
  </si>
  <si>
    <t>8432325398937</t>
  </si>
  <si>
    <t>8007382072504</t>
  </si>
  <si>
    <t>8007382073402</t>
  </si>
  <si>
    <t>8007382073457</t>
  </si>
  <si>
    <t>8007382073532</t>
  </si>
  <si>
    <t>8007382076489</t>
  </si>
  <si>
    <t>3616474636538</t>
  </si>
  <si>
    <t>00947</t>
  </si>
  <si>
    <t>3550408891115</t>
  </si>
  <si>
    <t>3550408890309</t>
  </si>
  <si>
    <t>01/2022</t>
  </si>
  <si>
    <t>02/2022</t>
  </si>
  <si>
    <t>03/2022</t>
  </si>
  <si>
    <t>04/2022</t>
  </si>
  <si>
    <t>05/2022</t>
  </si>
  <si>
    <t>06/2022</t>
  </si>
  <si>
    <t>07/2022</t>
  </si>
  <si>
    <t>08/2022</t>
  </si>
  <si>
    <t>Mois</t>
  </si>
  <si>
    <t>Pas de retour OK</t>
  </si>
  <si>
    <t>Total envoyés</t>
  </si>
  <si>
    <t>09/2022</t>
  </si>
  <si>
    <t>10/2022</t>
  </si>
  <si>
    <t>11/2022</t>
  </si>
  <si>
    <t>12/2022</t>
  </si>
  <si>
    <t>Doublon 21/06</t>
  </si>
  <si>
    <t>Relance 2</t>
  </si>
  <si>
    <t>Abandon auto 07/11/2022</t>
  </si>
  <si>
    <t>Ean inconnu chez le fournisseur voir mail Laetitia SOHIER</t>
  </si>
  <si>
    <t>Rejet 7</t>
  </si>
  <si>
    <t>Founrisseur déréférencé</t>
  </si>
  <si>
    <t>doublon erreur frs 94785</t>
  </si>
  <si>
    <t>3482351113535</t>
  </si>
  <si>
    <t>3560071447465</t>
  </si>
  <si>
    <t>3760349041009</t>
  </si>
  <si>
    <t>3760349041016</t>
  </si>
  <si>
    <t>5600648952706</t>
  </si>
  <si>
    <t>5603015144773</t>
  </si>
  <si>
    <t>5905204977903</t>
  </si>
  <si>
    <t>8720254316147</t>
  </si>
  <si>
    <t>8720573288019</t>
  </si>
  <si>
    <t>8720573288026</t>
  </si>
  <si>
    <t>8720573288033</t>
  </si>
  <si>
    <t>8720573305365</t>
  </si>
  <si>
    <t>8720573423175</t>
  </si>
  <si>
    <t>Doublon 16/08</t>
  </si>
  <si>
    <t>Doublon</t>
  </si>
  <si>
    <t>8718951475489</t>
  </si>
  <si>
    <t>8718951475519</t>
  </si>
  <si>
    <t>8720573434911</t>
  </si>
  <si>
    <t>3616479685449</t>
  </si>
  <si>
    <t>7332462092624</t>
  </si>
  <si>
    <t>98739</t>
  </si>
  <si>
    <t>3546530004684</t>
  </si>
  <si>
    <t>3760186970746</t>
  </si>
  <si>
    <t>3770009733908</t>
  </si>
  <si>
    <t>9002859116476</t>
  </si>
  <si>
    <t>74332</t>
  </si>
  <si>
    <t>94785</t>
  </si>
  <si>
    <t>3523670277376</t>
  </si>
  <si>
    <t>8058368693008</t>
  </si>
  <si>
    <t>8412081313085</t>
  </si>
  <si>
    <t>8427370900464</t>
  </si>
  <si>
    <t>8427370900730</t>
  </si>
  <si>
    <t>8719987502354</t>
  </si>
  <si>
    <t>8719987588570</t>
  </si>
  <si>
    <t>8720573201360</t>
  </si>
  <si>
    <t>3560238982457</t>
  </si>
  <si>
    <t>3560238982600</t>
  </si>
  <si>
    <t>3560238982617</t>
  </si>
  <si>
    <t>8001011056811</t>
  </si>
  <si>
    <t>8001011260584</t>
  </si>
  <si>
    <t>8020775016022</t>
  </si>
  <si>
    <t>8020775016039</t>
  </si>
  <si>
    <t>8052190727627</t>
  </si>
  <si>
    <t>8052190728310</t>
  </si>
  <si>
    <t>8592627007859</t>
  </si>
  <si>
    <t>8592627026553</t>
  </si>
  <si>
    <t>8711252145716</t>
  </si>
  <si>
    <t>3770004173822</t>
  </si>
  <si>
    <t>LAURA ALVES</t>
  </si>
  <si>
    <t>5449000000439</t>
  </si>
  <si>
    <t>5449000080806</t>
  </si>
  <si>
    <t>5449000165534</t>
  </si>
  <si>
    <t>5998811760709</t>
  </si>
  <si>
    <t>8720573115346</t>
  </si>
  <si>
    <t>8720573115391</t>
  </si>
  <si>
    <t>21605</t>
  </si>
  <si>
    <t>Abandon ano fichier colonne 4469905</t>
  </si>
  <si>
    <t>Déchets diffus spéc. Ménagers</t>
  </si>
  <si>
    <t>Boissons</t>
  </si>
  <si>
    <t>Total attendus</t>
  </si>
  <si>
    <t>Total</t>
  </si>
  <si>
    <t xml:space="preserve">Au fournisseur </t>
  </si>
  <si>
    <t>En pourcentage</t>
  </si>
  <si>
    <t>à l'article</t>
  </si>
  <si>
    <t>Elements d'ameublements</t>
  </si>
  <si>
    <t>Equipements Electrique et Electroniques</t>
  </si>
  <si>
    <t>Recylum</t>
  </si>
  <si>
    <t>Code_Frs</t>
  </si>
  <si>
    <t>Nom_Frs</t>
  </si>
  <si>
    <t>IMT HOLLANDE</t>
  </si>
  <si>
    <t>00148</t>
  </si>
  <si>
    <t>LEDUC</t>
  </si>
  <si>
    <t>00177</t>
  </si>
  <si>
    <t>COMPAGNIE</t>
  </si>
  <si>
    <t>00195</t>
  </si>
  <si>
    <t>KAMBLY</t>
  </si>
  <si>
    <t>SALAISONS DIJONNAISE</t>
  </si>
  <si>
    <t>00271</t>
  </si>
  <si>
    <t>STEFANO TOSELLI</t>
  </si>
  <si>
    <t>COMPLICES</t>
  </si>
  <si>
    <t>00311</t>
  </si>
  <si>
    <t>DUBOIS-BOULAY</t>
  </si>
  <si>
    <t>00338</t>
  </si>
  <si>
    <t>CENPAC</t>
  </si>
  <si>
    <t>00339</t>
  </si>
  <si>
    <t>FERME DE LA TREMBLAY</t>
  </si>
  <si>
    <t>00364</t>
  </si>
  <si>
    <t>CHEVALIERS D ARGOUGE</t>
  </si>
  <si>
    <t>FROMAGERIE CHABERT</t>
  </si>
  <si>
    <t>PAPETERIE DU POITOU</t>
  </si>
  <si>
    <t>00478</t>
  </si>
  <si>
    <t>AT FRANCE SA</t>
  </si>
  <si>
    <t>ALLEGRE</t>
  </si>
  <si>
    <t>REGILAIT</t>
  </si>
  <si>
    <t>EUROCONTACT</t>
  </si>
  <si>
    <t>FROMAGERIE PETITE</t>
  </si>
  <si>
    <t>00844</t>
  </si>
  <si>
    <t>DISTILLERIE MENHIRS</t>
  </si>
  <si>
    <t>PUIGRENIER</t>
  </si>
  <si>
    <t>00981</t>
  </si>
  <si>
    <t>LE PETIT BASQUE</t>
  </si>
  <si>
    <t>00988</t>
  </si>
  <si>
    <t>STANIVALS</t>
  </si>
  <si>
    <t>01047</t>
  </si>
  <si>
    <t>BADOZ FROMAGERIE</t>
  </si>
  <si>
    <t>01310</t>
  </si>
  <si>
    <t>JOHNSON JOHNSON SANT</t>
  </si>
  <si>
    <t>01345</t>
  </si>
  <si>
    <t>STOEFFLER</t>
  </si>
  <si>
    <t>CRUDETTES</t>
  </si>
  <si>
    <t>01552</t>
  </si>
  <si>
    <t>HERBAULT G</t>
  </si>
  <si>
    <t>VEGEDIS</t>
  </si>
  <si>
    <t>FROMAGE LA TOURNETTE</t>
  </si>
  <si>
    <t>01590</t>
  </si>
  <si>
    <t>ANECOOP FRANCE</t>
  </si>
  <si>
    <t>01608</t>
  </si>
  <si>
    <t>GROUPE BARBA</t>
  </si>
  <si>
    <t>IDHEA</t>
  </si>
  <si>
    <t>01666</t>
  </si>
  <si>
    <t>LIVINHAC MARIE DE</t>
  </si>
  <si>
    <t>CONSERVERIE DES SAVE</t>
  </si>
  <si>
    <t>01680</t>
  </si>
  <si>
    <t>ASIA GENERAL FOOD</t>
  </si>
  <si>
    <t>COSTA ET FILS</t>
  </si>
  <si>
    <t>01741</t>
  </si>
  <si>
    <t>DESPRAT VINS</t>
  </si>
  <si>
    <t>SOMAFER</t>
  </si>
  <si>
    <t>01823</t>
  </si>
  <si>
    <t>FROMAGERIE CEVENNES</t>
  </si>
  <si>
    <t>ARVIX</t>
  </si>
  <si>
    <t>POITOU CHEVRE</t>
  </si>
  <si>
    <t>GUILLIN EMBALLAGES</t>
  </si>
  <si>
    <t>BONDUELLE EUROPE</t>
  </si>
  <si>
    <t>01983</t>
  </si>
  <si>
    <t>FOSSIER BISCUITS</t>
  </si>
  <si>
    <t>02005</t>
  </si>
  <si>
    <t>HUILERIE CAUVIN</t>
  </si>
  <si>
    <t>02053</t>
  </si>
  <si>
    <t>CHARAL</t>
  </si>
  <si>
    <t>GROUPE LACTALIS FOOD</t>
  </si>
  <si>
    <t>02126</t>
  </si>
  <si>
    <t>UNILEVER FRANCE</t>
  </si>
  <si>
    <t>02129</t>
  </si>
  <si>
    <t>SOURCE PAROT</t>
  </si>
  <si>
    <t>02191</t>
  </si>
  <si>
    <t>CAFE LAUNAY</t>
  </si>
  <si>
    <t>COUFIDOU</t>
  </si>
  <si>
    <t>SOFRABRICK</t>
  </si>
  <si>
    <t>02317</t>
  </si>
  <si>
    <t>LANDREAU</t>
  </si>
  <si>
    <t>02383</t>
  </si>
  <si>
    <t>HALLES MANDAR</t>
  </si>
  <si>
    <t>TERRES D AUVERGNE</t>
  </si>
  <si>
    <t>RIVOIRE JACQUEMIN</t>
  </si>
  <si>
    <t>SOCIETE NOEL CRUZILL</t>
  </si>
  <si>
    <t>LACTALIS BEURRE ET C</t>
  </si>
  <si>
    <t>02572</t>
  </si>
  <si>
    <t>BIOVENCE</t>
  </si>
  <si>
    <t>ALPES FRAIS PRODUCT.</t>
  </si>
  <si>
    <t>NORMANDIE PECHERIE</t>
  </si>
  <si>
    <t>02599</t>
  </si>
  <si>
    <t>PIZZA DE MANOSQUE</t>
  </si>
  <si>
    <t>02627</t>
  </si>
  <si>
    <t>STANISLAS CONFISERIE</t>
  </si>
  <si>
    <t>02676</t>
  </si>
  <si>
    <t>CASTELLI</t>
  </si>
  <si>
    <t>PYRENEX</t>
  </si>
  <si>
    <t>02752</t>
  </si>
  <si>
    <t>EURPAL SAS</t>
  </si>
  <si>
    <t>02785</t>
  </si>
  <si>
    <t>CHENE VERT</t>
  </si>
  <si>
    <t>02899</t>
  </si>
  <si>
    <t>MONDIAL VIANDE SERV</t>
  </si>
  <si>
    <t>02920</t>
  </si>
  <si>
    <t>BIOPORC SAS</t>
  </si>
  <si>
    <t>POMONE</t>
  </si>
  <si>
    <t>BARDINET</t>
  </si>
  <si>
    <t>03010</t>
  </si>
  <si>
    <t>ESCAL</t>
  </si>
  <si>
    <t>03013</t>
  </si>
  <si>
    <t>BARBIER</t>
  </si>
  <si>
    <t>03025</t>
  </si>
  <si>
    <t>BRUN FROMAGERIES</t>
  </si>
  <si>
    <t>MONBANA</t>
  </si>
  <si>
    <t>MARTINET</t>
  </si>
  <si>
    <t>03100</t>
  </si>
  <si>
    <t>SUD BISCUITS</t>
  </si>
  <si>
    <t>03117</t>
  </si>
  <si>
    <t>EUGENE-PERMA FRANCE</t>
  </si>
  <si>
    <t>03118</t>
  </si>
  <si>
    <t>BERROU KOUIGN-AMANN</t>
  </si>
  <si>
    <t>03155</t>
  </si>
  <si>
    <t>HUGUIER FRERES &amp; CIE</t>
  </si>
  <si>
    <t>BAMBISOL</t>
  </si>
  <si>
    <t>SIMON DUTRIAUX</t>
  </si>
  <si>
    <t>TARTEFRAIS</t>
  </si>
  <si>
    <t>SAVOIE YAOURT</t>
  </si>
  <si>
    <t>SCHMIDT PIERRE</t>
  </si>
  <si>
    <t>BARRAL PIERRE</t>
  </si>
  <si>
    <t>03457</t>
  </si>
  <si>
    <t>QUILLARD ET FILS</t>
  </si>
  <si>
    <t>03463</t>
  </si>
  <si>
    <t>PATISSERIE BEURLAY</t>
  </si>
  <si>
    <t>SOCIETE JEAN FLOCH</t>
  </si>
  <si>
    <t>03523</t>
  </si>
  <si>
    <t>FROMAGER SAVOYARD</t>
  </si>
  <si>
    <t>03620</t>
  </si>
  <si>
    <t>COOP LAITIERE YENNE</t>
  </si>
  <si>
    <t>03646</t>
  </si>
  <si>
    <t>CCA PERIGORD</t>
  </si>
  <si>
    <t>DIFFORVERT</t>
  </si>
  <si>
    <t>MAP MARKETING ALTERN</t>
  </si>
  <si>
    <t>03918</t>
  </si>
  <si>
    <t>GALLIANCE VOLAILLE</t>
  </si>
  <si>
    <t>03935</t>
  </si>
  <si>
    <t>CAFE SATI</t>
  </si>
  <si>
    <t>03955</t>
  </si>
  <si>
    <t>FUME VOSGIEN (AU)</t>
  </si>
  <si>
    <t>04038</t>
  </si>
  <si>
    <t>JARNOUX CREPERIE</t>
  </si>
  <si>
    <t>04096</t>
  </si>
  <si>
    <t>AQUITAINE AGRO ALIM</t>
  </si>
  <si>
    <t>04099</t>
  </si>
  <si>
    <t>BOULE D'OR</t>
  </si>
  <si>
    <t>AOSTE SNC</t>
  </si>
  <si>
    <t>QUERCYNOISE</t>
  </si>
  <si>
    <t>ELVIR</t>
  </si>
  <si>
    <t>SAVENCIA</t>
  </si>
  <si>
    <t>04252</t>
  </si>
  <si>
    <t>DIFCOM</t>
  </si>
  <si>
    <t>04405</t>
  </si>
  <si>
    <t>SAPRESTI TRAITEUR</t>
  </si>
  <si>
    <t>04508</t>
  </si>
  <si>
    <t>GAEC DU PRIEURE</t>
  </si>
  <si>
    <t>04523</t>
  </si>
  <si>
    <t>SICA DE KERISNEL</t>
  </si>
  <si>
    <t>04528</t>
  </si>
  <si>
    <t>LAITERIE FROMAGERIE</t>
  </si>
  <si>
    <t>PROVA S.A.</t>
  </si>
  <si>
    <t>ANGELINI</t>
  </si>
  <si>
    <t>04704</t>
  </si>
  <si>
    <t>DIVIS MARKET PROVENC</t>
  </si>
  <si>
    <t>04722</t>
  </si>
  <si>
    <t>ECOLAB</t>
  </si>
  <si>
    <t>04738</t>
  </si>
  <si>
    <t>NATURALIM FRANCE</t>
  </si>
  <si>
    <t>ARLA FOODS</t>
  </si>
  <si>
    <t>04914</t>
  </si>
  <si>
    <t>MULOT ET PETITJEAN</t>
  </si>
  <si>
    <t>05038</t>
  </si>
  <si>
    <t>EUROPE SNACKS</t>
  </si>
  <si>
    <t>05066</t>
  </si>
  <si>
    <t>FRUITS ROUGES &amp; CO</t>
  </si>
  <si>
    <t>DOREL FRANCE</t>
  </si>
  <si>
    <t>CPR HAUTS MONTROUGE</t>
  </si>
  <si>
    <t>KROEF</t>
  </si>
  <si>
    <t>ROLMER SAS</t>
  </si>
  <si>
    <t>GB FOODS FRANCE</t>
  </si>
  <si>
    <t>05272</t>
  </si>
  <si>
    <t>SAINT JEAN SAS</t>
  </si>
  <si>
    <t>FRAIS EMBAL</t>
  </si>
  <si>
    <t>MAGDA SAS</t>
  </si>
  <si>
    <t>05318</t>
  </si>
  <si>
    <t>BESOMBES</t>
  </si>
  <si>
    <t>CRUSTIMEX</t>
  </si>
  <si>
    <t>05520</t>
  </si>
  <si>
    <t>GLAXOSMITHKLINE SANT</t>
  </si>
  <si>
    <t>05587</t>
  </si>
  <si>
    <t>BERNARD JEAN FLOC'H</t>
  </si>
  <si>
    <t>05600</t>
  </si>
  <si>
    <t>JOANNE</t>
  </si>
  <si>
    <t>05789</t>
  </si>
  <si>
    <t>COMPTOIR DU LYS</t>
  </si>
  <si>
    <t>COMP.DES SAVEURS</t>
  </si>
  <si>
    <t>05901</t>
  </si>
  <si>
    <t>MEDITERRANEENN CAFES</t>
  </si>
  <si>
    <t>06064</t>
  </si>
  <si>
    <t>FALLOT</t>
  </si>
  <si>
    <t>AVIKO</t>
  </si>
  <si>
    <t>06148</t>
  </si>
  <si>
    <t>ARGUYDAL</t>
  </si>
  <si>
    <t>06172</t>
  </si>
  <si>
    <t>POMONA</t>
  </si>
  <si>
    <t>06185</t>
  </si>
  <si>
    <t>LINCET</t>
  </si>
  <si>
    <t>06193</t>
  </si>
  <si>
    <t>FIMCO</t>
  </si>
  <si>
    <t>06231</t>
  </si>
  <si>
    <t>GENERAL MILLS FRANCE</t>
  </si>
  <si>
    <t>06250</t>
  </si>
  <si>
    <t>CHOCMOD S.A.</t>
  </si>
  <si>
    <t>NUTRITION &amp; SANTE</t>
  </si>
  <si>
    <t>SIBERT &amp; FILS</t>
  </si>
  <si>
    <t>06322</t>
  </si>
  <si>
    <t>OVIMPEX</t>
  </si>
  <si>
    <t>CAILLOR</t>
  </si>
  <si>
    <t>RIVAZUR</t>
  </si>
  <si>
    <t>06445</t>
  </si>
  <si>
    <t>DRUJON</t>
  </si>
  <si>
    <t>06495</t>
  </si>
  <si>
    <t>CHARRIER PHILIPPE</t>
  </si>
  <si>
    <t>06526</t>
  </si>
  <si>
    <t>ENILV HTE SAVOIE</t>
  </si>
  <si>
    <t>06527</t>
  </si>
  <si>
    <t>SCHMIDHAUSER</t>
  </si>
  <si>
    <t>CONSERVERI LANGUEDOC</t>
  </si>
  <si>
    <t>06594</t>
  </si>
  <si>
    <t>COLIBRI</t>
  </si>
  <si>
    <t>06666</t>
  </si>
  <si>
    <t>LA CHOULETTE BRASS.</t>
  </si>
  <si>
    <t>PIGANIOL</t>
  </si>
  <si>
    <t>06771</t>
  </si>
  <si>
    <t>COLOR</t>
  </si>
  <si>
    <t>06803</t>
  </si>
  <si>
    <t>OTTAVI FROMAGERIE</t>
  </si>
  <si>
    <t>06873</t>
  </si>
  <si>
    <t>SEIGNOURET FRERES</t>
  </si>
  <si>
    <t>06911</t>
  </si>
  <si>
    <t>URBAN ALAIN</t>
  </si>
  <si>
    <t>DEFROIDMONT</t>
  </si>
  <si>
    <t>BEGRO NV</t>
  </si>
  <si>
    <t>JEAN LOUIS AMIOTTE</t>
  </si>
  <si>
    <t>06992</t>
  </si>
  <si>
    <t>FERMIERS OCCITANS</t>
  </si>
  <si>
    <t>DELIS</t>
  </si>
  <si>
    <t>07072</t>
  </si>
  <si>
    <t>COPACK</t>
  </si>
  <si>
    <t>07109</t>
  </si>
  <si>
    <t>BARNIER PRODUCTION</t>
  </si>
  <si>
    <t>LADHUIE DISTRIBUTION</t>
  </si>
  <si>
    <t>CIPF CODIPAL SAS</t>
  </si>
  <si>
    <t>MACK JULIEN CONSERVE</t>
  </si>
  <si>
    <t>07168</t>
  </si>
  <si>
    <t>SOUP IDEALE</t>
  </si>
  <si>
    <t>07180</t>
  </si>
  <si>
    <t>GUYADER L'ESPRIT</t>
  </si>
  <si>
    <t>07189</t>
  </si>
  <si>
    <t>COVI</t>
  </si>
  <si>
    <t>07321</t>
  </si>
  <si>
    <t>ADG CAMPING GAZ</t>
  </si>
  <si>
    <t>CITE MARINE</t>
  </si>
  <si>
    <t>07397</t>
  </si>
  <si>
    <t>LE BATISTOU</t>
  </si>
  <si>
    <t>07500</t>
  </si>
  <si>
    <t>TRINITAINE (LA)</t>
  </si>
  <si>
    <t>07518</t>
  </si>
  <si>
    <t>GLOBE EXPORT</t>
  </si>
  <si>
    <t>BIGARD GROUPE</t>
  </si>
  <si>
    <t>07531</t>
  </si>
  <si>
    <t>FAVOLS</t>
  </si>
  <si>
    <t>DEOFLOR</t>
  </si>
  <si>
    <t>PROLAINAT</t>
  </si>
  <si>
    <t>COBRAL</t>
  </si>
  <si>
    <t>TIRLEMONTOISE RAFFIN</t>
  </si>
  <si>
    <t>07742</t>
  </si>
  <si>
    <t>MOINET VICHY SANTE</t>
  </si>
  <si>
    <t>07798</t>
  </si>
  <si>
    <t>LAUDUN CHUSCLAN SCA</t>
  </si>
  <si>
    <t>07802</t>
  </si>
  <si>
    <t>ROYER SAS</t>
  </si>
  <si>
    <t>FROMAGERIES OCCITANE</t>
  </si>
  <si>
    <t>MASSON FROMAGERIE</t>
  </si>
  <si>
    <t>ELLIPSE</t>
  </si>
  <si>
    <t>08013</t>
  </si>
  <si>
    <t>BLACK&amp;DECKER</t>
  </si>
  <si>
    <t>08016</t>
  </si>
  <si>
    <t>DCBR</t>
  </si>
  <si>
    <t>SOMAPRO</t>
  </si>
  <si>
    <t>MAITRE PRUNILLE</t>
  </si>
  <si>
    <t>BONCOLAC</t>
  </si>
  <si>
    <t>08175</t>
  </si>
  <si>
    <t>VIRU FRANCE</t>
  </si>
  <si>
    <t>08243</t>
  </si>
  <si>
    <t>GALLY ROY</t>
  </si>
  <si>
    <t>08245</t>
  </si>
  <si>
    <t>MILHE ET AVONS</t>
  </si>
  <si>
    <t>08251</t>
  </si>
  <si>
    <t>HOMMES ET TERROIRS</t>
  </si>
  <si>
    <t>EPI INTERNATIONAL</t>
  </si>
  <si>
    <t>08332</t>
  </si>
  <si>
    <t>BROC MARCHE DISTRIB.</t>
  </si>
  <si>
    <t>P.E.G SAS</t>
  </si>
  <si>
    <t>LAFITTE</t>
  </si>
  <si>
    <t>BENOIT</t>
  </si>
  <si>
    <t>NAUTILUS FOOD</t>
  </si>
  <si>
    <t>08428</t>
  </si>
  <si>
    <t>ORAPI EUROPE</t>
  </si>
  <si>
    <t>SCHOEPFER ETS SA</t>
  </si>
  <si>
    <t>08620</t>
  </si>
  <si>
    <t>SAINTE LUCIE</t>
  </si>
  <si>
    <t>COOP MONTS DE JOUX</t>
  </si>
  <si>
    <t>DELICA FRANCE</t>
  </si>
  <si>
    <t>08634</t>
  </si>
  <si>
    <t>LOBODIS</t>
  </si>
  <si>
    <t>08718</t>
  </si>
  <si>
    <t>ALSALOR</t>
  </si>
  <si>
    <t>SAINT LOUIS SUCRE</t>
  </si>
  <si>
    <t>08760</t>
  </si>
  <si>
    <t>COCA COLA EUROPACIFI</t>
  </si>
  <si>
    <t>08772</t>
  </si>
  <si>
    <t>SCHWARZWALDMILCH</t>
  </si>
  <si>
    <t>GELAGRI SAS</t>
  </si>
  <si>
    <t>BARADAT GILBERT</t>
  </si>
  <si>
    <t>PRIMEL GASTRONOMIE</t>
  </si>
  <si>
    <t>08835</t>
  </si>
  <si>
    <t>HENKEL</t>
  </si>
  <si>
    <t>08868</t>
  </si>
  <si>
    <t>BORDE</t>
  </si>
  <si>
    <t>08884</t>
  </si>
  <si>
    <t>DUNE</t>
  </si>
  <si>
    <t>SEPAL</t>
  </si>
  <si>
    <t>08992</t>
  </si>
  <si>
    <t>CARREL J.</t>
  </si>
  <si>
    <t>09040</t>
  </si>
  <si>
    <t>MACEO DISTRIBUTION</t>
  </si>
  <si>
    <t>09079</t>
  </si>
  <si>
    <t>RIEGELEIN FRANCE</t>
  </si>
  <si>
    <t>09123</t>
  </si>
  <si>
    <t>BEYER</t>
  </si>
  <si>
    <t>LAMB-WESTON/MEIJER</t>
  </si>
  <si>
    <t>09208</t>
  </si>
  <si>
    <t>VIF ARGENT</t>
  </si>
  <si>
    <t>CIDRE LE BRUN</t>
  </si>
  <si>
    <t>PRODUITS JOCKS</t>
  </si>
  <si>
    <t>FIPSO</t>
  </si>
  <si>
    <t>09515</t>
  </si>
  <si>
    <t>REGALETTE</t>
  </si>
  <si>
    <t>09701</t>
  </si>
  <si>
    <t>EXPANSCIENCE LABORAT</t>
  </si>
  <si>
    <t>09708</t>
  </si>
  <si>
    <t>POLIVE LABORATOIRES</t>
  </si>
  <si>
    <t>VANDEPUTTE</t>
  </si>
  <si>
    <t>RANA FRANCE</t>
  </si>
  <si>
    <t>TRUFFIERES RABASSE</t>
  </si>
  <si>
    <t>09835</t>
  </si>
  <si>
    <t>SVR LABORATOIRES</t>
  </si>
  <si>
    <t>09874</t>
  </si>
  <si>
    <t>P&amp;G HEALTH FRANCE</t>
  </si>
  <si>
    <t>09879</t>
  </si>
  <si>
    <t>WELEDA</t>
  </si>
  <si>
    <t>09893</t>
  </si>
  <si>
    <t>PIERRE FABRE DERMO</t>
  </si>
  <si>
    <t>MLT</t>
  </si>
  <si>
    <t>09968</t>
  </si>
  <si>
    <t>TOQUE BOURBONNAISE</t>
  </si>
  <si>
    <t>09994</t>
  </si>
  <si>
    <t>VINESCENCE</t>
  </si>
  <si>
    <t>10056</t>
  </si>
  <si>
    <t>SONY PICTURES HOME</t>
  </si>
  <si>
    <t>10113</t>
  </si>
  <si>
    <t>NEMECO</t>
  </si>
  <si>
    <t>SICAREV</t>
  </si>
  <si>
    <t>10174</t>
  </si>
  <si>
    <t>DUC SOCIETE</t>
  </si>
  <si>
    <t>10181</t>
  </si>
  <si>
    <t>ESPROMER SAS</t>
  </si>
  <si>
    <t>GYMA SAS</t>
  </si>
  <si>
    <t>BIGOT FLEURS SAS</t>
  </si>
  <si>
    <t>10201</t>
  </si>
  <si>
    <t>SALAISON DU PRESSOIR</t>
  </si>
  <si>
    <t>ALPHAFORM</t>
  </si>
  <si>
    <t>BORGES AGRICULTURAL</t>
  </si>
  <si>
    <t>GRUPO RIBEREBRO</t>
  </si>
  <si>
    <t>10397</t>
  </si>
  <si>
    <t>CAZAUX CHARCUTERIE</t>
  </si>
  <si>
    <t>10411</t>
  </si>
  <si>
    <t>NEGRONI</t>
  </si>
  <si>
    <t>10459</t>
  </si>
  <si>
    <t>COOPERATION PHARM</t>
  </si>
  <si>
    <t>10522</t>
  </si>
  <si>
    <t>BORDEAUX TRADITION</t>
  </si>
  <si>
    <t>10628</t>
  </si>
  <si>
    <t>CULTURE MIEL</t>
  </si>
  <si>
    <t>10650</t>
  </si>
  <si>
    <t>SAVEURS DES MAUGES</t>
  </si>
  <si>
    <t>10691</t>
  </si>
  <si>
    <t>NUXE LABORATOIRES</t>
  </si>
  <si>
    <t>EURIAL</t>
  </si>
  <si>
    <t>CEDO</t>
  </si>
  <si>
    <t>10796</t>
  </si>
  <si>
    <t>ALMA BOUQUETS SAS</t>
  </si>
  <si>
    <t>PAUL LAURENT CHAMPAG</t>
  </si>
  <si>
    <t>PAILLARD TRIPES</t>
  </si>
  <si>
    <t>10966</t>
  </si>
  <si>
    <t>FERME DU MESNIL</t>
  </si>
  <si>
    <t>DESTROOPER JULES</t>
  </si>
  <si>
    <t>FRANCO ARGENTINE</t>
  </si>
  <si>
    <t>11147</t>
  </si>
  <si>
    <t>FLAMMARION</t>
  </si>
  <si>
    <t>11254</t>
  </si>
  <si>
    <t>P.L.F.</t>
  </si>
  <si>
    <t>11270</t>
  </si>
  <si>
    <t>ASEPTA LABORATOIRE</t>
  </si>
  <si>
    <t>ORCA</t>
  </si>
  <si>
    <t>11372</t>
  </si>
  <si>
    <t>FROMAGERIE DELIN</t>
  </si>
  <si>
    <t>BABY DELICE</t>
  </si>
  <si>
    <t>MILLERET</t>
  </si>
  <si>
    <t>ALTESSE</t>
  </si>
  <si>
    <t>11416</t>
  </si>
  <si>
    <t>BREAVOINE MICHEL</t>
  </si>
  <si>
    <t>11469</t>
  </si>
  <si>
    <t>PRADE</t>
  </si>
  <si>
    <t>11547</t>
  </si>
  <si>
    <t>GELDELIS</t>
  </si>
  <si>
    <t>11548</t>
  </si>
  <si>
    <t>HIPP FRANCE</t>
  </si>
  <si>
    <t>COOPENOIX</t>
  </si>
  <si>
    <t>11695</t>
  </si>
  <si>
    <t>COMTE DE BELLOU SARL</t>
  </si>
  <si>
    <t>TRADIVAL</t>
  </si>
  <si>
    <t>BFC SAS</t>
  </si>
  <si>
    <t>11952</t>
  </si>
  <si>
    <t>FISKARS</t>
  </si>
  <si>
    <t>11976</t>
  </si>
  <si>
    <t>BRUN OEUFS VOLAILLES</t>
  </si>
  <si>
    <t>11982</t>
  </si>
  <si>
    <t>BRIENT JEAN</t>
  </si>
  <si>
    <t>EYGUEBELLE</t>
  </si>
  <si>
    <t>12120</t>
  </si>
  <si>
    <t>LAITERIE KERGUILLET</t>
  </si>
  <si>
    <t>12125</t>
  </si>
  <si>
    <t>DANONE EAUX FRANCE</t>
  </si>
  <si>
    <t>BROUSSE VERGEZ</t>
  </si>
  <si>
    <t>DOUCEURS JACQUEMART</t>
  </si>
  <si>
    <t>ELYSEE COSMETIQUES</t>
  </si>
  <si>
    <t>FROMAGES ET TERROIRS</t>
  </si>
  <si>
    <t>BIGOT JEAN PHILIPPE</t>
  </si>
  <si>
    <t>TRUFFE PERIGOURDINE</t>
  </si>
  <si>
    <t>KRUGER</t>
  </si>
  <si>
    <t>GRUPO BONIQUET SPARC</t>
  </si>
  <si>
    <t>12417</t>
  </si>
  <si>
    <t>ARTSANA FRANCE</t>
  </si>
  <si>
    <t>DIS PAR</t>
  </si>
  <si>
    <t>BIOFOURNIL</t>
  </si>
  <si>
    <t>12530</t>
  </si>
  <si>
    <t>DOMAINES BONFILS</t>
  </si>
  <si>
    <t>12554</t>
  </si>
  <si>
    <t>PRO CAVE</t>
  </si>
  <si>
    <t>12568</t>
  </si>
  <si>
    <t>GONIDEC CONSERVERIES</t>
  </si>
  <si>
    <t>S.N.V</t>
  </si>
  <si>
    <t>12608</t>
  </si>
  <si>
    <t>SPBH BERDOUES STE</t>
  </si>
  <si>
    <t>12662</t>
  </si>
  <si>
    <t>CHAPUIS MAISON</t>
  </si>
  <si>
    <t>12688</t>
  </si>
  <si>
    <t>BERTHON CHARCUTERIE</t>
  </si>
  <si>
    <t>12733</t>
  </si>
  <si>
    <t>ESPOSITO ROBERT</t>
  </si>
  <si>
    <t>12744</t>
  </si>
  <si>
    <t>CAMI</t>
  </si>
  <si>
    <t>12755</t>
  </si>
  <si>
    <t>BRULERIE D'ALRE</t>
  </si>
  <si>
    <t>12791</t>
  </si>
  <si>
    <t>SODILAC</t>
  </si>
  <si>
    <t>12811</t>
  </si>
  <si>
    <t>FRAIS EMINCES SARL</t>
  </si>
  <si>
    <t>12871</t>
  </si>
  <si>
    <t>PROVENCE CHIPS</t>
  </si>
  <si>
    <t>12879</t>
  </si>
  <si>
    <t>BOUBEE JOHANES</t>
  </si>
  <si>
    <t>12900</t>
  </si>
  <si>
    <t>DELI</t>
  </si>
  <si>
    <t>12909</t>
  </si>
  <si>
    <t>ANSELME</t>
  </si>
  <si>
    <t>GUYAUX JACQUES</t>
  </si>
  <si>
    <t>SOCIETA ALIMENTARI</t>
  </si>
  <si>
    <t>MARIE</t>
  </si>
  <si>
    <t>13040</t>
  </si>
  <si>
    <t>ESSITY FRANCE</t>
  </si>
  <si>
    <t>SUGAR SPECIALITIES E</t>
  </si>
  <si>
    <t>13048</t>
  </si>
  <si>
    <t>ASPASIA</t>
  </si>
  <si>
    <t>BIGOUD (EURL CIDRES)</t>
  </si>
  <si>
    <t>13071</t>
  </si>
  <si>
    <t>NOUGAT DES LYS</t>
  </si>
  <si>
    <t>13081</t>
  </si>
  <si>
    <t>DOMAINE PICARD</t>
  </si>
  <si>
    <t>13120</t>
  </si>
  <si>
    <t>CONCEPT FRUITS</t>
  </si>
  <si>
    <t>BROCELIANDE ALH</t>
  </si>
  <si>
    <t>JACQUET BROSSARD</t>
  </si>
  <si>
    <t>13198</t>
  </si>
  <si>
    <t>COIC LAURENT CAFES</t>
  </si>
  <si>
    <t>13201</t>
  </si>
  <si>
    <t>LAPIN D ARTOIS</t>
  </si>
  <si>
    <t>13217</t>
  </si>
  <si>
    <t>LE RHUN EMILE</t>
  </si>
  <si>
    <t>SABAROT WASSNER</t>
  </si>
  <si>
    <t>SIRAP GEMA FRANCE</t>
  </si>
  <si>
    <t>13372</t>
  </si>
  <si>
    <t>DIRECT DU CHATEAU</t>
  </si>
  <si>
    <t>13407</t>
  </si>
  <si>
    <t>DENUZIERE VINS</t>
  </si>
  <si>
    <t>GRPE FRANCAI GASTRON</t>
  </si>
  <si>
    <t>SALAISONS PYRENEENNE</t>
  </si>
  <si>
    <t>HAMELIN SAS</t>
  </si>
  <si>
    <t>PERSAN</t>
  </si>
  <si>
    <t>BARRY CALLEBAUT</t>
  </si>
  <si>
    <t>13585</t>
  </si>
  <si>
    <t>CARTRON</t>
  </si>
  <si>
    <t>13736</t>
  </si>
  <si>
    <t>AUDEBERT BOISSONS</t>
  </si>
  <si>
    <t>13749</t>
  </si>
  <si>
    <t>DVP</t>
  </si>
  <si>
    <t>VIRTO ULTRACONGALADO</t>
  </si>
  <si>
    <t>13796</t>
  </si>
  <si>
    <t>CUISINES DES SOURCES</t>
  </si>
  <si>
    <t>13807</t>
  </si>
  <si>
    <t>SPH GERARD BERTRAND</t>
  </si>
  <si>
    <t>FLORETTE FRANCE GMS</t>
  </si>
  <si>
    <t>METTLER PAPIER</t>
  </si>
  <si>
    <t>13869</t>
  </si>
  <si>
    <t>COUDENE</t>
  </si>
  <si>
    <t>13891</t>
  </si>
  <si>
    <t>BLEDINA</t>
  </si>
  <si>
    <t>13913</t>
  </si>
  <si>
    <t>COMBIER</t>
  </si>
  <si>
    <t>13917</t>
  </si>
  <si>
    <t>TRADITION&amp;TERROIR SO</t>
  </si>
  <si>
    <t>MIGUELGORRY</t>
  </si>
  <si>
    <t>13952</t>
  </si>
  <si>
    <t>LARTIGAU</t>
  </si>
  <si>
    <t>GEYER FRERES</t>
  </si>
  <si>
    <t>14003</t>
  </si>
  <si>
    <t>SONY MUSIC FRANCE</t>
  </si>
  <si>
    <t>CAFPAS</t>
  </si>
  <si>
    <t>14106</t>
  </si>
  <si>
    <t>INTERAL S.A.</t>
  </si>
  <si>
    <t>14122</t>
  </si>
  <si>
    <t>METRAS</t>
  </si>
  <si>
    <t>BONDUELLE TRAITEUR</t>
  </si>
  <si>
    <t>COMPTOIR ARDENNAIS</t>
  </si>
  <si>
    <t>14279</t>
  </si>
  <si>
    <t>LE COQ NOIR SARL</t>
  </si>
  <si>
    <t>CHARCUTERIE VENDEENN</t>
  </si>
  <si>
    <t>14329</t>
  </si>
  <si>
    <t>DELFOUR</t>
  </si>
  <si>
    <t>DESTREL ETS</t>
  </si>
  <si>
    <t>OLVAC</t>
  </si>
  <si>
    <t>KAPA REYNOLDS</t>
  </si>
  <si>
    <t>PASQUIER GIE</t>
  </si>
  <si>
    <t>HERBERT OSPELT</t>
  </si>
  <si>
    <t>14557</t>
  </si>
  <si>
    <t>FJORD KING</t>
  </si>
  <si>
    <t>FLANDRES PATISSERIE</t>
  </si>
  <si>
    <t>FRANCE CAKE TRADIT</t>
  </si>
  <si>
    <t>MONFORT VIANDES</t>
  </si>
  <si>
    <t>MAHESO</t>
  </si>
  <si>
    <t>14746</t>
  </si>
  <si>
    <t>BERTRAND M ET JF</t>
  </si>
  <si>
    <t>14752</t>
  </si>
  <si>
    <t>HENRY BLANC</t>
  </si>
  <si>
    <t>14775</t>
  </si>
  <si>
    <t>LABORAT.D'HERBORISTE</t>
  </si>
  <si>
    <t>14864</t>
  </si>
  <si>
    <t>PATISSERIE GOURMANDE</t>
  </si>
  <si>
    <t>15059</t>
  </si>
  <si>
    <t>CHAMPENOISE JULLY</t>
  </si>
  <si>
    <t>15128</t>
  </si>
  <si>
    <t>ELDAI</t>
  </si>
  <si>
    <t>HAMLET</t>
  </si>
  <si>
    <t>15411</t>
  </si>
  <si>
    <t>PETIT PERCHE</t>
  </si>
  <si>
    <t>DELICES DES 7 VALLEE</t>
  </si>
  <si>
    <t>15489</t>
  </si>
  <si>
    <t>SODIPORC ANGOULEME</t>
  </si>
  <si>
    <t>VINSMOSELLE DOMAINES</t>
  </si>
  <si>
    <t>15624</t>
  </si>
  <si>
    <t>GUILLOU LE MAREC</t>
  </si>
  <si>
    <t>15697</t>
  </si>
  <si>
    <t>ETS GABRIEL BOUDIER</t>
  </si>
  <si>
    <t>TOPS FOODS</t>
  </si>
  <si>
    <t>15732</t>
  </si>
  <si>
    <t>BONBONS BARNIER SA</t>
  </si>
  <si>
    <t>15746</t>
  </si>
  <si>
    <t>SDV SELECTION</t>
  </si>
  <si>
    <t>CROC FRAIS</t>
  </si>
  <si>
    <t>SEGAFREDO ZANETTI</t>
  </si>
  <si>
    <t>ZOBELE HOLDING</t>
  </si>
  <si>
    <t>MIX BUFFET</t>
  </si>
  <si>
    <t>NUTKAO</t>
  </si>
  <si>
    <t>CULTIMER FRANCE</t>
  </si>
  <si>
    <t>LOEUL PIRIOT</t>
  </si>
  <si>
    <t>TENDRIADE COLLET</t>
  </si>
  <si>
    <t>16441</t>
  </si>
  <si>
    <t>OGIER MICHEL</t>
  </si>
  <si>
    <t>16467</t>
  </si>
  <si>
    <t>DPF</t>
  </si>
  <si>
    <t>PATIS NORD</t>
  </si>
  <si>
    <t>16531</t>
  </si>
  <si>
    <t>EURL ALAIN MARTIN</t>
  </si>
  <si>
    <t>CHARBONNEAUX BRABANT</t>
  </si>
  <si>
    <t>FLOREAC</t>
  </si>
  <si>
    <t>HCL MAITRE PIERRE</t>
  </si>
  <si>
    <t>16598</t>
  </si>
  <si>
    <t>CLEMENS ETS</t>
  </si>
  <si>
    <t>LEMANCE FROMAGERIE</t>
  </si>
  <si>
    <t>GERS DISTRIBUTION</t>
  </si>
  <si>
    <t>16647</t>
  </si>
  <si>
    <t>CHAVEGRAND CIE</t>
  </si>
  <si>
    <t>16691</t>
  </si>
  <si>
    <t>CERELIA</t>
  </si>
  <si>
    <t>ETS RENE LURDE</t>
  </si>
  <si>
    <t>16752</t>
  </si>
  <si>
    <t>BONINI MAISON</t>
  </si>
  <si>
    <t>THE CONTINUITY COMP</t>
  </si>
  <si>
    <t>16766</t>
  </si>
  <si>
    <t>CBH SARL</t>
  </si>
  <si>
    <t>16779</t>
  </si>
  <si>
    <t>AZUREENNE CONFISERIE</t>
  </si>
  <si>
    <t>16793</t>
  </si>
  <si>
    <t>SIEUR D ARQUES</t>
  </si>
  <si>
    <t>16820</t>
  </si>
  <si>
    <t>PANACHE DES LANDES</t>
  </si>
  <si>
    <t>GEL PECHE</t>
  </si>
  <si>
    <t>SOUBRY J.SA</t>
  </si>
  <si>
    <t>17087</t>
  </si>
  <si>
    <t>COREFF SA</t>
  </si>
  <si>
    <t>17143</t>
  </si>
  <si>
    <t>COGEXPORT</t>
  </si>
  <si>
    <t>17169</t>
  </si>
  <si>
    <t>EURO ECO</t>
  </si>
  <si>
    <t>THAERON FILS</t>
  </si>
  <si>
    <t>17272</t>
  </si>
  <si>
    <t>SPHERE PRODUCTION</t>
  </si>
  <si>
    <t>17327</t>
  </si>
  <si>
    <t>ARMORICAINE AGRO ALI</t>
  </si>
  <si>
    <t>17360</t>
  </si>
  <si>
    <t>CORNE DE GAZELLE</t>
  </si>
  <si>
    <t>COLONA</t>
  </si>
  <si>
    <t>17498</t>
  </si>
  <si>
    <t>VITAL AINE BISCUITER</t>
  </si>
  <si>
    <t>17540</t>
  </si>
  <si>
    <t>LA COUPIAGAISE</t>
  </si>
  <si>
    <t>17579</t>
  </si>
  <si>
    <t>LACTALIS NESTLE ULTR</t>
  </si>
  <si>
    <t>17598</t>
  </si>
  <si>
    <t>PYRENEES REPRESENTAT</t>
  </si>
  <si>
    <t>17620</t>
  </si>
  <si>
    <t>FROMAGERIES DES PAYS</t>
  </si>
  <si>
    <t>17680</t>
  </si>
  <si>
    <t>ISSOLDUNOISES CHARCU</t>
  </si>
  <si>
    <t>17744</t>
  </si>
  <si>
    <t>TRILLAUD</t>
  </si>
  <si>
    <t>17765</t>
  </si>
  <si>
    <t>BOULANGERE &amp; CO</t>
  </si>
  <si>
    <t>17880</t>
  </si>
  <si>
    <t>PROLAIDIS</t>
  </si>
  <si>
    <t>SNACKING SERVICES</t>
  </si>
  <si>
    <t>NATURENVIE</t>
  </si>
  <si>
    <t>BEAUME DROBIE SALAIS</t>
  </si>
  <si>
    <t>DE KROES</t>
  </si>
  <si>
    <t>18251</t>
  </si>
  <si>
    <t>HARRIS</t>
  </si>
  <si>
    <t>DECOLLOGNE LECOCQ</t>
  </si>
  <si>
    <t>18280</t>
  </si>
  <si>
    <t>GALZIN</t>
  </si>
  <si>
    <t>NICOLS FRANCE</t>
  </si>
  <si>
    <t>18344</t>
  </si>
  <si>
    <t>PERRIN ALAIN DOMINIQ</t>
  </si>
  <si>
    <t>VILLE R</t>
  </si>
  <si>
    <t>18388</t>
  </si>
  <si>
    <t>LHS</t>
  </si>
  <si>
    <t>18394</t>
  </si>
  <si>
    <t>FRANCE VIANDES</t>
  </si>
  <si>
    <t>18399</t>
  </si>
  <si>
    <t>DEUX MILLE VINS</t>
  </si>
  <si>
    <t>18435</t>
  </si>
  <si>
    <t>VINS DE CRUS (LES)</t>
  </si>
  <si>
    <t>MENKEN NV</t>
  </si>
  <si>
    <t>18482</t>
  </si>
  <si>
    <t>LPA SAS</t>
  </si>
  <si>
    <t>FROMAPAC</t>
  </si>
  <si>
    <t>THE JORDANS &amp; RYVITA</t>
  </si>
  <si>
    <t>CASTELLI FRANCE SA</t>
  </si>
  <si>
    <t>FRINSA DEL NOROESTE</t>
  </si>
  <si>
    <t>18572</t>
  </si>
  <si>
    <t>GINEYS</t>
  </si>
  <si>
    <t>18611</t>
  </si>
  <si>
    <t>CMC FRANCE SARL</t>
  </si>
  <si>
    <t>18617</t>
  </si>
  <si>
    <t>ADER CHARCUTERIE</t>
  </si>
  <si>
    <t>PERLINO</t>
  </si>
  <si>
    <t>DESTROOPER OLIVIER</t>
  </si>
  <si>
    <t>18683</t>
  </si>
  <si>
    <t>LOU COCAL BISCUITERI</t>
  </si>
  <si>
    <t>18699</t>
  </si>
  <si>
    <t>SAL COSTA SLU</t>
  </si>
  <si>
    <t>VONDELMOLEN NV SA</t>
  </si>
  <si>
    <t>18710</t>
  </si>
  <si>
    <t>FERME DE LA CRAULEE</t>
  </si>
  <si>
    <t>POLENGHI FOOD SRL</t>
  </si>
  <si>
    <t>SOMEGEL INTER.SARL</t>
  </si>
  <si>
    <t>18814</t>
  </si>
  <si>
    <t>VASSEUR</t>
  </si>
  <si>
    <t>18820</t>
  </si>
  <si>
    <t>CORNU FONTAIN</t>
  </si>
  <si>
    <t>18830</t>
  </si>
  <si>
    <t>PASFROST NV</t>
  </si>
  <si>
    <t>SPECIALITES DU MONDE</t>
  </si>
  <si>
    <t>18847</t>
  </si>
  <si>
    <t>AGIDRA</t>
  </si>
  <si>
    <t>ALLIANCE DES FROMAGE</t>
  </si>
  <si>
    <t>18907</t>
  </si>
  <si>
    <t>ANIMA VINUM SARL</t>
  </si>
  <si>
    <t>COVIAL</t>
  </si>
  <si>
    <t>19011</t>
  </si>
  <si>
    <t>COMTES DE LA MARCHE</t>
  </si>
  <si>
    <t>19020</t>
  </si>
  <si>
    <t>CRISTALCO</t>
  </si>
  <si>
    <t>19084</t>
  </si>
  <si>
    <t>BISCUITS ROC HELOU</t>
  </si>
  <si>
    <t>19100</t>
  </si>
  <si>
    <t>LARNAUDIE JEAN</t>
  </si>
  <si>
    <t>TREFILACTION</t>
  </si>
  <si>
    <t>ROUTIN</t>
  </si>
  <si>
    <t>19138</t>
  </si>
  <si>
    <t>GOURMETS DE L EUROPE</t>
  </si>
  <si>
    <t>JULES CLARYSSE NV</t>
  </si>
  <si>
    <t>FAVRICHON ET VIGNON</t>
  </si>
  <si>
    <t>FROMAGERS ASSOCIES</t>
  </si>
  <si>
    <t>19318</t>
  </si>
  <si>
    <t>AVENOSO VINCENT</t>
  </si>
  <si>
    <t>19344</t>
  </si>
  <si>
    <t>MIET</t>
  </si>
  <si>
    <t>PRINCES FOODS BV</t>
  </si>
  <si>
    <t>19399</t>
  </si>
  <si>
    <t>AGRONA</t>
  </si>
  <si>
    <t>19405</t>
  </si>
  <si>
    <t>BESSEAU DIFFUSION</t>
  </si>
  <si>
    <t>MINOTERIE DEGRANGE</t>
  </si>
  <si>
    <t>19453</t>
  </si>
  <si>
    <t>MAITRES LAITIERS</t>
  </si>
  <si>
    <t>19581</t>
  </si>
  <si>
    <t>ORIENTAL VIANDES</t>
  </si>
  <si>
    <t>19606</t>
  </si>
  <si>
    <t>CCD LABORATOIRE</t>
  </si>
  <si>
    <t>BELLOT MINOTERIE</t>
  </si>
  <si>
    <t>PAVIOT PAPIERS</t>
  </si>
  <si>
    <t>19737</t>
  </si>
  <si>
    <t>RECKITT-BENCKISER</t>
  </si>
  <si>
    <t>19842</t>
  </si>
  <si>
    <t>COREP</t>
  </si>
  <si>
    <t>FROMAGERIE DE LIVARO</t>
  </si>
  <si>
    <t>19966</t>
  </si>
  <si>
    <t>LINDT</t>
  </si>
  <si>
    <t>19988</t>
  </si>
  <si>
    <t>NOVAMEX</t>
  </si>
  <si>
    <t>19991</t>
  </si>
  <si>
    <t>FORTWENGER</t>
  </si>
  <si>
    <t>SOUPE HORTICULTURE</t>
  </si>
  <si>
    <t>HUBCO</t>
  </si>
  <si>
    <t>20091</t>
  </si>
  <si>
    <t>FLAM'UP</t>
  </si>
  <si>
    <t>UNIMA DISTRIBUTION</t>
  </si>
  <si>
    <t>20116</t>
  </si>
  <si>
    <t>HARMONIA MUNDI</t>
  </si>
  <si>
    <t>20136</t>
  </si>
  <si>
    <t>TOMDIS</t>
  </si>
  <si>
    <t>GERS FARINE</t>
  </si>
  <si>
    <t>VALADE</t>
  </si>
  <si>
    <t>GALLINE FRAIS SARL</t>
  </si>
  <si>
    <t>AGOUR</t>
  </si>
  <si>
    <t>20262</t>
  </si>
  <si>
    <t>VALLEGRAIN DISTRIBUT</t>
  </si>
  <si>
    <t>20352</t>
  </si>
  <si>
    <t>MEYER-WAGNER</t>
  </si>
  <si>
    <t>SAS CERECO</t>
  </si>
  <si>
    <t>LAITERIE COLLET</t>
  </si>
  <si>
    <t>20863</t>
  </si>
  <si>
    <t>MORVAN CHARCUTERIES</t>
  </si>
  <si>
    <t>20882</t>
  </si>
  <si>
    <t>MONT PILAT SALAISONS</t>
  </si>
  <si>
    <t>20883</t>
  </si>
  <si>
    <t>FRANCAISE GRAND VIN</t>
  </si>
  <si>
    <t>20909</t>
  </si>
  <si>
    <t>GODELEINE FROMAGERIE</t>
  </si>
  <si>
    <t>GROUP BIERES SPECIAL</t>
  </si>
  <si>
    <t>GTI SODIFAC SA</t>
  </si>
  <si>
    <t>CURTI</t>
  </si>
  <si>
    <t>PRONATUR</t>
  </si>
  <si>
    <t>21166</t>
  </si>
  <si>
    <t>EAST WEST DISTRIBUTI</t>
  </si>
  <si>
    <t>VICTOR FAUCONNIER</t>
  </si>
  <si>
    <t>DEMOIZET</t>
  </si>
  <si>
    <t>SODILOG</t>
  </si>
  <si>
    <t>LARTIGUE ET FILS</t>
  </si>
  <si>
    <t>21292</t>
  </si>
  <si>
    <t>MAILLARD HUBERT</t>
  </si>
  <si>
    <t>FOYLE MEATS LTD</t>
  </si>
  <si>
    <t>21502</t>
  </si>
  <si>
    <t>ROUCADIL ETS</t>
  </si>
  <si>
    <t>21515</t>
  </si>
  <si>
    <t>ASTRUC</t>
  </si>
  <si>
    <t>TETROSYL</t>
  </si>
  <si>
    <t>MARCHAIS EARL</t>
  </si>
  <si>
    <t>21702</t>
  </si>
  <si>
    <t>SALAISONS DEBROAS</t>
  </si>
  <si>
    <t>BISCUITERIE FINE DE</t>
  </si>
  <si>
    <t>21761</t>
  </si>
  <si>
    <t>CHASSIGNOL ET FILS</t>
  </si>
  <si>
    <t>21773</t>
  </si>
  <si>
    <t>CONFITURIERS DU VIEU</t>
  </si>
  <si>
    <t>DURAND</t>
  </si>
  <si>
    <t>21816</t>
  </si>
  <si>
    <t>LITO EDITIONS</t>
  </si>
  <si>
    <t>LE GOFF BISCUITERIE</t>
  </si>
  <si>
    <t>21933</t>
  </si>
  <si>
    <t>PALMID'OR BOURGOGNE</t>
  </si>
  <si>
    <t>21965</t>
  </si>
  <si>
    <t>GEFOM</t>
  </si>
  <si>
    <t>ARNAUD FROMAGERIES</t>
  </si>
  <si>
    <t>22132</t>
  </si>
  <si>
    <t>ANGELYS L</t>
  </si>
  <si>
    <t>22150</t>
  </si>
  <si>
    <t>BORIES ETABLISSEMENT</t>
  </si>
  <si>
    <t>22179</t>
  </si>
  <si>
    <t>MARIN VENDEEN (LE)</t>
  </si>
  <si>
    <t>22307</t>
  </si>
  <si>
    <t>KETER FRANCE</t>
  </si>
  <si>
    <t>VALENTIN TRAITEUR</t>
  </si>
  <si>
    <t>22386</t>
  </si>
  <si>
    <t>FRIGEXQUIS</t>
  </si>
  <si>
    <t>22425</t>
  </si>
  <si>
    <t>SOULIE RESTAURATION</t>
  </si>
  <si>
    <t>PRIMEX INTERNATIONAL</t>
  </si>
  <si>
    <t>LE CENTURION FROMAG</t>
  </si>
  <si>
    <t>DACO</t>
  </si>
  <si>
    <t>GALLIANCE ELABORES</t>
  </si>
  <si>
    <t>NOUGAT CHABERT &amp; GUI</t>
  </si>
  <si>
    <t>22971</t>
  </si>
  <si>
    <t>COOP AGRICOLE GOUESS</t>
  </si>
  <si>
    <t>BONDUELLE FRAIS FR</t>
  </si>
  <si>
    <t>23105</t>
  </si>
  <si>
    <t>UNION TRIPIERE PROV.</t>
  </si>
  <si>
    <t>CODIMEX</t>
  </si>
  <si>
    <t>CONFISERIE ROY RENE</t>
  </si>
  <si>
    <t>ROHAN</t>
  </si>
  <si>
    <t>23307</t>
  </si>
  <si>
    <t>BARON DE ONFFROY</t>
  </si>
  <si>
    <t>GUILLOTEAU</t>
  </si>
  <si>
    <t>23363</t>
  </si>
  <si>
    <t>DEUTSCHE EXTRAKT</t>
  </si>
  <si>
    <t>23377</t>
  </si>
  <si>
    <t>FLOREPI SNC</t>
  </si>
  <si>
    <t>AMBROSI EMMI FRANCE</t>
  </si>
  <si>
    <t>VAGNE</t>
  </si>
  <si>
    <t>BOUVARD BISCUITS</t>
  </si>
  <si>
    <t>23466</t>
  </si>
  <si>
    <t>HEIMBURGER</t>
  </si>
  <si>
    <t>23469</t>
  </si>
  <si>
    <t>GUY PIERRE DISTIL.</t>
  </si>
  <si>
    <t>EURALIS GASTRONOMIE</t>
  </si>
  <si>
    <t>23544</t>
  </si>
  <si>
    <t>GIE PROP.RECOLTE</t>
  </si>
  <si>
    <t>23548</t>
  </si>
  <si>
    <t>SNC POITREY LA BELLE</t>
  </si>
  <si>
    <t>TRESCARTE ETS</t>
  </si>
  <si>
    <t>23634</t>
  </si>
  <si>
    <t>PERNOT</t>
  </si>
  <si>
    <t>23656</t>
  </si>
  <si>
    <t>FRANCE FRAIS AUVERGN</t>
  </si>
  <si>
    <t>23689</t>
  </si>
  <si>
    <t>MATOCQ FROMAGERIE</t>
  </si>
  <si>
    <t>23742</t>
  </si>
  <si>
    <t>DESCAS</t>
  </si>
  <si>
    <t>LA DORIA</t>
  </si>
  <si>
    <t>FTRECAL</t>
  </si>
  <si>
    <t>MCBRIDE</t>
  </si>
  <si>
    <t>23959</t>
  </si>
  <si>
    <t>BERNARD MAGREZ GD VI</t>
  </si>
  <si>
    <t>24010</t>
  </si>
  <si>
    <t>FOX PATHE EUROPA</t>
  </si>
  <si>
    <t>24136</t>
  </si>
  <si>
    <t>SICOBEL</t>
  </si>
  <si>
    <t>GOLDEN FOODS</t>
  </si>
  <si>
    <t>CITE GOURMANDE</t>
  </si>
  <si>
    <t>24418</t>
  </si>
  <si>
    <t>DELSEY</t>
  </si>
  <si>
    <t>24473</t>
  </si>
  <si>
    <t>MAISON DU TOURTON</t>
  </si>
  <si>
    <t>DENIS</t>
  </si>
  <si>
    <t>24545</t>
  </si>
  <si>
    <t>IONE DE TOI CREOLE</t>
  </si>
  <si>
    <t>24606</t>
  </si>
  <si>
    <t>LEBRUN</t>
  </si>
  <si>
    <t>24681</t>
  </si>
  <si>
    <t>FORTE PHARMA LABO.</t>
  </si>
  <si>
    <t>LLORENS JOSEP I FILL</t>
  </si>
  <si>
    <t>24762</t>
  </si>
  <si>
    <t>HAUST BV</t>
  </si>
  <si>
    <t>24768</t>
  </si>
  <si>
    <t>FESTINS DE SOLOGNE</t>
  </si>
  <si>
    <t>24861</t>
  </si>
  <si>
    <t>FROMAGERIE LA DROME</t>
  </si>
  <si>
    <t>24884</t>
  </si>
  <si>
    <t>GAST STE NOUVELLE</t>
  </si>
  <si>
    <t>25079</t>
  </si>
  <si>
    <t>ORANGINA SCHWEPPES</t>
  </si>
  <si>
    <t>25096</t>
  </si>
  <si>
    <t>BOLTON SOLITAIRE</t>
  </si>
  <si>
    <t>MATINES</t>
  </si>
  <si>
    <t>25323</t>
  </si>
  <si>
    <t>CONSEILLERIE TONNELI</t>
  </si>
  <si>
    <t>VITACUIRE</t>
  </si>
  <si>
    <t>25659</t>
  </si>
  <si>
    <t>SOLE MIO</t>
  </si>
  <si>
    <t>CANDIA</t>
  </si>
  <si>
    <t>25843</t>
  </si>
  <si>
    <t>JAMBONS DU BOCAGE</t>
  </si>
  <si>
    <t>25860</t>
  </si>
  <si>
    <t>VILLETTE VIANDES</t>
  </si>
  <si>
    <t>25918</t>
  </si>
  <si>
    <t>TERRES D'OR</t>
  </si>
  <si>
    <t>DELIFRANCE SA</t>
  </si>
  <si>
    <t>26008</t>
  </si>
  <si>
    <t>JECA</t>
  </si>
  <si>
    <t>SALOIR DU PERIGORD</t>
  </si>
  <si>
    <t>26193</t>
  </si>
  <si>
    <t>THOMAS LE PRINCE</t>
  </si>
  <si>
    <t>STEMMELEN SAS</t>
  </si>
  <si>
    <t>VALFLEURI</t>
  </si>
  <si>
    <t>PAPILLON FROMAGERIES</t>
  </si>
  <si>
    <t>26325</t>
  </si>
  <si>
    <t>MFP</t>
  </si>
  <si>
    <t>26342</t>
  </si>
  <si>
    <t>FILLIERE ETS</t>
  </si>
  <si>
    <t>26569</t>
  </si>
  <si>
    <t>IWCP</t>
  </si>
  <si>
    <t>SOUFFLET</t>
  </si>
  <si>
    <t>26599</t>
  </si>
  <si>
    <t>LEFEUVRE</t>
  </si>
  <si>
    <t>26813</t>
  </si>
  <si>
    <t>GUYADER</t>
  </si>
  <si>
    <t>26913</t>
  </si>
  <si>
    <t>JUVA SANTE LABORAT</t>
  </si>
  <si>
    <t>27059</t>
  </si>
  <si>
    <t>GRANDJEAN</t>
  </si>
  <si>
    <t>CGMP TUFFE</t>
  </si>
  <si>
    <t>27197</t>
  </si>
  <si>
    <t>SFC</t>
  </si>
  <si>
    <t>27350</t>
  </si>
  <si>
    <t>CHENE SA</t>
  </si>
  <si>
    <t>27375</t>
  </si>
  <si>
    <t>DOLIS KEMMEL</t>
  </si>
  <si>
    <t>27395</t>
  </si>
  <si>
    <t>CHATEAUX SOLIDAIRES</t>
  </si>
  <si>
    <t>27891</t>
  </si>
  <si>
    <t>SAUVAGE VIANDES</t>
  </si>
  <si>
    <t>VILLARS MAITRE CHOCO</t>
  </si>
  <si>
    <t>GELPASS</t>
  </si>
  <si>
    <t>28225</t>
  </si>
  <si>
    <t>DART DISTRIBUTION</t>
  </si>
  <si>
    <t>28271</t>
  </si>
  <si>
    <t>DUPONT D ISIGNY</t>
  </si>
  <si>
    <t>28358</t>
  </si>
  <si>
    <t>K+S FRANCE</t>
  </si>
  <si>
    <t>28394</t>
  </si>
  <si>
    <t>ARDO</t>
  </si>
  <si>
    <t>28406</t>
  </si>
  <si>
    <t>HARPERCOLLINS FRANCE</t>
  </si>
  <si>
    <t>28508</t>
  </si>
  <si>
    <t>MEDITERRIS</t>
  </si>
  <si>
    <t>MOY PARK FRANCE</t>
  </si>
  <si>
    <t>BRASSERIE DUYCK</t>
  </si>
  <si>
    <t>MCCORMICK GRD PUBLIC</t>
  </si>
  <si>
    <t>THIOLAT</t>
  </si>
  <si>
    <t>28917</t>
  </si>
  <si>
    <t>CIPAL</t>
  </si>
  <si>
    <t>29030</t>
  </si>
  <si>
    <t>MAUREL CONFISERIE</t>
  </si>
  <si>
    <t>RENARD GILLARD</t>
  </si>
  <si>
    <t>CLAVIERE CHARCUTERIE</t>
  </si>
  <si>
    <t>29327</t>
  </si>
  <si>
    <t>PROVENCE OLIVES</t>
  </si>
  <si>
    <t>ALSACE LAIT</t>
  </si>
  <si>
    <t>POPPIES FRANCE</t>
  </si>
  <si>
    <t>29548</t>
  </si>
  <si>
    <t>UN AIR D'ICI</t>
  </si>
  <si>
    <t>DELICES DE LA MER</t>
  </si>
  <si>
    <t>29723</t>
  </si>
  <si>
    <t>CITTERIO GIUSEPPE</t>
  </si>
  <si>
    <t>29741</t>
  </si>
  <si>
    <t>AGIS</t>
  </si>
  <si>
    <t>A TEX</t>
  </si>
  <si>
    <t>CELTIGEL</t>
  </si>
  <si>
    <t>29976</t>
  </si>
  <si>
    <t>PRF</t>
  </si>
  <si>
    <t>CARREFOUR HYPERS (2)</t>
  </si>
  <si>
    <t>30062</t>
  </si>
  <si>
    <t>OEUF DE LA SOUCHEZ</t>
  </si>
  <si>
    <t>30079</t>
  </si>
  <si>
    <t>SID INTERNAT DISTRIB</t>
  </si>
  <si>
    <t>30154</t>
  </si>
  <si>
    <t>RAPS FRANCE SARL</t>
  </si>
  <si>
    <t>30166</t>
  </si>
  <si>
    <t>LE SOJAMI</t>
  </si>
  <si>
    <t>30173</t>
  </si>
  <si>
    <t>BAILLET</t>
  </si>
  <si>
    <t>SOBEVAL</t>
  </si>
  <si>
    <t>INQUIBA</t>
  </si>
  <si>
    <t>BELL FRANCE</t>
  </si>
  <si>
    <t>FIPPI</t>
  </si>
  <si>
    <t>CLAREBOUT POTATOES</t>
  </si>
  <si>
    <t>DAREGAL</t>
  </si>
  <si>
    <t>LESIEUR</t>
  </si>
  <si>
    <t>30757</t>
  </si>
  <si>
    <t>SCHISLER ROBERT</t>
  </si>
  <si>
    <t>30760</t>
  </si>
  <si>
    <t>GUYADER T CREATION</t>
  </si>
  <si>
    <t>30809</t>
  </si>
  <si>
    <t>PAGO FRANCE</t>
  </si>
  <si>
    <t>ENTREMONT ALLIANCE</t>
  </si>
  <si>
    <t>30931</t>
  </si>
  <si>
    <t>CALINS DE PROVENCE</t>
  </si>
  <si>
    <t>MATERNA OPERATION</t>
  </si>
  <si>
    <t>AQUALANDE</t>
  </si>
  <si>
    <t>31140</t>
  </si>
  <si>
    <t>MONTFLEURY SELECTION</t>
  </si>
  <si>
    <t>31255</t>
  </si>
  <si>
    <t>FERME DU COLOMBIER</t>
  </si>
  <si>
    <t>FOOD PARTNERS CO</t>
  </si>
  <si>
    <t>31451</t>
  </si>
  <si>
    <t>DELICES DE MADY</t>
  </si>
  <si>
    <t>31581</t>
  </si>
  <si>
    <t>FAUGIER</t>
  </si>
  <si>
    <t>KAWA</t>
  </si>
  <si>
    <t>DAVIN CONSERVERIE</t>
  </si>
  <si>
    <t>SALINES DE GUERANDE</t>
  </si>
  <si>
    <t>31777</t>
  </si>
  <si>
    <t>FASSIER S.A.</t>
  </si>
  <si>
    <t>MONEGASQUE VANELLI</t>
  </si>
  <si>
    <t>FARAUD CHARLES</t>
  </si>
  <si>
    <t>31956</t>
  </si>
  <si>
    <t>COEUR DU VIN</t>
  </si>
  <si>
    <t>31964</t>
  </si>
  <si>
    <t>MITI</t>
  </si>
  <si>
    <t>32164</t>
  </si>
  <si>
    <t>DESTOMBES SAS</t>
  </si>
  <si>
    <t>32329</t>
  </si>
  <si>
    <t>ESPRI RESTAURATION</t>
  </si>
  <si>
    <t>32447</t>
  </si>
  <si>
    <t>FERRIGNO</t>
  </si>
  <si>
    <t>32462</t>
  </si>
  <si>
    <t>TERROIRS OLEICOLES</t>
  </si>
  <si>
    <t>32528</t>
  </si>
  <si>
    <t>SURAL SACICC</t>
  </si>
  <si>
    <t>32630</t>
  </si>
  <si>
    <t>FERME DU PRE SAS</t>
  </si>
  <si>
    <t>32721</t>
  </si>
  <si>
    <t>ALLAIRE DANIEL</t>
  </si>
  <si>
    <t>MOWI BRETAGNE S.A.S</t>
  </si>
  <si>
    <t>32983</t>
  </si>
  <si>
    <t>SODIS</t>
  </si>
  <si>
    <t>33241</t>
  </si>
  <si>
    <t>BANDAI NAMCO ENTER</t>
  </si>
  <si>
    <t>FLECHARD</t>
  </si>
  <si>
    <t>COVINOR</t>
  </si>
  <si>
    <t>YOPLAIT FRANCE</t>
  </si>
  <si>
    <t>33519</t>
  </si>
  <si>
    <t>FORCHY PATISSIER</t>
  </si>
  <si>
    <t>NELLE LAITERIE</t>
  </si>
  <si>
    <t>33584</t>
  </si>
  <si>
    <t>SHELL</t>
  </si>
  <si>
    <t>33607</t>
  </si>
  <si>
    <t>FOURNIER EMILE</t>
  </si>
  <si>
    <t>33767</t>
  </si>
  <si>
    <t>BRIOCHES FONTENEAU</t>
  </si>
  <si>
    <t>HANES FRANCE SAS</t>
  </si>
  <si>
    <t>LAITERIE DE LA BRESS</t>
  </si>
  <si>
    <t>34400</t>
  </si>
  <si>
    <t>TALLEC JEAN PIERRE</t>
  </si>
  <si>
    <t>CLARIOS FRANCE SAS</t>
  </si>
  <si>
    <t>34726</t>
  </si>
  <si>
    <t>BEAUDE FROMAGERIE</t>
  </si>
  <si>
    <t>34780</t>
  </si>
  <si>
    <t>ONETIK FROMAGES</t>
  </si>
  <si>
    <t>PRUNIER</t>
  </si>
  <si>
    <t>LACYDON</t>
  </si>
  <si>
    <t>FROMAGERE LIVRADOIS</t>
  </si>
  <si>
    <t>35242</t>
  </si>
  <si>
    <t>BUR ERIC</t>
  </si>
  <si>
    <t>PAGES (DIV.PLANTES)</t>
  </si>
  <si>
    <t>35313</t>
  </si>
  <si>
    <t>JOUVIN FRERES</t>
  </si>
  <si>
    <t>35360</t>
  </si>
  <si>
    <t>BAZIN ANDRE</t>
  </si>
  <si>
    <t>EPICES FUCHS</t>
  </si>
  <si>
    <t>35463</t>
  </si>
  <si>
    <t>DESCHILDRE RAOUL</t>
  </si>
  <si>
    <t>35498</t>
  </si>
  <si>
    <t>COOPERL ARC ATLANTIQ</t>
  </si>
  <si>
    <t>BOY ETS</t>
  </si>
  <si>
    <t>35549</t>
  </si>
  <si>
    <t>SAMSUNG</t>
  </si>
  <si>
    <t>EPICEA FRANCE</t>
  </si>
  <si>
    <t>FACKELMANN FRANCE</t>
  </si>
  <si>
    <t>GAULT ET FREMONT</t>
  </si>
  <si>
    <t>35745</t>
  </si>
  <si>
    <t>GERS EQUIP.TURBOFEE</t>
  </si>
  <si>
    <t>35825</t>
  </si>
  <si>
    <t>VEDERE</t>
  </si>
  <si>
    <t>35860</t>
  </si>
  <si>
    <t>FRIESLANDCAMPINA</t>
  </si>
  <si>
    <t>PER'INTER</t>
  </si>
  <si>
    <t>BRETZEL BURGARD</t>
  </si>
  <si>
    <t>GELAZUR</t>
  </si>
  <si>
    <t>CONFISERIE DU TECH</t>
  </si>
  <si>
    <t>36346</t>
  </si>
  <si>
    <t>RISSOAN</t>
  </si>
  <si>
    <t>LEXIBOOK</t>
  </si>
  <si>
    <t>PENY</t>
  </si>
  <si>
    <t>36631</t>
  </si>
  <si>
    <t>BERNARD ROYAL DAUPH</t>
  </si>
  <si>
    <t>36697</t>
  </si>
  <si>
    <t>CHIRAG</t>
  </si>
  <si>
    <t>COULET GABRIEL</t>
  </si>
  <si>
    <t>RIVIERE</t>
  </si>
  <si>
    <t>36864</t>
  </si>
  <si>
    <t>SENGELE SA</t>
  </si>
  <si>
    <t>HAUTE PROVENCE</t>
  </si>
  <si>
    <t>CELLIERS ASSOCIES</t>
  </si>
  <si>
    <t>37039</t>
  </si>
  <si>
    <t>MONDIAL FRUITS SECS</t>
  </si>
  <si>
    <t>SIPALDIS</t>
  </si>
  <si>
    <t>37193</t>
  </si>
  <si>
    <t>DANONE</t>
  </si>
  <si>
    <t>D AUCY FRANCE</t>
  </si>
  <si>
    <t>KLEIN WANNER</t>
  </si>
  <si>
    <t>GENDREAU</t>
  </si>
  <si>
    <t>BOLARD SALAISONS</t>
  </si>
  <si>
    <t>37462</t>
  </si>
  <si>
    <t>MOTUL</t>
  </si>
  <si>
    <t>TIPIAK PANIFICATION</t>
  </si>
  <si>
    <t>37535</t>
  </si>
  <si>
    <t>HUILERIE DE LAPALIS</t>
  </si>
  <si>
    <t>MOWI BOULOGNE</t>
  </si>
  <si>
    <t>37864</t>
  </si>
  <si>
    <t>GIFFARD DISTILLERIE</t>
  </si>
  <si>
    <t>37966</t>
  </si>
  <si>
    <t>CODEFA-ORCA</t>
  </si>
  <si>
    <t>38017</t>
  </si>
  <si>
    <t>GINESTET</t>
  </si>
  <si>
    <t>38032</t>
  </si>
  <si>
    <t>FABRE FRERES LAIT.</t>
  </si>
  <si>
    <t>GRATIEN CONSERVES</t>
  </si>
  <si>
    <t>FROMAGERIE ALPINE</t>
  </si>
  <si>
    <t>FROMAGERIE CONUS</t>
  </si>
  <si>
    <t>DESPINOY</t>
  </si>
  <si>
    <t>SALLES FRERES</t>
  </si>
  <si>
    <t>38691</t>
  </si>
  <si>
    <t>KALIFRAIS</t>
  </si>
  <si>
    <t>38713</t>
  </si>
  <si>
    <t>SEVRE ET BELLE</t>
  </si>
  <si>
    <t>38717</t>
  </si>
  <si>
    <t>ORLAIT</t>
  </si>
  <si>
    <t>38759</t>
  </si>
  <si>
    <t>EAUX DE RIBEAUVILLE</t>
  </si>
  <si>
    <t>38804</t>
  </si>
  <si>
    <t>SUPREX</t>
  </si>
  <si>
    <t>BOEHLI</t>
  </si>
  <si>
    <t>GOURAND SAS</t>
  </si>
  <si>
    <t>39022</t>
  </si>
  <si>
    <t>RENAUD SAVEUR</t>
  </si>
  <si>
    <t>39588</t>
  </si>
  <si>
    <t>SEIGNEURIE</t>
  </si>
  <si>
    <t>39742</t>
  </si>
  <si>
    <t>LACTALIS NUTRITION</t>
  </si>
  <si>
    <t>BAYROL FRANCE SA</t>
  </si>
  <si>
    <t>MERLE</t>
  </si>
  <si>
    <t>TOQUE ANGEVINE</t>
  </si>
  <si>
    <t>BLASON D OR</t>
  </si>
  <si>
    <t>40296</t>
  </si>
  <si>
    <t>RIBOT</t>
  </si>
  <si>
    <t>40417</t>
  </si>
  <si>
    <t>BERTEL GALETT</t>
  </si>
  <si>
    <t>40479</t>
  </si>
  <si>
    <t>PRODISAL</t>
  </si>
  <si>
    <t>40500</t>
  </si>
  <si>
    <t>CARLES FROMAGES</t>
  </si>
  <si>
    <t>ELEM</t>
  </si>
  <si>
    <t>GUICHARD</t>
  </si>
  <si>
    <t>LES 3 MOULINS</t>
  </si>
  <si>
    <t>GUEPRATTE</t>
  </si>
  <si>
    <t>41088</t>
  </si>
  <si>
    <t>OROC-BAT</t>
  </si>
  <si>
    <t>GERBE SAVOYARDE</t>
  </si>
  <si>
    <t>ROZENBAL FRANCE</t>
  </si>
  <si>
    <t>VTECH</t>
  </si>
  <si>
    <t>41493</t>
  </si>
  <si>
    <t>GIL CLAUDE</t>
  </si>
  <si>
    <t>TARRERIAS BONJEAN</t>
  </si>
  <si>
    <t>41869</t>
  </si>
  <si>
    <t>CORIOLIS TELECOM</t>
  </si>
  <si>
    <t>41919</t>
  </si>
  <si>
    <t>MOTTEZ</t>
  </si>
  <si>
    <t>41953</t>
  </si>
  <si>
    <t>TOTES ISOTONER</t>
  </si>
  <si>
    <t>41993</t>
  </si>
  <si>
    <t>HACHETTE</t>
  </si>
  <si>
    <t>42163</t>
  </si>
  <si>
    <t>HATIER</t>
  </si>
  <si>
    <t>42247</t>
  </si>
  <si>
    <t>HARIBO</t>
  </si>
  <si>
    <t>RENOLUX FRANCE INDUS</t>
  </si>
  <si>
    <t>SOMEFOR</t>
  </si>
  <si>
    <t>AVERY FRANCE</t>
  </si>
  <si>
    <t>42672</t>
  </si>
  <si>
    <t>SONY INTERACTIVE</t>
  </si>
  <si>
    <t>42758</t>
  </si>
  <si>
    <t>UBI SOFT</t>
  </si>
  <si>
    <t>42810</t>
  </si>
  <si>
    <t>WINIA ELECTRONICS FR</t>
  </si>
  <si>
    <t>42813</t>
  </si>
  <si>
    <t>HERBY</t>
  </si>
  <si>
    <t>42821</t>
  </si>
  <si>
    <t>RIBB S</t>
  </si>
  <si>
    <t>42857</t>
  </si>
  <si>
    <t>TOLSA</t>
  </si>
  <si>
    <t>42863</t>
  </si>
  <si>
    <t>HEINEKEN ENTREPRISE</t>
  </si>
  <si>
    <t>AMEFA FRANCE</t>
  </si>
  <si>
    <t>42970</t>
  </si>
  <si>
    <t>PANINI</t>
  </si>
  <si>
    <t>BOSTIK</t>
  </si>
  <si>
    <t>43208</t>
  </si>
  <si>
    <t>EXTENSO TELECOM</t>
  </si>
  <si>
    <t>43250</t>
  </si>
  <si>
    <t>RUBIES FRANCE</t>
  </si>
  <si>
    <t>DEVINEAU</t>
  </si>
  <si>
    <t>43274</t>
  </si>
  <si>
    <t>ELECTROLUX LDA</t>
  </si>
  <si>
    <t>TEAM TEX</t>
  </si>
  <si>
    <t>43289</t>
  </si>
  <si>
    <t>WORLD TRADE &amp; TECHNO</t>
  </si>
  <si>
    <t>43298</t>
  </si>
  <si>
    <t>ADAC</t>
  </si>
  <si>
    <t>43345</t>
  </si>
  <si>
    <t>DYSON SA</t>
  </si>
  <si>
    <t>CANO</t>
  </si>
  <si>
    <t>SUNDIS SA</t>
  </si>
  <si>
    <t>43412</t>
  </si>
  <si>
    <t>SAHINLER</t>
  </si>
  <si>
    <t>43610</t>
  </si>
  <si>
    <t>GROUPE CANDY HOOVER</t>
  </si>
  <si>
    <t>43714</t>
  </si>
  <si>
    <t>BODUM FRANCE</t>
  </si>
  <si>
    <t>THEVENON</t>
  </si>
  <si>
    <t>43986</t>
  </si>
  <si>
    <t>BENJAMIN</t>
  </si>
  <si>
    <t>44021</t>
  </si>
  <si>
    <t>TRICOTAGE VOSGES</t>
  </si>
  <si>
    <t>EXERTIS FRANCE</t>
  </si>
  <si>
    <t>LOGICOM</t>
  </si>
  <si>
    <t>44209</t>
  </si>
  <si>
    <t>WOLF ET CIE</t>
  </si>
  <si>
    <t>44232</t>
  </si>
  <si>
    <t>WARNER MUSIC FRANCE</t>
  </si>
  <si>
    <t>44256</t>
  </si>
  <si>
    <t>ICEF</t>
  </si>
  <si>
    <t>44297</t>
  </si>
  <si>
    <t>NG CARDS (NOVELIA)</t>
  </si>
  <si>
    <t>44333</t>
  </si>
  <si>
    <t>CASIO FRANCE</t>
  </si>
  <si>
    <t>44422</t>
  </si>
  <si>
    <t>AVENTURE DIFFUSION</t>
  </si>
  <si>
    <t>44497</t>
  </si>
  <si>
    <t>PNY</t>
  </si>
  <si>
    <t>FLORENDI JARDIN</t>
  </si>
  <si>
    <t>44515</t>
  </si>
  <si>
    <t>LBD MAISON</t>
  </si>
  <si>
    <t>OBERTHUR</t>
  </si>
  <si>
    <t>PIETERCIL INTERCO</t>
  </si>
  <si>
    <t>RAPAPORT</t>
  </si>
  <si>
    <t>MENDIBURU</t>
  </si>
  <si>
    <t>44543</t>
  </si>
  <si>
    <t>TAKE 2 INTERACTIVE</t>
  </si>
  <si>
    <t>44551</t>
  </si>
  <si>
    <t>POLTI FRANCE</t>
  </si>
  <si>
    <t>STIGA SAS</t>
  </si>
  <si>
    <t>SMB SOTRAGAL</t>
  </si>
  <si>
    <t>IMPEX</t>
  </si>
  <si>
    <t>44620</t>
  </si>
  <si>
    <t>BRITA FRANCE</t>
  </si>
  <si>
    <t>WOLFCRAFT</t>
  </si>
  <si>
    <t>44660</t>
  </si>
  <si>
    <t>FOCUS HOME INTERACTI</t>
  </si>
  <si>
    <t>44690</t>
  </si>
  <si>
    <t>INTERFORUM</t>
  </si>
  <si>
    <t>INJUSA</t>
  </si>
  <si>
    <t>44735</t>
  </si>
  <si>
    <t>ACER</t>
  </si>
  <si>
    <t>44765</t>
  </si>
  <si>
    <t>DAM</t>
  </si>
  <si>
    <t>MANUFACTURAS GRE</t>
  </si>
  <si>
    <t>PLUME</t>
  </si>
  <si>
    <t>44819</t>
  </si>
  <si>
    <t>HARMAN FRANCE</t>
  </si>
  <si>
    <t>SODOPAC</t>
  </si>
  <si>
    <t>COLOMBO NEW</t>
  </si>
  <si>
    <t>44843</t>
  </si>
  <si>
    <t>KRAMPOUZ</t>
  </si>
  <si>
    <t>44854</t>
  </si>
  <si>
    <t>CASH PARTOUT</t>
  </si>
  <si>
    <t>AGRO BIOTHERS</t>
  </si>
  <si>
    <t>44936</t>
  </si>
  <si>
    <t>CAP DIFFUSION</t>
  </si>
  <si>
    <t>SMURFIT KAPPA FRANCE</t>
  </si>
  <si>
    <t>TVM EUROPE GMBH</t>
  </si>
  <si>
    <t>45063</t>
  </si>
  <si>
    <t>HOLIPROM</t>
  </si>
  <si>
    <t>45214</t>
  </si>
  <si>
    <t>MICROSOFT FRANCE SAS</t>
  </si>
  <si>
    <t>IPAE</t>
  </si>
  <si>
    <t>45474</t>
  </si>
  <si>
    <t>TERRE DE MARINS</t>
  </si>
  <si>
    <t>SP BERNER PLASTIC</t>
  </si>
  <si>
    <t>ADVINI</t>
  </si>
  <si>
    <t>45997</t>
  </si>
  <si>
    <t>PROXIMY</t>
  </si>
  <si>
    <t>46234</t>
  </si>
  <si>
    <t>PILLIVUYT</t>
  </si>
  <si>
    <t>46297</t>
  </si>
  <si>
    <t>LG ELECTRONICS</t>
  </si>
  <si>
    <t>SUN CITY</t>
  </si>
  <si>
    <t>ALLUFLON</t>
  </si>
  <si>
    <t>FILPLAST ITALIE</t>
  </si>
  <si>
    <t>ROBIN MARIETON</t>
  </si>
  <si>
    <t>MONTS &amp; TERROIRS</t>
  </si>
  <si>
    <t>46660</t>
  </si>
  <si>
    <t>HAMA</t>
  </si>
  <si>
    <t>46700</t>
  </si>
  <si>
    <t>NINTENDO</t>
  </si>
  <si>
    <t>46722</t>
  </si>
  <si>
    <t>NETLON</t>
  </si>
  <si>
    <t>CEP OFFICE</t>
  </si>
  <si>
    <t>DENVER</t>
  </si>
  <si>
    <t>STICHD B.V</t>
  </si>
  <si>
    <t>GOFER SOCKS S.A.</t>
  </si>
  <si>
    <t>47439</t>
  </si>
  <si>
    <t>STAEDTLER FRANCE</t>
  </si>
  <si>
    <t>47521</t>
  </si>
  <si>
    <t>ALTAVIA PARIS SAS</t>
  </si>
  <si>
    <t>47554</t>
  </si>
  <si>
    <t>LAROUSSE</t>
  </si>
  <si>
    <t>PEHA</t>
  </si>
  <si>
    <t>LARZUL</t>
  </si>
  <si>
    <t>LDC</t>
  </si>
  <si>
    <t>BISCUITERIE L ABBAYE</t>
  </si>
  <si>
    <t>LEKUE</t>
  </si>
  <si>
    <t>47970</t>
  </si>
  <si>
    <t>KOCH MEDIA</t>
  </si>
  <si>
    <t>48017</t>
  </si>
  <si>
    <t>CA FRANCE</t>
  </si>
  <si>
    <t>L ABEILLE</t>
  </si>
  <si>
    <t>48255</t>
  </si>
  <si>
    <t>LAITERIE LAQUEUILLE</t>
  </si>
  <si>
    <t>LAIT.ST HILAIRE BRI.</t>
  </si>
  <si>
    <t>48377</t>
  </si>
  <si>
    <t>LAMER</t>
  </si>
  <si>
    <t>48476</t>
  </si>
  <si>
    <t>ISIGNY SAINTE MERE</t>
  </si>
  <si>
    <t>STIGA SPA</t>
  </si>
  <si>
    <t>NUPIK</t>
  </si>
  <si>
    <t>48753</t>
  </si>
  <si>
    <t>PLASTOREX</t>
  </si>
  <si>
    <t>RECA PLAST</t>
  </si>
  <si>
    <t>GOODMARK EUROPE</t>
  </si>
  <si>
    <t>49337</t>
  </si>
  <si>
    <t>TASCHEN</t>
  </si>
  <si>
    <t>49720</t>
  </si>
  <si>
    <t>UFP INTERNATIONAL</t>
  </si>
  <si>
    <t>49775</t>
  </si>
  <si>
    <t>STRONG FRANCE</t>
  </si>
  <si>
    <t>50117</t>
  </si>
  <si>
    <t>HOLMES PRODUCTS</t>
  </si>
  <si>
    <t>50191</t>
  </si>
  <si>
    <t>LA DIFF</t>
  </si>
  <si>
    <t>PEREZ AGUILAR SL</t>
  </si>
  <si>
    <t>50653</t>
  </si>
  <si>
    <t>LE GALL LAITERIE</t>
  </si>
  <si>
    <t>DIAGER</t>
  </si>
  <si>
    <t>INTERNATIONAL PAPER</t>
  </si>
  <si>
    <t>51045</t>
  </si>
  <si>
    <t>LEGO</t>
  </si>
  <si>
    <t>FINCA DEL JAMON SL</t>
  </si>
  <si>
    <t>EURO PACKAGING PLC</t>
  </si>
  <si>
    <t>FROMAGERIE D ANJOUIN</t>
  </si>
  <si>
    <t>51262</t>
  </si>
  <si>
    <t>PUECH HAUT</t>
  </si>
  <si>
    <t>51295</t>
  </si>
  <si>
    <t>REGALS DE BRETAGNE</t>
  </si>
  <si>
    <t>51297</t>
  </si>
  <si>
    <t>LE PIC CONSERVES</t>
  </si>
  <si>
    <t>51391</t>
  </si>
  <si>
    <t>NOREVA PHARMA</t>
  </si>
  <si>
    <t>51429</t>
  </si>
  <si>
    <t>DUCALE CHIPS ARTIS</t>
  </si>
  <si>
    <t>51478</t>
  </si>
  <si>
    <t>FARBOS</t>
  </si>
  <si>
    <t>RELEVI SRL</t>
  </si>
  <si>
    <t>51712</t>
  </si>
  <si>
    <t>LIGHTBODY EUROPE</t>
  </si>
  <si>
    <t>TH.VERGEER EN ZONEN</t>
  </si>
  <si>
    <t>RISO GALLO</t>
  </si>
  <si>
    <t>NOEL ALIMENTARIA SAU</t>
  </si>
  <si>
    <t>51885</t>
  </si>
  <si>
    <t>PIERRE FABRE MEDICAM</t>
  </si>
  <si>
    <t>51918</t>
  </si>
  <si>
    <t>TRAD Y SEL</t>
  </si>
  <si>
    <t>51971</t>
  </si>
  <si>
    <t>ITAL PASSION SARL</t>
  </si>
  <si>
    <t>52110</t>
  </si>
  <si>
    <t>DELHAYE THIERRY</t>
  </si>
  <si>
    <t>LESIRE ET ROGER</t>
  </si>
  <si>
    <t>IBERFRUTA MUERZA</t>
  </si>
  <si>
    <t>52253</t>
  </si>
  <si>
    <t>PEGASE BVS</t>
  </si>
  <si>
    <t>52265</t>
  </si>
  <si>
    <t>PERE GLACET</t>
  </si>
  <si>
    <t>52266</t>
  </si>
  <si>
    <t>CAMUS DOMINIQUE</t>
  </si>
  <si>
    <t>52285</t>
  </si>
  <si>
    <t>NOYON CHRISTOPHE</t>
  </si>
  <si>
    <t>52290</t>
  </si>
  <si>
    <t>ROSELINE DIFFUSION</t>
  </si>
  <si>
    <t>FANDICOSTA</t>
  </si>
  <si>
    <t>52332</t>
  </si>
  <si>
    <t>TERRANEA</t>
  </si>
  <si>
    <t>52335</t>
  </si>
  <si>
    <t>ETHIQUABLE</t>
  </si>
  <si>
    <t>EUROTAB OPERATIONS</t>
  </si>
  <si>
    <t>52453</t>
  </si>
  <si>
    <t>QUIES</t>
  </si>
  <si>
    <t>52537</t>
  </si>
  <si>
    <t>ELKARLANEAN</t>
  </si>
  <si>
    <t>SRG IMPORT LTD</t>
  </si>
  <si>
    <t>MARIE CLAIRE SA</t>
  </si>
  <si>
    <t>52958</t>
  </si>
  <si>
    <t>LIB.EDIT.L'HARMATTAN</t>
  </si>
  <si>
    <t>QUICKPACK HAUSHALT</t>
  </si>
  <si>
    <t>IG DESIGN GROUP</t>
  </si>
  <si>
    <t>NMC FRANCE SA</t>
  </si>
  <si>
    <t>53541</t>
  </si>
  <si>
    <t>LA SOFIADIS</t>
  </si>
  <si>
    <t>INCH SA</t>
  </si>
  <si>
    <t>TAUZIN PERE ET FILS</t>
  </si>
  <si>
    <t xml:space="preserve">WILIER TRIESTRINA </t>
  </si>
  <si>
    <t>RETTENMAIER FRANCE</t>
  </si>
  <si>
    <t>TEXIM</t>
  </si>
  <si>
    <t>54429</t>
  </si>
  <si>
    <t>SPIN MASTER</t>
  </si>
  <si>
    <t>54564</t>
  </si>
  <si>
    <t>ASCENDEO FRANCE</t>
  </si>
  <si>
    <t>LES PLANTS NORMANDS</t>
  </si>
  <si>
    <t>54653</t>
  </si>
  <si>
    <t>INNOV AXE</t>
  </si>
  <si>
    <t>IGAP</t>
  </si>
  <si>
    <t>54909</t>
  </si>
  <si>
    <t>L OREAL</t>
  </si>
  <si>
    <t>54921</t>
  </si>
  <si>
    <t>LOSFELD</t>
  </si>
  <si>
    <t>54960</t>
  </si>
  <si>
    <t>GROUPE SEB FRANCE</t>
  </si>
  <si>
    <t>M.D.D. SAM</t>
  </si>
  <si>
    <t>55065</t>
  </si>
  <si>
    <t>KONTIKI</t>
  </si>
  <si>
    <t>DIFRAMA SAS</t>
  </si>
  <si>
    <t>55558</t>
  </si>
  <si>
    <t>GARMIN FRANCE</t>
  </si>
  <si>
    <t>TERRA PLANTS</t>
  </si>
  <si>
    <t>55711</t>
  </si>
  <si>
    <t>QUADRISIGNE</t>
  </si>
  <si>
    <t>COLLA SPA</t>
  </si>
  <si>
    <t>MAPA</t>
  </si>
  <si>
    <t>55894</t>
  </si>
  <si>
    <t>SARL QUIDARRE</t>
  </si>
  <si>
    <t>55895</t>
  </si>
  <si>
    <t>BACARDI MARTINI</t>
  </si>
  <si>
    <t>MARTIN LOUIS</t>
  </si>
  <si>
    <t>MACQUET S.A.</t>
  </si>
  <si>
    <t>56102</t>
  </si>
  <si>
    <t>MINKY FRANCE SAS</t>
  </si>
  <si>
    <t>56141</t>
  </si>
  <si>
    <t>GMS DIFFUSION</t>
  </si>
  <si>
    <t>MAPED</t>
  </si>
  <si>
    <t>56797</t>
  </si>
  <si>
    <t>JJA</t>
  </si>
  <si>
    <t>SPAAS KAARSEN</t>
  </si>
  <si>
    <t>57043</t>
  </si>
  <si>
    <t>SOUDAL</t>
  </si>
  <si>
    <t>INDUSTRIAL CUBERTERA</t>
  </si>
  <si>
    <t>57085</t>
  </si>
  <si>
    <t>SILVERLIT</t>
  </si>
  <si>
    <t>SAUTHON INDUSTRIES</t>
  </si>
  <si>
    <t>PAVO</t>
  </si>
  <si>
    <t>EREDU</t>
  </si>
  <si>
    <t>JARDIN NETHERLANDS</t>
  </si>
  <si>
    <t>CANDIDO PENALBA</t>
  </si>
  <si>
    <t>SIMBA TOYS BENELUX</t>
  </si>
  <si>
    <t>ANDRONI GIOCATTOLI</t>
  </si>
  <si>
    <t>CONNABRIDE NEDERLAND</t>
  </si>
  <si>
    <t>SAROM</t>
  </si>
  <si>
    <t>BRUDER SPIELWAREN</t>
  </si>
  <si>
    <t>GOLIATH</t>
  </si>
  <si>
    <t>RETI GRITTI</t>
  </si>
  <si>
    <t>58643</t>
  </si>
  <si>
    <t>MTD FRANCE</t>
  </si>
  <si>
    <t>UHU BOSTIK</t>
  </si>
  <si>
    <t>BEAUVALLET NATURANA</t>
  </si>
  <si>
    <t>VELAMEN</t>
  </si>
  <si>
    <t>59719</t>
  </si>
  <si>
    <t>MENES ALBERT</t>
  </si>
  <si>
    <t>59794</t>
  </si>
  <si>
    <t>MELITTA</t>
  </si>
  <si>
    <t>59996</t>
  </si>
  <si>
    <t>IROBOT FRANCE</t>
  </si>
  <si>
    <t>60024</t>
  </si>
  <si>
    <t>DOMAINE GRANDES MAIS</t>
  </si>
  <si>
    <t>COSMEWAX SA</t>
  </si>
  <si>
    <t>60154</t>
  </si>
  <si>
    <t>MECKERT DIEMER</t>
  </si>
  <si>
    <t>EURO WIPES</t>
  </si>
  <si>
    <t>60196</t>
  </si>
  <si>
    <t>RAYMOND VINS FINS</t>
  </si>
  <si>
    <t>60249</t>
  </si>
  <si>
    <t>GDS VINS GENEREUX</t>
  </si>
  <si>
    <t>FOOD IMPACT</t>
  </si>
  <si>
    <t>60378</t>
  </si>
  <si>
    <t>MANOIR DES ABEILLES</t>
  </si>
  <si>
    <t>60476</t>
  </si>
  <si>
    <t>SEEBERGER KG</t>
  </si>
  <si>
    <t>60479</t>
  </si>
  <si>
    <t>CYRNOS</t>
  </si>
  <si>
    <t>60558</t>
  </si>
  <si>
    <t>MILLE ET UNE FEUILLE</t>
  </si>
  <si>
    <t>60607</t>
  </si>
  <si>
    <t>NATURE ET ALIMENTS</t>
  </si>
  <si>
    <t>60614</t>
  </si>
  <si>
    <t>CEDA</t>
  </si>
  <si>
    <t>60633</t>
  </si>
  <si>
    <t>FROM A COEUR</t>
  </si>
  <si>
    <t>BIONATIS</t>
  </si>
  <si>
    <t>MYTILIMER PRODUCTION</t>
  </si>
  <si>
    <t>60711</t>
  </si>
  <si>
    <t>DUPLACEAU ETS</t>
  </si>
  <si>
    <t>60739</t>
  </si>
  <si>
    <t>CADIF</t>
  </si>
  <si>
    <t>60784</t>
  </si>
  <si>
    <t>A.G. VINS</t>
  </si>
  <si>
    <t>60798</t>
  </si>
  <si>
    <t>VIGNOBLES DU SUD</t>
  </si>
  <si>
    <t>SURFILM</t>
  </si>
  <si>
    <t>60884</t>
  </si>
  <si>
    <t>NOVI FRANCE</t>
  </si>
  <si>
    <t>60913</t>
  </si>
  <si>
    <t>AGROLIS SAS</t>
  </si>
  <si>
    <t>60939</t>
  </si>
  <si>
    <t>CLDC</t>
  </si>
  <si>
    <t>EURO AGRO FOODS</t>
  </si>
  <si>
    <t>60974</t>
  </si>
  <si>
    <t>MADELEINES BIJOU</t>
  </si>
  <si>
    <t>60983</t>
  </si>
  <si>
    <t>MICHAUD FAMILLE</t>
  </si>
  <si>
    <t>61004</t>
  </si>
  <si>
    <t>3M</t>
  </si>
  <si>
    <t>FLOC H JEAN SURGELAT</t>
  </si>
  <si>
    <t>61060</t>
  </si>
  <si>
    <t>CORANIA DISTRIBUTION</t>
  </si>
  <si>
    <t>61076</t>
  </si>
  <si>
    <t>GROIX ET NATURE</t>
  </si>
  <si>
    <t>61104</t>
  </si>
  <si>
    <t>PALAIS DES METS SARL</t>
  </si>
  <si>
    <t>FIDELE</t>
  </si>
  <si>
    <t>61288</t>
  </si>
  <si>
    <t>MIELE</t>
  </si>
  <si>
    <t>61320</t>
  </si>
  <si>
    <t>VIGNERONS DE TUTIAC</t>
  </si>
  <si>
    <t>61387</t>
  </si>
  <si>
    <t>CAPT ET FILS</t>
  </si>
  <si>
    <t>61409</t>
  </si>
  <si>
    <t>GACON FRERES</t>
  </si>
  <si>
    <t>FROMA TERROIRS SUD</t>
  </si>
  <si>
    <t>61527</t>
  </si>
  <si>
    <t>GIRONDE SPECIALITES</t>
  </si>
  <si>
    <t>61531</t>
  </si>
  <si>
    <t>CARNICAS BIDEA</t>
  </si>
  <si>
    <t>61547</t>
  </si>
  <si>
    <t>VINAIGRERIE CARVIN</t>
  </si>
  <si>
    <t>CHIRON ACVF</t>
  </si>
  <si>
    <t>61717</t>
  </si>
  <si>
    <t>ARCADIE SUD OUEST</t>
  </si>
  <si>
    <t>61774</t>
  </si>
  <si>
    <t>EMBUTIDOS CAULA S L</t>
  </si>
  <si>
    <t>61778</t>
  </si>
  <si>
    <t>CANCOILLOTTE FLEURON</t>
  </si>
  <si>
    <t>NECTARS DE BOURGOGNE</t>
  </si>
  <si>
    <t>61792</t>
  </si>
  <si>
    <t>SAVARY SARL</t>
  </si>
  <si>
    <t>61865</t>
  </si>
  <si>
    <t>DOMAINES PAUL MAS</t>
  </si>
  <si>
    <t>61877</t>
  </si>
  <si>
    <t>DUPRES VIN D'ARDECHE</t>
  </si>
  <si>
    <t>61888</t>
  </si>
  <si>
    <t>AB INBEV FRANCE</t>
  </si>
  <si>
    <t>61921</t>
  </si>
  <si>
    <t>AIL AIL AIL</t>
  </si>
  <si>
    <t>61989</t>
  </si>
  <si>
    <t>TLC</t>
  </si>
  <si>
    <t>LEROY SEAFOOD FRANCE</t>
  </si>
  <si>
    <t>62057</t>
  </si>
  <si>
    <t>ST MICHEL BISCUITS</t>
  </si>
  <si>
    <t>62112</t>
  </si>
  <si>
    <t>LA PLUME BLANCHE</t>
  </si>
  <si>
    <t>MONDEX</t>
  </si>
  <si>
    <t>62309</t>
  </si>
  <si>
    <t>WOLFBERGER CAVE VINI</t>
  </si>
  <si>
    <t>62457</t>
  </si>
  <si>
    <t>EN AVANT GUINGAMP</t>
  </si>
  <si>
    <t>62546</t>
  </si>
  <si>
    <t>ILE DE RE CHOCOLATS</t>
  </si>
  <si>
    <t>62696</t>
  </si>
  <si>
    <t>BISSARDON JUS FRUITS</t>
  </si>
  <si>
    <t>62714</t>
  </si>
  <si>
    <t>CHAISERONNE</t>
  </si>
  <si>
    <t>62804</t>
  </si>
  <si>
    <t>TESS</t>
  </si>
  <si>
    <t>MELI &amp; MELAPI</t>
  </si>
  <si>
    <t>62952</t>
  </si>
  <si>
    <t>FRAICHEUR FACTORY</t>
  </si>
  <si>
    <t>62956</t>
  </si>
  <si>
    <t>SEDISAL</t>
  </si>
  <si>
    <t>62978</t>
  </si>
  <si>
    <t>GEOFFROY ET FILS</t>
  </si>
  <si>
    <t>63040</t>
  </si>
  <si>
    <t>LARCHE BRASSERIE</t>
  </si>
  <si>
    <t>63049</t>
  </si>
  <si>
    <t>SAVON DE L'ATLANTIQU</t>
  </si>
  <si>
    <t>63075</t>
  </si>
  <si>
    <t>ROQUE STE D'EXPLOIT</t>
  </si>
  <si>
    <t>ANGEL CAMACHO</t>
  </si>
  <si>
    <t>63278</t>
  </si>
  <si>
    <t>DOMAINE CAZES JM</t>
  </si>
  <si>
    <t>ERHARD PATIS.GLACIER</t>
  </si>
  <si>
    <t>OVOTEAM</t>
  </si>
  <si>
    <t>63414</t>
  </si>
  <si>
    <t>LOIRE PROPRIETES</t>
  </si>
  <si>
    <t>GALEOTTI CARTROGRAPH</t>
  </si>
  <si>
    <t>63528</t>
  </si>
  <si>
    <t>CARAMA DISTRIBUTION</t>
  </si>
  <si>
    <t>63610</t>
  </si>
  <si>
    <t>OVALIS</t>
  </si>
  <si>
    <t>63892</t>
  </si>
  <si>
    <t>AGRICOMMERCE</t>
  </si>
  <si>
    <t>64171</t>
  </si>
  <si>
    <t>EDITIONS NATHAN</t>
  </si>
  <si>
    <t>NATIONAL 1</t>
  </si>
  <si>
    <t>64479</t>
  </si>
  <si>
    <t>CHERRY ROCHER NEYRET</t>
  </si>
  <si>
    <t>INTERSNACK FRANCE</t>
  </si>
  <si>
    <t>65180</t>
  </si>
  <si>
    <t>NORPROTEX</t>
  </si>
  <si>
    <t>66022</t>
  </si>
  <si>
    <t>PANZANI</t>
  </si>
  <si>
    <t>PAULET</t>
  </si>
  <si>
    <t>66091</t>
  </si>
  <si>
    <t>PATISFRANCE-PURATOS</t>
  </si>
  <si>
    <t>PANIER &amp; TANGUY</t>
  </si>
  <si>
    <t>67475</t>
  </si>
  <si>
    <t>NW MARKETING DISTRIB</t>
  </si>
  <si>
    <t>PERRIN VERMOT</t>
  </si>
  <si>
    <t>68019</t>
  </si>
  <si>
    <t>NOUVELLE ELCA SAS</t>
  </si>
  <si>
    <t>EGARRI</t>
  </si>
  <si>
    <t>GLASSLOCK C ET L INT</t>
  </si>
  <si>
    <t>68126</t>
  </si>
  <si>
    <t>EL EJIDO EXP.PLANT</t>
  </si>
  <si>
    <t>68127</t>
  </si>
  <si>
    <t>CORTE DEL GUSTO</t>
  </si>
  <si>
    <t>SCOP TI</t>
  </si>
  <si>
    <t>68184</t>
  </si>
  <si>
    <t>SECRETS DE CECILE</t>
  </si>
  <si>
    <t>68190</t>
  </si>
  <si>
    <t>RUBIS</t>
  </si>
  <si>
    <t>68199</t>
  </si>
  <si>
    <t>LA TOURANGELLE SAS</t>
  </si>
  <si>
    <t>68204</t>
  </si>
  <si>
    <t>ASIA FOOD CO SAS</t>
  </si>
  <si>
    <t>68244</t>
  </si>
  <si>
    <t>PFPCA</t>
  </si>
  <si>
    <t>68286</t>
  </si>
  <si>
    <t>KRONENBOURG SAS</t>
  </si>
  <si>
    <t>SUD N'SOL AGEN</t>
  </si>
  <si>
    <t>68315</t>
  </si>
  <si>
    <t>ROSSLER PAPIER GMBH</t>
  </si>
  <si>
    <t>68320</t>
  </si>
  <si>
    <t>MONTS DE BOURGOGNE</t>
  </si>
  <si>
    <t>EUROP TS</t>
  </si>
  <si>
    <t>EQUINOX NV</t>
  </si>
  <si>
    <t>68338</t>
  </si>
  <si>
    <t>SAS AUDIS</t>
  </si>
  <si>
    <t>ARC FRANCE</t>
  </si>
  <si>
    <t>68349</t>
  </si>
  <si>
    <t>BRETONNE DE VOLAILLE</t>
  </si>
  <si>
    <t>68351</t>
  </si>
  <si>
    <t>SAS BIOTEAM</t>
  </si>
  <si>
    <t>68355</t>
  </si>
  <si>
    <t>VITA COCO FRANCE SAS</t>
  </si>
  <si>
    <t>68444</t>
  </si>
  <si>
    <t>DR SCHAR FRANCE</t>
  </si>
  <si>
    <t>68474</t>
  </si>
  <si>
    <t>BISCUITERIE AUVERGNE</t>
  </si>
  <si>
    <t>68477</t>
  </si>
  <si>
    <t>M L DISTRIBUTION FR</t>
  </si>
  <si>
    <t>BIODEAL</t>
  </si>
  <si>
    <t>MOLINI PIVETTI SPA</t>
  </si>
  <si>
    <t>TABLEROS DE LEVANTE</t>
  </si>
  <si>
    <t>68535</t>
  </si>
  <si>
    <t>ED.VALOIRE-ESTEL SAS</t>
  </si>
  <si>
    <t>68550</t>
  </si>
  <si>
    <t>SPG</t>
  </si>
  <si>
    <t>68556</t>
  </si>
  <si>
    <t>LABO DERMATO.URIAGE</t>
  </si>
  <si>
    <t>68582</t>
  </si>
  <si>
    <t>SGS AGRAL</t>
  </si>
  <si>
    <t>68608</t>
  </si>
  <si>
    <t>LABORATOIRE NUTSAN</t>
  </si>
  <si>
    <t>68620</t>
  </si>
  <si>
    <t>SOCOPAT PONZO FRERES</t>
  </si>
  <si>
    <t>TITOK PRODUCTION</t>
  </si>
  <si>
    <t>PARMACOTTO SPA</t>
  </si>
  <si>
    <t>68631</t>
  </si>
  <si>
    <t>FIFTYESPACE SASU</t>
  </si>
  <si>
    <t>68677</t>
  </si>
  <si>
    <t>CONCEPT TERROIR</t>
  </si>
  <si>
    <t>68699</t>
  </si>
  <si>
    <t>LES SAUCES MORIN</t>
  </si>
  <si>
    <t>68702</t>
  </si>
  <si>
    <t>NATURE ET EXPRESSION</t>
  </si>
  <si>
    <t>68718</t>
  </si>
  <si>
    <t>I GREC</t>
  </si>
  <si>
    <t>68736</t>
  </si>
  <si>
    <t>ENERGETIC LIGHTING</t>
  </si>
  <si>
    <t>68746</t>
  </si>
  <si>
    <t>LEISURE'N PLEASURE</t>
  </si>
  <si>
    <t>MSA INTERNATIONAL</t>
  </si>
  <si>
    <t>68761</t>
  </si>
  <si>
    <t>FERME DE LETOURVILLE</t>
  </si>
  <si>
    <t>68764</t>
  </si>
  <si>
    <t>VESTEY FOODS FRANCE</t>
  </si>
  <si>
    <t>LIBEERT SA</t>
  </si>
  <si>
    <t>68787</t>
  </si>
  <si>
    <t>SCEA TIZAC</t>
  </si>
  <si>
    <t>M.DESSERTS FRANCE</t>
  </si>
  <si>
    <t>68807</t>
  </si>
  <si>
    <t>LAITIERE BOURGOGNE</t>
  </si>
  <si>
    <t>68859</t>
  </si>
  <si>
    <t>FERME DES TERROIRS</t>
  </si>
  <si>
    <t>ELIVIA SAS</t>
  </si>
  <si>
    <t>C&amp;D FOODS FRANCE</t>
  </si>
  <si>
    <t>CHARLES CHRIST</t>
  </si>
  <si>
    <t>68892</t>
  </si>
  <si>
    <t>APERINNOV</t>
  </si>
  <si>
    <t>BELVAS SA</t>
  </si>
  <si>
    <t>68935</t>
  </si>
  <si>
    <t>SAS LES BAGAGISTES</t>
  </si>
  <si>
    <t>68938</t>
  </si>
  <si>
    <t>C.H2.O</t>
  </si>
  <si>
    <t>68959</t>
  </si>
  <si>
    <t>SARL DENOUAL ROLAND</t>
  </si>
  <si>
    <t>68982</t>
  </si>
  <si>
    <t>SAMADHI SARL</t>
  </si>
  <si>
    <t>68985</t>
  </si>
  <si>
    <t>SAS NICE GOURMET</t>
  </si>
  <si>
    <t>69004</t>
  </si>
  <si>
    <t>DELTA PRONATURA FR</t>
  </si>
  <si>
    <t>69011</t>
  </si>
  <si>
    <t>CALVADOS C.DROUIN</t>
  </si>
  <si>
    <t>NOUV JACQUES MAES</t>
  </si>
  <si>
    <t>69060</t>
  </si>
  <si>
    <t>VOLT SAS</t>
  </si>
  <si>
    <t>69098</t>
  </si>
  <si>
    <t>NATURA FOODY SAS</t>
  </si>
  <si>
    <t>69112</t>
  </si>
  <si>
    <t>SAS FCMG</t>
  </si>
  <si>
    <t>69116</t>
  </si>
  <si>
    <t>BIOSYNEX</t>
  </si>
  <si>
    <t>69118</t>
  </si>
  <si>
    <t>EPB</t>
  </si>
  <si>
    <t>CROP'S FRUITS NV</t>
  </si>
  <si>
    <t>69136</t>
  </si>
  <si>
    <t>CARRE SUISSE SAS</t>
  </si>
  <si>
    <t>69140</t>
  </si>
  <si>
    <t>DOMAINE DE MONTCALM</t>
  </si>
  <si>
    <t>69142</t>
  </si>
  <si>
    <t>SAVOIE FAYRE</t>
  </si>
  <si>
    <t>69147</t>
  </si>
  <si>
    <t>LAIT'SPRIT D'ETHIQUE</t>
  </si>
  <si>
    <t>69148</t>
  </si>
  <si>
    <t>ASAHI UK LIMITED FR</t>
  </si>
  <si>
    <t>PAIN TRAITEUR</t>
  </si>
  <si>
    <t>VERBATIM GMBH</t>
  </si>
  <si>
    <t>BARONIE BELGIUM SA</t>
  </si>
  <si>
    <t>69167</t>
  </si>
  <si>
    <t>KATS</t>
  </si>
  <si>
    <t>69179</t>
  </si>
  <si>
    <t>PENTOGONA</t>
  </si>
  <si>
    <t>EURES GMBH</t>
  </si>
  <si>
    <t>69192</t>
  </si>
  <si>
    <t>FURNISH1</t>
  </si>
  <si>
    <t>69193</t>
  </si>
  <si>
    <t>NYNY COMPANY</t>
  </si>
  <si>
    <t>69214</t>
  </si>
  <si>
    <t>A &amp; O NUTRITION BIO</t>
  </si>
  <si>
    <t>69216</t>
  </si>
  <si>
    <t>BLUE SKIES HOLDINGS</t>
  </si>
  <si>
    <t>69232</t>
  </si>
  <si>
    <t>SALAISONS BERNARD</t>
  </si>
  <si>
    <t>69242</t>
  </si>
  <si>
    <t>CONFITURES ET TRADIT</t>
  </si>
  <si>
    <t>69268</t>
  </si>
  <si>
    <t>COMBO</t>
  </si>
  <si>
    <t>69275</t>
  </si>
  <si>
    <t>COFFEEROOTS SA</t>
  </si>
  <si>
    <t>SHARP CONSUMER ELECT</t>
  </si>
  <si>
    <t>EKJU SIA</t>
  </si>
  <si>
    <t>69392</t>
  </si>
  <si>
    <t>LES AUTRES BIERES</t>
  </si>
  <si>
    <t>ORTHEX SWEDEN AB</t>
  </si>
  <si>
    <t>69423</t>
  </si>
  <si>
    <t>LEGUMOFRUIT</t>
  </si>
  <si>
    <t>69433</t>
  </si>
  <si>
    <t>AMALRIC SAS</t>
  </si>
  <si>
    <t>69444</t>
  </si>
  <si>
    <t>GAMA TI DELICE</t>
  </si>
  <si>
    <t>PINTAUD</t>
  </si>
  <si>
    <t>69671</t>
  </si>
  <si>
    <t>PHM PRODUCTION</t>
  </si>
  <si>
    <t>69673</t>
  </si>
  <si>
    <t>ITALIA IMPORT 73</t>
  </si>
  <si>
    <t>69675</t>
  </si>
  <si>
    <t>BENOIST HORTICULTURE</t>
  </si>
  <si>
    <t>CORUM DISTRIBUTION</t>
  </si>
  <si>
    <t>69696</t>
  </si>
  <si>
    <t>MARCHAND DE SOIF</t>
  </si>
  <si>
    <t>EMBUTIDOS VIC D OR</t>
  </si>
  <si>
    <t>69731</t>
  </si>
  <si>
    <t>B.ART MARCOUSSIS</t>
  </si>
  <si>
    <t>69733</t>
  </si>
  <si>
    <t>GFT FRANCE SARL</t>
  </si>
  <si>
    <t>69758</t>
  </si>
  <si>
    <t>BRULERIE JEANNE DARC</t>
  </si>
  <si>
    <t>LAITERIE BAIKO</t>
  </si>
  <si>
    <t>69766</t>
  </si>
  <si>
    <t>AG CO</t>
  </si>
  <si>
    <t>69802</t>
  </si>
  <si>
    <t>ORLANDI SPA</t>
  </si>
  <si>
    <t>69839</t>
  </si>
  <si>
    <t>JEUNES LAITIERS SART</t>
  </si>
  <si>
    <t>TRADE CON GMBH</t>
  </si>
  <si>
    <t>69875</t>
  </si>
  <si>
    <t>FEYEL &amp; ARTZNER</t>
  </si>
  <si>
    <t>M.MARION MEUNERIE</t>
  </si>
  <si>
    <t>70019</t>
  </si>
  <si>
    <t>SUARD ET BELLEMON</t>
  </si>
  <si>
    <t>FDG GROUP</t>
  </si>
  <si>
    <t>70092</t>
  </si>
  <si>
    <t>ECCELLENZA ITALIANA</t>
  </si>
  <si>
    <t>70156</t>
  </si>
  <si>
    <t>PAPYLEE</t>
  </si>
  <si>
    <t>COTY FRANCE SAS</t>
  </si>
  <si>
    <t>JAKKS PACIFIC UK</t>
  </si>
  <si>
    <t>70176</t>
  </si>
  <si>
    <t>LA POPOTE COMPAGNIE</t>
  </si>
  <si>
    <t>70188</t>
  </si>
  <si>
    <t>COMPTOIR CHARENTAIS</t>
  </si>
  <si>
    <t>BENIAMIN SP ZOO SPK</t>
  </si>
  <si>
    <t>GLOBAL GREEN EUROPE</t>
  </si>
  <si>
    <t>PLASTITEMPLE</t>
  </si>
  <si>
    <t>70306</t>
  </si>
  <si>
    <t>PRODUIT BERGER SAS</t>
  </si>
  <si>
    <t>TRANGS EUROPE SAS</t>
  </si>
  <si>
    <t>70316</t>
  </si>
  <si>
    <t>PW FRANCE SAS</t>
  </si>
  <si>
    <t>70337</t>
  </si>
  <si>
    <t>LES MONOPOLES</t>
  </si>
  <si>
    <t>70408</t>
  </si>
  <si>
    <t>MAISON RIVIER</t>
  </si>
  <si>
    <t>SANICEN SAU</t>
  </si>
  <si>
    <t>70458</t>
  </si>
  <si>
    <t>LES RUCHES ROYALES</t>
  </si>
  <si>
    <t>70470</t>
  </si>
  <si>
    <t>EOLYS BEAUTE</t>
  </si>
  <si>
    <t>FUNKO</t>
  </si>
  <si>
    <t>ILLER ALSACIENNE</t>
  </si>
  <si>
    <t>70599</t>
  </si>
  <si>
    <t>WDK GROUPE PARTNER</t>
  </si>
  <si>
    <t>70604</t>
  </si>
  <si>
    <t>INSTITUT DON BOSCO</t>
  </si>
  <si>
    <t>70610</t>
  </si>
  <si>
    <t>DELICE IK</t>
  </si>
  <si>
    <t>70666</t>
  </si>
  <si>
    <t>FURIC SOLUTION</t>
  </si>
  <si>
    <t>ICAM SPA</t>
  </si>
  <si>
    <t>POREE HAVLIK</t>
  </si>
  <si>
    <t>70782</t>
  </si>
  <si>
    <t>FABRIC SANS GLUTEN</t>
  </si>
  <si>
    <t>70797</t>
  </si>
  <si>
    <t>DELIDESS DISTRIBUT</t>
  </si>
  <si>
    <t>70834</t>
  </si>
  <si>
    <t>MP3PLV</t>
  </si>
  <si>
    <t>70879</t>
  </si>
  <si>
    <t>UNIVERSAL MUSIC</t>
  </si>
  <si>
    <t>CSM FRANCE</t>
  </si>
  <si>
    <t>72196</t>
  </si>
  <si>
    <t>NOVA SOURCES</t>
  </si>
  <si>
    <t>INCASA (INDUSTRIAS)</t>
  </si>
  <si>
    <t>72216</t>
  </si>
  <si>
    <t>DURFORT SALAISONS</t>
  </si>
  <si>
    <t>72218</t>
  </si>
  <si>
    <t>FERAX SP Z.O.O</t>
  </si>
  <si>
    <t>73015</t>
  </si>
  <si>
    <t>MEDEK FRANCE</t>
  </si>
  <si>
    <t xml:space="preserve">DESCAMPS AGRI SRL </t>
  </si>
  <si>
    <t>73661</t>
  </si>
  <si>
    <t>ORCHIDEES MAISONS</t>
  </si>
  <si>
    <t>73742</t>
  </si>
  <si>
    <t>RERO</t>
  </si>
  <si>
    <t>74046</t>
  </si>
  <si>
    <t>FROMAGERIE REO</t>
  </si>
  <si>
    <t>74175</t>
  </si>
  <si>
    <t>GREMILLET</t>
  </si>
  <si>
    <t>74184</t>
  </si>
  <si>
    <t>MICHEL ET AUGUSTIN</t>
  </si>
  <si>
    <t>74305</t>
  </si>
  <si>
    <t>DIGIT ACCESS</t>
  </si>
  <si>
    <t>BROUSSAUD TEXTILES</t>
  </si>
  <si>
    <t>ASUS GLOBAL PTE LTD</t>
  </si>
  <si>
    <t>BRETAGNE CERAMIQUE</t>
  </si>
  <si>
    <t>74687</t>
  </si>
  <si>
    <t>SARL FINE FOOD</t>
  </si>
  <si>
    <t>74710</t>
  </si>
  <si>
    <t>BI2L</t>
  </si>
  <si>
    <t>74747</t>
  </si>
  <si>
    <t>PERNOD RICARD FRANCE</t>
  </si>
  <si>
    <t>74791</t>
  </si>
  <si>
    <t>RICA LEVY</t>
  </si>
  <si>
    <t>DISET DIV NATHAN</t>
  </si>
  <si>
    <t>74862</t>
  </si>
  <si>
    <t>GIDA SA</t>
  </si>
  <si>
    <t>RIGA</t>
  </si>
  <si>
    <t>74972</t>
  </si>
  <si>
    <t>DECO DISTRIB</t>
  </si>
  <si>
    <t>75013</t>
  </si>
  <si>
    <t>ALVA</t>
  </si>
  <si>
    <t>GRUP ANTIGON SL</t>
  </si>
  <si>
    <t>75147</t>
  </si>
  <si>
    <t>LES PRES RIENT BIO</t>
  </si>
  <si>
    <t>75241</t>
  </si>
  <si>
    <t>A.B FOODS</t>
  </si>
  <si>
    <t>75242</t>
  </si>
  <si>
    <t>IMPORT DIRECT SERVIC</t>
  </si>
  <si>
    <t>MANUEL MATEO CANDEL</t>
  </si>
  <si>
    <t>EUROCAFE</t>
  </si>
  <si>
    <t>CONSERVAS DANTZA</t>
  </si>
  <si>
    <t>75409</t>
  </si>
  <si>
    <t>AVESTA</t>
  </si>
  <si>
    <t>75453</t>
  </si>
  <si>
    <t>DOMAINE MENERET AUDY</t>
  </si>
  <si>
    <t>75477</t>
  </si>
  <si>
    <t>ARDWEN</t>
  </si>
  <si>
    <t>75683</t>
  </si>
  <si>
    <t>ROVAL</t>
  </si>
  <si>
    <t>CONSERVES FRANCE</t>
  </si>
  <si>
    <t>75787</t>
  </si>
  <si>
    <t>LEMAN DISTRIBUTION</t>
  </si>
  <si>
    <t>75880</t>
  </si>
  <si>
    <t>CALENDRIERS BOUCHUT</t>
  </si>
  <si>
    <t>75934</t>
  </si>
  <si>
    <t>DR. KLAUS KARG</t>
  </si>
  <si>
    <t>75945</t>
  </si>
  <si>
    <t>PURESSENTIEL FRANCE</t>
  </si>
  <si>
    <t>75962</t>
  </si>
  <si>
    <t>CORLIANGES</t>
  </si>
  <si>
    <t>76001</t>
  </si>
  <si>
    <t>SINGER FRANCE</t>
  </si>
  <si>
    <t>L.N.U.F. ET MDD</t>
  </si>
  <si>
    <t>GROUP.PRODUCTEURS</t>
  </si>
  <si>
    <t>REALIT</t>
  </si>
  <si>
    <t>LEDVANCE</t>
  </si>
  <si>
    <t>HSB (HYGIENE SANTE</t>
  </si>
  <si>
    <t>LF FASHION LIMITED</t>
  </si>
  <si>
    <t>76309</t>
  </si>
  <si>
    <t>CORAPACK</t>
  </si>
  <si>
    <t>MONDO</t>
  </si>
  <si>
    <t>76481</t>
  </si>
  <si>
    <t>L'ARRAGEOISE</t>
  </si>
  <si>
    <t>76500</t>
  </si>
  <si>
    <t>CORYL ETS LAMBERT</t>
  </si>
  <si>
    <t>HORTICOLES VIET</t>
  </si>
  <si>
    <t>TEXTIL CASAMODA</t>
  </si>
  <si>
    <t>DI VITA</t>
  </si>
  <si>
    <t>CERRETO</t>
  </si>
  <si>
    <t>76680</t>
  </si>
  <si>
    <t>INNOCENT</t>
  </si>
  <si>
    <t>GEP</t>
  </si>
  <si>
    <t>REGNOLI FRANCE</t>
  </si>
  <si>
    <t>ECOFROST</t>
  </si>
  <si>
    <t>76857</t>
  </si>
  <si>
    <t>PROVENCE GASTRONOMIE</t>
  </si>
  <si>
    <t>MERBA</t>
  </si>
  <si>
    <t>APICOLTURA CASENTINE</t>
  </si>
  <si>
    <t>RIO MINTS &amp; SWEETENE</t>
  </si>
  <si>
    <t>77122</t>
  </si>
  <si>
    <t>LE WACQ</t>
  </si>
  <si>
    <t>COCORETTE DISTRIBUTI</t>
  </si>
  <si>
    <t>FLA EUROPE</t>
  </si>
  <si>
    <t>77278</t>
  </si>
  <si>
    <t>REILHE MARTIN</t>
  </si>
  <si>
    <t>77296</t>
  </si>
  <si>
    <t>LACELIER FRANCE</t>
  </si>
  <si>
    <t>CIE DES FROMAGES</t>
  </si>
  <si>
    <t>77360</t>
  </si>
  <si>
    <t>BACCI</t>
  </si>
  <si>
    <t>GUNZ</t>
  </si>
  <si>
    <t>77364</t>
  </si>
  <si>
    <t>ENGEL</t>
  </si>
  <si>
    <t>77376</t>
  </si>
  <si>
    <t>ET BROWNE DRUG</t>
  </si>
  <si>
    <t>FROMAGERIE DU PAYS</t>
  </si>
  <si>
    <t>77479</t>
  </si>
  <si>
    <t>BIP FRANCE</t>
  </si>
  <si>
    <t>BALTUSSEN</t>
  </si>
  <si>
    <t>77575</t>
  </si>
  <si>
    <t>DMS DISTRIB.MULTIMED</t>
  </si>
  <si>
    <t>77590</t>
  </si>
  <si>
    <t>VINESSEN</t>
  </si>
  <si>
    <t>JOUETS ECOIFFIER SAS</t>
  </si>
  <si>
    <t>SN LA BRESSE</t>
  </si>
  <si>
    <t>DESIGN GO LTD</t>
  </si>
  <si>
    <t>77995</t>
  </si>
  <si>
    <t>ZYRAX</t>
  </si>
  <si>
    <t>78166</t>
  </si>
  <si>
    <t>BOLTON FOOD</t>
  </si>
  <si>
    <t>SARBEC</t>
  </si>
  <si>
    <t>78513</t>
  </si>
  <si>
    <t>LA LIANE</t>
  </si>
  <si>
    <t>VAN VLIETPOTPLANTS</t>
  </si>
  <si>
    <t>IDEIA 2003 TEXTEIS</t>
  </si>
  <si>
    <t>79094</t>
  </si>
  <si>
    <t>PASTA &amp; AROMI</t>
  </si>
  <si>
    <t>79111</t>
  </si>
  <si>
    <t>BISCUITERIE CHAMBORD</t>
  </si>
  <si>
    <t>CONGELADOS DE NAVARR</t>
  </si>
  <si>
    <t>OPTIMAL CARE</t>
  </si>
  <si>
    <t>DISTEC INTERNATIONAL</t>
  </si>
  <si>
    <t>79285</t>
  </si>
  <si>
    <t>SAVEURS DU COLOMBIER</t>
  </si>
  <si>
    <t>TOQUES DIST.PERIGORD</t>
  </si>
  <si>
    <t>79309</t>
  </si>
  <si>
    <t>WEPA FRANCE SAS</t>
  </si>
  <si>
    <t>FROMAGERIE DES MONTS</t>
  </si>
  <si>
    <t>MJ CONDITIONNEMENT</t>
  </si>
  <si>
    <t>79507</t>
  </si>
  <si>
    <t>CHRISTOBALE SARL</t>
  </si>
  <si>
    <t>79540</t>
  </si>
  <si>
    <t>FABBRI FRANCE</t>
  </si>
  <si>
    <t>79557</t>
  </si>
  <si>
    <t>TABLE LA MEDITERRANE</t>
  </si>
  <si>
    <t>TKT</t>
  </si>
  <si>
    <t>79800</t>
  </si>
  <si>
    <t>SC DOMAINE DE SEGUIN</t>
  </si>
  <si>
    <t>RASPINI SPA</t>
  </si>
  <si>
    <t>79941</t>
  </si>
  <si>
    <t>UNION VIGN.ILE BEAUT</t>
  </si>
  <si>
    <t>SMARTBOX EXPERIENCE</t>
  </si>
  <si>
    <t>79954</t>
  </si>
  <si>
    <t>JARDINS DU MIDI</t>
  </si>
  <si>
    <t>EURIAL UF</t>
  </si>
  <si>
    <t>GRANDI PASTAI ITALIA</t>
  </si>
  <si>
    <t>SWISSINNO</t>
  </si>
  <si>
    <t>80033</t>
  </si>
  <si>
    <t>INNOVA MODE FRANCE</t>
  </si>
  <si>
    <t>80037</t>
  </si>
  <si>
    <t>TOURTES LIMOUSINES</t>
  </si>
  <si>
    <t>80051</t>
  </si>
  <si>
    <t>CHARCUTERIE SNG</t>
  </si>
  <si>
    <t>80066</t>
  </si>
  <si>
    <t>LES CAVES POUSSIN</t>
  </si>
  <si>
    <t>SOC DEVELOP.PUERI</t>
  </si>
  <si>
    <t>MOWI CUISERY</t>
  </si>
  <si>
    <t>80114</t>
  </si>
  <si>
    <t>TORREFACTION ALPES</t>
  </si>
  <si>
    <t>80117</t>
  </si>
  <si>
    <t>LA HULOTTE</t>
  </si>
  <si>
    <t>80122</t>
  </si>
  <si>
    <t>MOLINO ANDRIANI</t>
  </si>
  <si>
    <t>80129</t>
  </si>
  <si>
    <t>NESPOLI FRANCE</t>
  </si>
  <si>
    <t>80136</t>
  </si>
  <si>
    <t>DS DISTRIBUTION NORD</t>
  </si>
  <si>
    <t>80153</t>
  </si>
  <si>
    <t>MOLINO PASINI</t>
  </si>
  <si>
    <t>80249</t>
  </si>
  <si>
    <t>BRASSERIE MASCLAUX</t>
  </si>
  <si>
    <t>SEREBIS</t>
  </si>
  <si>
    <t>HBF</t>
  </si>
  <si>
    <t>80296</t>
  </si>
  <si>
    <t>MUNDOTEXTIL</t>
  </si>
  <si>
    <t>80365</t>
  </si>
  <si>
    <t>SAPROFIN</t>
  </si>
  <si>
    <t>HOLT LLOYD INTERNAT.</t>
  </si>
  <si>
    <t>80442</t>
  </si>
  <si>
    <t>ABTEY CHOCOLATERIE</t>
  </si>
  <si>
    <t>VIOKOX</t>
  </si>
  <si>
    <t>80606</t>
  </si>
  <si>
    <t>PAPETERIES SILL</t>
  </si>
  <si>
    <t>LABO BOUIX SANTE</t>
  </si>
  <si>
    <t>ROSINSKI SBIR SARL</t>
  </si>
  <si>
    <t>80721</t>
  </si>
  <si>
    <t>BISCUITERIE D'AFA</t>
  </si>
  <si>
    <t>80768</t>
  </si>
  <si>
    <t>LAGUELLE SAS</t>
  </si>
  <si>
    <t>DELKA</t>
  </si>
  <si>
    <t>80801</t>
  </si>
  <si>
    <t>FUMAGALLI INDUSTRIA</t>
  </si>
  <si>
    <t>80807</t>
  </si>
  <si>
    <t>DEFIAL AILLY</t>
  </si>
  <si>
    <t>80850</t>
  </si>
  <si>
    <t>CASTEL FOIE GRAS</t>
  </si>
  <si>
    <t>CREST INTERNATIONAL</t>
  </si>
  <si>
    <t>CURATEX GMBH</t>
  </si>
  <si>
    <t>XEROX</t>
  </si>
  <si>
    <t>LA NINA DEL SUR</t>
  </si>
  <si>
    <t>HAPPY SRL</t>
  </si>
  <si>
    <t>81041</t>
  </si>
  <si>
    <t>NESTLE FRANCE</t>
  </si>
  <si>
    <t>ADRETA PLASTICOS</t>
  </si>
  <si>
    <t>SLAUR SARDET</t>
  </si>
  <si>
    <t>81171</t>
  </si>
  <si>
    <t>MONITORS &amp; DISPLAYS</t>
  </si>
  <si>
    <t>VULLI SAS</t>
  </si>
  <si>
    <t>81242</t>
  </si>
  <si>
    <t>REGIE PRESTA MOULIN</t>
  </si>
  <si>
    <t>81307</t>
  </si>
  <si>
    <t>EARL MERIAU</t>
  </si>
  <si>
    <t>81309</t>
  </si>
  <si>
    <t>PIMCHOU</t>
  </si>
  <si>
    <t>81336</t>
  </si>
  <si>
    <t>BABYLISS</t>
  </si>
  <si>
    <t>81352</t>
  </si>
  <si>
    <t>FERME DU BRUVEAU</t>
  </si>
  <si>
    <t>81387</t>
  </si>
  <si>
    <t>MONTPERAL SAS</t>
  </si>
  <si>
    <t>KETER PLASTIC</t>
  </si>
  <si>
    <t>FLEURMEULEN BVBA</t>
  </si>
  <si>
    <t>81559</t>
  </si>
  <si>
    <t>ABBAYE DE BELVAL</t>
  </si>
  <si>
    <t>81675</t>
  </si>
  <si>
    <t>BILLIET VANLAERE</t>
  </si>
  <si>
    <t>81678</t>
  </si>
  <si>
    <t>MONARI FEDERZONI</t>
  </si>
  <si>
    <t>81696</t>
  </si>
  <si>
    <t>TOQUES II</t>
  </si>
  <si>
    <t>STEPHAN</t>
  </si>
  <si>
    <t>STB</t>
  </si>
  <si>
    <t>81822</t>
  </si>
  <si>
    <t>NEMO LOISIRS</t>
  </si>
  <si>
    <t>81844</t>
  </si>
  <si>
    <t>GERD RODERMUND</t>
  </si>
  <si>
    <t>ECOVER FRANCE</t>
  </si>
  <si>
    <t>AGRAFRESH SARL</t>
  </si>
  <si>
    <t>81923</t>
  </si>
  <si>
    <t>2B FRESH</t>
  </si>
  <si>
    <t>81937</t>
  </si>
  <si>
    <t>CAVE DE MONTBONNOT</t>
  </si>
  <si>
    <t>81944</t>
  </si>
  <si>
    <t>ANDRE KACHER</t>
  </si>
  <si>
    <t>82037</t>
  </si>
  <si>
    <t>DIUKE SAS</t>
  </si>
  <si>
    <t>IBERCACAO SA</t>
  </si>
  <si>
    <t>82174</t>
  </si>
  <si>
    <t>ARLYS</t>
  </si>
  <si>
    <t>82177</t>
  </si>
  <si>
    <t>LIMOUJOUX AUVERGNE V</t>
  </si>
  <si>
    <t>82208</t>
  </si>
  <si>
    <t>ARTADI ALIMENTACION</t>
  </si>
  <si>
    <t>PODERE ALLA QUERCIA</t>
  </si>
  <si>
    <t>82229</t>
  </si>
  <si>
    <t>ELBA MOULT</t>
  </si>
  <si>
    <t>82232</t>
  </si>
  <si>
    <t>ANTENGRIN</t>
  </si>
  <si>
    <t>UNIVERS DRINK</t>
  </si>
  <si>
    <t>82294</t>
  </si>
  <si>
    <t>PLANETE GOURMETS</t>
  </si>
  <si>
    <t>82336</t>
  </si>
  <si>
    <t>CAVES AFFIN.SCHUSTER</t>
  </si>
  <si>
    <t>82337</t>
  </si>
  <si>
    <t>BELLI SAS</t>
  </si>
  <si>
    <t>82380</t>
  </si>
  <si>
    <t>VIAMASTER</t>
  </si>
  <si>
    <t>MINOTERIE SUIRE</t>
  </si>
  <si>
    <t>JENSEN</t>
  </si>
  <si>
    <t>BISCUITERIE WILLEMS</t>
  </si>
  <si>
    <t>82430</t>
  </si>
  <si>
    <t>RONCADIN SPA</t>
  </si>
  <si>
    <t>82434</t>
  </si>
  <si>
    <t>ESPRESSOTIME</t>
  </si>
  <si>
    <t>82439</t>
  </si>
  <si>
    <t>LA FABRIQUE DU SUD</t>
  </si>
  <si>
    <t>LOUIS ROYER SA</t>
  </si>
  <si>
    <t>ACTIFAR SPRL</t>
  </si>
  <si>
    <t>82467</t>
  </si>
  <si>
    <t>WD 40 COMPANY</t>
  </si>
  <si>
    <t>82472</t>
  </si>
  <si>
    <t>BRANDT FRANCE</t>
  </si>
  <si>
    <t>82479</t>
  </si>
  <si>
    <t>DE EEKHOORN FURNITUR</t>
  </si>
  <si>
    <t>82516</t>
  </si>
  <si>
    <t>LMA BISCUIT BRETAGNE</t>
  </si>
  <si>
    <t>HOP LUN BENELUX</t>
  </si>
  <si>
    <t>82571</t>
  </si>
  <si>
    <t>G.S. TALOA</t>
  </si>
  <si>
    <t>EVERFLOURISH EUROPE</t>
  </si>
  <si>
    <t>82636</t>
  </si>
  <si>
    <t>ELCY</t>
  </si>
  <si>
    <t>82648</t>
  </si>
  <si>
    <t>JEAN DUFOUR SARL</t>
  </si>
  <si>
    <t>82685</t>
  </si>
  <si>
    <t>BRULERIE HAVRE GRACE</t>
  </si>
  <si>
    <t>TANNEGUY DE VALBRAY</t>
  </si>
  <si>
    <t>82714</t>
  </si>
  <si>
    <t>GLF SORAS EMBRYOLISS</t>
  </si>
  <si>
    <t>NOW DESIGN</t>
  </si>
  <si>
    <t>OZEN SP</t>
  </si>
  <si>
    <t>ACETIFICI ITALIANI</t>
  </si>
  <si>
    <t>82803</t>
  </si>
  <si>
    <t>BARON DE HOEN</t>
  </si>
  <si>
    <t>SCHOUTEN EUROPE</t>
  </si>
  <si>
    <t>82826</t>
  </si>
  <si>
    <t>TERRAILLON</t>
  </si>
  <si>
    <t>82831</t>
  </si>
  <si>
    <t>MR GEROME REBOUL</t>
  </si>
  <si>
    <t>82832</t>
  </si>
  <si>
    <t>TEISSEIRE FRANCE SAS</t>
  </si>
  <si>
    <t>82835</t>
  </si>
  <si>
    <t>AU BON GOUT TERROIR</t>
  </si>
  <si>
    <t>VANDENBULCKE</t>
  </si>
  <si>
    <t>82884</t>
  </si>
  <si>
    <t>CONSERVAS EL ARENAL</t>
  </si>
  <si>
    <t>SAINT MAMET</t>
  </si>
  <si>
    <t>83021</t>
  </si>
  <si>
    <t>VEMEDIA CONSUMER</t>
  </si>
  <si>
    <t>83052</t>
  </si>
  <si>
    <t>EUROMENAGE</t>
  </si>
  <si>
    <t>83055</t>
  </si>
  <si>
    <t>GLB ET B TRADING</t>
  </si>
  <si>
    <t>83063</t>
  </si>
  <si>
    <t>PPG AC FRANCE</t>
  </si>
  <si>
    <t>83103</t>
  </si>
  <si>
    <t>LE HOME D'YS</t>
  </si>
  <si>
    <t>83290</t>
  </si>
  <si>
    <t>THION</t>
  </si>
  <si>
    <t>LIMDOR</t>
  </si>
  <si>
    <t>WAHL INTERNATIONAL</t>
  </si>
  <si>
    <t>83342</t>
  </si>
  <si>
    <t>DOVIRIS</t>
  </si>
  <si>
    <t>83361</t>
  </si>
  <si>
    <t>5M DEVELOPMENT</t>
  </si>
  <si>
    <t>THERMOBABY</t>
  </si>
  <si>
    <t>GEOVITA SRL</t>
  </si>
  <si>
    <t>84013</t>
  </si>
  <si>
    <t>BBM FRANCE</t>
  </si>
  <si>
    <t>TIPIAK</t>
  </si>
  <si>
    <t>84067</t>
  </si>
  <si>
    <t>TEAM T4</t>
  </si>
  <si>
    <t>EUROEQUIPE SRL</t>
  </si>
  <si>
    <t>84090</t>
  </si>
  <si>
    <t>DESTINATION NORD SUD</t>
  </si>
  <si>
    <t>LAROYGROUP</t>
  </si>
  <si>
    <t>84178</t>
  </si>
  <si>
    <t>PLM DIFFUSION</t>
  </si>
  <si>
    <t>84187</t>
  </si>
  <si>
    <t>PIANTE FARO SOC SEMP</t>
  </si>
  <si>
    <t>84214</t>
  </si>
  <si>
    <t>EARL RA PRODUCT</t>
  </si>
  <si>
    <t>84223</t>
  </si>
  <si>
    <t>HAIER FRANCE</t>
  </si>
  <si>
    <t>84274</t>
  </si>
  <si>
    <t>LE PATUREUR</t>
  </si>
  <si>
    <t>MGA ENTERTRAINMENT</t>
  </si>
  <si>
    <t>84731</t>
  </si>
  <si>
    <t>LABEYRIE FINE FOODS</t>
  </si>
  <si>
    <t>TRIUMPH INTERNATIONA</t>
  </si>
  <si>
    <t>84959</t>
  </si>
  <si>
    <t>BRASSERIE PINTE DE S</t>
  </si>
  <si>
    <t>TP VISION EUROPE BV</t>
  </si>
  <si>
    <t>85050</t>
  </si>
  <si>
    <t>SIP SAINT HONORE</t>
  </si>
  <si>
    <t>85138</t>
  </si>
  <si>
    <t>TRIBALLAT RIANS</t>
  </si>
  <si>
    <t>BWT AUSTRIA GMBH</t>
  </si>
  <si>
    <t>CODIMA SARLU</t>
  </si>
  <si>
    <t>HUEL GMBH</t>
  </si>
  <si>
    <t>MAX POWER PRODUCTS</t>
  </si>
  <si>
    <t>ROOMIJS MISSAULT NV</t>
  </si>
  <si>
    <t>85551</t>
  </si>
  <si>
    <t>ARTIS TRADING</t>
  </si>
  <si>
    <t>ALINOR SPA</t>
  </si>
  <si>
    <t>85650</t>
  </si>
  <si>
    <t>UNION TEXTILE</t>
  </si>
  <si>
    <t>OHMEX SA</t>
  </si>
  <si>
    <t>VALOIS ANDRE</t>
  </si>
  <si>
    <t>85978</t>
  </si>
  <si>
    <t>PETIT BATEAU</t>
  </si>
  <si>
    <t>86002</t>
  </si>
  <si>
    <t>BTW SAS BACK TO WINE</t>
  </si>
  <si>
    <t>SPHERE DISTRIBUTION</t>
  </si>
  <si>
    <t>86140</t>
  </si>
  <si>
    <t>VALERO</t>
  </si>
  <si>
    <t>86174</t>
  </si>
  <si>
    <t>ILOVERT</t>
  </si>
  <si>
    <t>86311</t>
  </si>
  <si>
    <t>PROVEN ORAPI GROUP</t>
  </si>
  <si>
    <t>RIMOBEL SA</t>
  </si>
  <si>
    <t>DS SMITH PACKAGING</t>
  </si>
  <si>
    <t>86846</t>
  </si>
  <si>
    <t>CONFISERIE DU NORD</t>
  </si>
  <si>
    <t>LAITERIE DE VERNEUIL</t>
  </si>
  <si>
    <t>FOODS FOR TOMORROW</t>
  </si>
  <si>
    <t>87139</t>
  </si>
  <si>
    <t>SAS FERME DU CAUSSE</t>
  </si>
  <si>
    <t>87157</t>
  </si>
  <si>
    <t>ASAHI FRANCE</t>
  </si>
  <si>
    <t>87200</t>
  </si>
  <si>
    <t>PAP ET PILLE</t>
  </si>
  <si>
    <t>BOCADO SINGULAR SL</t>
  </si>
  <si>
    <t>INTRAMARK SRL</t>
  </si>
  <si>
    <t>MEDISANA GMBH</t>
  </si>
  <si>
    <t>87218</t>
  </si>
  <si>
    <t>MAJOR LEAGUE BEER</t>
  </si>
  <si>
    <t>87219</t>
  </si>
  <si>
    <t>MKL GREEN NATURE</t>
  </si>
  <si>
    <t>87223</t>
  </si>
  <si>
    <t>CENTRALE D ACHAT UBA</t>
  </si>
  <si>
    <t>87339</t>
  </si>
  <si>
    <t>LA SIESTA GMBH</t>
  </si>
  <si>
    <t>STREAMVIEW GMBH</t>
  </si>
  <si>
    <t>87342</t>
  </si>
  <si>
    <t>ARMENDIS</t>
  </si>
  <si>
    <t>87376</t>
  </si>
  <si>
    <t>NMK B V</t>
  </si>
  <si>
    <t>87676</t>
  </si>
  <si>
    <t>VIQUEL</t>
  </si>
  <si>
    <t>87788</t>
  </si>
  <si>
    <t>SVF</t>
  </si>
  <si>
    <t>VIGNERONS CATALANS</t>
  </si>
  <si>
    <t>ELECTRO CIRKEL RETAI</t>
  </si>
  <si>
    <t>89337</t>
  </si>
  <si>
    <t>ECLOR BOISSONS</t>
  </si>
  <si>
    <t>89366</t>
  </si>
  <si>
    <t>ENTOMOJO SAS</t>
  </si>
  <si>
    <t>LA FABRIC'VEGETALE</t>
  </si>
  <si>
    <t>89404</t>
  </si>
  <si>
    <t>HERDEGEN SAS</t>
  </si>
  <si>
    <t>89413</t>
  </si>
  <si>
    <t>NACON</t>
  </si>
  <si>
    <t>QUIMI ROMAR S.L.U.</t>
  </si>
  <si>
    <t>89661</t>
  </si>
  <si>
    <t>U-LABS</t>
  </si>
  <si>
    <t>MARKWINS BEAUTY BRAN</t>
  </si>
  <si>
    <t>VANDEMOORTELE EUROPE</t>
  </si>
  <si>
    <t>89713</t>
  </si>
  <si>
    <t>NUMWORKS</t>
  </si>
  <si>
    <t>LOYEZ WOESSEN</t>
  </si>
  <si>
    <t>89903</t>
  </si>
  <si>
    <t>KUMO</t>
  </si>
  <si>
    <t>89917</t>
  </si>
  <si>
    <t>MUSIC GLOBAL CONSULT</t>
  </si>
  <si>
    <t>89936</t>
  </si>
  <si>
    <t>EARL 3A BIO DE FRANC</t>
  </si>
  <si>
    <t>90078</t>
  </si>
  <si>
    <t>MEDIA DIFFUSION</t>
  </si>
  <si>
    <t>SPHERE FRANCE</t>
  </si>
  <si>
    <t>SODEBO</t>
  </si>
  <si>
    <t>SOMAGIC BARBECUE</t>
  </si>
  <si>
    <t>90333</t>
  </si>
  <si>
    <t>SORAC SARL</t>
  </si>
  <si>
    <t>90398</t>
  </si>
  <si>
    <t>CAP TRAITEUR SAS</t>
  </si>
  <si>
    <t>90400</t>
  </si>
  <si>
    <t>DE MALT ET D'O SAS</t>
  </si>
  <si>
    <t>PDP</t>
  </si>
  <si>
    <t>SOMNIS BEDDING NV</t>
  </si>
  <si>
    <t>LA TABLE EUROPEENNE</t>
  </si>
  <si>
    <t>90552</t>
  </si>
  <si>
    <t>TRANCHAGE DE LAJASSE</t>
  </si>
  <si>
    <t>90561</t>
  </si>
  <si>
    <t>DE MONT SAINT PERE</t>
  </si>
  <si>
    <t>EDELCACTUS</t>
  </si>
  <si>
    <t>90618</t>
  </si>
  <si>
    <t>VOLAILLERS DAUPHINE</t>
  </si>
  <si>
    <t>LOC MARIA BISCUITS</t>
  </si>
  <si>
    <t>90660</t>
  </si>
  <si>
    <t>RENE VEDRENNE SARL</t>
  </si>
  <si>
    <t>PREMIUM FOODS</t>
  </si>
  <si>
    <t>EDITIONS DU BELON</t>
  </si>
  <si>
    <t>90674</t>
  </si>
  <si>
    <t>DOMAINE DES NOES</t>
  </si>
  <si>
    <t>PERLETTI S.P.A.</t>
  </si>
  <si>
    <t>GASA HOLLAND B.V.</t>
  </si>
  <si>
    <t>90711</t>
  </si>
  <si>
    <t>AUCH ELEVAGE</t>
  </si>
  <si>
    <t>PONTAROLO</t>
  </si>
  <si>
    <t>90749</t>
  </si>
  <si>
    <t>APTUNION INDUSTRIE</t>
  </si>
  <si>
    <t>90777</t>
  </si>
  <si>
    <t>YOOJI</t>
  </si>
  <si>
    <t>90862</t>
  </si>
  <si>
    <t>INVITATION LA FERME</t>
  </si>
  <si>
    <t>PLANITOI SA</t>
  </si>
  <si>
    <t>90880</t>
  </si>
  <si>
    <t>SAS SCMC</t>
  </si>
  <si>
    <t>90914</t>
  </si>
  <si>
    <t>LAITERIE LES FAYES</t>
  </si>
  <si>
    <t>90953</t>
  </si>
  <si>
    <t>PONTI FRANCE SARL</t>
  </si>
  <si>
    <t>90996</t>
  </si>
  <si>
    <t>BRASSERIE DE SUTTER</t>
  </si>
  <si>
    <t>91006</t>
  </si>
  <si>
    <t>HP FRANCE SAS</t>
  </si>
  <si>
    <t>92000</t>
  </si>
  <si>
    <t>ELPOZO ALIMENTACION</t>
  </si>
  <si>
    <t>92039</t>
  </si>
  <si>
    <t>PLAISIR DE LIRE</t>
  </si>
  <si>
    <t>DESARROLLOS</t>
  </si>
  <si>
    <t>92041</t>
  </si>
  <si>
    <t>OTANTIC</t>
  </si>
  <si>
    <t>TEREOS FRANCE</t>
  </si>
  <si>
    <t>KIDS EUROSWAN SL</t>
  </si>
  <si>
    <t>92080</t>
  </si>
  <si>
    <t>CARTE NOIRE SAS</t>
  </si>
  <si>
    <t>92086</t>
  </si>
  <si>
    <t>CHATEAU ROUGE</t>
  </si>
  <si>
    <t>92092</t>
  </si>
  <si>
    <t>GEODIF EYROLLES 1</t>
  </si>
  <si>
    <t>ETS PIERRE QUIOC</t>
  </si>
  <si>
    <t>92157</t>
  </si>
  <si>
    <t>LABORATOIRES FILORGA</t>
  </si>
  <si>
    <t>92205</t>
  </si>
  <si>
    <t>ONEGUM FRANCE SAS</t>
  </si>
  <si>
    <t>EAUX SAINT GERON</t>
  </si>
  <si>
    <t>ARTEMBAL</t>
  </si>
  <si>
    <t>92242</t>
  </si>
  <si>
    <t>DPDO DISTRIBUTION</t>
  </si>
  <si>
    <t>VERGERS DE GASCOGNE</t>
  </si>
  <si>
    <t>92263</t>
  </si>
  <si>
    <t>BRASSERIE VANUXEEM</t>
  </si>
  <si>
    <t>PRODUCT CIA SL</t>
  </si>
  <si>
    <t>92277</t>
  </si>
  <si>
    <t>SARL TAGLAB</t>
  </si>
  <si>
    <t>92283</t>
  </si>
  <si>
    <t>BOCCARD DANIEL</t>
  </si>
  <si>
    <t>SOMANI TEXTIL SA</t>
  </si>
  <si>
    <t>ALLIT AG</t>
  </si>
  <si>
    <t>92353</t>
  </si>
  <si>
    <t>CED</t>
  </si>
  <si>
    <t>92366</t>
  </si>
  <si>
    <t>MAISON BRASSON</t>
  </si>
  <si>
    <t>92444</t>
  </si>
  <si>
    <t>JEAN PLA SELECTION</t>
  </si>
  <si>
    <t>92461</t>
  </si>
  <si>
    <t>DEL MONTE FRESH CUT</t>
  </si>
  <si>
    <t>STE YABON VERNEUIL</t>
  </si>
  <si>
    <t>92539</t>
  </si>
  <si>
    <t>SPIRIT FRANCE</t>
  </si>
  <si>
    <t>EURIAL FOOD SERVICE</t>
  </si>
  <si>
    <t>92588</t>
  </si>
  <si>
    <t>ROGER&amp;ROGER FRANCE</t>
  </si>
  <si>
    <t>MOOLENAAR BV</t>
  </si>
  <si>
    <t>VICAM TOYS SL</t>
  </si>
  <si>
    <t>92632</t>
  </si>
  <si>
    <t>CAP WINE PROVENCE</t>
  </si>
  <si>
    <t>92650</t>
  </si>
  <si>
    <t>LAITERIE REUNIE</t>
  </si>
  <si>
    <t>92670</t>
  </si>
  <si>
    <t>SAS BIOSYLVA</t>
  </si>
  <si>
    <t>92711</t>
  </si>
  <si>
    <t>MBBS DISTRIBUTION</t>
  </si>
  <si>
    <t>BRASSERIE LICORNE</t>
  </si>
  <si>
    <t>92833</t>
  </si>
  <si>
    <t>FERMIER DE KERVIHAN</t>
  </si>
  <si>
    <t>CREATIVE SEAFOOD FR</t>
  </si>
  <si>
    <t>GRUPO ERIK EDITORES</t>
  </si>
  <si>
    <t>BEELINE GMBH</t>
  </si>
  <si>
    <t>COMPAGNIE MADRANGE</t>
  </si>
  <si>
    <t>COMPAGNIE LAMPAULAIS</t>
  </si>
  <si>
    <t>COMPAGNIE MONTAGNE</t>
  </si>
  <si>
    <t>PASTACORP TRAITEUR</t>
  </si>
  <si>
    <t>92921</t>
  </si>
  <si>
    <t>DISTRI FROMAGES</t>
  </si>
  <si>
    <t>92925</t>
  </si>
  <si>
    <t>CHEZ CE CHER SERGE</t>
  </si>
  <si>
    <t>92926</t>
  </si>
  <si>
    <t>KINDY PROJECT SAS</t>
  </si>
  <si>
    <t>WILLIAM SAURIN</t>
  </si>
  <si>
    <t>92973</t>
  </si>
  <si>
    <t>PROMIS JURE SARL</t>
  </si>
  <si>
    <t>92988</t>
  </si>
  <si>
    <t>FABRICK A GATEAUX</t>
  </si>
  <si>
    <t>92995</t>
  </si>
  <si>
    <t>FRANCE MACARON</t>
  </si>
  <si>
    <t>93147</t>
  </si>
  <si>
    <t>GROUP-ALP</t>
  </si>
  <si>
    <t>93177</t>
  </si>
  <si>
    <t>SBP 1804.SAS</t>
  </si>
  <si>
    <t>93313</t>
  </si>
  <si>
    <t>BBB SAS</t>
  </si>
  <si>
    <t>SERRES DESRUMAUX</t>
  </si>
  <si>
    <t>93334</t>
  </si>
  <si>
    <t>LILY TOQUES SAS</t>
  </si>
  <si>
    <t>93348</t>
  </si>
  <si>
    <t>MONBOUSQUET</t>
  </si>
  <si>
    <t>93366</t>
  </si>
  <si>
    <t>POUTARD EARL</t>
  </si>
  <si>
    <t>START</t>
  </si>
  <si>
    <t>JMG S.R.L.</t>
  </si>
  <si>
    <t>MAGNOLIA SP Z00</t>
  </si>
  <si>
    <t>93423</t>
  </si>
  <si>
    <t>MUROISE ET COMPAGNIE</t>
  </si>
  <si>
    <t>MAISON MENISSEZ</t>
  </si>
  <si>
    <t>INNO ESSENTIALS</t>
  </si>
  <si>
    <t>93458</t>
  </si>
  <si>
    <t>LENOVO FRANCE SAS</t>
  </si>
  <si>
    <t>BICA SPA</t>
  </si>
  <si>
    <t>93485</t>
  </si>
  <si>
    <t>SARL T.I.R</t>
  </si>
  <si>
    <t>93510</t>
  </si>
  <si>
    <t>LEGRAND SAS</t>
  </si>
  <si>
    <t>93524</t>
  </si>
  <si>
    <t>CARAIBES</t>
  </si>
  <si>
    <t>93547</t>
  </si>
  <si>
    <t>SAVEURS DES MARAIS</t>
  </si>
  <si>
    <t>93551</t>
  </si>
  <si>
    <t>VERMERSCH STEPHANE</t>
  </si>
  <si>
    <t>93568</t>
  </si>
  <si>
    <t>RAIFALSA-ALELOR</t>
  </si>
  <si>
    <t>93569</t>
  </si>
  <si>
    <t>FRUITS DES WEPPES</t>
  </si>
  <si>
    <t>93578</t>
  </si>
  <si>
    <t>DES GABARIERS</t>
  </si>
  <si>
    <t>FROMAGERIE DE JUSSAC</t>
  </si>
  <si>
    <t>93624</t>
  </si>
  <si>
    <t>I DEAL</t>
  </si>
  <si>
    <t>POMUNI FROZEN NV</t>
  </si>
  <si>
    <t>LAMAISON ETS SCEA</t>
  </si>
  <si>
    <t>93654</t>
  </si>
  <si>
    <t>DELICES DE CLOBERT</t>
  </si>
  <si>
    <t>93661</t>
  </si>
  <si>
    <t>MEDOLIO</t>
  </si>
  <si>
    <t>SAUELS FRANCE EURL</t>
  </si>
  <si>
    <t>93683</t>
  </si>
  <si>
    <t>TARDIEU-LAURENT SARL</t>
  </si>
  <si>
    <t>93722</t>
  </si>
  <si>
    <t>OKINA SARL</t>
  </si>
  <si>
    <t>93726</t>
  </si>
  <si>
    <t>HTX SARL</t>
  </si>
  <si>
    <t>UNITED PETFOOD FR</t>
  </si>
  <si>
    <t>93857</t>
  </si>
  <si>
    <t>WAGRAM MUSIC SAS</t>
  </si>
  <si>
    <t>93862</t>
  </si>
  <si>
    <t>TISSAGE DU MOULIN</t>
  </si>
  <si>
    <t>93872</t>
  </si>
  <si>
    <t>PAUL SAPIN SA</t>
  </si>
  <si>
    <t>93898</t>
  </si>
  <si>
    <t>SALES SUCRES</t>
  </si>
  <si>
    <t>93907</t>
  </si>
  <si>
    <t>TRAITEUR DE PARIS</t>
  </si>
  <si>
    <t>MAN.FRANCAISE /CYCLE</t>
  </si>
  <si>
    <t>93917</t>
  </si>
  <si>
    <t>CRYSTAL INTERNATIO</t>
  </si>
  <si>
    <t>94017</t>
  </si>
  <si>
    <t>REGIME DUKAN SAS</t>
  </si>
  <si>
    <t>94021</t>
  </si>
  <si>
    <t>BRAND LOYALTY FRANCE</t>
  </si>
  <si>
    <t>94027</t>
  </si>
  <si>
    <t>FROMAGES DU SALAGOU</t>
  </si>
  <si>
    <t>94065</t>
  </si>
  <si>
    <t>CHARCUTERIE FLANDRES</t>
  </si>
  <si>
    <t>AVI CHARENTE</t>
  </si>
  <si>
    <t>NOORDZEE INT BV</t>
  </si>
  <si>
    <t>94088</t>
  </si>
  <si>
    <t>EUROPE DES PAINS</t>
  </si>
  <si>
    <t>94090</t>
  </si>
  <si>
    <t>LABORATOIRE SUPER</t>
  </si>
  <si>
    <t>94135</t>
  </si>
  <si>
    <t>VIGNOBLES LURTON</t>
  </si>
  <si>
    <t>DULFRANCE</t>
  </si>
  <si>
    <t>94166</t>
  </si>
  <si>
    <t>PRESTIGE DE LA SARTH</t>
  </si>
  <si>
    <t>ARIX SPA</t>
  </si>
  <si>
    <t>SAS ACTIV MEDICAL</t>
  </si>
  <si>
    <t>94297</t>
  </si>
  <si>
    <t>SAS LUBRANO</t>
  </si>
  <si>
    <t>94312</t>
  </si>
  <si>
    <t>BRASSERIE FLAMAND</t>
  </si>
  <si>
    <t>LEGENDA FASHION SL</t>
  </si>
  <si>
    <t>94341</t>
  </si>
  <si>
    <t>PLUS 33 IMPORT EXPOR</t>
  </si>
  <si>
    <t>94347</t>
  </si>
  <si>
    <t>SARAYA EUROPE</t>
  </si>
  <si>
    <t>94372</t>
  </si>
  <si>
    <t>PACIFIC WEST FOOD</t>
  </si>
  <si>
    <t>94374</t>
  </si>
  <si>
    <t>GP DISTRIBUTION</t>
  </si>
  <si>
    <t>MYDIBEL BELGIQUE</t>
  </si>
  <si>
    <t>94426</t>
  </si>
  <si>
    <t>FLO EUROPE SAS</t>
  </si>
  <si>
    <t>94495</t>
  </si>
  <si>
    <t>CHOCOLATREE SAS</t>
  </si>
  <si>
    <t>ALBA SRL</t>
  </si>
  <si>
    <t>CDPO SAS</t>
  </si>
  <si>
    <t>ITALTRADE SRL</t>
  </si>
  <si>
    <t>94575</t>
  </si>
  <si>
    <t>CHUQUES DU NORD SARL</t>
  </si>
  <si>
    <t>MELITTA EUROPA GMB</t>
  </si>
  <si>
    <t>GL SA</t>
  </si>
  <si>
    <t>TCP FRANCE SASU</t>
  </si>
  <si>
    <t>94619</t>
  </si>
  <si>
    <t>LES CAFES GAILLARD</t>
  </si>
  <si>
    <t>PPH WADER WOZNIAK</t>
  </si>
  <si>
    <t>94755</t>
  </si>
  <si>
    <t>SAM DPA EUROPE</t>
  </si>
  <si>
    <t>94761</t>
  </si>
  <si>
    <t>FROMAGERIE DE BLAMON</t>
  </si>
  <si>
    <t>94776</t>
  </si>
  <si>
    <t>AGROPARISTECH</t>
  </si>
  <si>
    <t>CHARLIER-BRABO GROUP</t>
  </si>
  <si>
    <t>DISTRI</t>
  </si>
  <si>
    <t>PLASTICA ALTO SELE</t>
  </si>
  <si>
    <t>94810</t>
  </si>
  <si>
    <t>OL SASU</t>
  </si>
  <si>
    <t>94819</t>
  </si>
  <si>
    <t>SUNSTAR FRANCE</t>
  </si>
  <si>
    <t>HAMIPLANT BV</t>
  </si>
  <si>
    <t>94866</t>
  </si>
  <si>
    <t>SAS TERRA VECCHIA</t>
  </si>
  <si>
    <t>94876</t>
  </si>
  <si>
    <t>SARL PORS BODIOU</t>
  </si>
  <si>
    <t>AMY S KITCHEN</t>
  </si>
  <si>
    <t>94884</t>
  </si>
  <si>
    <t>COMAPA 2001 SA</t>
  </si>
  <si>
    <t>ALJUAN HEGA SL</t>
  </si>
  <si>
    <t>FRESHPACK SAS</t>
  </si>
  <si>
    <t>94976</t>
  </si>
  <si>
    <t>BRIOIS</t>
  </si>
  <si>
    <t>94986</t>
  </si>
  <si>
    <t>KODAK ALARIS</t>
  </si>
  <si>
    <t>94988</t>
  </si>
  <si>
    <t>VIDAL FRANCE SAS</t>
  </si>
  <si>
    <t>95011</t>
  </si>
  <si>
    <t>ANTESITE NOIROT SAS</t>
  </si>
  <si>
    <t>95044</t>
  </si>
  <si>
    <t>LA PLACE DES HEROS</t>
  </si>
  <si>
    <t>95047</t>
  </si>
  <si>
    <t>SARL VALLAT</t>
  </si>
  <si>
    <t>ROYAL GREENLAND</t>
  </si>
  <si>
    <t>EL DE CALDES</t>
  </si>
  <si>
    <t>FROMAGERIE LESCURE</t>
  </si>
  <si>
    <t>95077</t>
  </si>
  <si>
    <t>3 M BRICOLAGE</t>
  </si>
  <si>
    <t>KLANA ITALIA SRL</t>
  </si>
  <si>
    <t>95120</t>
  </si>
  <si>
    <t>GROUPE PIERRE HENRY</t>
  </si>
  <si>
    <t>SAS ODNV</t>
  </si>
  <si>
    <t>95137</t>
  </si>
  <si>
    <t>MAM BABY FRANCE</t>
  </si>
  <si>
    <t>95139</t>
  </si>
  <si>
    <t>BAYER HEALTHCARE</t>
  </si>
  <si>
    <t>95143</t>
  </si>
  <si>
    <t>LAFUMA MOBILIER</t>
  </si>
  <si>
    <t>95160</t>
  </si>
  <si>
    <t>SUNNY DELIGHT</t>
  </si>
  <si>
    <t>CATWALK 669 SL</t>
  </si>
  <si>
    <t>95224</t>
  </si>
  <si>
    <t>NOVIAL</t>
  </si>
  <si>
    <t>95252</t>
  </si>
  <si>
    <t>SILK DESCANSO SL</t>
  </si>
  <si>
    <t>95288</t>
  </si>
  <si>
    <t>HIJOS DE SALVADOR</t>
  </si>
  <si>
    <t>95301</t>
  </si>
  <si>
    <t>LES VIANDES FERMIERE</t>
  </si>
  <si>
    <t>ZP ALEXANDER</t>
  </si>
  <si>
    <t>95336</t>
  </si>
  <si>
    <t>LES TROIS ABEILLES</t>
  </si>
  <si>
    <t>DEUERER PETCARE</t>
  </si>
  <si>
    <t>95343</t>
  </si>
  <si>
    <t>SARL RIBOT ERIC</t>
  </si>
  <si>
    <t>95349</t>
  </si>
  <si>
    <t>HUITRES GEAY</t>
  </si>
  <si>
    <t>95367</t>
  </si>
  <si>
    <t>IL ETAIT UN FRUIT</t>
  </si>
  <si>
    <t>95372</t>
  </si>
  <si>
    <t>IN TERROIRS VERITAS</t>
  </si>
  <si>
    <t>95437</t>
  </si>
  <si>
    <t>OPTIMA SAS</t>
  </si>
  <si>
    <t>95445</t>
  </si>
  <si>
    <t>COMPAC FRANCE</t>
  </si>
  <si>
    <t>95469</t>
  </si>
  <si>
    <t>SAS BLAVET</t>
  </si>
  <si>
    <t>ALPHAITALIA SPA</t>
  </si>
  <si>
    <t>FROMAGERIE MULIN</t>
  </si>
  <si>
    <t>KIDS II EUROPE</t>
  </si>
  <si>
    <t>95572</t>
  </si>
  <si>
    <t>GAROFALO FRANCE</t>
  </si>
  <si>
    <t>SILL SAS</t>
  </si>
  <si>
    <t>95637</t>
  </si>
  <si>
    <t>PRANINTER INTERNATIO</t>
  </si>
  <si>
    <t>ARTE MORHUA SA</t>
  </si>
  <si>
    <t>FRAIS DEVANT</t>
  </si>
  <si>
    <t>95682</t>
  </si>
  <si>
    <t>LUMILEDS FRANCE</t>
  </si>
  <si>
    <t>GLOBO SPA</t>
  </si>
  <si>
    <t>LECHEF</t>
  </si>
  <si>
    <t>95742</t>
  </si>
  <si>
    <t>SOPRAUVERGNE</t>
  </si>
  <si>
    <t>95771</t>
  </si>
  <si>
    <t>SAS INNO VO</t>
  </si>
  <si>
    <t>CAP OCEAN</t>
  </si>
  <si>
    <t>95778</t>
  </si>
  <si>
    <t>JDE FR SAS</t>
  </si>
  <si>
    <t>95779</t>
  </si>
  <si>
    <t>MONDELEZ FRANCE SAS</t>
  </si>
  <si>
    <t>95796</t>
  </si>
  <si>
    <t>GALLER INT FRANCE</t>
  </si>
  <si>
    <t>TURRONES J GARRIGOS</t>
  </si>
  <si>
    <t>95825</t>
  </si>
  <si>
    <t>OROMAS SA</t>
  </si>
  <si>
    <t>SCHNEIDER FOOD</t>
  </si>
  <si>
    <t>TOIM SL</t>
  </si>
  <si>
    <t>95872</t>
  </si>
  <si>
    <t>ENERGIZER FRANCE</t>
  </si>
  <si>
    <t>MOULINS DE CHERISY</t>
  </si>
  <si>
    <t>95980</t>
  </si>
  <si>
    <t>SAS JEANNETTE 1850</t>
  </si>
  <si>
    <t>95993</t>
  </si>
  <si>
    <t>VIGNES ET GASTRONOMI</t>
  </si>
  <si>
    <t>NAIVE FOOD</t>
  </si>
  <si>
    <t>SPICE AND FOOD</t>
  </si>
  <si>
    <t>GREENYARD BELGIUM</t>
  </si>
  <si>
    <t>96181</t>
  </si>
  <si>
    <t>KER RONAN</t>
  </si>
  <si>
    <t>96274</t>
  </si>
  <si>
    <t>SARL CHALLENGE</t>
  </si>
  <si>
    <t>SAS ASSEMAN-DEPREZ</t>
  </si>
  <si>
    <t>SOPORTES PLASTICOS</t>
  </si>
  <si>
    <t>96331</t>
  </si>
  <si>
    <t>CLM DIFFUSION</t>
  </si>
  <si>
    <t>96354</t>
  </si>
  <si>
    <t>SOREAL ILOU</t>
  </si>
  <si>
    <t>GPV FRANCE</t>
  </si>
  <si>
    <t>96508</t>
  </si>
  <si>
    <t>BASTIDARRA</t>
  </si>
  <si>
    <t>96797</t>
  </si>
  <si>
    <t>LATITUDE VINS</t>
  </si>
  <si>
    <t>SPHERE ESPANA</t>
  </si>
  <si>
    <t>96833</t>
  </si>
  <si>
    <t>TIELLES DASSE</t>
  </si>
  <si>
    <t>96842</t>
  </si>
  <si>
    <t>POIL A GRATTER SAS</t>
  </si>
  <si>
    <t>96847</t>
  </si>
  <si>
    <t>BEAUTIFUL BRANDS</t>
  </si>
  <si>
    <t>MC CAIN FOODS EUROPE</t>
  </si>
  <si>
    <t>96899</t>
  </si>
  <si>
    <t>BRASSERIE DE VEZELAY</t>
  </si>
  <si>
    <t>VIORCAM VINYOLS</t>
  </si>
  <si>
    <t>LOTRONIC</t>
  </si>
  <si>
    <t>97002</t>
  </si>
  <si>
    <t>VIGNOBLES RAMBIER</t>
  </si>
  <si>
    <t>MECANHOR SARL</t>
  </si>
  <si>
    <t>97109</t>
  </si>
  <si>
    <t>L'ATELIER DE GUSTAVE</t>
  </si>
  <si>
    <t>SOURCES ALMA FACTURA</t>
  </si>
  <si>
    <t>97288</t>
  </si>
  <si>
    <t>VIGNOBLES DE LAROSE</t>
  </si>
  <si>
    <t>INITIA FOOD</t>
  </si>
  <si>
    <t>97358</t>
  </si>
  <si>
    <t>LA QUINTESSENCE</t>
  </si>
  <si>
    <t>97418</t>
  </si>
  <si>
    <t>BIOFUTURE</t>
  </si>
  <si>
    <t>GALLO SA</t>
  </si>
  <si>
    <t>97533</t>
  </si>
  <si>
    <t>CITOYENS DU MONDE</t>
  </si>
  <si>
    <t>97571</t>
  </si>
  <si>
    <t>SALAISONS DU TERROIR</t>
  </si>
  <si>
    <t>97578</t>
  </si>
  <si>
    <t>HERITIERS LABRUYERE</t>
  </si>
  <si>
    <t>97595</t>
  </si>
  <si>
    <t>ADRIEN VACHER</t>
  </si>
  <si>
    <t>FRUVECO</t>
  </si>
  <si>
    <t>MAG'M</t>
  </si>
  <si>
    <t>97653</t>
  </si>
  <si>
    <t>ARELANE</t>
  </si>
  <si>
    <t>AGRISTO</t>
  </si>
  <si>
    <t>97710</t>
  </si>
  <si>
    <t>PIERRE JEAN LARRAQUE</t>
  </si>
  <si>
    <t>97732</t>
  </si>
  <si>
    <t>AUTOUR BUIS CABASSES</t>
  </si>
  <si>
    <t>97734</t>
  </si>
  <si>
    <t>SELLNER SCHOOL OFFIC</t>
  </si>
  <si>
    <t>97736</t>
  </si>
  <si>
    <t>NWL FRANCE SAS</t>
  </si>
  <si>
    <t>ICE CREAM FF</t>
  </si>
  <si>
    <t>97780</t>
  </si>
  <si>
    <t>GAEC DU LATHAN</t>
  </si>
  <si>
    <t>FRIT RAVICH</t>
  </si>
  <si>
    <t>NS DISTRIBUTION</t>
  </si>
  <si>
    <t>97840</t>
  </si>
  <si>
    <t>TERRINES DU MORVAN</t>
  </si>
  <si>
    <t>CAPG</t>
  </si>
  <si>
    <t>97859</t>
  </si>
  <si>
    <t>NATRA CHOCOLATE INT.</t>
  </si>
  <si>
    <t>97896</t>
  </si>
  <si>
    <t>PNJ SARL</t>
  </si>
  <si>
    <t>CABOMAR CONGELADOS</t>
  </si>
  <si>
    <t>ASTRA SWEETS NV</t>
  </si>
  <si>
    <t>97949</t>
  </si>
  <si>
    <t>BISCUIT BOURGEOIS</t>
  </si>
  <si>
    <t>98006</t>
  </si>
  <si>
    <t>SANCHEZ GUY</t>
  </si>
  <si>
    <t>LUCART SAS</t>
  </si>
  <si>
    <t>98014</t>
  </si>
  <si>
    <t>VIGNERONS ET TERROIR</t>
  </si>
  <si>
    <t>98017</t>
  </si>
  <si>
    <t>MATCHPOINT</t>
  </si>
  <si>
    <t>VALDIGRANO DI FLAVIO</t>
  </si>
  <si>
    <t>98156</t>
  </si>
  <si>
    <t>TOUPNOT SA</t>
  </si>
  <si>
    <t>98304</t>
  </si>
  <si>
    <t>EST FRITURE</t>
  </si>
  <si>
    <t>SEPTONA</t>
  </si>
  <si>
    <t>TONTARELLI LUXEMBOUR</t>
  </si>
  <si>
    <t>98427</t>
  </si>
  <si>
    <t>HOZELOCK EXEL</t>
  </si>
  <si>
    <t>98446</t>
  </si>
  <si>
    <t>GOUTERS MAGIQUES</t>
  </si>
  <si>
    <t>BG SAS</t>
  </si>
  <si>
    <t>98490</t>
  </si>
  <si>
    <t>CONFISERIE VAN DAMME</t>
  </si>
  <si>
    <t>URGO LABORATOIRE</t>
  </si>
  <si>
    <t>98508</t>
  </si>
  <si>
    <t>SOUA SOUA SARL</t>
  </si>
  <si>
    <t>SPECIALITA ITALO</t>
  </si>
  <si>
    <t>SA COOK INOV</t>
  </si>
  <si>
    <t>PLASTMECCANICA</t>
  </si>
  <si>
    <t>VITRINOR VITRIFICADO</t>
  </si>
  <si>
    <t>CAFE LIEGEOIS SA</t>
  </si>
  <si>
    <t>DODO SAS</t>
  </si>
  <si>
    <t>98649</t>
  </si>
  <si>
    <t>KELLYDELI</t>
  </si>
  <si>
    <t>98656</t>
  </si>
  <si>
    <t>JEUNE MONTAGNE</t>
  </si>
  <si>
    <t>PRUNIDOR SAS</t>
  </si>
  <si>
    <t>DELIDESS</t>
  </si>
  <si>
    <t>98677</t>
  </si>
  <si>
    <t>CHARCUTERIE DES DRUI</t>
  </si>
  <si>
    <t>98690</t>
  </si>
  <si>
    <t>BARILLA FRANCE SAS</t>
  </si>
  <si>
    <t xml:space="preserve">HASBRO EUROPEAN </t>
  </si>
  <si>
    <t>98715</t>
  </si>
  <si>
    <t>PARIS STORE DISTRIB</t>
  </si>
  <si>
    <t>MARIE SURGELES</t>
  </si>
  <si>
    <t>DE FONBELLE</t>
  </si>
  <si>
    <t>YOKO CHEESE NV</t>
  </si>
  <si>
    <t>ABEIL SAS</t>
  </si>
  <si>
    <t>JOVI</t>
  </si>
  <si>
    <t>98958</t>
  </si>
  <si>
    <t>LAITERIE DU CLIMONT</t>
  </si>
  <si>
    <t>98975</t>
  </si>
  <si>
    <t>ROCHES BLANCHES</t>
  </si>
  <si>
    <t>98976</t>
  </si>
  <si>
    <t>GRUPO EMPRESARIAL</t>
  </si>
  <si>
    <t>FRUMESA SL</t>
  </si>
  <si>
    <t>LA SABLESIENNE SA</t>
  </si>
  <si>
    <t>99051</t>
  </si>
  <si>
    <t>NATESCIENCE</t>
  </si>
  <si>
    <t>YKOU SPRL</t>
  </si>
  <si>
    <t>99068</t>
  </si>
  <si>
    <t>PVI</t>
  </si>
  <si>
    <t>99077</t>
  </si>
  <si>
    <t>MULTIPASS</t>
  </si>
  <si>
    <t>99084</t>
  </si>
  <si>
    <t>ROVAGNATI FRANCE</t>
  </si>
  <si>
    <t>SZATMARI KONZERVGYAR</t>
  </si>
  <si>
    <t>JUS DE FRUITS ALSACE</t>
  </si>
  <si>
    <t>CALZIFICIO FAP</t>
  </si>
  <si>
    <t>SAS NV</t>
  </si>
  <si>
    <t>99406</t>
  </si>
  <si>
    <t>GROUPE FRUCTA PARTNE</t>
  </si>
  <si>
    <t>99408</t>
  </si>
  <si>
    <t>LE VIEUX CHENE</t>
  </si>
  <si>
    <t>LE NAPPAGE</t>
  </si>
  <si>
    <t>AGARIS FRANCE</t>
  </si>
  <si>
    <t>99656</t>
  </si>
  <si>
    <t>BRISSON CHARCUTIER</t>
  </si>
  <si>
    <t>99693</t>
  </si>
  <si>
    <t>TECH DATA FRANCE</t>
  </si>
  <si>
    <t>SOCOPA VIANDES</t>
  </si>
  <si>
    <t>99801</t>
  </si>
  <si>
    <t>GRANDES SIGNATURE</t>
  </si>
  <si>
    <t>SODEL</t>
  </si>
  <si>
    <t>CHACON</t>
  </si>
  <si>
    <t>COMMERCE SERVICE</t>
  </si>
  <si>
    <t>C2J EVOLUDERM</t>
  </si>
  <si>
    <t>OONI GMBH</t>
  </si>
  <si>
    <t>MOBILITY</t>
  </si>
  <si>
    <t>MADISON BV</t>
  </si>
  <si>
    <t>MICRO STAR INTERN.</t>
  </si>
  <si>
    <t>CADOOZ REWARDS GMBH</t>
  </si>
  <si>
    <t>IMPEX SERVICE GMBH</t>
  </si>
  <si>
    <t>NETDISTRICT SA</t>
  </si>
  <si>
    <t>VENTUM GMBH</t>
  </si>
  <si>
    <t>KAPIMEX</t>
  </si>
  <si>
    <t>CARREFOUR SAV NATIONAL</t>
  </si>
  <si>
    <t>TESA</t>
  </si>
  <si>
    <t>SP BRAMLI SAS</t>
  </si>
  <si>
    <t>CHRIS FRANCE PLASTIQUE</t>
  </si>
  <si>
    <t>INDUSTRIES SOSTENIBLES KARIBOU</t>
  </si>
  <si>
    <t>PROMECO</t>
  </si>
  <si>
    <t>STELMET SA</t>
  </si>
  <si>
    <t>STEFANPLAST SRL</t>
  </si>
  <si>
    <t>BREVI MILANO S P A</t>
  </si>
  <si>
    <t>PENGO S.P.A.</t>
  </si>
  <si>
    <t>BRABANTIA INTERNATIONAL B.V.</t>
  </si>
  <si>
    <t>JUS DE MARMANDE</t>
  </si>
  <si>
    <t>FRIAS NUTRITION SA</t>
  </si>
  <si>
    <t>FORCE BIO SARL</t>
  </si>
  <si>
    <t>ELIXIR SAVEURS SOLID</t>
  </si>
  <si>
    <t>PLASTICAEN STE NOUVELLE</t>
  </si>
  <si>
    <t>LINPAC PACKAGING PONTIVY</t>
  </si>
  <si>
    <t>HUHTAMAKI FOODSERVICE FRANCE</t>
  </si>
  <si>
    <t>DEFIMEX</t>
  </si>
  <si>
    <t>DAUJAS JEAN SA</t>
  </si>
  <si>
    <t>MAINETTI BAGS SRL</t>
  </si>
  <si>
    <t>KISS DEUTSCHLAND GMBH</t>
  </si>
  <si>
    <t>DISENO Y FANTASIA</t>
  </si>
  <si>
    <t>NEGOCE VIRTUEL</t>
  </si>
  <si>
    <t>NAUDET FRERES SA</t>
  </si>
  <si>
    <t>MOURGUES FRUITS SA</t>
  </si>
  <si>
    <t>GROSCHE PATRICKLES SAPINS DU MORVAN</t>
  </si>
  <si>
    <t>ETS DIGONNET ET FILS</t>
  </si>
  <si>
    <t>FLOVAL</t>
  </si>
  <si>
    <t>JC ROUX PRODUCTEUR SAPIN</t>
  </si>
  <si>
    <t>EARL ROUXEL</t>
  </si>
  <si>
    <t>EARL PEPINIERE GRANGE</t>
  </si>
  <si>
    <t>LANCIAUX ARNAUD</t>
  </si>
  <si>
    <t>PEPINIERES J.C. BONORON</t>
  </si>
  <si>
    <t>SARL MAUNY</t>
  </si>
  <si>
    <t>FRANSAPINS PRODUC.CREUSOIS SARL</t>
  </si>
  <si>
    <t>AUX AIGUILLES DU MORVAN</t>
  </si>
  <si>
    <t>MME SERRUT CLAUDE</t>
  </si>
  <si>
    <t>GIE TRUTT SAPIN DE NOEL</t>
  </si>
  <si>
    <t>PRODUCTEURS DU LITTORAL</t>
  </si>
  <si>
    <t>NAVE PHILIPPE ET FILS EARL</t>
  </si>
  <si>
    <t>RAYNAL ET ROQUELAURE SA</t>
  </si>
  <si>
    <t>DELPEYRAT</t>
  </si>
  <si>
    <t>BISCUIT HAFNER</t>
  </si>
  <si>
    <t>CARTAMUNDI FRANCE</t>
  </si>
  <si>
    <t>BARBELENET JEAN</t>
  </si>
  <si>
    <t>SARL ATOUT PLANTS</t>
  </si>
  <si>
    <t>EUROPEENNE DE CONDIMENTS SA</t>
  </si>
  <si>
    <t>CURTI SRLCURTIRISO</t>
  </si>
  <si>
    <t>ANTARGAZ</t>
  </si>
  <si>
    <t>DELMOND FOIES GRAS</t>
  </si>
  <si>
    <t>LSFB</t>
  </si>
  <si>
    <t>CONFITURERIE CONFISERIE ANDRESY</t>
  </si>
  <si>
    <t>CELTARMOR</t>
  </si>
  <si>
    <t>CONSERVERIE CHANCERELLE</t>
  </si>
  <si>
    <t>UNIPLANEZE</t>
  </si>
  <si>
    <t>ROCHEBILLARD BLEINSALAISONS</t>
  </si>
  <si>
    <t>AXIANE MEUNERIE</t>
  </si>
  <si>
    <t>AMAND-BIANIC SAS</t>
  </si>
  <si>
    <t>OLGA</t>
  </si>
  <si>
    <t>INTERGREEN BV</t>
  </si>
  <si>
    <t>CUPERLY CHAMPAGNE</t>
  </si>
  <si>
    <t>JACQUART &amp; ASSOCIES DISTRIBUTION</t>
  </si>
  <si>
    <t>LAITERIE DE ST DENIS</t>
  </si>
  <si>
    <t>PRESSADE</t>
  </si>
  <si>
    <t>SN NIVERNOY</t>
  </si>
  <si>
    <t>DIPA</t>
  </si>
  <si>
    <t>MERALLIANCE SAS</t>
  </si>
  <si>
    <t>OLDTRADING LDA</t>
  </si>
  <si>
    <t>JMA FRANCE</t>
  </si>
  <si>
    <t>FRONERI FRANCE SAS</t>
  </si>
  <si>
    <t>SIPA INTERNATIONAL SRL</t>
  </si>
  <si>
    <t>SOCOMAILLE</t>
  </si>
  <si>
    <t>FLEURY MICHON LS</t>
  </si>
  <si>
    <t>ADS FRANCE</t>
  </si>
  <si>
    <t>HALIEUTIS S.A.</t>
  </si>
  <si>
    <t>COROOS CONSERVEN BV</t>
  </si>
  <si>
    <t>ALDINO SRL</t>
  </si>
  <si>
    <t>CSR SA</t>
  </si>
  <si>
    <t>DELABLI SAS</t>
  </si>
  <si>
    <t>MINOTERIES DU CHATEAU SAS</t>
  </si>
  <si>
    <t>VARENNE GASTRONOMIE</t>
  </si>
  <si>
    <t>MONTERRAT ROLAND SAS</t>
  </si>
  <si>
    <t>BOULANGERIE NEUHAUSER SA</t>
  </si>
  <si>
    <t>PETERSCHMITT MOULIN</t>
  </si>
  <si>
    <t>ESTAGER MINOTERIE</t>
  </si>
  <si>
    <t>ROCHES BLANCHES SA</t>
  </si>
  <si>
    <t>TEXCIL SARL</t>
  </si>
  <si>
    <t>PERE OLIVE</t>
  </si>
  <si>
    <t>TIPIAK TRAITEUR PATISSIER SAS</t>
  </si>
  <si>
    <t>LACTEL SNC</t>
  </si>
  <si>
    <t>BISCUITERIE YANNICK SA</t>
  </si>
  <si>
    <t>BRETAGNE LAPINS SA</t>
  </si>
  <si>
    <t>LABONAL</t>
  </si>
  <si>
    <t>CHAMPAGNE GH MARTEL ET CIE</t>
  </si>
  <si>
    <t>COOP.REGIONALE VINS DE CHAMPAGNE</t>
  </si>
  <si>
    <t>LEMAHIEU</t>
  </si>
  <si>
    <t>C.V. PLAINEMAISON FRANCIS SA</t>
  </si>
  <si>
    <t>MOULINS SOUFFLET SA</t>
  </si>
  <si>
    <t>FAISSOLE BISCOTTES SA</t>
  </si>
  <si>
    <t>5EME SAISON MACON</t>
  </si>
  <si>
    <t>IFFCO ITALIA SRL</t>
  </si>
  <si>
    <t>WESTFRO</t>
  </si>
  <si>
    <t>SOCORIZ SA</t>
  </si>
  <si>
    <t>LA COMPAGNIE APICOLE</t>
  </si>
  <si>
    <t>GARDET &amp; CIE  CHAMPAGNES.G.C.C</t>
  </si>
  <si>
    <t>DE CLEMENTE CONSERVE</t>
  </si>
  <si>
    <t>LEMOINE FRANCE SAS</t>
  </si>
  <si>
    <t>PAYS D'ARAMITS (FROMAGERIE DU)SA</t>
  </si>
  <si>
    <t>UNIPAPEL SLU</t>
  </si>
  <si>
    <t>LA COMPAGNIE DES PALMES</t>
  </si>
  <si>
    <t>LOGEROT DISTRIBUTION SARL</t>
  </si>
  <si>
    <t>RONDINAUD</t>
  </si>
  <si>
    <t>OPALE PLANTES SARL</t>
  </si>
  <si>
    <t>JARDIN DE VIE</t>
  </si>
  <si>
    <t>SARL HOUDEVILLE DIFFUSION</t>
  </si>
  <si>
    <t>SARL HORTICULTURE DES PETIT BOIS</t>
  </si>
  <si>
    <t>LES SERRES D'HESDIGNEUL</t>
  </si>
  <si>
    <t>HORTILOR</t>
  </si>
  <si>
    <t>MOULINS DUMEE</t>
  </si>
  <si>
    <t>THALASSINA</t>
  </si>
  <si>
    <t>KEPAK GROUP</t>
  </si>
  <si>
    <t>PERLE FINE LA EARL</t>
  </si>
  <si>
    <t>BEVIMO</t>
  </si>
  <si>
    <t>CHAPIN JEAN ETS SA</t>
  </si>
  <si>
    <t>SODEM SICA</t>
  </si>
  <si>
    <t>BICHON GL SAS</t>
  </si>
  <si>
    <t>SCA LES BERGERS DU NORD ESTL'AGNEAU D'OR</t>
  </si>
  <si>
    <t>BIGARD DISTRIBUTION SA</t>
  </si>
  <si>
    <t>LEVESQUES UNION FRANCE LIMOUSIN</t>
  </si>
  <si>
    <t>VIOL FRERES S.A.</t>
  </si>
  <si>
    <t>MEDITHAU</t>
  </si>
  <si>
    <t>MAREDOC</t>
  </si>
  <si>
    <t>PISCICULTURE DE BRETAGNEPISCICULTURES DE BRETAGNE</t>
  </si>
  <si>
    <t>AQUADIS NATURELLEMENT SAS</t>
  </si>
  <si>
    <t>BOULOGNE SEAFOOD</t>
  </si>
  <si>
    <t>ARTESIENNE DE MINOTERIE</t>
  </si>
  <si>
    <t>RONSARD SA</t>
  </si>
  <si>
    <t>RENAUD</t>
  </si>
  <si>
    <t>LOU TRAITEUR</t>
  </si>
  <si>
    <t>SARL CREA</t>
  </si>
  <si>
    <t>TEXTIL ANTONIO FALCAO SA</t>
  </si>
  <si>
    <t>MARCON</t>
  </si>
  <si>
    <t>MOULINS DU NORD ET PICARDIE (LES</t>
  </si>
  <si>
    <t>SERRES VANNOISES SA</t>
  </si>
  <si>
    <t>HEBERT HORTICULTURE</t>
  </si>
  <si>
    <t>EDELMAN GREEN BV</t>
  </si>
  <si>
    <t>CARFUEL</t>
  </si>
  <si>
    <t>CARREFOUR FRANCE SAS</t>
  </si>
  <si>
    <t>DOCONE</t>
  </si>
  <si>
    <t>ETABLISSEMENTS NARBONI</t>
  </si>
  <si>
    <t>CARMA SACARREFOUR ASSURANCES</t>
  </si>
  <si>
    <t>GRANDE MINOTERIE DE LA SAVE</t>
  </si>
  <si>
    <t>ARMORIQUE PECHERIES (D') SA</t>
  </si>
  <si>
    <t>KERMAREE SARL</t>
  </si>
  <si>
    <t>MONBRUN SARL</t>
  </si>
  <si>
    <t>BERTHELOT</t>
  </si>
  <si>
    <t>MYTILEA</t>
  </si>
  <si>
    <t>SFR</t>
  </si>
  <si>
    <t>ATM PETFOOD</t>
  </si>
  <si>
    <t>RANIR SAS</t>
  </si>
  <si>
    <t>CARREFOUR IMPORT SAS</t>
  </si>
  <si>
    <t>NORDEX FOOD A S</t>
  </si>
  <si>
    <t>FUSHIMA S.L.</t>
  </si>
  <si>
    <t>ROYAL SANDERS BVBA</t>
  </si>
  <si>
    <t>GROUPE ROCHER OPERATIONS</t>
  </si>
  <si>
    <t>HYDRA BEAUTY &amp; CLEAN</t>
  </si>
  <si>
    <t>EDGEWELL PERSONAL CARE</t>
  </si>
  <si>
    <t>RIVERBELL COMPAGNY SL</t>
  </si>
  <si>
    <t>LEMOINE HOLLAND B.V</t>
  </si>
  <si>
    <t>PROCELI EUROPE SL</t>
  </si>
  <si>
    <t>BISQUIVA GMBH CO KG</t>
  </si>
  <si>
    <t>MATERNE SAS</t>
  </si>
  <si>
    <t>EURL PRODUITS DE LA CIGOGNE</t>
  </si>
  <si>
    <t>SAS CHAMPAGNE MALARD</t>
  </si>
  <si>
    <t>STERILGARDA</t>
  </si>
  <si>
    <t>SIMOS MEDITERRANEAN FOOD</t>
  </si>
  <si>
    <t>PETIT PIERRE SAS</t>
  </si>
  <si>
    <t>SAS ARC FOOD FRANCE</t>
  </si>
  <si>
    <t>BCM UK LTD</t>
  </si>
  <si>
    <t>DERMOFARM</t>
  </si>
  <si>
    <t>COMPAGNIE PAUL PREDAULT</t>
  </si>
  <si>
    <t>VITAL CONVENIENCE GMBH</t>
  </si>
  <si>
    <t>SALICA INDUSTRIA ALIMENTARIA</t>
  </si>
  <si>
    <t>CAP CAVALLY SARL</t>
  </si>
  <si>
    <t>NAPIOT FROMAGERIE SOC EXPLOIT</t>
  </si>
  <si>
    <t>IRECO TRADING &amp; PRODUCTION S.A.</t>
  </si>
  <si>
    <t>DESOBRY FRANCE SARL</t>
  </si>
  <si>
    <t>MATHEZ CHOCOLAT SAS</t>
  </si>
  <si>
    <t>MIELS CENTRE VAL DE LOIRE</t>
  </si>
  <si>
    <t>MEDITERRANEA PRODUCTOS LIMPIEZA</t>
  </si>
  <si>
    <t>POURET MARTIN</t>
  </si>
  <si>
    <t>GLACIO FRANCE</t>
  </si>
  <si>
    <t>ALBERTO DE MIGUEL SA</t>
  </si>
  <si>
    <t>BELLA VIA</t>
  </si>
  <si>
    <t>OKECHAMP B V</t>
  </si>
  <si>
    <t>PRODUCTOS SOLUBLES SA</t>
  </si>
  <si>
    <t>DRYLOCK TECHNOLOGIES SRO</t>
  </si>
  <si>
    <t>ACEITES MAEVA</t>
  </si>
  <si>
    <t>MARTINEZ CHOCOLADE</t>
  </si>
  <si>
    <t>ERRIGAL FISH LTD</t>
  </si>
  <si>
    <t>RUF LEBENSMITTELWERK KG</t>
  </si>
  <si>
    <t>GEORGELIN CONFISERIE SA</t>
  </si>
  <si>
    <t>NARAYAN D O O</t>
  </si>
  <si>
    <t>FUDE SERRAHN MILCHPRODUKTE</t>
  </si>
  <si>
    <t>KFRANCE</t>
  </si>
  <si>
    <t>SPIRELLA FRANCE</t>
  </si>
  <si>
    <t>OURY ELIE</t>
  </si>
  <si>
    <t>CARTIERE CARRARA SPA</t>
  </si>
  <si>
    <t>NORMANSRL</t>
  </si>
  <si>
    <t>CARREFOUR BELGIUM</t>
  </si>
  <si>
    <t>SODEPAC</t>
  </si>
  <si>
    <t>DFC SARL</t>
  </si>
  <si>
    <t>PELIMEX SA</t>
  </si>
  <si>
    <t>ROYBIER MAINETTI</t>
  </si>
  <si>
    <t>VIANIA DESSOUS GMBH</t>
  </si>
  <si>
    <t>WEPA CATEGORY SOLUTIONS GMBHH</t>
  </si>
  <si>
    <t>VISIGMA APPAREL GROUP FZE</t>
  </si>
  <si>
    <t>M TEX DIFFUSION</t>
  </si>
  <si>
    <t>EMERAUDE CITY</t>
  </si>
  <si>
    <t>LEALMA</t>
  </si>
  <si>
    <t>HOBBYTEX NV</t>
  </si>
  <si>
    <t>A ROCA</t>
  </si>
  <si>
    <t>MINOTERIE CETRE</t>
  </si>
  <si>
    <t>ROUBINE SARL</t>
  </si>
  <si>
    <t>AFFINIA LACTUM SARL</t>
  </si>
  <si>
    <t>PODIS</t>
  </si>
  <si>
    <t>KIPPFIX WIECHERS</t>
  </si>
  <si>
    <t>ROCKLINE INDUSTRIES NETHERLANDSB.V</t>
  </si>
  <si>
    <t>RING AUTOMOTIVE LIMITED</t>
  </si>
  <si>
    <t>GO STATIONNERY LTD</t>
  </si>
  <si>
    <t>PALACIOS ALIMENTACION SA</t>
  </si>
  <si>
    <t>SEAFOOD CONNECTION B V</t>
  </si>
  <si>
    <t>CILENTO SPA</t>
  </si>
  <si>
    <t>GARDENAS S.A</t>
  </si>
  <si>
    <t>SPRL ESCAVECHE DU CLOS NORMAND</t>
  </si>
  <si>
    <t>PLUKON FOOD GROUP</t>
  </si>
  <si>
    <t>DECRAMER BVBA</t>
  </si>
  <si>
    <t>ASSOCIATED WEAVERS EUROPE NV</t>
  </si>
  <si>
    <t>PARADISO</t>
  </si>
  <si>
    <t>MUNHOWEN SA</t>
  </si>
  <si>
    <t>ALIMENTAR  SARL</t>
  </si>
  <si>
    <t>DEMARNE FRERES S.A.</t>
  </si>
  <si>
    <t>TOKAJ HETSZOLO ZRT</t>
  </si>
  <si>
    <t>SEMPRE IN SRL</t>
  </si>
  <si>
    <t>G7 SRL</t>
  </si>
  <si>
    <t>RISERIA MERLANO</t>
  </si>
  <si>
    <t>SAGEM SRL</t>
  </si>
  <si>
    <t>PURO SPA</t>
  </si>
  <si>
    <t>UNION VITI VINICOLA SA</t>
  </si>
  <si>
    <t>ANGULAS AGUINAGA</t>
  </si>
  <si>
    <t>TURRONES COLOMA S.A.</t>
  </si>
  <si>
    <t>PANO FRUITS SL</t>
  </si>
  <si>
    <t>FFAIGES, SL</t>
  </si>
  <si>
    <t>AIRE SANO FOODS S L</t>
  </si>
  <si>
    <t>FARM FRITES INTERNATIONAL</t>
  </si>
  <si>
    <t>LEJA SP ZOO SP.K</t>
  </si>
  <si>
    <t>DUNLOP PROTECTIVE FOOTWEAR B.V.</t>
  </si>
  <si>
    <t>DRC PLANTES BV</t>
  </si>
  <si>
    <t>JML BENELUX BV</t>
  </si>
  <si>
    <t>DUJARDIN</t>
  </si>
  <si>
    <t>TSC FOOD PRODUCTS</t>
  </si>
  <si>
    <t>UAB VICAMEDIS</t>
  </si>
  <si>
    <t>EMINENCE</t>
  </si>
  <si>
    <t>MB BRANDS LTD</t>
  </si>
  <si>
    <t>FURIC ALIMENT $$$</t>
  </si>
  <si>
    <t>DANSONS EUROPE BV</t>
  </si>
  <si>
    <t>NP CREATIONS</t>
  </si>
  <si>
    <t>BUILDER SAS</t>
  </si>
  <si>
    <t>GALLIMATE SAS</t>
  </si>
  <si>
    <t>PRINSEN BV</t>
  </si>
  <si>
    <t>BRANDS FASHION NV</t>
  </si>
  <si>
    <t>BLEEKER CLAUDIA</t>
  </si>
  <si>
    <t>44328</t>
  </si>
  <si>
    <t>4061275199475</t>
  </si>
  <si>
    <t>4061275199635</t>
  </si>
  <si>
    <t>4061275199666</t>
  </si>
  <si>
    <t>83792</t>
  </si>
  <si>
    <t>3616479781349</t>
  </si>
  <si>
    <t>3616479781356</t>
  </si>
  <si>
    <t>3616951321476</t>
  </si>
  <si>
    <t>87832</t>
  </si>
  <si>
    <t>5057982000622</t>
  </si>
  <si>
    <t>5057982000646</t>
  </si>
  <si>
    <t>5057982065881</t>
  </si>
  <si>
    <t>5057982066062</t>
  </si>
  <si>
    <t>5057982066345</t>
  </si>
  <si>
    <t>5057982066390</t>
  </si>
  <si>
    <t>5057982066895</t>
  </si>
  <si>
    <t>5057982067496</t>
  </si>
  <si>
    <t>5057982075118</t>
  </si>
  <si>
    <t>5057982079833</t>
  </si>
  <si>
    <t>81167</t>
  </si>
  <si>
    <t>3760157210017</t>
  </si>
  <si>
    <t>3760157210024</t>
  </si>
  <si>
    <t>3760157210031</t>
  </si>
  <si>
    <t>3760157210048</t>
  </si>
  <si>
    <t>3760157210062</t>
  </si>
  <si>
    <t>3760157210079</t>
  </si>
  <si>
    <t>3760157210093</t>
  </si>
  <si>
    <t>3760157210109</t>
  </si>
  <si>
    <t>3760157210116</t>
  </si>
  <si>
    <t>3760157210123</t>
  </si>
  <si>
    <t>3760157210130</t>
  </si>
  <si>
    <t>3760157210147</t>
  </si>
  <si>
    <t>10848</t>
  </si>
  <si>
    <t>5411353621098</t>
  </si>
  <si>
    <t>69061</t>
  </si>
  <si>
    <t>6009880817467</t>
  </si>
  <si>
    <t>6009880817672</t>
  </si>
  <si>
    <t>6009880817979</t>
  </si>
  <si>
    <t>6009880817993</t>
  </si>
  <si>
    <t>86416</t>
  </si>
  <si>
    <t>0079581184010</t>
  </si>
  <si>
    <t>0079581184058</t>
  </si>
  <si>
    <t>0079581184072</t>
  </si>
  <si>
    <t>0079581184096</t>
  </si>
  <si>
    <t>0079581185017</t>
  </si>
  <si>
    <t>0079581185055</t>
  </si>
  <si>
    <t>5903802857214</t>
  </si>
  <si>
    <t>8718158914088</t>
  </si>
  <si>
    <t>8718158956910</t>
  </si>
  <si>
    <t>0000087167016</t>
  </si>
  <si>
    <t>LEPREVOST LAETITIA</t>
  </si>
  <si>
    <t>0083741150012</t>
  </si>
  <si>
    <t>3401597736728</t>
  </si>
  <si>
    <t>PIERROT DI MASCIO ARIANNA</t>
  </si>
  <si>
    <t>3401597736896</t>
  </si>
  <si>
    <t>87398</t>
  </si>
  <si>
    <t>3760257900214</t>
  </si>
  <si>
    <t>5060013162671</t>
  </si>
  <si>
    <t>5411663000477</t>
  </si>
  <si>
    <t>5411663060020</t>
  </si>
  <si>
    <t>5411663060037</t>
  </si>
  <si>
    <t>5411663060099</t>
  </si>
  <si>
    <t>8008440222008</t>
  </si>
  <si>
    <t>8008440249227</t>
  </si>
  <si>
    <t>8681842285903</t>
  </si>
  <si>
    <t>8681842285958</t>
  </si>
  <si>
    <t>8681842285996</t>
  </si>
  <si>
    <t>8681842286009</t>
  </si>
  <si>
    <t>8681842286016</t>
  </si>
  <si>
    <t>8681842286023</t>
  </si>
  <si>
    <t>8681842286030</t>
  </si>
  <si>
    <t>8681842286047</t>
  </si>
  <si>
    <t>8719987535413</t>
  </si>
  <si>
    <t>8720573070683</t>
  </si>
  <si>
    <t>0035051587187</t>
  </si>
  <si>
    <t>4719072964498</t>
  </si>
  <si>
    <t>3616953028960</t>
  </si>
  <si>
    <t>0002416</t>
  </si>
  <si>
    <t>1191321</t>
  </si>
  <si>
    <t>1590903</t>
  </si>
  <si>
    <t>2384706</t>
  </si>
  <si>
    <t>4477705</t>
  </si>
  <si>
    <t>Supplément Frs</t>
  </si>
  <si>
    <t>4248812</t>
  </si>
  <si>
    <t>2384714</t>
  </si>
  <si>
    <t>9014105</t>
  </si>
  <si>
    <t>2384703</t>
  </si>
  <si>
    <t>4248810</t>
  </si>
  <si>
    <t>4457401</t>
  </si>
  <si>
    <t>6915101</t>
  </si>
  <si>
    <t>8259601</t>
  </si>
  <si>
    <t>8002801</t>
  </si>
  <si>
    <t>0002424</t>
  </si>
  <si>
    <t>0002418</t>
  </si>
  <si>
    <t>8921401</t>
  </si>
  <si>
    <t>4757504</t>
  </si>
  <si>
    <t>7784401</t>
  </si>
  <si>
    <t>4052415</t>
  </si>
  <si>
    <t>7631002</t>
  </si>
  <si>
    <t>4709601</t>
  </si>
  <si>
    <t>8543801</t>
  </si>
  <si>
    <t>3641501</t>
  </si>
  <si>
    <t>3641507</t>
  </si>
  <si>
    <t>3641512</t>
  </si>
  <si>
    <t>3641514</t>
  </si>
  <si>
    <t>4139301</t>
  </si>
  <si>
    <t>4462202</t>
  </si>
  <si>
    <t>5841103</t>
  </si>
  <si>
    <t>7460601</t>
  </si>
  <si>
    <t>7481001</t>
  </si>
  <si>
    <t>8026001</t>
  </si>
  <si>
    <t>8064401</t>
  </si>
  <si>
    <t>8586101</t>
  </si>
  <si>
    <t>8586102</t>
  </si>
  <si>
    <t>7004906</t>
  </si>
  <si>
    <t>1415508</t>
  </si>
  <si>
    <t>0002426</t>
  </si>
  <si>
    <t>4451301</t>
  </si>
  <si>
    <t>7606605</t>
  </si>
  <si>
    <t>9459401</t>
  </si>
  <si>
    <t>8683001</t>
  </si>
  <si>
    <t>8271801</t>
  </si>
  <si>
    <t>0002409</t>
  </si>
  <si>
    <t>0002417</t>
  </si>
  <si>
    <t>8720801</t>
  </si>
  <si>
    <t>5417901</t>
  </si>
  <si>
    <t>8407501</t>
  </si>
  <si>
    <t>0002408</t>
  </si>
  <si>
    <t>0002407</t>
  </si>
  <si>
    <t>0002403</t>
  </si>
  <si>
    <t>0002402</t>
  </si>
  <si>
    <t>3005328</t>
  </si>
  <si>
    <t>0972136</t>
  </si>
  <si>
    <t>4458614</t>
  </si>
  <si>
    <t>2154306</t>
  </si>
  <si>
    <t>3994602</t>
  </si>
  <si>
    <t>4866909</t>
  </si>
  <si>
    <t>4301403</t>
  </si>
  <si>
    <t>9337602</t>
  </si>
  <si>
    <t>7314702</t>
  </si>
  <si>
    <t>8037602</t>
  </si>
  <si>
    <t>7327501</t>
  </si>
  <si>
    <t>2384752</t>
  </si>
  <si>
    <t>7320901</t>
  </si>
  <si>
    <t>7320902</t>
  </si>
  <si>
    <t>8955601</t>
  </si>
  <si>
    <t>9888002</t>
  </si>
  <si>
    <t>0316103</t>
  </si>
  <si>
    <t>0833302</t>
  </si>
  <si>
    <t>7029004</t>
  </si>
  <si>
    <t>5080401</t>
  </si>
  <si>
    <t>5757206</t>
  </si>
  <si>
    <t>4338408</t>
  </si>
  <si>
    <t>8341403</t>
  </si>
  <si>
    <t>4247205</t>
  </si>
  <si>
    <t>9863501</t>
  </si>
  <si>
    <t>0274605</t>
  </si>
  <si>
    <t>7605802</t>
  </si>
  <si>
    <t>5807602</t>
  </si>
  <si>
    <t>6937401</t>
  </si>
  <si>
    <t>0509310</t>
  </si>
  <si>
    <t>5714301</t>
  </si>
  <si>
    <t>7077504</t>
  </si>
  <si>
    <t>7657201</t>
  </si>
  <si>
    <t>4328501</t>
  </si>
  <si>
    <t>4328508</t>
  </si>
  <si>
    <t>9509601</t>
  </si>
  <si>
    <t>7960602</t>
  </si>
  <si>
    <t>1923705</t>
  </si>
  <si>
    <t>9051101</t>
  </si>
  <si>
    <t>5758505</t>
  </si>
  <si>
    <t>8142001</t>
  </si>
  <si>
    <t>5474903</t>
  </si>
  <si>
    <t>9347401</t>
  </si>
  <si>
    <t>9347402</t>
  </si>
  <si>
    <t>4528701</t>
  </si>
  <si>
    <t>9856701</t>
  </si>
  <si>
    <t>5847802</t>
  </si>
  <si>
    <t>8670301</t>
  </si>
  <si>
    <t>5758507</t>
  </si>
  <si>
    <t>7017201</t>
  </si>
  <si>
    <t>8440001</t>
  </si>
  <si>
    <t>9044901</t>
  </si>
  <si>
    <t>7050601</t>
  </si>
  <si>
    <t>3641516</t>
  </si>
  <si>
    <t>9870401</t>
  </si>
  <si>
    <t>5413701</t>
  </si>
  <si>
    <t>4469905</t>
  </si>
  <si>
    <t>9586001</t>
  </si>
  <si>
    <t>9259401</t>
  </si>
  <si>
    <t>0002410</t>
  </si>
  <si>
    <t>0002401</t>
  </si>
  <si>
    <t>0298824</t>
  </si>
  <si>
    <t>0002422</t>
  </si>
  <si>
    <t>0002423</t>
  </si>
  <si>
    <t>0002421</t>
  </si>
  <si>
    <t>6903604</t>
  </si>
  <si>
    <t>6846401</t>
  </si>
  <si>
    <t>8504701</t>
  </si>
  <si>
    <t>9206801</t>
  </si>
  <si>
    <t>0002427</t>
  </si>
  <si>
    <t>8734101</t>
  </si>
  <si>
    <t>8768502</t>
  </si>
  <si>
    <t>8768501</t>
  </si>
  <si>
    <t>8768503</t>
  </si>
  <si>
    <t>7926703</t>
  </si>
  <si>
    <t>8334001</t>
  </si>
  <si>
    <t>4420367</t>
  </si>
  <si>
    <t>8730102</t>
  </si>
  <si>
    <t>0183105</t>
  </si>
  <si>
    <t>2384796</t>
  </si>
  <si>
    <t>1830839</t>
  </si>
  <si>
    <t>9849705</t>
  </si>
  <si>
    <t>2103009</t>
  </si>
  <si>
    <t>4876703</t>
  </si>
  <si>
    <t>4326513</t>
  </si>
  <si>
    <t>4326503</t>
  </si>
  <si>
    <t>4420716</t>
  </si>
  <si>
    <t>8637601</t>
  </si>
  <si>
    <t>7948505</t>
  </si>
  <si>
    <t>5163516</t>
  </si>
  <si>
    <t>0782417</t>
  </si>
  <si>
    <t>0782418</t>
  </si>
  <si>
    <t>1830844</t>
  </si>
  <si>
    <t>1445420</t>
  </si>
  <si>
    <t>0756513</t>
  </si>
  <si>
    <t>9709501</t>
  </si>
  <si>
    <t>4326517</t>
  </si>
  <si>
    <t>1241901</t>
  </si>
  <si>
    <t>1830840</t>
  </si>
  <si>
    <t>1590902</t>
  </si>
  <si>
    <t>5080403</t>
  </si>
  <si>
    <t>6834702</t>
  </si>
  <si>
    <t>4647805</t>
  </si>
  <si>
    <t>9232902</t>
  </si>
  <si>
    <t>6918201</t>
  </si>
  <si>
    <t>9840502</t>
  </si>
  <si>
    <t>0053603</t>
  </si>
  <si>
    <t>6834704</t>
  </si>
  <si>
    <t>6216407</t>
  </si>
  <si>
    <t>5835203</t>
  </si>
  <si>
    <t>6874704</t>
  </si>
  <si>
    <t>6810501</t>
  </si>
  <si>
    <t>6986101</t>
  </si>
  <si>
    <t>1676407</t>
  </si>
  <si>
    <t>5824603</t>
  </si>
  <si>
    <t>5702504</t>
  </si>
  <si>
    <t>5348602</t>
  </si>
  <si>
    <t>4913301</t>
  </si>
  <si>
    <t>9690901</t>
  </si>
  <si>
    <t>7025801</t>
  </si>
  <si>
    <t>6932401</t>
  </si>
  <si>
    <t>7631004</t>
  </si>
  <si>
    <t>4483204</t>
  </si>
  <si>
    <t>4483202</t>
  </si>
  <si>
    <t>9840501</t>
  </si>
  <si>
    <t>9569301</t>
  </si>
  <si>
    <t>9629201</t>
  </si>
  <si>
    <t>0002404</t>
  </si>
  <si>
    <t>9782001</t>
  </si>
  <si>
    <t>9345001</t>
  </si>
  <si>
    <t>5715605</t>
  </si>
  <si>
    <t>2449611</t>
  </si>
  <si>
    <t>1830845</t>
  </si>
  <si>
    <t>5589018</t>
  </si>
  <si>
    <t>9011210</t>
  </si>
  <si>
    <t>5641616</t>
  </si>
  <si>
    <t>4876701</t>
  </si>
  <si>
    <t>9554002</t>
  </si>
  <si>
    <t>1347519</t>
  </si>
  <si>
    <t>1347518</t>
  </si>
  <si>
    <t>4185902</t>
  </si>
  <si>
    <t>4185903</t>
  </si>
  <si>
    <t>4567601</t>
  </si>
  <si>
    <t>5641610</t>
  </si>
  <si>
    <t>4706908</t>
  </si>
  <si>
    <t>5426704</t>
  </si>
  <si>
    <t>9342904</t>
  </si>
  <si>
    <t>1911307</t>
  </si>
  <si>
    <t>9947601</t>
  </si>
  <si>
    <t>9338901</t>
  </si>
  <si>
    <t>4662401</t>
  </si>
  <si>
    <t>4677501</t>
  </si>
  <si>
    <t>4567606</t>
  </si>
  <si>
    <t>8553603</t>
  </si>
  <si>
    <t>8276401</t>
  </si>
  <si>
    <t>5914403</t>
  </si>
  <si>
    <t>9490601</t>
  </si>
  <si>
    <t>8242002</t>
  </si>
  <si>
    <t>9230901</t>
  </si>
  <si>
    <t>8768001</t>
  </si>
  <si>
    <t>4874901</t>
  </si>
  <si>
    <t>8769001</t>
  </si>
  <si>
    <t>8553602</t>
  </si>
  <si>
    <t>9509602</t>
  </si>
  <si>
    <t>8504702</t>
  </si>
  <si>
    <t>9400101</t>
  </si>
  <si>
    <t>1923706</t>
  </si>
  <si>
    <t>5321501</t>
  </si>
  <si>
    <t>6939801</t>
  </si>
  <si>
    <t>9538501</t>
  </si>
  <si>
    <t>9450001</t>
  </si>
  <si>
    <t>9421101</t>
  </si>
  <si>
    <t>7054601</t>
  </si>
  <si>
    <t>9478601</t>
  </si>
  <si>
    <t>5827107</t>
  </si>
  <si>
    <t>9074001</t>
  </si>
  <si>
    <t>9341502</t>
  </si>
  <si>
    <t>9204002</t>
  </si>
  <si>
    <t>9286501</t>
  </si>
  <si>
    <t>5396505</t>
  </si>
  <si>
    <t>4330802</t>
  </si>
  <si>
    <t>6810505</t>
  </si>
  <si>
    <t>4709602</t>
  </si>
  <si>
    <t>8292301</t>
  </si>
  <si>
    <t>8215602</t>
  </si>
  <si>
    <t>8146602</t>
  </si>
  <si>
    <t>6808401</t>
  </si>
  <si>
    <t>7020901</t>
  </si>
  <si>
    <t>0002411</t>
  </si>
  <si>
    <t>9643101</t>
  </si>
  <si>
    <t>8221202</t>
  </si>
  <si>
    <t>0077268</t>
  </si>
  <si>
    <t>4248805</t>
  </si>
  <si>
    <t>1830846</t>
  </si>
  <si>
    <t>7726801</t>
  </si>
  <si>
    <t>8377001</t>
  </si>
  <si>
    <t>7961604</t>
  </si>
  <si>
    <t>8524302</t>
  </si>
  <si>
    <t>8954801</t>
  </si>
  <si>
    <t>8223801</t>
  </si>
  <si>
    <t>0094785</t>
  </si>
  <si>
    <t/>
  </si>
  <si>
    <t>4432808</t>
  </si>
  <si>
    <t>8379201</t>
  </si>
  <si>
    <t>8783201</t>
  </si>
  <si>
    <t>9873903</t>
  </si>
  <si>
    <t>8116701</t>
  </si>
  <si>
    <t>1084806</t>
  </si>
  <si>
    <t>6906101</t>
  </si>
  <si>
    <t>9478501</t>
  </si>
  <si>
    <t>8641601</t>
  </si>
  <si>
    <t>8715701</t>
  </si>
  <si>
    <t>9409001</t>
  </si>
  <si>
    <t>8739801</t>
  </si>
  <si>
    <t>MEDION AG</t>
  </si>
  <si>
    <t>MALTEX SP  Z O O</t>
  </si>
  <si>
    <t>LIFETIME BRANDS EUR0</t>
  </si>
  <si>
    <t>ENTREPOT DE LA BEAUC</t>
  </si>
  <si>
    <t>CLAEYSSENS DISTILLER</t>
  </si>
  <si>
    <t>BOS BRANDS EUROPE BV</t>
  </si>
  <si>
    <t>COLOR BRANDS EUROPE</t>
  </si>
  <si>
    <t>RUN LIFEWEAR GMBH</t>
  </si>
  <si>
    <t>Supports d'enregistrement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</si>
</sst>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mm/yyyy"/>
  </numFmts>
  <fonts count="11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name val="MS Sans Serif"/>
    </font>
    <font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8">
    <xf numFmtId="0" fontId="0" fillId="0" borderId="0" xfId="0"/>
    <xf numFmtId="0" fontId="2" fillId="4" borderId="0" xfId="1" applyFill="1" applyAlignment="1">
      <alignment vertical="top" wrapText="1"/>
    </xf>
    <xf numFmtId="164" fontId="2" fillId="4" borderId="0" xfId="1" applyNumberFormat="1" applyFont="1" applyFill="1" applyAlignment="1">
      <alignment vertical="top" wrapText="1"/>
    </xf>
    <xf numFmtId="0" fontId="2" fillId="5" borderId="0" xfId="1" applyFill="1" applyAlignment="1">
      <alignment vertical="top" wrapText="1"/>
    </xf>
    <xf numFmtId="2" fontId="2" fillId="5" borderId="0" xfId="1" applyNumberFormat="1" applyFill="1" applyAlignment="1">
      <alignment vertical="top" wrapText="1"/>
    </xf>
    <xf numFmtId="14" fontId="2" fillId="5" borderId="0" xfId="1" applyNumberFormat="1" applyFill="1" applyAlignment="1">
      <alignment vertical="top" wrapText="1"/>
    </xf>
    <xf numFmtId="0" fontId="2" fillId="0" borderId="0" xfId="1" applyAlignment="1">
      <alignment vertical="top" wrapText="1"/>
    </xf>
    <xf numFmtId="0" fontId="2" fillId="4" borderId="0" xfId="1" applyFill="1"/>
    <xf numFmtId="164" fontId="2" fillId="4" borderId="0" xfId="1" applyNumberFormat="1" applyFill="1"/>
    <xf numFmtId="14" fontId="0" fillId="0" borderId="0" xfId="0" applyNumberFormat="1" applyAlignment="1" applyProtection="1">
      <alignment vertical="center"/>
    </xf>
    <xf numFmtId="0" fontId="2" fillId="0" borderId="0" xfId="1"/>
    <xf numFmtId="164" fontId="2" fillId="0" borderId="0" xfId="1" applyNumberFormat="1"/>
    <xf numFmtId="2" fontId="2" fillId="0" borderId="0" xfId="1" applyNumberFormat="1"/>
    <xf numFmtId="14" fontId="2" fillId="0" borderId="0" xfId="1" applyNumberFormat="1"/>
    <xf numFmtId="0" fontId="1" fillId="0" borderId="0" xfId="2"/>
    <xf numFmtId="0" fontId="3" fillId="0" borderId="0" xfId="2" applyFont="1"/>
    <xf numFmtId="0" fontId="5" fillId="0" borderId="0" xfId="2" applyFont="1"/>
    <xf numFmtId="0" fontId="4" fillId="2" borderId="1" xfId="2" applyFont="1" applyFill="1" applyBorder="1" applyAlignment="1">
      <alignment horizontal="center" vertical="center"/>
    </xf>
    <xf numFmtId="43" fontId="6" fillId="3" borderId="1" xfId="3" applyFont="1" applyFill="1" applyBorder="1" applyAlignment="1">
      <alignment horizontal="center" vertical="center"/>
    </xf>
    <xf numFmtId="43" fontId="6" fillId="3" borderId="1" xfId="3" applyFont="1" applyFill="1" applyBorder="1" applyAlignment="1">
      <alignment horizontal="center" vertical="center" wrapText="1"/>
    </xf>
    <xf numFmtId="14" fontId="5" fillId="0" borderId="1" xfId="2" quotePrefix="1" applyNumberFormat="1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14" fontId="5" fillId="6" borderId="1" xfId="2" quotePrefix="1" applyNumberFormat="1" applyFont="1" applyFill="1" applyBorder="1" applyAlignment="1">
      <alignment horizontal="center" vertical="center"/>
    </xf>
    <xf numFmtId="0" fontId="5" fillId="6" borderId="1" xfId="2" applyFont="1" applyFill="1" applyBorder="1" applyAlignment="1">
      <alignment horizontal="center" vertical="center"/>
    </xf>
    <xf numFmtId="0" fontId="5" fillId="6" borderId="1" xfId="2" applyNumberFormat="1" applyFont="1" applyFill="1" applyBorder="1" applyAlignment="1">
      <alignment horizontal="center"/>
    </xf>
    <xf numFmtId="0" fontId="5" fillId="6" borderId="1" xfId="2" applyFont="1" applyFill="1" applyBorder="1" applyAlignment="1">
      <alignment horizontal="center"/>
    </xf>
    <xf numFmtId="0" fontId="4" fillId="2" borderId="1" xfId="2" applyFont="1" applyFill="1" applyBorder="1" applyAlignment="1">
      <alignment vertical="center"/>
    </xf>
    <xf numFmtId="14" fontId="5" fillId="0" borderId="1" xfId="2" applyNumberFormat="1" applyFont="1" applyBorder="1" applyAlignment="1">
      <alignment horizontal="center" vertical="center"/>
    </xf>
    <xf numFmtId="10" fontId="5" fillId="0" borderId="1" xfId="5" applyNumberFormat="1" applyFont="1" applyBorder="1" applyAlignment="1">
      <alignment horizontal="center" vertical="center"/>
    </xf>
    <xf numFmtId="10" fontId="5" fillId="0" borderId="0" xfId="5" applyNumberFormat="1" applyFont="1"/>
    <xf numFmtId="10" fontId="6" fillId="3" borderId="1" xfId="5" applyNumberFormat="1" applyFont="1" applyFill="1" applyBorder="1" applyAlignment="1">
      <alignment horizontal="center" vertical="center" wrapText="1"/>
    </xf>
    <xf numFmtId="10" fontId="5" fillId="6" borderId="1" xfId="5" applyNumberFormat="1" applyFont="1" applyFill="1" applyBorder="1" applyAlignment="1">
      <alignment horizontal="center"/>
    </xf>
    <xf numFmtId="0" fontId="0" fillId="0" borderId="0" xfId="0" quotePrefix="1"/>
    <xf numFmtId="10" fontId="1" fillId="0" borderId="0" xfId="5" applyNumberFormat="1" applyFont="1"/>
    <xf numFmtId="0" fontId="8" fillId="0" borderId="0" xfId="2" applyFont="1" applyFill="1" applyAlignment="1">
      <alignment horizontal="center" vertical="center"/>
    </xf>
    <xf numFmtId="0" fontId="8" fillId="0" borderId="0" xfId="2" applyFont="1" applyAlignment="1">
      <alignment horizontal="center" vertical="center"/>
    </xf>
    <xf numFmtId="10" fontId="8" fillId="0" borderId="0" xfId="5" applyNumberFormat="1" applyFont="1" applyAlignment="1">
      <alignment horizontal="center" vertical="center"/>
    </xf>
    <xf numFmtId="0" fontId="1" fillId="0" borderId="0" xfId="2" applyAlignment="1">
      <alignment horizontal="center"/>
    </xf>
    <xf numFmtId="0" fontId="5" fillId="0" borderId="1" xfId="2" applyFont="1" applyBorder="1" applyAlignment="1">
      <alignment horizontal="center"/>
    </xf>
    <xf numFmtId="0" fontId="5" fillId="0" borderId="0" xfId="2" applyFont="1" applyBorder="1" applyAlignment="1">
      <alignment horizontal="center"/>
    </xf>
    <xf numFmtId="0" fontId="0" fillId="0" borderId="0" xfId="0" applyFill="1"/>
    <xf numFmtId="43" fontId="6" fillId="3" borderId="3" xfId="3" applyFont="1" applyFill="1" applyBorder="1" applyAlignment="1">
      <alignment horizontal="center" vertical="center"/>
    </xf>
    <xf numFmtId="10" fontId="5" fillId="7" borderId="1" xfId="5" applyNumberFormat="1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9" borderId="1" xfId="0" applyFont="1" applyFill="1" applyBorder="1" applyAlignment="1">
      <alignment vertical="center" wrapText="1"/>
    </xf>
    <xf numFmtId="0" fontId="2" fillId="8" borderId="1" xfId="0" quotePrefix="1" applyFont="1" applyFill="1" applyBorder="1"/>
    <xf numFmtId="0" fontId="10" fillId="9" borderId="1" xfId="0" applyFont="1" applyFill="1" applyBorder="1" applyAlignment="1" applyProtection="1">
      <alignment vertical="center" wrapText="1"/>
    </xf>
    <xf numFmtId="49" fontId="2" fillId="0" borderId="0" xfId="0" applyNumberFormat="1" applyFont="1"/>
    <xf numFmtId="0" fontId="2" fillId="9" borderId="1" xfId="0" applyFont="1" applyFill="1" applyBorder="1"/>
    <xf numFmtId="0" fontId="2" fillId="0" borderId="0" xfId="0" applyFont="1"/>
    <xf numFmtId="0" fontId="2" fillId="8" borderId="0" xfId="0" applyFont="1" applyFill="1"/>
    <xf numFmtId="0" fontId="2" fillId="9" borderId="0" xfId="0" applyFont="1" applyFill="1"/>
    <xf numFmtId="0" fontId="2" fillId="8" borderId="1" xfId="0" applyFont="1" applyFill="1" applyBorder="1"/>
    <xf numFmtId="0" fontId="2" fillId="10" borderId="0" xfId="1" applyFill="1"/>
    <xf numFmtId="164" fontId="2" fillId="10" borderId="0" xfId="1" applyNumberFormat="1" applyFill="1"/>
    <xf numFmtId="0" fontId="4" fillId="2" borderId="1" xfId="2" applyFont="1" applyFill="1" applyBorder="1" applyAlignment="1">
      <alignment horizontal="left" vertical="center"/>
    </xf>
    <xf numFmtId="0" fontId="4" fillId="2" borderId="2" xfId="2" applyFont="1" applyFill="1" applyBorder="1" applyAlignment="1">
      <alignment horizontal="left" vertical="center"/>
    </xf>
    <xf numFmtId="0" fontId="4" fillId="2" borderId="4" xfId="2" applyFont="1" applyFill="1" applyBorder="1" applyAlignment="1">
      <alignment horizontal="left" vertical="center"/>
    </xf>
  </cellXfs>
  <cellStyles count="6">
    <cellStyle name="Milliers 2" xfId="3"/>
    <cellStyle name="Normal" xfId="0" builtinId="0"/>
    <cellStyle name="Normal 2" xfId="2"/>
    <cellStyle name="Normal 2 2" xfId="1"/>
    <cellStyle name="Pourcentage" xfId="5" builtinId="5"/>
    <cellStyle name="Pourcentage 2" xfId="4"/>
  </cellStyles>
  <dxfs count="6">
    <dxf>
      <numFmt numFmtId="19" formatCode="dd/mm/yyyy"/>
      <fill>
        <patternFill patternType="solid">
          <fgColor indexed="64"/>
          <bgColor theme="8" tint="0.59999389629810485"/>
        </patternFill>
      </fill>
      <alignment horizontal="general" vertical="top" textRotation="0" wrapText="1" indent="0" relativeIndent="0" justifyLastLine="0" shrinkToFit="0" mergeCell="0" readingOrder="0"/>
    </dxf>
    <dxf>
      <numFmt numFmtId="19" formatCode="dd/mm/yyyy"/>
      <alignment horizontal="general" vertical="center" textRotation="0" wrapText="0" indent="0" relativeIndent="0" justifyLastLine="0" shrinkToFit="0" mergeCell="0" readingOrder="0"/>
      <protection locked="1" hidden="0"/>
    </dxf>
    <dxf>
      <numFmt numFmtId="19" formatCode="dd/mm/yyyy"/>
      <alignment horizontal="general" vertical="center" textRotation="0" wrapText="0" indent="0" relativeIndent="0" justifyLastLine="0" shrinkToFit="0" mergeCell="0" readingOrder="0"/>
      <protection locked="1" hidden="0"/>
    </dxf>
    <dxf>
      <numFmt numFmtId="164" formatCode="mm/yyyy"/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</dxfs>
  <tableStyles count="0" defaultTableStyle="TableStyleMedium2" defaultPivotStyle="PivotStyleLight16"/>
  <colors>
    <mruColors>
      <color rgb="FF00FF00"/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1.9874968758480695E-2"/>
                  <c:y val="-2.55065609184789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3026067475708321E-2"/>
                  <c:y val="1.896533963955000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198346212102395E-2"/>
                  <c:y val="2.626205796929747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142278732321312E-2"/>
                  <c:y val="-2.55065609184789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142278732321312E-2"/>
                  <c:y val="-2.55065609184789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2017245725936179E-2"/>
                  <c:y val="-3.025314841504658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132758774471733E-2"/>
                  <c:y val="-1.542918156237024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DDS'!$C$160:$C$171</c:f>
              <c:numCache>
                <c:formatCode>General</c:formatCode>
                <c:ptCount val="12"/>
                <c:pt idx="0">
                  <c:v>0</c:v>
                </c:pt>
                <c:pt idx="1">
                  <c:v>44</c:v>
                </c:pt>
                <c:pt idx="2">
                  <c:v>93</c:v>
                </c:pt>
                <c:pt idx="3">
                  <c:v>103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115</c:v>
                </c:pt>
                <c:pt idx="9">
                  <c:v>163</c:v>
                </c:pt>
                <c:pt idx="10">
                  <c:v>200</c:v>
                </c:pt>
              </c:numCache>
            </c:numRef>
          </c:val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layout>
                <c:manualLayout>
                  <c:x val="-4.0612142358422802E-2"/>
                  <c:y val="1.525934792638090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5776553865945576E-3"/>
                  <c:y val="-1.43885857789717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922484377203981E-2"/>
                  <c:y val="-2.534998042371779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922484377203981E-2"/>
                  <c:y val="-2.534998042371779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9922484377203981E-2"/>
                  <c:y val="-2.903322167601982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1646622542305555E-2"/>
                  <c:y val="-2.903322167601982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1293790563914001E-3"/>
                  <c:y val="-2.501493890502982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9008970813056086E-3"/>
                  <c:y val="-1.418636119178857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142278732321312E-2"/>
                  <c:y val="-3.2716462928321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DDS'!$D$160:$D$171</c:f>
              <c:numCache>
                <c:formatCode>General</c:formatCode>
                <c:ptCount val="12"/>
                <c:pt idx="0">
                  <c:v>51</c:v>
                </c:pt>
                <c:pt idx="1">
                  <c:v>64</c:v>
                </c:pt>
                <c:pt idx="2">
                  <c:v>16</c:v>
                </c:pt>
                <c:pt idx="3">
                  <c:v>163</c:v>
                </c:pt>
                <c:pt idx="4">
                  <c:v>145</c:v>
                </c:pt>
                <c:pt idx="5">
                  <c:v>175</c:v>
                </c:pt>
                <c:pt idx="6">
                  <c:v>179</c:v>
                </c:pt>
                <c:pt idx="7">
                  <c:v>183</c:v>
                </c:pt>
                <c:pt idx="8">
                  <c:v>185</c:v>
                </c:pt>
                <c:pt idx="9">
                  <c:v>142</c:v>
                </c:pt>
                <c:pt idx="10">
                  <c:v>104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15083059337912E-2"/>
                  <c:y val="-1.809457749214082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53013976787127E-3"/>
                  <c:y val="-1.068259406580266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815083059337912E-2"/>
                  <c:y val="-2.180056920530990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16</c:v>
                </c:pt>
                <c:pt idx="9">
                  <c:v>19</c:v>
                </c:pt>
                <c:pt idx="10">
                  <c:v>21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2456968837492391E-2"/>
                  <c:y val="-4.177586453929125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DDS'!$F$160:$F$171</c:f>
              <c:numCache>
                <c:formatCode>General</c:formatCode>
                <c:ptCount val="12"/>
                <c:pt idx="0">
                  <c:v>51</c:v>
                </c:pt>
                <c:pt idx="1">
                  <c:v>108</c:v>
                </c:pt>
                <c:pt idx="2">
                  <c:v>109</c:v>
                </c:pt>
                <c:pt idx="3">
                  <c:v>266</c:v>
                </c:pt>
                <c:pt idx="4">
                  <c:v>266</c:v>
                </c:pt>
                <c:pt idx="5">
                  <c:v>296</c:v>
                </c:pt>
                <c:pt idx="6">
                  <c:v>300</c:v>
                </c:pt>
                <c:pt idx="7">
                  <c:v>304</c:v>
                </c:pt>
                <c:pt idx="8">
                  <c:v>316</c:v>
                </c:pt>
                <c:pt idx="9">
                  <c:v>324</c:v>
                </c:pt>
                <c:pt idx="10">
                  <c:v>325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0"/>
              <c:layout>
                <c:manualLayout>
                  <c:x val="-8.7068977337629323E-3"/>
                  <c:y val="1.583392254710768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0388001681781384E-2"/>
                  <c:y val="3.065788939978399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5948963609688271E-3"/>
                  <c:y val="-2.696036018737729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8663863516679823E-2"/>
                  <c:y val="4.177586453929125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3836278011984541E-2"/>
                  <c:y val="3.43638811129530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DDS'!$G$160:$G$171</c:f>
              <c:numCache>
                <c:formatCode>General</c:formatCode>
                <c:ptCount val="12"/>
                <c:pt idx="0">
                  <c:v>51</c:v>
                </c:pt>
                <c:pt idx="1">
                  <c:v>108</c:v>
                </c:pt>
                <c:pt idx="2">
                  <c:v>109</c:v>
                </c:pt>
                <c:pt idx="3">
                  <c:v>266</c:v>
                </c:pt>
                <c:pt idx="4">
                  <c:v>260</c:v>
                </c:pt>
                <c:pt idx="5">
                  <c:v>290</c:v>
                </c:pt>
                <c:pt idx="6">
                  <c:v>294</c:v>
                </c:pt>
                <c:pt idx="7">
                  <c:v>298</c:v>
                </c:pt>
                <c:pt idx="8">
                  <c:v>300</c:v>
                </c:pt>
                <c:pt idx="9">
                  <c:v>305</c:v>
                </c:pt>
                <c:pt idx="10">
                  <c:v>304</c:v>
                </c:pt>
              </c:numCache>
            </c:numRef>
          </c:val>
        </c:ser>
        <c:marker val="1"/>
        <c:axId val="118090752"/>
        <c:axId val="118100736"/>
      </c:lineChart>
      <c:catAx>
        <c:axId val="1180907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100736"/>
        <c:crosses val="autoZero"/>
        <c:auto val="1"/>
        <c:lblAlgn val="ctr"/>
        <c:lblOffset val="100"/>
      </c:catAx>
      <c:valAx>
        <c:axId val="118100736"/>
        <c:scaling>
          <c:orientation val="minMax"/>
          <c:max val="3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090752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</c:title>
    <c:plotArea>
      <c:layout/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10"/>
              <c:layout>
                <c:manualLayout>
                  <c:x val="-4.7565304589527644E-4"/>
                  <c:y val="4.744063902344089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DDS'!$D$121:$D$132</c:f>
              <c:numCache>
                <c:formatCode>General</c:formatCode>
                <c:ptCount val="12"/>
                <c:pt idx="9">
                  <c:v>8</c:v>
                </c:pt>
                <c:pt idx="10">
                  <c:v>6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9"/>
              <c:layout>
                <c:manualLayout>
                  <c:x val="-1.8206359071342243E-2"/>
                  <c:y val="-3.738963684911547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30181595154848E-2"/>
                  <c:y val="-2.225599156805718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DDS'!$E$121:$E$132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</c:ser>
        <c:marker val="1"/>
        <c:axId val="120059776"/>
        <c:axId val="120061312"/>
      </c:lineChart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9"/>
              <c:layout>
                <c:manualLayout>
                  <c:x val="-3.1189794416571315E-2"/>
                  <c:y val="-1.098500071050677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9083995452903953E-2"/>
                  <c:y val="-2.611852049892543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7354595600951473E-2"/>
                  <c:y val="-2.611852049892543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DDS'!$C$121:$C$132</c:f>
              <c:numCache>
                <c:formatCode>General</c:formatCode>
                <c:ptCount val="12"/>
                <c:pt idx="9">
                  <c:v>0</c:v>
                </c:pt>
                <c:pt idx="10">
                  <c:v>2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DDS'!$F$121:$F$132</c:f>
              <c:numCache>
                <c:formatCode>General</c:formatCode>
                <c:ptCount val="12"/>
                <c:pt idx="9">
                  <c:v>8</c:v>
                </c:pt>
                <c:pt idx="10">
                  <c:v>8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DDS'!$G$121:$G$132</c:f>
              <c:numCache>
                <c:formatCode>General</c:formatCode>
                <c:ptCount val="12"/>
                <c:pt idx="9">
                  <c:v>8</c:v>
                </c:pt>
                <c:pt idx="10">
                  <c:v>8</c:v>
                </c:pt>
              </c:numCache>
            </c:numRef>
          </c:val>
        </c:ser>
        <c:marker val="1"/>
        <c:axId val="120081024"/>
        <c:axId val="120079488"/>
      </c:lineChart>
      <c:catAx>
        <c:axId val="120059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061312"/>
        <c:crosses val="autoZero"/>
        <c:auto val="1"/>
        <c:lblAlgn val="ctr"/>
        <c:lblOffset val="100"/>
      </c:catAx>
      <c:valAx>
        <c:axId val="120061312"/>
        <c:scaling>
          <c:orientation val="minMax"/>
          <c:max val="9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059776"/>
        <c:crosses val="autoZero"/>
        <c:crossBetween val="between"/>
        <c:minorUnit val="0.2"/>
      </c:valAx>
      <c:valAx>
        <c:axId val="120079488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081024"/>
        <c:crosses val="max"/>
        <c:crossBetween val="between"/>
      </c:valAx>
      <c:catAx>
        <c:axId val="120081024"/>
        <c:scaling>
          <c:orientation val="minMax"/>
        </c:scaling>
        <c:delete val="1"/>
        <c:axPos val="b"/>
        <c:numFmt formatCode="General" sourceLinked="1"/>
        <c:tickLblPos val="none"/>
        <c:crossAx val="12007948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238475904"/>
        <c:axId val="118239616"/>
      </c:lineChart>
      <c:catAx>
        <c:axId val="2384759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239616"/>
        <c:crosses val="autoZero"/>
        <c:auto val="1"/>
        <c:lblAlgn val="ctr"/>
        <c:lblOffset val="100"/>
      </c:catAx>
      <c:valAx>
        <c:axId val="118239616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47590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29"/>
          <c:y val="2.196874556732997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18258304"/>
        <c:axId val="118261632"/>
      </c:lineChart>
      <c:catAx>
        <c:axId val="1182583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261632"/>
        <c:crosses val="autoZero"/>
        <c:auto val="1"/>
        <c:lblAlgn val="ctr"/>
        <c:lblOffset val="100"/>
      </c:catAx>
      <c:valAx>
        <c:axId val="118261632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25830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98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18289920"/>
        <c:axId val="118291456"/>
      </c:lineChart>
      <c:catAx>
        <c:axId val="1182899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291456"/>
        <c:crosses val="autoZero"/>
        <c:auto val="1"/>
        <c:lblAlgn val="ctr"/>
        <c:lblOffset val="100"/>
      </c:catAx>
      <c:valAx>
        <c:axId val="11829145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28992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98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18220672"/>
        <c:axId val="118887552"/>
      </c:lineChart>
      <c:catAx>
        <c:axId val="1182206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887552"/>
        <c:crosses val="autoZero"/>
        <c:auto val="1"/>
        <c:lblAlgn val="ctr"/>
        <c:lblOffset val="100"/>
      </c:catAx>
      <c:valAx>
        <c:axId val="11888755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22067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92"/>
          <c:y val="0.4319761722718719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18930816"/>
        <c:axId val="118934144"/>
      </c:lineChart>
      <c:catAx>
        <c:axId val="1189308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934144"/>
        <c:crosses val="autoZero"/>
        <c:auto val="1"/>
        <c:lblAlgn val="ctr"/>
        <c:lblOffset val="100"/>
      </c:catAx>
      <c:valAx>
        <c:axId val="11893414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93081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14"/>
          <c:y val="0.4319761722718721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98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5917056"/>
        <c:axId val="145940864"/>
      </c:lineChart>
      <c:catAx>
        <c:axId val="1459170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940864"/>
        <c:crosses val="autoZero"/>
        <c:auto val="1"/>
        <c:lblAlgn val="ctr"/>
        <c:lblOffset val="100"/>
      </c:catAx>
      <c:valAx>
        <c:axId val="14594086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91705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36"/>
          <c:y val="0.4319761722718724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</a:t>
            </a:r>
            <a:r>
              <a:rPr lang="fr-FR" sz="1400" baseline="0"/>
              <a:t>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44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DEEE!$C$3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068967155710979E-2"/>
                  <c:y val="-2.19749289708004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965519816117365E-2"/>
                  <c:y val="-2.563741713260062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4137934311421982E-2"/>
                  <c:y val="-2.563741713260062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5517243485914118E-2"/>
                  <c:y val="1.464995264720030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7586210641625239E-2"/>
                  <c:y val="-2.19749289708004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6206908255078568E-3"/>
                  <c:y val="-3.662488161800083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</c:v>
                </c:pt>
                <c:pt idx="4">
                  <c:v>82</c:v>
                </c:pt>
                <c:pt idx="5">
                  <c:v>150</c:v>
                </c:pt>
                <c:pt idx="6">
                  <c:v>208</c:v>
                </c:pt>
                <c:pt idx="7">
                  <c:v>390</c:v>
                </c:pt>
                <c:pt idx="8">
                  <c:v>423</c:v>
                </c:pt>
                <c:pt idx="9">
                  <c:v>1115</c:v>
                </c:pt>
                <c:pt idx="10">
                  <c:v>1455</c:v>
                </c:pt>
              </c:numCache>
            </c:numRef>
          </c:val>
        </c:ser>
        <c:ser>
          <c:idx val="1"/>
          <c:order val="1"/>
          <c:tx>
            <c:strRef>
              <c:f>DEEE!$D$3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3707585352645539E-3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6466203701629782E-3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707585352645539E-3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431035898864505E-2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9827595686613782E-3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732830672390812E-2"/>
                  <c:y val="-2.663551725291485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433</c:v>
                </c:pt>
                <c:pt idx="9">
                  <c:v>456</c:v>
                </c:pt>
                <c:pt idx="10">
                  <c:v>532</c:v>
                </c:pt>
              </c:numCache>
            </c:numRef>
          </c:val>
        </c:ser>
        <c:ser>
          <c:idx val="2"/>
          <c:order val="2"/>
          <c:tx>
            <c:strRef>
              <c:f>DEEE!$E$3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7586210641625239E-2"/>
                  <c:y val="-2.19749289708004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0344828990609421E-2"/>
                  <c:y val="1.464995264720030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965526604062802E-3"/>
                  <c:y val="3.662488161800083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32</c:v>
                </c:pt>
                <c:pt idx="7">
                  <c:v>74</c:v>
                </c:pt>
                <c:pt idx="8">
                  <c:v>479</c:v>
                </c:pt>
                <c:pt idx="9">
                  <c:v>529</c:v>
                </c:pt>
                <c:pt idx="10">
                  <c:v>545</c:v>
                </c:pt>
              </c:numCache>
            </c:numRef>
          </c:val>
        </c:ser>
        <c:ser>
          <c:idx val="3"/>
          <c:order val="3"/>
          <c:tx>
            <c:strRef>
              <c:f>DEEE!$F$3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935384053133876E-2"/>
                  <c:y val="-2.520714686981277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2431</c:v>
                </c:pt>
                <c:pt idx="6">
                  <c:v>2446</c:v>
                </c:pt>
                <c:pt idx="7">
                  <c:v>2516</c:v>
                </c:pt>
                <c:pt idx="8">
                  <c:v>2532</c:v>
                </c:pt>
                <c:pt idx="9">
                  <c:v>2532</c:v>
                </c:pt>
                <c:pt idx="10">
                  <c:v>2536</c:v>
                </c:pt>
              </c:numCache>
            </c:numRef>
          </c:val>
        </c:ser>
        <c:ser>
          <c:idx val="4"/>
          <c:order val="4"/>
          <c:tx>
            <c:strRef>
              <c:f>DEEE!$G$3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551726384975103E-2"/>
                  <c:y val="3.76229817383149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6896555375584493E-2"/>
                  <c:y val="3.76229817383149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6896555375584493E-2"/>
                  <c:y val="3.39604935765148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6896555375584493E-2"/>
                  <c:y val="3.02980054147148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2410</c:v>
                </c:pt>
                <c:pt idx="6">
                  <c:v>2414</c:v>
                </c:pt>
                <c:pt idx="7">
                  <c:v>2442</c:v>
                </c:pt>
                <c:pt idx="8">
                  <c:v>2053</c:v>
                </c:pt>
                <c:pt idx="9">
                  <c:v>2003</c:v>
                </c:pt>
                <c:pt idx="10">
                  <c:v>1991</c:v>
                </c:pt>
              </c:numCache>
            </c:numRef>
          </c:val>
        </c:ser>
        <c:marker val="1"/>
        <c:axId val="121460224"/>
        <c:axId val="121461760"/>
      </c:lineChart>
      <c:catAx>
        <c:axId val="1214602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1461760"/>
        <c:crosses val="autoZero"/>
        <c:auto val="1"/>
        <c:lblAlgn val="ctr"/>
        <c:lblOffset val="100"/>
      </c:catAx>
      <c:valAx>
        <c:axId val="121461760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1460224"/>
        <c:crosses val="autoZero"/>
        <c:crossBetween val="between"/>
        <c:majorUnit val="30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7158912"/>
        <c:axId val="127164800"/>
      </c:lineChart>
      <c:catAx>
        <c:axId val="1271589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164800"/>
        <c:crosses val="autoZero"/>
        <c:auto val="1"/>
        <c:lblAlgn val="ctr"/>
        <c:lblOffset val="100"/>
      </c:catAx>
      <c:valAx>
        <c:axId val="12716480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1589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27402368"/>
        <c:axId val="127403904"/>
      </c:lineChart>
      <c:catAx>
        <c:axId val="1274023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403904"/>
        <c:crosses val="autoZero"/>
        <c:auto val="1"/>
        <c:lblAlgn val="ctr"/>
        <c:lblOffset val="100"/>
      </c:catAx>
      <c:valAx>
        <c:axId val="127403904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402368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 Electriques et</a:t>
            </a:r>
            <a:r>
              <a:rPr lang="fr-FR" sz="1400" baseline="0"/>
              <a:t> Electroniques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DEEE!$L$3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</c:dPt>
          <c:dPt>
            <c:idx val="2"/>
            <c:spPr>
              <a:ln>
                <a:solidFill>
                  <a:srgbClr val="00B050"/>
                </a:solidFill>
              </a:ln>
            </c:spPr>
          </c:dPt>
          <c:dPt>
            <c:idx val="3"/>
            <c:spPr>
              <a:ln>
                <a:solidFill>
                  <a:srgbClr val="00B050"/>
                </a:solidFill>
              </a:ln>
            </c:spPr>
          </c:dPt>
          <c:dPt>
            <c:idx val="4"/>
            <c:spPr>
              <a:ln>
                <a:solidFill>
                  <a:srgbClr val="00B050"/>
                </a:solidFill>
              </a:ln>
            </c:spPr>
          </c:dPt>
          <c:dPt>
            <c:idx val="5"/>
            <c:spPr>
              <a:ln>
                <a:solidFill>
                  <a:srgbClr val="00B050"/>
                </a:solidFill>
              </a:ln>
            </c:spPr>
          </c:dPt>
          <c:dPt>
            <c:idx val="6"/>
            <c:spPr>
              <a:ln>
                <a:solidFill>
                  <a:srgbClr val="00B050"/>
                </a:solidFill>
              </a:ln>
            </c:spPr>
          </c:dPt>
          <c:dPt>
            <c:idx val="7"/>
            <c:spPr>
              <a:ln>
                <a:solidFill>
                  <a:srgbClr val="00B050"/>
                </a:solidFill>
              </a:ln>
            </c:spPr>
          </c:dPt>
          <c:dPt>
            <c:idx val="8"/>
            <c:spPr>
              <a:ln>
                <a:solidFill>
                  <a:srgbClr val="00B050"/>
                </a:solidFill>
              </a:ln>
            </c:spPr>
          </c:dPt>
          <c:dPt>
            <c:idx val="9"/>
            <c:spPr>
              <a:ln>
                <a:solidFill>
                  <a:srgbClr val="00B050"/>
                </a:solidFill>
              </a:ln>
            </c:spPr>
          </c:dPt>
          <c:dPt>
            <c:idx val="10"/>
            <c:spPr>
              <a:ln>
                <a:solidFill>
                  <a:srgbClr val="00B050"/>
                </a:solidFill>
              </a:ln>
            </c:spPr>
          </c:dPt>
          <c:dLbls>
            <c:dLbl>
              <c:idx val="3"/>
              <c:layout>
                <c:manualLayout>
                  <c:x val="-4.6508694883070183E-2"/>
                  <c:y val="-2.66133675111816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715589562257612E-2"/>
                  <c:y val="-2.661336751118160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5862071118934506E-2"/>
                  <c:y val="-3.75916949673157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301793415937182E-2"/>
                  <c:y val="1.72999423133554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0.47445255474452552</c:v>
                </c:pt>
                <c:pt idx="4">
                  <c:v>0.59854014598540151</c:v>
                </c:pt>
                <c:pt idx="5">
                  <c:v>6.2240663900414939E-2</c:v>
                </c:pt>
                <c:pt idx="6">
                  <c:v>8.6164043082021538E-2</c:v>
                </c:pt>
                <c:pt idx="7">
                  <c:v>0.15970515970515969</c:v>
                </c:pt>
                <c:pt idx="8">
                  <c:v>0.20603994154895275</c:v>
                </c:pt>
                <c:pt idx="9">
                  <c:v>0.55666500249625561</c:v>
                </c:pt>
                <c:pt idx="10">
                  <c:v>0.73078854846810648</c:v>
                </c:pt>
              </c:numCache>
            </c:numRef>
          </c:val>
        </c:ser>
        <c:ser>
          <c:idx val="1"/>
          <c:order val="1"/>
          <c:tx>
            <c:strRef>
              <c:f>DEEE!$M$3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5"/>
              <c:layout>
                <c:manualLayout>
                  <c:x val="-8.9655184585282054E-3"/>
                  <c:y val="6.3216148572212295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2413802934266159E-3"/>
                  <c:y val="6.3216148572212295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5172421283250419E-3"/>
                  <c:y val="2.6621723718431552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060418552866984E-2"/>
                  <c:y val="-2.661336751118160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2370760571648211E-2"/>
                  <c:y val="-3.02728099965596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0.52554744525547448</c:v>
                </c:pt>
                <c:pt idx="4">
                  <c:v>0.40145985401459849</c:v>
                </c:pt>
                <c:pt idx="5">
                  <c:v>0.929045643153527</c:v>
                </c:pt>
                <c:pt idx="6">
                  <c:v>0.90057995028997517</c:v>
                </c:pt>
                <c:pt idx="7">
                  <c:v>0.80999180999180997</c:v>
                </c:pt>
                <c:pt idx="8">
                  <c:v>0.56064296151972726</c:v>
                </c:pt>
                <c:pt idx="9">
                  <c:v>0.17923115327009487</c:v>
                </c:pt>
                <c:pt idx="10">
                  <c:v>-4.520341536916106E-3</c:v>
                </c:pt>
              </c:numCache>
            </c:numRef>
          </c:val>
        </c:ser>
        <c:ser>
          <c:idx val="2"/>
          <c:order val="2"/>
          <c:tx>
            <c:strRef>
              <c:f>DEEE!$N$3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98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3793105320812614E-2"/>
                  <c:y val="-1.829721242689037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7241381651015755E-2"/>
                  <c:y val="-2.56160973976465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034486971828271E-2"/>
                  <c:y val="-2.195665491226842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344828990609421E-2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2068967155710979E-2"/>
                  <c:y val="1.829721242689037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965526604062802E-3"/>
                  <c:y val="1.097832745613423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8.7136929460580916E-3</c:v>
                </c:pt>
                <c:pt idx="6">
                  <c:v>1.3256006628003313E-2</c:v>
                </c:pt>
                <c:pt idx="7">
                  <c:v>3.0303030303030304E-2</c:v>
                </c:pt>
                <c:pt idx="8">
                  <c:v>0.23331709693132002</c:v>
                </c:pt>
                <c:pt idx="9">
                  <c:v>0.26410384423364952</c:v>
                </c:pt>
                <c:pt idx="10">
                  <c:v>0.27373179306880963</c:v>
                </c:pt>
              </c:numCache>
            </c:numRef>
          </c:val>
        </c:ser>
        <c:ser>
          <c:idx val="3"/>
          <c:order val="3"/>
          <c:tx>
            <c:strRef>
              <c:f>DEEE!$O$3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DEEE!$P$3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3.4439727727359357E-2"/>
                  <c:y val="3.75916949673157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439727727359357E-2"/>
                  <c:y val="3.39322524819376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336280387765413E-2"/>
                  <c:y val="3.39322524819376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5776552508356682E-3"/>
                  <c:y val="-2.827826976948969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0301793415937245E-2"/>
                  <c:y val="-2.461882728411169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5776552508356682E-3"/>
                  <c:y val="-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0.99128630705394194</c:v>
                </c:pt>
                <c:pt idx="6">
                  <c:v>0.9867439933719967</c:v>
                </c:pt>
                <c:pt idx="7">
                  <c:v>0.96969696969696972</c:v>
                </c:pt>
                <c:pt idx="8">
                  <c:v>0.76668290306867992</c:v>
                </c:pt>
                <c:pt idx="9">
                  <c:v>0.73589615576635048</c:v>
                </c:pt>
                <c:pt idx="10">
                  <c:v>0.72626820693119032</c:v>
                </c:pt>
              </c:numCache>
            </c:numRef>
          </c:val>
        </c:ser>
        <c:marker val="1"/>
        <c:axId val="127564416"/>
        <c:axId val="127734144"/>
      </c:lineChart>
      <c:catAx>
        <c:axId val="1275644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734144"/>
        <c:crosses val="autoZero"/>
        <c:auto val="1"/>
        <c:lblAlgn val="ctr"/>
        <c:lblOffset val="100"/>
      </c:catAx>
      <c:valAx>
        <c:axId val="127734144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564416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DDS'!$C$134:$C$145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elete val="1"/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DDS'!$D$134:$D$145</c:f>
              <c:numCache>
                <c:formatCode>General</c:formatCode>
                <c:ptCount val="12"/>
                <c:pt idx="10">
                  <c:v>1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DDS'!$E$134:$E$145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trendline>
            <c:name>157</c:name>
            <c:trendlineType val="linear"/>
          </c:trendline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DDS'!$F$134:$F$145</c:f>
              <c:numCache>
                <c:formatCode>General</c:formatCode>
                <c:ptCount val="12"/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DDS'!$G$134:$G$145</c:f>
              <c:numCache>
                <c:formatCode>General</c:formatCode>
                <c:ptCount val="12"/>
                <c:pt idx="10">
                  <c:v>1</c:v>
                </c:pt>
              </c:numCache>
            </c:numRef>
          </c:val>
        </c:ser>
        <c:dLbls>
          <c:showVal val="1"/>
        </c:dLbls>
        <c:marker val="1"/>
        <c:axId val="120110080"/>
        <c:axId val="120115968"/>
      </c:lineChart>
      <c:catAx>
        <c:axId val="1201100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115968"/>
        <c:crosses val="autoZero"/>
        <c:auto val="1"/>
        <c:lblAlgn val="ctr"/>
        <c:lblOffset val="100"/>
      </c:catAx>
      <c:valAx>
        <c:axId val="120115968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110080"/>
        <c:crosses val="autoZero"/>
        <c:crossBetween val="between"/>
        <c:majorUnit val="20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7751296"/>
        <c:axId val="127752832"/>
      </c:lineChart>
      <c:catAx>
        <c:axId val="127751296"/>
        <c:scaling>
          <c:orientation val="minMax"/>
        </c:scaling>
        <c:axPos val="b"/>
        <c:numFmt formatCode="General" sourceLinked="1"/>
        <c:majorTickMark val="none"/>
        <c:tickLblPos val="nextTo"/>
        <c:crossAx val="127752832"/>
        <c:crosses val="autoZero"/>
        <c:auto val="1"/>
        <c:lblAlgn val="ctr"/>
        <c:lblOffset val="100"/>
      </c:catAx>
      <c:valAx>
        <c:axId val="127752832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127751296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7777408"/>
        <c:axId val="127783296"/>
      </c:lineChart>
      <c:catAx>
        <c:axId val="1277774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783296"/>
        <c:crosses val="autoZero"/>
        <c:auto val="1"/>
        <c:lblAlgn val="ctr"/>
        <c:lblOffset val="100"/>
      </c:catAx>
      <c:valAx>
        <c:axId val="127783296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7774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7848832"/>
        <c:axId val="127850368"/>
      </c:lineChart>
      <c:catAx>
        <c:axId val="1278488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850368"/>
        <c:crosses val="autoZero"/>
        <c:auto val="1"/>
        <c:lblAlgn val="ctr"/>
        <c:lblOffset val="100"/>
      </c:catAx>
      <c:valAx>
        <c:axId val="12785036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8488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343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8329600"/>
        <c:axId val="128331136"/>
      </c:lineChart>
      <c:catAx>
        <c:axId val="1283296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331136"/>
        <c:crosses val="autoZero"/>
        <c:auto val="1"/>
        <c:lblAlgn val="ctr"/>
        <c:lblOffset val="100"/>
      </c:catAx>
      <c:valAx>
        <c:axId val="12833113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3296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9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8372096"/>
        <c:axId val="127874176"/>
      </c:lineChart>
      <c:catAx>
        <c:axId val="1283720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874176"/>
        <c:crosses val="autoZero"/>
        <c:auto val="1"/>
        <c:lblAlgn val="ctr"/>
        <c:lblOffset val="100"/>
      </c:catAx>
      <c:valAx>
        <c:axId val="127874176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372096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7890560"/>
        <c:axId val="127892096"/>
      </c:lineChart>
      <c:catAx>
        <c:axId val="1278905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892096"/>
        <c:crosses val="autoZero"/>
        <c:auto val="1"/>
        <c:lblAlgn val="ctr"/>
        <c:lblOffset val="100"/>
      </c:catAx>
      <c:valAx>
        <c:axId val="127892096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89056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37"/>
          <c:y val="2.196874556732999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8518784"/>
        <c:axId val="128549248"/>
      </c:lineChart>
      <c:catAx>
        <c:axId val="1285187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549248"/>
        <c:crosses val="autoZero"/>
        <c:auto val="1"/>
        <c:lblAlgn val="ctr"/>
        <c:lblOffset val="100"/>
      </c:catAx>
      <c:valAx>
        <c:axId val="12854924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51878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503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8598400"/>
        <c:axId val="128599936"/>
      </c:lineChart>
      <c:catAx>
        <c:axId val="1285984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599936"/>
        <c:crosses val="autoZero"/>
        <c:auto val="1"/>
        <c:lblAlgn val="ctr"/>
        <c:lblOffset val="100"/>
      </c:catAx>
      <c:valAx>
        <c:axId val="12859993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59840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92"/>
          <c:y val="0.4319761722718719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503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28624512"/>
        <c:axId val="128626048"/>
      </c:lineChart>
      <c:catAx>
        <c:axId val="1286245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626048"/>
        <c:crosses val="autoZero"/>
        <c:auto val="1"/>
        <c:lblAlgn val="ctr"/>
        <c:lblOffset val="100"/>
      </c:catAx>
      <c:valAx>
        <c:axId val="12862604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62451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14"/>
          <c:y val="0.4319761722718721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0856704"/>
        <c:axId val="140883072"/>
      </c:lineChart>
      <c:catAx>
        <c:axId val="1408567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0883072"/>
        <c:crosses val="autoZero"/>
        <c:auto val="1"/>
        <c:lblAlgn val="ctr"/>
        <c:lblOffset val="100"/>
      </c:catAx>
      <c:valAx>
        <c:axId val="14088307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085670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36"/>
          <c:y val="0.4319761722718724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DDS'!$C$147:$C$158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DDS'!$D$147:$D$158</c:f>
              <c:numCache>
                <c:formatCode>General</c:formatCode>
                <c:ptCount val="12"/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DDS'!$E$147:$E$158</c:f>
              <c:numCache>
                <c:formatCode>General</c:formatCode>
                <c:ptCount val="12"/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157</c:name>
            <c:trendlineType val="linear"/>
          </c:trendline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DDS'!$F$147:$F$158</c:f>
              <c:numCache>
                <c:formatCode>General</c:formatCode>
                <c:ptCount val="12"/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DDS'!$G$147:$G$158</c:f>
              <c:numCache>
                <c:formatCode>General</c:formatCode>
                <c:ptCount val="12"/>
              </c:numCache>
            </c:numRef>
          </c:val>
        </c:ser>
        <c:dLbls>
          <c:showVal val="1"/>
        </c:dLbls>
        <c:marker val="1"/>
        <c:axId val="120183424"/>
        <c:axId val="120390016"/>
      </c:lineChart>
      <c:catAx>
        <c:axId val="1201834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390016"/>
        <c:crosses val="autoZero"/>
        <c:auto val="1"/>
        <c:lblAlgn val="ctr"/>
        <c:lblOffset val="100"/>
      </c:catAx>
      <c:valAx>
        <c:axId val="120390016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183424"/>
        <c:crosses val="autoZero"/>
        <c:crossBetween val="between"/>
        <c:majorUnit val="20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503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0899456"/>
        <c:axId val="140900992"/>
      </c:lineChart>
      <c:catAx>
        <c:axId val="1408994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0900992"/>
        <c:crosses val="autoZero"/>
        <c:auto val="1"/>
        <c:lblAlgn val="ctr"/>
        <c:lblOffset val="100"/>
      </c:catAx>
      <c:valAx>
        <c:axId val="14090099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089945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81"/>
          <c:y val="0.4319761722718726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1"/>
              <c:layout>
                <c:manualLayout>
                  <c:x val="-1.4750069881899247E-2"/>
                  <c:y val="4.405011931432581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DDS'!$C$4:$C$15</c:f>
              <c:numCache>
                <c:formatCode>General</c:formatCode>
                <c:ptCount val="12"/>
                <c:pt idx="0">
                  <c:v>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51</c:v>
                </c:pt>
              </c:numCache>
            </c:numRef>
          </c:val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layout>
                <c:manualLayout>
                  <c:x val="-4.0612142358422802E-2"/>
                  <c:y val="4.3551553275488386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DDS'!$D$4:$D$15</c:f>
              <c:numCache>
                <c:formatCode>General</c:formatCode>
                <c:ptCount val="12"/>
                <c:pt idx="0">
                  <c:v>51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DDS'!$E$4:$E$15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trendline>
            <c:name>157</c:name>
            <c:trendlineType val="linear"/>
          </c:trendline>
          <c:val>
            <c:numRef>
              <c:f>'Eco DDS'!$F$4:$F$15</c:f>
              <c:numCache>
                <c:formatCode>General</c:formatCode>
                <c:ptCount val="12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</c:numCache>
            </c:numRef>
          </c:val>
        </c:ser>
        <c:marker val="1"/>
        <c:axId val="120452608"/>
        <c:axId val="120454144"/>
      </c:lineChart>
      <c:lineChart>
        <c:grouping val="standard"/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'Eco DDS'!$G$4:$G$14</c:f>
              <c:numCache>
                <c:formatCode>General</c:formatCode>
                <c:ptCount val="11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</c:numCache>
            </c:numRef>
          </c:val>
        </c:ser>
        <c:marker val="1"/>
        <c:axId val="120469760"/>
        <c:axId val="120468224"/>
      </c:lineChart>
      <c:catAx>
        <c:axId val="1204526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454144"/>
        <c:crosses val="autoZero"/>
        <c:auto val="1"/>
        <c:lblAlgn val="ctr"/>
        <c:lblOffset val="100"/>
      </c:catAx>
      <c:valAx>
        <c:axId val="120454144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452608"/>
        <c:crosses val="autoZero"/>
        <c:crossBetween val="between"/>
        <c:majorUnit val="20"/>
      </c:valAx>
      <c:valAx>
        <c:axId val="120468224"/>
        <c:scaling>
          <c:orientation val="minMax"/>
          <c:max val="80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0469760"/>
        <c:crosses val="max"/>
        <c:crossBetween val="between"/>
        <c:majorUnit val="20"/>
      </c:valAx>
      <c:catAx>
        <c:axId val="120469760"/>
        <c:scaling>
          <c:orientation val="minMax"/>
        </c:scaling>
        <c:delete val="1"/>
        <c:axPos val="b"/>
        <c:tickLblPos val="none"/>
        <c:crossAx val="120468224"/>
        <c:crosses val="autoZero"/>
        <c:auto val="1"/>
        <c:lblAlgn val="ctr"/>
        <c:lblOffset val="100"/>
      </c:cat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'Eco DDS'!$L$3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</c:dPt>
          <c:dPt>
            <c:idx val="2"/>
            <c:spPr>
              <a:ln>
                <a:solidFill>
                  <a:srgbClr val="00B050"/>
                </a:solidFill>
              </a:ln>
            </c:spPr>
          </c:dPt>
          <c:dPt>
            <c:idx val="3"/>
            <c:spPr>
              <a:ln>
                <a:solidFill>
                  <a:srgbClr val="00B050"/>
                </a:solidFill>
              </a:ln>
            </c:spPr>
          </c:dPt>
          <c:dPt>
            <c:idx val="4"/>
            <c:spPr>
              <a:ln>
                <a:solidFill>
                  <a:srgbClr val="00B050"/>
                </a:solidFill>
              </a:ln>
            </c:spPr>
          </c:dPt>
          <c:dPt>
            <c:idx val="5"/>
            <c:spPr>
              <a:ln>
                <a:solidFill>
                  <a:srgbClr val="00B050"/>
                </a:solidFill>
              </a:ln>
            </c:spPr>
          </c:dPt>
          <c:dPt>
            <c:idx val="6"/>
            <c:spPr>
              <a:ln>
                <a:solidFill>
                  <a:srgbClr val="00B050"/>
                </a:solidFill>
              </a:ln>
            </c:spPr>
          </c:dPt>
          <c:dPt>
            <c:idx val="7"/>
            <c:spPr>
              <a:ln>
                <a:solidFill>
                  <a:srgbClr val="00B050"/>
                </a:solidFill>
              </a:ln>
            </c:spPr>
          </c:dPt>
          <c:dPt>
            <c:idx val="8"/>
            <c:spPr>
              <a:ln>
                <a:solidFill>
                  <a:srgbClr val="00B050"/>
                </a:solidFill>
              </a:ln>
            </c:spPr>
          </c:dPt>
          <c:dPt>
            <c:idx val="9"/>
            <c:spPr>
              <a:ln>
                <a:solidFill>
                  <a:srgbClr val="00B050"/>
                </a:solidFill>
              </a:ln>
            </c:spPr>
          </c:dPt>
          <c:dPt>
            <c:idx val="10"/>
            <c:spPr>
              <a:ln>
                <a:solidFill>
                  <a:srgbClr val="00B050"/>
                </a:solidFill>
              </a:ln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025938368984297E-2"/>
                  <c:y val="1.009105861065279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052407555309216E-3"/>
                  <c:y val="2.322605399955506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267313232054483E-2"/>
                  <c:y val="3.063209213215234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1293789206324899E-3"/>
                  <c:y val="8.4148524288370444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8.577655250835637E-3"/>
                  <c:y val="4.7119791449511663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DDS'!$L$160:$L$171</c:f>
              <c:numCache>
                <c:formatCode>0.00%</c:formatCode>
                <c:ptCount val="12"/>
                <c:pt idx="0">
                  <c:v>0</c:v>
                </c:pt>
                <c:pt idx="1">
                  <c:v>0.40740740740740738</c:v>
                </c:pt>
                <c:pt idx="2">
                  <c:v>0.85321100917431192</c:v>
                </c:pt>
                <c:pt idx="3">
                  <c:v>0.38721804511278196</c:v>
                </c:pt>
                <c:pt idx="4">
                  <c:v>0.44230769230769229</c:v>
                </c:pt>
                <c:pt idx="5">
                  <c:v>0.39655172413793105</c:v>
                </c:pt>
                <c:pt idx="6">
                  <c:v>0.391156462585034</c:v>
                </c:pt>
                <c:pt idx="7">
                  <c:v>0.38590604026845637</c:v>
                </c:pt>
                <c:pt idx="8">
                  <c:v>0.38333333333333336</c:v>
                </c:pt>
                <c:pt idx="9">
                  <c:v>0.53442622950819674</c:v>
                </c:pt>
                <c:pt idx="10">
                  <c:v>0.65789473684210531</c:v>
                </c:pt>
              </c:numCache>
            </c:numRef>
          </c:val>
        </c:ser>
        <c:ser>
          <c:idx val="1"/>
          <c:order val="1"/>
          <c:tx>
            <c:strRef>
              <c:f>'Eco DDS'!$M$3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3750076534085889E-2"/>
                  <c:y val="-4.7119791449511663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715589562257612E-2"/>
                  <c:y val="-8.987806467432649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4.303557467222031E-5"/>
                  <c:y val="-1.009105861065279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6811025904293505E-3"/>
                  <c:y val="-2.692921884826646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DDS'!$M$160:$M$171</c:f>
              <c:numCache>
                <c:formatCode>0.00%</c:formatCode>
                <c:ptCount val="12"/>
                <c:pt idx="0">
                  <c:v>1</c:v>
                </c:pt>
                <c:pt idx="1">
                  <c:v>0.59259259259259256</c:v>
                </c:pt>
                <c:pt idx="2">
                  <c:v>0.14678899082568808</c:v>
                </c:pt>
                <c:pt idx="3">
                  <c:v>0.61278195488721798</c:v>
                </c:pt>
                <c:pt idx="4">
                  <c:v>0.5346153846153846</c:v>
                </c:pt>
                <c:pt idx="5">
                  <c:v>0.58275862068965512</c:v>
                </c:pt>
                <c:pt idx="6">
                  <c:v>0.58843537414965985</c:v>
                </c:pt>
                <c:pt idx="7">
                  <c:v>0.59395973154362414</c:v>
                </c:pt>
                <c:pt idx="8">
                  <c:v>0.56333333333333335</c:v>
                </c:pt>
                <c:pt idx="9">
                  <c:v>0.40327868852459015</c:v>
                </c:pt>
                <c:pt idx="10">
                  <c:v>0.27302631578947362</c:v>
                </c:pt>
              </c:numCache>
            </c:numRef>
          </c:val>
        </c:ser>
        <c:ser>
          <c:idx val="2"/>
          <c:order val="2"/>
          <c:tx>
            <c:strRef>
              <c:f>'Eco DDS'!$N$3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2.3076923076923078E-2</c:v>
                </c:pt>
                <c:pt idx="5">
                  <c:v>2.0689655172413793E-2</c:v>
                </c:pt>
                <c:pt idx="6">
                  <c:v>2.0408163265306121E-2</c:v>
                </c:pt>
                <c:pt idx="7">
                  <c:v>2.0134228187919462E-2</c:v>
                </c:pt>
                <c:pt idx="8">
                  <c:v>5.3333333333333337E-2</c:v>
                </c:pt>
                <c:pt idx="9">
                  <c:v>6.2295081967213117E-2</c:v>
                </c:pt>
                <c:pt idx="10">
                  <c:v>6.9078947368421059E-2</c:v>
                </c:pt>
              </c:numCache>
            </c:numRef>
          </c:val>
        </c:ser>
        <c:ser>
          <c:idx val="3"/>
          <c:order val="3"/>
          <c:tx>
            <c:strRef>
              <c:f>'Eco DDS'!$O$3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name>157</c:name>
            <c:trendlineType val="linear"/>
          </c:trendline>
          <c:val>
            <c:numRef>
              <c:f>'Eco DDS'!$O$160:$O$171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'Eco DDS'!$P$3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DDS'!$K$4:$K$15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0.97692307692307689</c:v>
                </c:pt>
                <c:pt idx="5">
                  <c:v>0.97931034482758617</c:v>
                </c:pt>
                <c:pt idx="6">
                  <c:v>0.97959183673469385</c:v>
                </c:pt>
                <c:pt idx="7">
                  <c:v>0.97986577181208057</c:v>
                </c:pt>
                <c:pt idx="8">
                  <c:v>0.94666666666666666</c:v>
                </c:pt>
                <c:pt idx="9">
                  <c:v>0.93770491803278688</c:v>
                </c:pt>
                <c:pt idx="10">
                  <c:v>0.93092105263157898</c:v>
                </c:pt>
              </c:numCache>
            </c:numRef>
          </c:val>
        </c:ser>
        <c:marker val="1"/>
        <c:axId val="122126720"/>
        <c:axId val="122128256"/>
      </c:lineChart>
      <c:catAx>
        <c:axId val="1221267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128256"/>
        <c:crosses val="autoZero"/>
        <c:auto val="1"/>
        <c:lblAlgn val="ctr"/>
        <c:lblOffset val="100"/>
      </c:catAx>
      <c:valAx>
        <c:axId val="122128256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126720"/>
        <c:crosses val="autoZero"/>
        <c:crossBetween val="between"/>
        <c:majorUnit val="0.2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Déchets diffus spéc. ménagers 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DDS'!$U$3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1.771558752587394E-2"/>
                  <c:y val="-2.662228130534237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978416098074408E-2"/>
                  <c:y val="-2.547757957339912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6474208047000821E-2"/>
                  <c:y val="-2.870624162570315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0775864889473989E-2"/>
                  <c:y val="-3.02829494724026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991449360772406E-2"/>
                  <c:y val="-2.296161313828217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5991449360772406E-2"/>
                  <c:y val="-2.662228130534237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771558752587395E-2"/>
                  <c:y val="-2.662228130534237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7715587525874016E-2"/>
                  <c:y val="-3.02829494724026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771558752587395E-2"/>
                  <c:y val="-3.394361763946281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9948278570225183E-2"/>
                  <c:y val="-2.943724865333536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6500002240022061E-2"/>
                  <c:y val="-3.309791682039556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DDS'!$U$160:$U$171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tx>
            <c:strRef>
              <c:f>'Eco DDS'!$V$3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71558752587395E-2"/>
                  <c:y val="-2.296161313828217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5991449360772406E-2"/>
                  <c:y val="-2.296161313828217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771558752587395E-2"/>
                  <c:y val="-3.394361763946281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1646622542305559E-2"/>
                  <c:y val="-3.237969645647459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DDS'!$V$160:$V$171</c:f>
              <c:numCache>
                <c:formatCode>General</c:formatCode>
                <c:ptCount val="12"/>
              </c:numCache>
            </c:numRef>
          </c:val>
        </c:ser>
        <c:ser>
          <c:idx val="2"/>
          <c:order val="2"/>
          <c:tx>
            <c:strRef>
              <c:f>'Eco DDS'!$W$3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815083059337912E-2"/>
                  <c:y val="3.337606995277449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771558752587395E-2"/>
                  <c:y val="3.560907753468127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707585352645426E-3"/>
                  <c:y val="1.737098472307880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DDS'!$W$160:$W$171</c:f>
              <c:numCache>
                <c:formatCode>General</c:formatCode>
                <c:ptCount val="12"/>
              </c:numCache>
            </c:numRef>
          </c:val>
        </c:ser>
        <c:marker val="1"/>
        <c:axId val="122238464"/>
        <c:axId val="122240000"/>
      </c:lineChart>
      <c:lineChart>
        <c:grouping val="standard"/>
        <c:ser>
          <c:idx val="3"/>
          <c:order val="3"/>
          <c:tx>
            <c:strRef>
              <c:f>'Eco DDS'!$X$3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DDS'!$X$160:$X$171</c:f>
              <c:numCache>
                <c:formatCode>General</c:formatCode>
                <c:ptCount val="12"/>
              </c:numCache>
            </c:numRef>
          </c:val>
        </c:ser>
        <c:ser>
          <c:idx val="4"/>
          <c:order val="4"/>
          <c:tx>
            <c:strRef>
              <c:f>'Eco DDS'!$Y$3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0"/>
              <c:layout>
                <c:manualLayout>
                  <c:x val="-3.3232831011788075E-2"/>
                  <c:y val="1.197960863710154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1646622542305555E-2"/>
                  <c:y val="2.902693315959158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1646622542305555E-2"/>
                  <c:y val="2.902693315959158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6939725351578266E-2"/>
                  <c:y val="4.519286000306776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DDS'!$T$160:$T$171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DDS'!$Y$160:$Y$171</c:f>
              <c:numCache>
                <c:formatCode>General</c:formatCode>
                <c:ptCount val="12"/>
              </c:numCache>
            </c:numRef>
          </c:val>
        </c:ser>
        <c:marker val="1"/>
        <c:axId val="122255616"/>
        <c:axId val="122254080"/>
      </c:lineChart>
      <c:catAx>
        <c:axId val="122238464"/>
        <c:scaling>
          <c:orientation val="minMax"/>
        </c:scaling>
        <c:axPos val="b"/>
        <c:numFmt formatCode="General" sourceLinked="1"/>
        <c:majorTickMark val="none"/>
        <c:tickLblPos val="nextTo"/>
        <c:crossAx val="122240000"/>
        <c:crosses val="autoZero"/>
        <c:auto val="1"/>
        <c:lblAlgn val="ctr"/>
        <c:lblOffset val="100"/>
      </c:catAx>
      <c:valAx>
        <c:axId val="122240000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122238464"/>
        <c:crosses val="autoZero"/>
        <c:crossBetween val="between"/>
        <c:minorUnit val="1"/>
      </c:valAx>
      <c:valAx>
        <c:axId val="122254080"/>
        <c:scaling>
          <c:orientation val="minMax"/>
        </c:scaling>
        <c:axPos val="r"/>
        <c:numFmt formatCode="General" sourceLinked="1"/>
        <c:tickLblPos val="nextTo"/>
        <c:crossAx val="122255616"/>
        <c:crosses val="max"/>
        <c:crossBetween val="between"/>
      </c:valAx>
      <c:catAx>
        <c:axId val="122255616"/>
        <c:scaling>
          <c:orientation val="minMax"/>
        </c:scaling>
        <c:delete val="1"/>
        <c:axPos val="b"/>
        <c:numFmt formatCode="General" sourceLinked="1"/>
        <c:tickLblPos val="none"/>
        <c:crossAx val="122254080"/>
        <c:crosses val="autoZero"/>
        <c:auto val="1"/>
        <c:lblAlgn val="ctr"/>
        <c:lblOffset val="100"/>
      </c:cat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</a:t>
            </a:r>
            <a:r>
              <a:rPr lang="fr-FR" sz="1400" baseline="0"/>
              <a:t> d'ameublement</a:t>
            </a:r>
            <a:r>
              <a:rPr lang="fr-FR" sz="1400"/>
              <a:t>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935384053133876E-2"/>
                  <c:y val="-2.520714686981269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156</c:v>
                </c:pt>
                <c:pt idx="4">
                  <c:v>312</c:v>
                </c:pt>
                <c:pt idx="5">
                  <c:v>2264</c:v>
                </c:pt>
                <c:pt idx="6">
                  <c:v>2288</c:v>
                </c:pt>
                <c:pt idx="7">
                  <c:v>2324</c:v>
                </c:pt>
                <c:pt idx="8">
                  <c:v>2346</c:v>
                </c:pt>
                <c:pt idx="9">
                  <c:v>2346</c:v>
                </c:pt>
                <c:pt idx="10">
                  <c:v>2349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4137934311421982E-2"/>
                  <c:y val="-7.3249763236001506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724144953047115E-3"/>
                  <c:y val="-1.797039195515907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8965526604062802E-3"/>
                  <c:y val="-2.162577720110318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6206908255078533E-3"/>
                  <c:y val="-3.320500148805834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0344828990609421E-2"/>
                  <c:y val="-3.317708240389647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4482763302031401E-3"/>
                  <c:y val="-1.473296500920810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156</c:v>
                </c:pt>
                <c:pt idx="4">
                  <c:v>155</c:v>
                </c:pt>
                <c:pt idx="5">
                  <c:v>2105</c:v>
                </c:pt>
                <c:pt idx="6">
                  <c:v>2088</c:v>
                </c:pt>
                <c:pt idx="7">
                  <c:v>2114</c:v>
                </c:pt>
                <c:pt idx="8">
                  <c:v>1517</c:v>
                </c:pt>
                <c:pt idx="9">
                  <c:v>1485</c:v>
                </c:pt>
                <c:pt idx="10">
                  <c:v>1488</c:v>
                </c:pt>
              </c:numCache>
            </c:numRef>
          </c:val>
        </c:ser>
        <c:marker val="1"/>
        <c:axId val="122467072"/>
        <c:axId val="122468608"/>
      </c:lineChart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5603450394169213E-2"/>
                  <c:y val="2.292847591158701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1.732758855927078E-2"/>
                  <c:y val="1.92730906656427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2.939655571498177E-2"/>
                  <c:y val="-9.9893643650860574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854317520271183E-2"/>
                  <c:y val="-1.141773474818809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6251710053178122E-3"/>
                  <c:y val="1.053585645100661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526207511024658E-3"/>
                  <c:y val="-4.3029928682570369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</c:v>
                </c:pt>
                <c:pt idx="4">
                  <c:v>51</c:v>
                </c:pt>
                <c:pt idx="5">
                  <c:v>51</c:v>
                </c:pt>
                <c:pt idx="6">
                  <c:v>61</c:v>
                </c:pt>
                <c:pt idx="7">
                  <c:v>186</c:v>
                </c:pt>
                <c:pt idx="8">
                  <c:v>195</c:v>
                </c:pt>
                <c:pt idx="9">
                  <c:v>625</c:v>
                </c:pt>
                <c:pt idx="10">
                  <c:v>730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133</c:v>
                </c:pt>
                <c:pt idx="4">
                  <c:v>104</c:v>
                </c:pt>
                <c:pt idx="5">
                  <c:v>2054</c:v>
                </c:pt>
                <c:pt idx="6">
                  <c:v>2027</c:v>
                </c:pt>
                <c:pt idx="7">
                  <c:v>1928</c:v>
                </c:pt>
                <c:pt idx="8">
                  <c:v>1322</c:v>
                </c:pt>
                <c:pt idx="9">
                  <c:v>860</c:v>
                </c:pt>
                <c:pt idx="10">
                  <c:v>758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7241517409926337E-2"/>
                  <c:y val="-7.3107704918882119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-2.92999052944006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6206908255078568E-3"/>
                  <c:y val="-3.29623934562006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17243485914123E-2"/>
                  <c:y val="-2.5637417132600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034486971828344E-2"/>
                  <c:y val="-4.02873697798007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10348806726692E-2"/>
                  <c:y val="-2.567894455742725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1034486971828264E-2"/>
                  <c:y val="2.564180793627312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0689657981218842E-2"/>
                  <c:y val="-2.5637417132600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157</c:v>
                </c:pt>
                <c:pt idx="5">
                  <c:v>159</c:v>
                </c:pt>
                <c:pt idx="6">
                  <c:v>200</c:v>
                </c:pt>
                <c:pt idx="7">
                  <c:v>210</c:v>
                </c:pt>
                <c:pt idx="8">
                  <c:v>829</c:v>
                </c:pt>
                <c:pt idx="9">
                  <c:v>861</c:v>
                </c:pt>
                <c:pt idx="10">
                  <c:v>861</c:v>
                </c:pt>
              </c:numCache>
            </c:numRef>
          </c:val>
        </c:ser>
        <c:marker val="1"/>
        <c:axId val="122488320"/>
        <c:axId val="122486784"/>
      </c:lineChart>
      <c:catAx>
        <c:axId val="1224670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468608"/>
        <c:crosses val="autoZero"/>
        <c:auto val="1"/>
        <c:lblAlgn val="ctr"/>
        <c:lblOffset val="100"/>
      </c:catAx>
      <c:valAx>
        <c:axId val="122468608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467072"/>
        <c:crosses val="autoZero"/>
        <c:crossBetween val="between"/>
        <c:majorUnit val="300"/>
      </c:valAx>
      <c:valAx>
        <c:axId val="122486784"/>
        <c:scaling>
          <c:orientation val="minMax"/>
          <c:max val="3000"/>
          <c:min val="0"/>
        </c:scaling>
        <c:delete val="1"/>
        <c:axPos val="r"/>
        <c:numFmt formatCode="General" sourceLinked="1"/>
        <c:tickLblPos val="none"/>
        <c:crossAx val="122488320"/>
        <c:crosses val="max"/>
        <c:crossBetween val="between"/>
        <c:majorUnit val="300"/>
      </c:valAx>
      <c:catAx>
        <c:axId val="122488320"/>
        <c:scaling>
          <c:orientation val="minMax"/>
        </c:scaling>
        <c:delete val="1"/>
        <c:axPos val="b"/>
        <c:numFmt formatCode="General" sourceLinked="1"/>
        <c:tickLblPos val="none"/>
        <c:crossAx val="122486784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mobilier'!$C$17:$C$28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mobilier'!$D$17:$D$28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mobilier'!$E$17:$E$28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mobilier'!$F$17:$F$28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mobilier'!$G$17:$G$28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marker val="1"/>
        <c:axId val="122530432"/>
        <c:axId val="122552704"/>
      </c:lineChart>
      <c:catAx>
        <c:axId val="1225304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552704"/>
        <c:crosses val="autoZero"/>
        <c:auto val="1"/>
        <c:lblAlgn val="ctr"/>
        <c:lblOffset val="100"/>
      </c:catAx>
      <c:valAx>
        <c:axId val="122552704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530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14"/>
          <c:y val="0.43197617227186863"/>
          <c:w val="0.14625008773419618"/>
          <c:h val="0.28682619089629047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mobilier'!$C$4:$C$15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mobilier'!$D$4:$D$15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mobilier'!$E$4:$E$15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157</c:name>
            <c:trendlineType val="linear"/>
          </c:trendline>
          <c:val>
            <c:numRef>
              <c:f>'Eco mobilier'!$F$4:$F$15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Val val="1"/>
        </c:dLbls>
        <c:marker val="1"/>
        <c:axId val="122608640"/>
        <c:axId val="122626816"/>
      </c:lineChart>
      <c:lineChart>
        <c:grouping val="standard"/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mobilier'!$B$4:$B$15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mobilier'!$G$4:$G$15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Val val="1"/>
        </c:dLbls>
        <c:marker val="1"/>
        <c:axId val="122634240"/>
        <c:axId val="122628352"/>
      </c:lineChart>
      <c:catAx>
        <c:axId val="1226086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626816"/>
        <c:crosses val="autoZero"/>
        <c:auto val="1"/>
        <c:lblAlgn val="ctr"/>
        <c:lblOffset val="100"/>
      </c:catAx>
      <c:valAx>
        <c:axId val="122626816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608640"/>
        <c:crosses val="autoZero"/>
        <c:crossBetween val="between"/>
        <c:majorUnit val="20"/>
      </c:valAx>
      <c:valAx>
        <c:axId val="122628352"/>
        <c:scaling>
          <c:orientation val="minMax"/>
          <c:max val="80"/>
        </c:scaling>
        <c:delete val="1"/>
        <c:axPos val="r"/>
        <c:numFmt formatCode="General" sourceLinked="1"/>
        <c:tickLblPos val="none"/>
        <c:crossAx val="122634240"/>
        <c:crosses val="max"/>
        <c:crossBetween val="between"/>
        <c:majorUnit val="20"/>
      </c:valAx>
      <c:catAx>
        <c:axId val="122634240"/>
        <c:scaling>
          <c:orientation val="minMax"/>
        </c:scaling>
        <c:delete val="1"/>
        <c:axPos val="b"/>
        <c:numFmt formatCode="General" sourceLinked="1"/>
        <c:tickLblPos val="none"/>
        <c:crossAx val="122628352"/>
        <c:crosses val="autoZero"/>
        <c:auto val="1"/>
        <c:lblAlgn val="ctr"/>
        <c:lblOffset val="100"/>
      </c:cat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</a:t>
            </a:r>
            <a:r>
              <a:rPr lang="fr-FR" sz="1400" baseline="0"/>
              <a:t> d'ameublement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'Eco mobilier'!$L$3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</c:dPt>
          <c:dPt>
            <c:idx val="2"/>
            <c:spPr>
              <a:ln>
                <a:solidFill>
                  <a:srgbClr val="00B050"/>
                </a:solidFill>
              </a:ln>
            </c:spPr>
          </c:dPt>
          <c:dPt>
            <c:idx val="3"/>
            <c:spPr>
              <a:ln>
                <a:solidFill>
                  <a:srgbClr val="00B050"/>
                </a:solidFill>
              </a:ln>
            </c:spPr>
          </c:dPt>
          <c:dPt>
            <c:idx val="4"/>
            <c:spPr>
              <a:ln>
                <a:solidFill>
                  <a:srgbClr val="00B050"/>
                </a:solidFill>
              </a:ln>
            </c:spPr>
          </c:dPt>
          <c:dPt>
            <c:idx val="5"/>
            <c:spPr>
              <a:ln>
                <a:solidFill>
                  <a:srgbClr val="00B050"/>
                </a:solidFill>
              </a:ln>
            </c:spPr>
          </c:dPt>
          <c:dPt>
            <c:idx val="6"/>
            <c:spPr>
              <a:ln>
                <a:solidFill>
                  <a:srgbClr val="00B050"/>
                </a:solidFill>
              </a:ln>
            </c:spPr>
          </c:dPt>
          <c:dPt>
            <c:idx val="7"/>
            <c:spPr>
              <a:ln>
                <a:solidFill>
                  <a:srgbClr val="00B050"/>
                </a:solidFill>
              </a:ln>
            </c:spPr>
          </c:dPt>
          <c:dPt>
            <c:idx val="8"/>
            <c:spPr>
              <a:ln>
                <a:solidFill>
                  <a:srgbClr val="00B050"/>
                </a:solidFill>
              </a:ln>
            </c:spPr>
          </c:dPt>
          <c:dPt>
            <c:idx val="9"/>
            <c:spPr>
              <a:ln>
                <a:solidFill>
                  <a:srgbClr val="00B050"/>
                </a:solidFill>
              </a:ln>
            </c:spPr>
          </c:dPt>
          <c:dPt>
            <c:idx val="10"/>
            <c:spPr>
              <a:ln>
                <a:solidFill>
                  <a:srgbClr val="00B050"/>
                </a:solidFill>
              </a:ln>
            </c:spPr>
          </c:dPt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0.14743589743589744</c:v>
                </c:pt>
                <c:pt idx="4">
                  <c:v>0.32903225806451614</c:v>
                </c:pt>
                <c:pt idx="5">
                  <c:v>2.4228028503562947E-2</c:v>
                </c:pt>
                <c:pt idx="6">
                  <c:v>2.921455938697318E-2</c:v>
                </c:pt>
                <c:pt idx="7">
                  <c:v>8.7984862819299903E-2</c:v>
                </c:pt>
                <c:pt idx="8">
                  <c:v>0.12854317732366513</c:v>
                </c:pt>
                <c:pt idx="9">
                  <c:v>0.4208754208754209</c:v>
                </c:pt>
                <c:pt idx="10">
                  <c:v>0.49059139784946237</c:v>
                </c:pt>
              </c:numCache>
            </c:numRef>
          </c:val>
        </c:ser>
        <c:ser>
          <c:idx val="1"/>
          <c:order val="1"/>
          <c:tx>
            <c:strRef>
              <c:f>'Eco mobilier'!$M$3</c:f>
              <c:strCache>
                <c:ptCount val="1"/>
                <c:pt idx="0">
                  <c:v>Pas de retour OK</c:v>
                </c:pt>
              </c:strCache>
            </c:strRef>
          </c:tx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0.85256410256410253</c:v>
                </c:pt>
                <c:pt idx="4">
                  <c:v>-0.34193548387096784</c:v>
                </c:pt>
                <c:pt idx="5">
                  <c:v>0.9002375296912114</c:v>
                </c:pt>
                <c:pt idx="6">
                  <c:v>0.875</c:v>
                </c:pt>
                <c:pt idx="7">
                  <c:v>0.81267738883632934</c:v>
                </c:pt>
                <c:pt idx="8">
                  <c:v>0.32498352010547127</c:v>
                </c:pt>
                <c:pt idx="9">
                  <c:v>-6.7340067340060372E-4</c:v>
                </c:pt>
                <c:pt idx="10">
                  <c:v>-6.9220430107526876E-2</c:v>
                </c:pt>
              </c:numCache>
            </c:numRef>
          </c:val>
        </c:ser>
        <c:ser>
          <c:idx val="2"/>
          <c:order val="2"/>
          <c:tx>
            <c:strRef>
              <c:f>'Eco mobilier'!$N$3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1.0129032258064516</c:v>
                </c:pt>
                <c:pt idx="5">
                  <c:v>7.5534441805225658E-2</c:v>
                </c:pt>
                <c:pt idx="6">
                  <c:v>9.5785440613026823E-2</c:v>
                </c:pt>
                <c:pt idx="7">
                  <c:v>9.9337748344370855E-2</c:v>
                </c:pt>
                <c:pt idx="8">
                  <c:v>0.54647330257086357</c:v>
                </c:pt>
                <c:pt idx="9">
                  <c:v>0.57979797979797976</c:v>
                </c:pt>
                <c:pt idx="10">
                  <c:v>0.5786290322580645</c:v>
                </c:pt>
              </c:numCache>
            </c:numRef>
          </c:val>
        </c:ser>
        <c:ser>
          <c:idx val="3"/>
          <c:order val="3"/>
          <c:tx>
            <c:strRef>
              <c:f>'Eco mobilier'!$O$3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'Eco mobilier'!$P$3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-1.2903225806451646E-2</c:v>
                </c:pt>
                <c:pt idx="5">
                  <c:v>0.92446555819477438</c:v>
                </c:pt>
                <c:pt idx="6">
                  <c:v>0.90421455938697315</c:v>
                </c:pt>
                <c:pt idx="7">
                  <c:v>0.90066225165562919</c:v>
                </c:pt>
                <c:pt idx="8">
                  <c:v>0.45352669742913643</c:v>
                </c:pt>
                <c:pt idx="9">
                  <c:v>0.42020202020202024</c:v>
                </c:pt>
                <c:pt idx="10">
                  <c:v>0.4213709677419355</c:v>
                </c:pt>
              </c:numCache>
            </c:numRef>
          </c:val>
        </c:ser>
        <c:marker val="1"/>
        <c:axId val="122689024"/>
        <c:axId val="122690560"/>
      </c:lineChart>
      <c:catAx>
        <c:axId val="1226890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690560"/>
        <c:crosses val="autoZero"/>
        <c:auto val="1"/>
        <c:lblAlgn val="ctr"/>
        <c:lblOffset val="100"/>
      </c:catAx>
      <c:valAx>
        <c:axId val="122690560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689024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943935914191708E-2"/>
                  <c:y val="-1.505431042308273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6474208047000821E-2"/>
                  <c:y val="3.984587286096713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DDS'!$C$17:$C$28</c:f>
              <c:numCache>
                <c:formatCode>General</c:formatCode>
                <c:ptCount val="12"/>
                <c:pt idx="1">
                  <c:v>4</c:v>
                </c:pt>
                <c:pt idx="2">
                  <c:v>53</c:v>
                </c:pt>
                <c:pt idx="3">
                  <c:v>54</c:v>
                </c:pt>
                <c:pt idx="4">
                  <c:v>56</c:v>
                </c:pt>
                <c:pt idx="5">
                  <c:v>56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56</c:v>
                </c:pt>
                <c:pt idx="10">
                  <c:v>56</c:v>
                </c:pt>
              </c:numCache>
            </c:numRef>
          </c:val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layout>
                <c:manualLayout>
                  <c:x val="-2.7646623356858989E-2"/>
                  <c:y val="-7.7181306989212353E-3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fr-FR"/>
                </a:p>
              </c:txPr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0564626739699523E-2"/>
                  <c:y val="1.537644665925628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6426692428277549E-2"/>
                  <c:y val="-4.36194917052207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DDS'!$D$17:$D$28</c:f>
              <c:numCache>
                <c:formatCode>General</c:formatCode>
                <c:ptCount val="12"/>
                <c:pt idx="1">
                  <c:v>53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DDS'!$E$17:$E$28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DDS'!$F$17:$F$28</c:f>
              <c:numCache>
                <c:formatCode>General</c:formatCode>
                <c:ptCount val="12"/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DDS'!$G$17:$G$28</c:f>
              <c:numCache>
                <c:formatCode>General</c:formatCode>
                <c:ptCount val="12"/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</c:numCache>
            </c:numRef>
          </c:val>
        </c:ser>
        <c:marker val="1"/>
        <c:axId val="118140288"/>
        <c:axId val="118154368"/>
      </c:lineChart>
      <c:catAx>
        <c:axId val="1181402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154368"/>
        <c:crosses val="autoZero"/>
        <c:auto val="1"/>
        <c:lblAlgn val="ctr"/>
        <c:lblOffset val="100"/>
      </c:catAx>
      <c:valAx>
        <c:axId val="118154368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140288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Eléments d'ameublement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22741888"/>
        <c:axId val="122744192"/>
      </c:lineChart>
      <c:catAx>
        <c:axId val="122741888"/>
        <c:scaling>
          <c:orientation val="minMax"/>
        </c:scaling>
        <c:axPos val="b"/>
        <c:numFmt formatCode="General" sourceLinked="1"/>
        <c:majorTickMark val="none"/>
        <c:tickLblPos val="nextTo"/>
        <c:crossAx val="122744192"/>
        <c:crosses val="autoZero"/>
        <c:auto val="1"/>
        <c:lblAlgn val="ctr"/>
        <c:lblOffset val="100"/>
      </c:catAx>
      <c:valAx>
        <c:axId val="122744192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122741888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mobilier'!$C$30:$C$41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mobilier'!$D$30:$D$41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mobilier'!$E$30:$E$41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mobilier'!$F$30:$F$41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mobilier'!$G$30:$G$41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marker val="1"/>
        <c:axId val="122824192"/>
        <c:axId val="122825728"/>
      </c:lineChart>
      <c:catAx>
        <c:axId val="1228241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825728"/>
        <c:crosses val="autoZero"/>
        <c:auto val="1"/>
        <c:lblAlgn val="ctr"/>
        <c:lblOffset val="100"/>
      </c:catAx>
      <c:valAx>
        <c:axId val="122825728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8241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48"/>
          <c:y val="0.43197617227186891"/>
          <c:w val="0.14625008773419626"/>
          <c:h val="0.28682619089629058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mobilier'!$C$43:$C$54</c:f>
              <c:numCache>
                <c:formatCode>General</c:formatCode>
                <c:ptCount val="12"/>
                <c:pt idx="3">
                  <c:v>23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60</c:v>
                </c:pt>
                <c:pt idx="9">
                  <c:v>60</c:v>
                </c:pt>
                <c:pt idx="10">
                  <c:v>62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3"/>
              <c:layout>
                <c:manualLayout>
                  <c:x val="-2.4612140186280211E-2"/>
                  <c:y val="-1.730946870232176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431035898864505E-2"/>
                  <c:y val="1.93051072432280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2155174063966082E-2"/>
                  <c:y val="1.93051072432280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431035898864505E-2"/>
                  <c:y val="1.93051072432280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2155174063966082E-2"/>
                  <c:y val="1.93051072432280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7068977337629357E-3"/>
                  <c:y val="1.93051072432280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mobilier'!$D$43:$D$54</c:f>
              <c:numCache>
                <c:formatCode>General</c:formatCode>
                <c:ptCount val="12"/>
                <c:pt idx="3">
                  <c:v>133</c:v>
                </c:pt>
                <c:pt idx="4">
                  <c:v>103</c:v>
                </c:pt>
                <c:pt idx="5">
                  <c:v>102</c:v>
                </c:pt>
                <c:pt idx="6">
                  <c:v>63</c:v>
                </c:pt>
                <c:pt idx="7">
                  <c:v>63</c:v>
                </c:pt>
                <c:pt idx="8">
                  <c:v>54</c:v>
                </c:pt>
                <c:pt idx="9">
                  <c:v>54</c:v>
                </c:pt>
                <c:pt idx="10">
                  <c:v>52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806041651648335E-2"/>
                  <c:y val="9.9781927045313325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771558752587395E-2"/>
                  <c:y val="-2.463238389143173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1163863856077093E-2"/>
                  <c:y val="-2.463238389143173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603450394169228E-2"/>
                  <c:y val="3.02894800268929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9051726724372362E-2"/>
                  <c:y val="3.02894800268929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0775864889473961E-2"/>
                  <c:y val="3.395093762144795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9051726724372362E-2"/>
                  <c:y val="3.395093762144795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9051726724372362E-2"/>
                  <c:y val="3.395093762144795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mobilier'!$E$43:$E$54</c:f>
              <c:numCache>
                <c:formatCode>General</c:formatCode>
                <c:ptCount val="12"/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mobilier'!$F$43:$F$54</c:f>
              <c:numCache>
                <c:formatCode>General</c:formatCode>
                <c:ptCount val="12"/>
                <c:pt idx="3">
                  <c:v>156</c:v>
                </c:pt>
                <c:pt idx="4">
                  <c:v>156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mobilier'!$G$43:$G$54</c:f>
              <c:numCache>
                <c:formatCode>General</c:formatCode>
                <c:ptCount val="12"/>
                <c:pt idx="3">
                  <c:v>156</c:v>
                </c:pt>
                <c:pt idx="4">
                  <c:v>154</c:v>
                </c:pt>
                <c:pt idx="5">
                  <c:v>153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</c:numCache>
            </c:numRef>
          </c:val>
        </c:ser>
        <c:marker val="1"/>
        <c:axId val="122941440"/>
        <c:axId val="122942976"/>
      </c:lineChart>
      <c:catAx>
        <c:axId val="1229414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942976"/>
        <c:crosses val="autoZero"/>
        <c:auto val="1"/>
        <c:lblAlgn val="ctr"/>
        <c:lblOffset val="100"/>
      </c:catAx>
      <c:valAx>
        <c:axId val="12294297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9414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81"/>
          <c:y val="0.43197617227186913"/>
          <c:w val="0.14625008773419632"/>
          <c:h val="0.28682619089629074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mobilier'!$C$56:$C$67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mobilier'!$D$56:$D$67</c:f>
              <c:numCache>
                <c:formatCode>General</c:formatCode>
                <c:ptCount val="12"/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mobilier'!$E$56:$E$67</c:f>
              <c:numCache>
                <c:formatCode>General</c:formatCode>
                <c:ptCount val="12"/>
                <c:pt idx="4">
                  <c:v>155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mobilier'!$F$56:$F$67</c:f>
              <c:numCache>
                <c:formatCode>General</c:formatCode>
                <c:ptCount val="12"/>
                <c:pt idx="4">
                  <c:v>156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mobilier'!$G$56:$G$67</c:f>
              <c:numCache>
                <c:formatCode>General</c:formatCode>
                <c:ptCount val="12"/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marker val="1"/>
        <c:axId val="126588800"/>
        <c:axId val="126590336"/>
      </c:lineChart>
      <c:catAx>
        <c:axId val="1265888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6590336"/>
        <c:crosses val="autoZero"/>
        <c:auto val="1"/>
        <c:lblAlgn val="ctr"/>
        <c:lblOffset val="100"/>
      </c:catAx>
      <c:valAx>
        <c:axId val="12659033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65888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03"/>
          <c:y val="0.43197617227186941"/>
          <c:w val="0.14625008773419643"/>
          <c:h val="0.28682619089629091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806001602769703E-3"/>
                  <c:y val="-2.880276116132888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6866416897422942E-2"/>
                  <c:y val="-2.880276116132888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043444208993248E-3"/>
                  <c:y val="-3.2247307617390697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4797449741711885E-2"/>
                  <c:y val="2.600730398064935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7284825860008958E-3"/>
                  <c:y val="4.2927358105948328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mobilier'!$C$69:$C$80</c:f>
              <c:numCache>
                <c:formatCode>General</c:formatCode>
                <c:ptCount val="12"/>
                <c:pt idx="5">
                  <c:v>0</c:v>
                </c:pt>
                <c:pt idx="6">
                  <c:v>6</c:v>
                </c:pt>
                <c:pt idx="7">
                  <c:v>130</c:v>
                </c:pt>
                <c:pt idx="8">
                  <c:v>130</c:v>
                </c:pt>
                <c:pt idx="9">
                  <c:v>555</c:v>
                </c:pt>
                <c:pt idx="10">
                  <c:v>638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6"/>
              <c:layout>
                <c:manualLayout>
                  <c:x val="-3.1129246691453488E-2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9250070492814367E-2"/>
                  <c:y val="2.557803039958982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166386663913476E-2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166386663913476E-2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l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mobilier'!$D$69:$D$80</c:f>
              <c:numCache>
                <c:formatCode>General</c:formatCode>
                <c:ptCount val="12"/>
                <c:pt idx="5">
                  <c:v>1952</c:v>
                </c:pt>
                <c:pt idx="6">
                  <c:v>1944</c:v>
                </c:pt>
                <c:pt idx="7">
                  <c:v>1810</c:v>
                </c:pt>
                <c:pt idx="8">
                  <c:v>1191</c:v>
                </c:pt>
                <c:pt idx="9">
                  <c:v>735</c:v>
                </c:pt>
                <c:pt idx="10">
                  <c:v>652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5696456108669244E-4"/>
                  <c:y val="-3.2247307617390697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mobilier'!$E$69:$E$80</c:f>
              <c:numCache>
                <c:formatCode>General</c:formatCode>
                <c:ptCount val="12"/>
                <c:pt idx="5">
                  <c:v>0</c:v>
                </c:pt>
                <c:pt idx="6">
                  <c:v>2</c:v>
                </c:pt>
                <c:pt idx="7">
                  <c:v>12</c:v>
                </c:pt>
                <c:pt idx="8">
                  <c:v>631</c:v>
                </c:pt>
                <c:pt idx="9">
                  <c:v>662</c:v>
                </c:pt>
                <c:pt idx="10">
                  <c:v>662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mobilier'!$F$69:$F$80</c:f>
              <c:numCache>
                <c:formatCode>General</c:formatCode>
                <c:ptCount val="12"/>
                <c:pt idx="5">
                  <c:v>1952</c:v>
                </c:pt>
                <c:pt idx="6">
                  <c:v>1952</c:v>
                </c:pt>
                <c:pt idx="7">
                  <c:v>1952</c:v>
                </c:pt>
                <c:pt idx="8">
                  <c:v>1952</c:v>
                </c:pt>
                <c:pt idx="9">
                  <c:v>1952</c:v>
                </c:pt>
                <c:pt idx="10">
                  <c:v>1952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8"/>
              <c:layout>
                <c:manualLayout>
                  <c:x val="-2.8637934922337082E-2"/>
                  <c:y val="3.245676550412746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6913796757235511E-2"/>
                  <c:y val="3.245647778725008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8637934922337082E-2"/>
                  <c:y val="3.611076984692592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mobilier'!$G$69:$G$80</c:f>
              <c:numCache>
                <c:formatCode>General</c:formatCode>
                <c:ptCount val="12"/>
                <c:pt idx="5">
                  <c:v>1952</c:v>
                </c:pt>
                <c:pt idx="6">
                  <c:v>1950</c:v>
                </c:pt>
                <c:pt idx="7">
                  <c:v>1940</c:v>
                </c:pt>
                <c:pt idx="8">
                  <c:v>1321</c:v>
                </c:pt>
                <c:pt idx="9">
                  <c:v>1290</c:v>
                </c:pt>
                <c:pt idx="10">
                  <c:v>1290</c:v>
                </c:pt>
              </c:numCache>
            </c:numRef>
          </c:val>
        </c:ser>
        <c:marker val="1"/>
        <c:axId val="126836736"/>
        <c:axId val="126838272"/>
      </c:lineChart>
      <c:catAx>
        <c:axId val="1268367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6838272"/>
        <c:crosses val="autoZero"/>
        <c:auto val="1"/>
        <c:lblAlgn val="ctr"/>
        <c:lblOffset val="100"/>
      </c:catAx>
      <c:valAx>
        <c:axId val="126838272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6836736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0.14625008773419648"/>
          <c:h val="0.2868261908962910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mobilier'!$C$82:$C$93</c:f>
              <c:numCache>
                <c:formatCode>General</c:formatCode>
                <c:ptCount val="12"/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4750069881899246E-2"/>
                  <c:y val="3.245676550412746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1646622542305548E-2"/>
                  <c:y val="3.611076984692598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1646622542305548E-2"/>
                  <c:y val="3.611076984692598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mobilier'!$D$82:$D$93</c:f>
              <c:numCache>
                <c:formatCode>General</c:formatCode>
                <c:ptCount val="12"/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6"/>
              <c:layout>
                <c:manualLayout>
                  <c:x val="-1.8150830593379182E-2"/>
                  <c:y val="-2.514875681853034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9874968758480625E-2"/>
                  <c:y val="-2.880276116132888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mobilier'!$E$82:$E$93</c:f>
              <c:numCache>
                <c:formatCode>General</c:formatCode>
                <c:ptCount val="12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mobilier'!$F$82:$F$93</c:f>
              <c:numCache>
                <c:formatCode>General</c:formatCode>
                <c:ptCount val="12"/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6"/>
              <c:layout>
                <c:manualLayout>
                  <c:x val="-2.1646622542305548E-2"/>
                  <c:y val="3.24567655041275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646622542305611E-2"/>
                  <c:y val="3.24567655041275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1646622542305548E-2"/>
                  <c:y val="3.61107698469260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1646622542305548E-2"/>
                  <c:y val="2.880276116132888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1646622542305548E-2"/>
                  <c:y val="2.880276116132888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mobilier'!$G$82:$G$93</c:f>
              <c:numCache>
                <c:formatCode>General</c:formatCode>
                <c:ptCount val="12"/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</c:numCache>
            </c:numRef>
          </c:val>
        </c:ser>
        <c:marker val="1"/>
        <c:axId val="127019264"/>
        <c:axId val="127066112"/>
      </c:lineChart>
      <c:catAx>
        <c:axId val="127019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066112"/>
        <c:crosses val="autoZero"/>
        <c:auto val="1"/>
        <c:lblAlgn val="ctr"/>
        <c:lblOffset val="100"/>
      </c:catAx>
      <c:valAx>
        <c:axId val="127066112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01926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0.14625008773419654"/>
          <c:h val="0.28682619089629113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7"/>
              <c:layout>
                <c:manualLayout>
                  <c:x val="-2.15991069235822E-2"/>
                  <c:y val="-2.514875681853034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mobilier'!$C$95:$C$106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21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4750069881899246E-2"/>
                  <c:y val="3.24567655041274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1646622542305559E-2"/>
                  <c:y val="3.611076984692598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1646622542305559E-2"/>
                  <c:y val="3.611076984692598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mobilier'!$D$95:$D$106</c:f>
              <c:numCache>
                <c:formatCode>General</c:formatCode>
                <c:ptCount val="12"/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15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6"/>
              <c:layout>
                <c:manualLayout>
                  <c:x val="-1.8150830593379182E-2"/>
                  <c:y val="-2.514875681853034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6.0818634376681394E-3"/>
                  <c:y val="-1.053273944733616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9.53013976787127E-3"/>
                  <c:y val="-1.418674379013470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mobilier'!$E$95:$E$106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mobilier'!$F$95:$F$106</c:f>
              <c:numCache>
                <c:formatCode>General</c:formatCode>
                <c:ptCount val="12"/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6"/>
              <c:layout>
                <c:manualLayout>
                  <c:x val="-2.1646622542305559E-2"/>
                  <c:y val="3.245676550412756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646622542305611E-2"/>
                  <c:y val="3.245676550412756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1646622542305559E-2"/>
                  <c:y val="3.61107698469260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1646622542305559E-2"/>
                  <c:y val="2.880276116132888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1646622542305559E-2"/>
                  <c:y val="2.880276116132888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mobilier'!$G$95:$G$106</c:f>
              <c:numCache>
                <c:formatCode>General</c:formatCode>
                <c:ptCount val="12"/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</c:numCache>
            </c:numRef>
          </c:val>
        </c:ser>
        <c:marker val="1"/>
        <c:axId val="127132800"/>
        <c:axId val="127134336"/>
      </c:lineChart>
      <c:catAx>
        <c:axId val="1271328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134336"/>
        <c:crosses val="autoZero"/>
        <c:auto val="1"/>
        <c:lblAlgn val="ctr"/>
        <c:lblOffset val="100"/>
      </c:catAx>
      <c:valAx>
        <c:axId val="127134336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13280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0.14625008773419662"/>
          <c:h val="0.28682619089629136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8"/>
              <c:layout>
                <c:manualLayout>
                  <c:x val="-2.6771521418886994E-2"/>
                  <c:y val="-2.880276116132888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mobilier'!$C$108:$C$119</c:f>
              <c:numCache>
                <c:formatCode>General</c:formatCode>
                <c:ptCount val="12"/>
                <c:pt idx="8">
                  <c:v>0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mobilier'!$D$108:$D$119</c:f>
              <c:numCache>
                <c:formatCode>General</c:formatCode>
                <c:ptCount val="12"/>
                <c:pt idx="8">
                  <c:v>22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mobilier'!$E$108:$E$119</c:f>
              <c:numCache>
                <c:formatCode>General</c:formatCode>
                <c:ptCount val="12"/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mobilier'!$F$108:$F$119</c:f>
              <c:numCache>
                <c:formatCode>General</c:formatCode>
                <c:ptCount val="12"/>
                <c:pt idx="8">
                  <c:v>22</c:v>
                </c:pt>
                <c:pt idx="9">
                  <c:v>22</c:v>
                </c:pt>
                <c:pt idx="10">
                  <c:v>22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6"/>
              <c:layout>
                <c:manualLayout>
                  <c:x val="-2.1646622542305566E-2"/>
                  <c:y val="3.245676550412758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646622542305611E-2"/>
                  <c:y val="3.245676550412758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3370760707407102E-2"/>
                  <c:y val="2.149446475885434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8535172214929706E-3"/>
                  <c:y val="1.784017269917849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052408912898392E-3"/>
                  <c:y val="1.784017269917849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mobilier'!$G$108:$G$119</c:f>
              <c:numCache>
                <c:formatCode>General</c:formatCode>
                <c:ptCount val="12"/>
                <c:pt idx="8">
                  <c:v>22</c:v>
                </c:pt>
                <c:pt idx="9">
                  <c:v>22</c:v>
                </c:pt>
                <c:pt idx="10">
                  <c:v>22</c:v>
                </c:pt>
              </c:numCache>
            </c:numRef>
          </c:val>
        </c:ser>
        <c:marker val="1"/>
        <c:axId val="127315328"/>
        <c:axId val="127333504"/>
      </c:lineChart>
      <c:catAx>
        <c:axId val="127315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333504"/>
        <c:crosses val="autoZero"/>
        <c:auto val="1"/>
        <c:lblAlgn val="ctr"/>
        <c:lblOffset val="100"/>
      </c:catAx>
      <c:valAx>
        <c:axId val="12733350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31532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0.14625008773419673"/>
          <c:h val="0.28682619089629147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mobilier'!$C$121:$C$132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mobilier'!$D$121:$D$132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mobilier'!$E$121:$E$132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mobilier'!$F$121:$F$132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mobilier'!$G$121:$G$132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Val val="1"/>
        </c:dLbls>
        <c:marker val="1"/>
        <c:axId val="127477632"/>
        <c:axId val="127479168"/>
      </c:lineChart>
      <c:catAx>
        <c:axId val="1274776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479168"/>
        <c:crosses val="autoZero"/>
        <c:auto val="1"/>
        <c:lblAlgn val="ctr"/>
        <c:lblOffset val="100"/>
      </c:catAx>
      <c:valAx>
        <c:axId val="12747916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47763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0.14625008773419679"/>
          <c:h val="0.28682619089629158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mobilier'!$C$134:$C$145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mobilier'!$D$134:$D$145</c:f>
              <c:numCache>
                <c:formatCode>General</c:formatCode>
                <c:ptCount val="12"/>
                <c:pt idx="10">
                  <c:v>3</c:v>
                </c:pt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mobilier'!$E$134:$E$145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mobilier'!$F$134:$F$145</c:f>
              <c:numCache>
                <c:formatCode>General</c:formatCode>
                <c:ptCount val="12"/>
                <c:pt idx="10">
                  <c:v>3</c:v>
                </c:pt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mobilier'!$G$134:$G$145</c:f>
              <c:numCache>
                <c:formatCode>General</c:formatCode>
                <c:ptCount val="12"/>
                <c:pt idx="10">
                  <c:v>3</c:v>
                </c:pt>
              </c:numCache>
            </c:numRef>
          </c:val>
        </c:ser>
        <c:dLbls>
          <c:showVal val="1"/>
        </c:dLbls>
        <c:marker val="1"/>
        <c:axId val="127955328"/>
        <c:axId val="127956864"/>
      </c:lineChart>
      <c:catAx>
        <c:axId val="127955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956864"/>
        <c:crosses val="autoZero"/>
        <c:auto val="1"/>
        <c:lblAlgn val="ctr"/>
        <c:lblOffset val="100"/>
      </c:catAx>
      <c:valAx>
        <c:axId val="12795686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795532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0.14625008773419687"/>
          <c:h val="0.28682619089629174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Mars 2022</a:t>
            </a:r>
          </a:p>
        </c:rich>
      </c:tx>
    </c:title>
    <c:plotArea>
      <c:layout/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elete val="1"/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DDS'!$D$30:$D$41</c:f>
              <c:numCache>
                <c:formatCode>General</c:formatCode>
                <c:ptCount val="12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</c:ser>
        <c:dLbls>
          <c:showVal val="1"/>
        </c:dLbls>
        <c:marker val="1"/>
        <c:axId val="118337920"/>
        <c:axId val="118339456"/>
      </c:lineChart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DDS'!$C$30:$C$41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DDS'!$E$30:$E$41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7301794366249571E-2"/>
                  <c:y val="-4.431284983847793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577791960058643E-2"/>
                  <c:y val="-4.431284983847793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DDS'!$F$30:$F$41</c:f>
              <c:numCache>
                <c:formatCode>General</c:formatCode>
                <c:ptCount val="12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DDS'!$G$30:$G$41</c:f>
              <c:numCache>
                <c:formatCode>General</c:formatCode>
                <c:ptCount val="12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marker val="1"/>
        <c:axId val="118355072"/>
        <c:axId val="118340992"/>
      </c:lineChart>
      <c:catAx>
        <c:axId val="1183379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339456"/>
        <c:crosses val="autoZero"/>
        <c:auto val="1"/>
        <c:lblAlgn val="ctr"/>
        <c:lblOffset val="100"/>
      </c:catAx>
      <c:valAx>
        <c:axId val="118339456"/>
        <c:scaling>
          <c:orientation val="minMax"/>
          <c:max val="1.2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337920"/>
        <c:crosses val="autoZero"/>
        <c:crossBetween val="between"/>
        <c:minorUnit val="4.0000000000000022E-2"/>
      </c:valAx>
      <c:valAx>
        <c:axId val="118340992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355072"/>
        <c:crosses val="max"/>
        <c:crossBetween val="between"/>
      </c:valAx>
      <c:catAx>
        <c:axId val="118355072"/>
        <c:scaling>
          <c:orientation val="minMax"/>
        </c:scaling>
        <c:delete val="1"/>
        <c:axPos val="b"/>
        <c:numFmt formatCode="General" sourceLinked="1"/>
        <c:tickLblPos val="none"/>
        <c:crossAx val="118340992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mobilier'!$C$147:$C$158</c:f>
              <c:numCache>
                <c:formatCode>General</c:formatCode>
                <c:ptCount val="12"/>
              </c:numCache>
            </c:numRef>
          </c:val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mobilier'!$D$147:$D$158</c:f>
              <c:numCache>
                <c:formatCode>General</c:formatCode>
                <c:ptCount val="12"/>
              </c:numCache>
            </c:numRef>
          </c:val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mobilier'!$E$147:$E$158</c:f>
              <c:numCache>
                <c:formatCode>General</c:formatCode>
                <c:ptCount val="12"/>
              </c:numCache>
            </c:numRef>
          </c:val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mobilier'!$F$147:$F$158</c:f>
              <c:numCache>
                <c:formatCode>General</c:formatCode>
                <c:ptCount val="12"/>
              </c:numCache>
            </c:numRef>
          </c:val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mobilier'!$G$147:$G$158</c:f>
              <c:numCache>
                <c:formatCode>General</c:formatCode>
                <c:ptCount val="12"/>
              </c:numCache>
            </c:numRef>
          </c:val>
        </c:ser>
        <c:dLbls>
          <c:showVal val="1"/>
        </c:dLbls>
        <c:marker val="1"/>
        <c:axId val="128424576"/>
        <c:axId val="128434560"/>
      </c:lineChart>
      <c:catAx>
        <c:axId val="1284245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434560"/>
        <c:crosses val="autoZero"/>
        <c:auto val="1"/>
        <c:lblAlgn val="ctr"/>
        <c:lblOffset val="100"/>
      </c:catAx>
      <c:valAx>
        <c:axId val="12843456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842457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0.14625008773419695"/>
          <c:h val="0.28682619089629191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</a:t>
            </a:r>
            <a:r>
              <a:rPr lang="fr-FR" sz="1400" baseline="0"/>
              <a:t>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7E-2"/>
          <c:y val="0.19843360860632822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DEEE!$C$3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068967155710982E-2"/>
                  <c:y val="-2.19749289708004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965519816117299E-2"/>
                  <c:y val="-2.5637417132600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4137934311421982E-2"/>
                  <c:y val="-2.5637417132600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5517243485914123E-2"/>
                  <c:y val="1.464995264720030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7586210641625159E-2"/>
                  <c:y val="-2.19749289708004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6206908255078568E-3"/>
                  <c:y val="-3.6624881618000779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</c:v>
                </c:pt>
                <c:pt idx="4">
                  <c:v>82</c:v>
                </c:pt>
                <c:pt idx="5">
                  <c:v>150</c:v>
                </c:pt>
                <c:pt idx="6">
                  <c:v>208</c:v>
                </c:pt>
                <c:pt idx="7">
                  <c:v>390</c:v>
                </c:pt>
                <c:pt idx="8">
                  <c:v>423</c:v>
                </c:pt>
                <c:pt idx="9">
                  <c:v>1115</c:v>
                </c:pt>
                <c:pt idx="10">
                  <c:v>1455</c:v>
                </c:pt>
              </c:numCache>
            </c:numRef>
          </c:val>
        </c:ser>
        <c:ser>
          <c:idx val="1"/>
          <c:order val="1"/>
          <c:tx>
            <c:strRef>
              <c:f>DEEE!$D$3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3707585352645391E-3"/>
                  <c:y val="9.9893643650860574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646620370162966E-3"/>
                  <c:y val="9.9893643650860574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707585352645391E-3"/>
                  <c:y val="9.9893643650860574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431035898864505E-2"/>
                  <c:y val="9.9893643650860574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9827595686613652E-3"/>
                  <c:y val="9.9893643650860574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732830672390812E-2"/>
                  <c:y val="-2.663551725291475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433</c:v>
                </c:pt>
                <c:pt idx="9">
                  <c:v>456</c:v>
                </c:pt>
                <c:pt idx="10">
                  <c:v>532</c:v>
                </c:pt>
              </c:numCache>
            </c:numRef>
          </c:val>
        </c:ser>
        <c:ser>
          <c:idx val="2"/>
          <c:order val="2"/>
          <c:tx>
            <c:strRef>
              <c:f>DEEE!$E$3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7586210641625159E-2"/>
                  <c:y val="-2.19749289708004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0344828990609421E-2"/>
                  <c:y val="1.464995264720030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965526604062802E-3"/>
                  <c:y val="3.6624881618000779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32</c:v>
                </c:pt>
                <c:pt idx="7">
                  <c:v>74</c:v>
                </c:pt>
                <c:pt idx="8">
                  <c:v>479</c:v>
                </c:pt>
                <c:pt idx="9">
                  <c:v>529</c:v>
                </c:pt>
                <c:pt idx="10">
                  <c:v>545</c:v>
                </c:pt>
              </c:numCache>
            </c:numRef>
          </c:val>
        </c:ser>
        <c:ser>
          <c:idx val="3"/>
          <c:order val="3"/>
          <c:tx>
            <c:strRef>
              <c:f>DEEE!$F$3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935384053133876E-2"/>
                  <c:y val="-2.520714686981270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2431</c:v>
                </c:pt>
                <c:pt idx="6">
                  <c:v>2446</c:v>
                </c:pt>
                <c:pt idx="7">
                  <c:v>2516</c:v>
                </c:pt>
                <c:pt idx="8">
                  <c:v>2532</c:v>
                </c:pt>
                <c:pt idx="9">
                  <c:v>2532</c:v>
                </c:pt>
                <c:pt idx="10">
                  <c:v>2536</c:v>
                </c:pt>
              </c:numCache>
            </c:numRef>
          </c:val>
        </c:ser>
        <c:ser>
          <c:idx val="4"/>
          <c:order val="4"/>
          <c:tx>
            <c:strRef>
              <c:f>DEEE!$G$3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551726384975086E-2"/>
                  <c:y val="3.76229817383149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6896555375584493E-2"/>
                  <c:y val="3.76229817383149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6896555375584493E-2"/>
                  <c:y val="3.39604935765148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6896555375584493E-2"/>
                  <c:y val="3.029800541471481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2410</c:v>
                </c:pt>
                <c:pt idx="6">
                  <c:v>2414</c:v>
                </c:pt>
                <c:pt idx="7">
                  <c:v>2442</c:v>
                </c:pt>
                <c:pt idx="8">
                  <c:v>2053</c:v>
                </c:pt>
                <c:pt idx="9">
                  <c:v>2003</c:v>
                </c:pt>
                <c:pt idx="10">
                  <c:v>1991</c:v>
                </c:pt>
              </c:numCache>
            </c:numRef>
          </c:val>
        </c:ser>
        <c:marker val="1"/>
        <c:axId val="141589504"/>
        <c:axId val="141632256"/>
      </c:lineChart>
      <c:catAx>
        <c:axId val="1415895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632256"/>
        <c:crosses val="autoZero"/>
        <c:auto val="1"/>
        <c:lblAlgn val="ctr"/>
        <c:lblOffset val="100"/>
      </c:catAx>
      <c:valAx>
        <c:axId val="141632256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589504"/>
        <c:crosses val="autoZero"/>
        <c:crossBetween val="between"/>
        <c:majorUnit val="30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1685504"/>
        <c:axId val="141687040"/>
      </c:lineChart>
      <c:catAx>
        <c:axId val="1416855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687040"/>
        <c:crosses val="autoZero"/>
        <c:auto val="1"/>
        <c:lblAlgn val="ctr"/>
        <c:lblOffset val="100"/>
      </c:catAx>
      <c:valAx>
        <c:axId val="14168704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6855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48"/>
          <c:y val="0.43197617227186891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1775232"/>
        <c:axId val="141777536"/>
      </c:lineChart>
      <c:catAx>
        <c:axId val="141775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777536"/>
        <c:crosses val="autoZero"/>
        <c:auto val="1"/>
        <c:lblAlgn val="ctr"/>
        <c:lblOffset val="100"/>
      </c:catAx>
      <c:valAx>
        <c:axId val="141777536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775232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 Electriques et</a:t>
            </a:r>
            <a:r>
              <a:rPr lang="fr-FR" sz="1400" baseline="0"/>
              <a:t> Electroniques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DEEE!$L$3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Lbls>
            <c:dLbl>
              <c:idx val="3"/>
              <c:layout>
                <c:manualLayout>
                  <c:x val="-5.685352387367959E-2"/>
                  <c:y val="6.2061294070151615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715589562257612E-2"/>
                  <c:y val="-2.66133675111815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5862071118934465E-2"/>
                  <c:y val="-3.75916949673157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301793415937148E-2"/>
                  <c:y val="1.72999423133554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0.47445255474452552</c:v>
                </c:pt>
                <c:pt idx="4">
                  <c:v>0.59854014598540151</c:v>
                </c:pt>
                <c:pt idx="5">
                  <c:v>6.2240663900414939E-2</c:v>
                </c:pt>
                <c:pt idx="6">
                  <c:v>8.6164043082021538E-2</c:v>
                </c:pt>
                <c:pt idx="7">
                  <c:v>0.15970515970515969</c:v>
                </c:pt>
                <c:pt idx="8">
                  <c:v>0.20603994154895275</c:v>
                </c:pt>
                <c:pt idx="9">
                  <c:v>0.55666500249625561</c:v>
                </c:pt>
                <c:pt idx="10">
                  <c:v>0.73078854846810648</c:v>
                </c:pt>
              </c:numCache>
            </c:numRef>
          </c:val>
        </c:ser>
        <c:ser>
          <c:idx val="1"/>
          <c:order val="1"/>
          <c:tx>
            <c:strRef>
              <c:f>DEEE!$M$3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3"/>
              <c:layout>
                <c:manualLayout>
                  <c:x val="-3.7888004057562326E-2"/>
                  <c:y val="-3.381326941332064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888004057562326E-2"/>
                  <c:y val="-3.74598801040346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1379314604848579E-2"/>
                  <c:y val="3.549444308214981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8275867265254865E-2"/>
                  <c:y val="3.549444308214981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5172419925661143E-2"/>
                  <c:y val="3.183519846463334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060418552866984E-2"/>
                  <c:y val="-2.66133675111815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8.5776552508356335E-3"/>
                  <c:y val="-4.640383887608587E-3"/>
                </c:manualLayout>
              </c:layout>
              <c:dLblPos val="r"/>
              <c:showVal val="1"/>
            </c:dLbl>
            <c:dLbl>
              <c:idx val="10"/>
              <c:layout>
                <c:manualLayout>
                  <c:x val="-2.2370760571648208E-2"/>
                  <c:y val="-3.027280999655956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0.52554744525547448</c:v>
                </c:pt>
                <c:pt idx="4">
                  <c:v>0.40145985401459849</c:v>
                </c:pt>
                <c:pt idx="5">
                  <c:v>0.929045643153527</c:v>
                </c:pt>
                <c:pt idx="6">
                  <c:v>0.90057995028997517</c:v>
                </c:pt>
                <c:pt idx="7">
                  <c:v>0.80999180999180997</c:v>
                </c:pt>
                <c:pt idx="8">
                  <c:v>0.56064296151972726</c:v>
                </c:pt>
                <c:pt idx="9">
                  <c:v>0.17923115327009487</c:v>
                </c:pt>
                <c:pt idx="10">
                  <c:v>-4.520341536916106E-3</c:v>
                </c:pt>
              </c:numCache>
            </c:numRef>
          </c:val>
        </c:ser>
        <c:ser>
          <c:idx val="2"/>
          <c:order val="2"/>
          <c:tx>
            <c:strRef>
              <c:f>DEEE!$N$3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3793105320812574E-2"/>
                  <c:y val="-1.829721242689037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7241381651015714E-2"/>
                  <c:y val="-2.56160973976465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034486971828271E-2"/>
                  <c:y val="-2.19566549122684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586210641625131E-2"/>
                  <c:y val="-2.187966414428404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586207247652356E-2"/>
                  <c:y val="-3.275546517831352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6206908255078533E-3"/>
                  <c:y val="-3.6081346409064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8.7136929460580916E-3</c:v>
                </c:pt>
                <c:pt idx="6">
                  <c:v>1.3256006628003313E-2</c:v>
                </c:pt>
                <c:pt idx="7">
                  <c:v>3.0303030303030304E-2</c:v>
                </c:pt>
                <c:pt idx="8">
                  <c:v>0.23331709693132002</c:v>
                </c:pt>
                <c:pt idx="9">
                  <c:v>0.26410384423364952</c:v>
                </c:pt>
                <c:pt idx="10">
                  <c:v>0.27373179306880963</c:v>
                </c:pt>
              </c:numCache>
            </c:numRef>
          </c:val>
        </c:ser>
        <c:ser>
          <c:idx val="3"/>
          <c:order val="3"/>
          <c:tx>
            <c:strRef>
              <c:f>DEEE!$O$3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DEEE!$P$3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3.0991451397156033E-2"/>
                  <c:y val="1.571201078707641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439727727359197E-2"/>
                  <c:y val="2.299231110700189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336280387765406E-2"/>
                  <c:y val="2.299231110700189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301793415937141E-2"/>
                  <c:y val="-2.827817380033686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030179341593721E-2"/>
                  <c:y val="-2.461882728411169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5776552508356439E-3"/>
                  <c:y val="-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0.99128630705394194</c:v>
                </c:pt>
                <c:pt idx="6">
                  <c:v>0.9867439933719967</c:v>
                </c:pt>
                <c:pt idx="7">
                  <c:v>0.96969696969696972</c:v>
                </c:pt>
                <c:pt idx="8">
                  <c:v>0.76668290306867992</c:v>
                </c:pt>
                <c:pt idx="9">
                  <c:v>0.73589615576635048</c:v>
                </c:pt>
                <c:pt idx="10">
                  <c:v>0.72626820693119032</c:v>
                </c:pt>
              </c:numCache>
            </c:numRef>
          </c:val>
        </c:ser>
        <c:marker val="1"/>
        <c:axId val="141996800"/>
        <c:axId val="141998336"/>
      </c:lineChart>
      <c:catAx>
        <c:axId val="1419968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998336"/>
        <c:crosses val="autoZero"/>
        <c:auto val="1"/>
        <c:lblAlgn val="ctr"/>
        <c:lblOffset val="100"/>
      </c:catAx>
      <c:valAx>
        <c:axId val="141998336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1996800"/>
        <c:crosses val="autoZero"/>
        <c:crossBetween val="between"/>
        <c:majorUnit val="0.1"/>
      </c:valAx>
    </c:plotArea>
    <c:legend>
      <c:legendPos val="r"/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2059776"/>
        <c:axId val="142069760"/>
      </c:lineChart>
      <c:catAx>
        <c:axId val="142059776"/>
        <c:scaling>
          <c:orientation val="minMax"/>
        </c:scaling>
        <c:axPos val="b"/>
        <c:numFmt formatCode="General" sourceLinked="1"/>
        <c:majorTickMark val="none"/>
        <c:tickLblPos val="nextTo"/>
        <c:crossAx val="142069760"/>
        <c:crosses val="autoZero"/>
        <c:auto val="1"/>
        <c:lblAlgn val="ctr"/>
        <c:lblOffset val="100"/>
      </c:catAx>
      <c:valAx>
        <c:axId val="142069760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142059776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2098432"/>
        <c:axId val="142099968"/>
      </c:lineChart>
      <c:catAx>
        <c:axId val="1420984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099968"/>
        <c:crosses val="autoZero"/>
        <c:auto val="1"/>
        <c:lblAlgn val="ctr"/>
        <c:lblOffset val="100"/>
      </c:catAx>
      <c:valAx>
        <c:axId val="142099968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098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81"/>
          <c:y val="0.43197617227186913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2145024"/>
        <c:axId val="142146560"/>
      </c:lineChart>
      <c:catAx>
        <c:axId val="1421450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146560"/>
        <c:crosses val="autoZero"/>
        <c:auto val="1"/>
        <c:lblAlgn val="ctr"/>
        <c:lblOffset val="100"/>
      </c:catAx>
      <c:valAx>
        <c:axId val="142146560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1450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03"/>
          <c:y val="0.43197617227186941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268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2191616"/>
        <c:axId val="142197504"/>
      </c:lineChart>
      <c:catAx>
        <c:axId val="1421916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197504"/>
        <c:crosses val="autoZero"/>
        <c:auto val="1"/>
        <c:lblAlgn val="ctr"/>
        <c:lblOffset val="100"/>
      </c:catAx>
      <c:valAx>
        <c:axId val="142197504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1916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2643968"/>
        <c:axId val="142645504"/>
      </c:lineChart>
      <c:catAx>
        <c:axId val="1426439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645504"/>
        <c:crosses val="autoZero"/>
        <c:auto val="1"/>
        <c:lblAlgn val="ctr"/>
        <c:lblOffset val="100"/>
      </c:catAx>
      <c:valAx>
        <c:axId val="142645504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643968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9"/>
              <c:layout>
                <c:manualLayout>
                  <c:x val="-1.32234104350954E-2"/>
                  <c:y val="3.015571913515695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333715655451416E-2"/>
                  <c:y val="-3.005472004424740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1974794635332577E-2"/>
                  <c:y val="3.387063040874262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DDS'!$C$43:$C$54</c:f>
              <c:numCache>
                <c:formatCode>General</c:formatCode>
                <c:ptCount val="12"/>
                <c:pt idx="3">
                  <c:v>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61</c:v>
                </c:pt>
                <c:pt idx="10">
                  <c:v>78</c:v>
                </c:pt>
              </c:numCache>
            </c:numRef>
          </c:val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10"/>
              <c:layout>
                <c:manualLayout>
                  <c:x val="-1.3051503169324309E-2"/>
                  <c:y val="3.340110790250293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DDS'!$D$43:$D$54</c:f>
              <c:numCache>
                <c:formatCode>General</c:formatCode>
                <c:ptCount val="12"/>
                <c:pt idx="3">
                  <c:v>148</c:v>
                </c:pt>
                <c:pt idx="4">
                  <c:v>132</c:v>
                </c:pt>
                <c:pt idx="5">
                  <c:v>132</c:v>
                </c:pt>
                <c:pt idx="6">
                  <c:v>132</c:v>
                </c:pt>
                <c:pt idx="7">
                  <c:v>132</c:v>
                </c:pt>
                <c:pt idx="8">
                  <c:v>132</c:v>
                </c:pt>
                <c:pt idx="9">
                  <c:v>90</c:v>
                </c:pt>
                <c:pt idx="10">
                  <c:v>73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675728139283481E-2"/>
                  <c:y val="-2.18530386950423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426004979330883E-2"/>
                  <c:y val="-2.18530386950423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8426004979330883E-2"/>
                  <c:y val="-2.18530386950423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8426004979330821E-2"/>
                  <c:y val="-2.18530386950423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8426004979330883E-2"/>
                  <c:y val="-2.556794996862801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8426004979330883E-2"/>
                  <c:y val="-2.18530386950423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426004979330883E-2"/>
                  <c:y val="-2.556794996862801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8426004979330883E-2"/>
                  <c:y val="-2.556794996862801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DDS'!$E$43:$E$54</c:f>
              <c:numCache>
                <c:formatCode>General</c:formatCode>
                <c:ptCount val="12"/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DDS'!$F$43:$F$54</c:f>
              <c:numCache>
                <c:formatCode>General</c:formatCode>
                <c:ptCount val="12"/>
                <c:pt idx="3">
                  <c:v>157</c:v>
                </c:pt>
                <c:pt idx="4">
                  <c:v>157</c:v>
                </c:pt>
                <c:pt idx="5">
                  <c:v>157</c:v>
                </c:pt>
                <c:pt idx="6">
                  <c:v>157</c:v>
                </c:pt>
                <c:pt idx="7">
                  <c:v>157</c:v>
                </c:pt>
                <c:pt idx="8">
                  <c:v>157</c:v>
                </c:pt>
                <c:pt idx="9">
                  <c:v>157</c:v>
                </c:pt>
                <c:pt idx="10">
                  <c:v>157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3"/>
              <c:layout>
                <c:manualLayout>
                  <c:x val="-2.0009067454598461E-2"/>
                  <c:y val="1.459951269818284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346411316118047E-2"/>
                  <c:y val="2.588046982077491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5191636014471476E-2"/>
                  <c:y val="2.588046982077491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346411316118047E-2"/>
                  <c:y val="2.588046982077491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3464113161180404E-2"/>
                  <c:y val="2.964078886163891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346411316118047E-2"/>
                  <c:y val="2.588046982077491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5191636014471476E-2"/>
                  <c:y val="3.340110790250293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191636014471476E-2"/>
                  <c:y val="2.964078886163891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DDS'!$G$43:$G$54</c:f>
              <c:numCache>
                <c:formatCode>General</c:formatCode>
                <c:ptCount val="12"/>
                <c:pt idx="3">
                  <c:v>157</c:v>
                </c:pt>
                <c:pt idx="4">
                  <c:v>151</c:v>
                </c:pt>
                <c:pt idx="5">
                  <c:v>151</c:v>
                </c:pt>
                <c:pt idx="6">
                  <c:v>151</c:v>
                </c:pt>
                <c:pt idx="7">
                  <c:v>151</c:v>
                </c:pt>
                <c:pt idx="8">
                  <c:v>151</c:v>
                </c:pt>
                <c:pt idx="9">
                  <c:v>151</c:v>
                </c:pt>
                <c:pt idx="10">
                  <c:v>151</c:v>
                </c:pt>
              </c:numCache>
            </c:numRef>
          </c:val>
        </c:ser>
        <c:marker val="1"/>
        <c:axId val="118402048"/>
        <c:axId val="118436608"/>
      </c:lineChart>
      <c:catAx>
        <c:axId val="1184020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436608"/>
        <c:crosses val="autoZero"/>
        <c:auto val="1"/>
        <c:lblAlgn val="ctr"/>
        <c:lblOffset val="100"/>
      </c:catAx>
      <c:valAx>
        <c:axId val="118436608"/>
        <c:scaling>
          <c:orientation val="minMax"/>
          <c:max val="1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402048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39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2760192"/>
        <c:axId val="142868480"/>
      </c:lineChart>
      <c:catAx>
        <c:axId val="1427601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868480"/>
        <c:crosses val="autoZero"/>
        <c:auto val="1"/>
        <c:lblAlgn val="ctr"/>
        <c:lblOffset val="100"/>
      </c:catAx>
      <c:valAx>
        <c:axId val="142868480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76019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099"/>
          <c:y val="2.1968745567329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2884864"/>
        <c:axId val="142886400"/>
      </c:lineChart>
      <c:catAx>
        <c:axId val="1428848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886400"/>
        <c:crosses val="autoZero"/>
        <c:auto val="1"/>
        <c:lblAlgn val="ctr"/>
        <c:lblOffset val="100"/>
      </c:catAx>
      <c:valAx>
        <c:axId val="142886400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88486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73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2915072"/>
        <c:axId val="142916608"/>
      </c:lineChart>
      <c:catAx>
        <c:axId val="1429150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916608"/>
        <c:crosses val="autoZero"/>
        <c:auto val="1"/>
        <c:lblAlgn val="ctr"/>
        <c:lblOffset val="100"/>
      </c:catAx>
      <c:valAx>
        <c:axId val="14291660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91507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73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2978048"/>
        <c:axId val="143139584"/>
      </c:lineChart>
      <c:catAx>
        <c:axId val="1429780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3139584"/>
        <c:crosses val="autoZero"/>
        <c:auto val="1"/>
        <c:lblAlgn val="ctr"/>
        <c:lblOffset val="100"/>
      </c:catAx>
      <c:valAx>
        <c:axId val="14313958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297804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39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3155968"/>
        <c:axId val="143157504"/>
      </c:lineChart>
      <c:catAx>
        <c:axId val="1431559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3157504"/>
        <c:crosses val="autoZero"/>
        <c:auto val="1"/>
        <c:lblAlgn val="ctr"/>
        <c:lblOffset val="100"/>
      </c:catAx>
      <c:valAx>
        <c:axId val="14315750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315596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38179258086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73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3329536"/>
        <c:axId val="143372288"/>
      </c:lineChart>
      <c:catAx>
        <c:axId val="1433295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3372288"/>
        <c:crosses val="autoZero"/>
        <c:auto val="1"/>
        <c:lblAlgn val="ctr"/>
        <c:lblOffset val="100"/>
      </c:catAx>
      <c:valAx>
        <c:axId val="14337228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332953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Ampoules</a:t>
            </a:r>
            <a:r>
              <a:rPr lang="fr-FR" sz="1400" baseline="0"/>
              <a:t>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28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Ampoules!$C$3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1767310856273539E-2"/>
                  <c:y val="2.863797801092133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112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131</c:v>
                </c:pt>
                <c:pt idx="8">
                  <c:v>171</c:v>
                </c:pt>
                <c:pt idx="9">
                  <c:v>243</c:v>
                </c:pt>
                <c:pt idx="10">
                  <c:v>310</c:v>
                </c:pt>
              </c:numCache>
            </c:numRef>
          </c:val>
        </c:ser>
        <c:ser>
          <c:idx val="1"/>
          <c:order val="1"/>
          <c:tx>
            <c:strRef>
              <c:f>Ampoules!$D$3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</c:numCache>
            </c:numRef>
          </c:val>
        </c:ser>
        <c:ser>
          <c:idx val="2"/>
          <c:order val="2"/>
          <c:tx>
            <c:strRef>
              <c:f>Ampoules!$E$3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10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Ampoules!$F$3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2844832045184937E-2"/>
                  <c:y val="-2.69518976866149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323</c:v>
                </c:pt>
                <c:pt idx="4">
                  <c:v>323</c:v>
                </c:pt>
                <c:pt idx="5">
                  <c:v>337</c:v>
                </c:pt>
                <c:pt idx="6">
                  <c:v>339</c:v>
                </c:pt>
                <c:pt idx="7">
                  <c:v>343</c:v>
                </c:pt>
                <c:pt idx="8">
                  <c:v>343</c:v>
                </c:pt>
                <c:pt idx="9">
                  <c:v>343</c:v>
                </c:pt>
                <c:pt idx="10">
                  <c:v>343</c:v>
                </c:pt>
              </c:numCache>
            </c:numRef>
          </c:val>
        </c:ser>
        <c:ser>
          <c:idx val="4"/>
          <c:order val="4"/>
          <c:tx>
            <c:strRef>
              <c:f>Ampoules!$G$3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2500003054575501E-2"/>
                  <c:y val="1.95399142602767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5215587186476707E-2"/>
                  <c:y val="3.43638811129530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3836278011984548E-2"/>
                  <c:y val="3.806987282612218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3836278011984548E-2"/>
                  <c:y val="2.32459059734458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323</c:v>
                </c:pt>
                <c:pt idx="4">
                  <c:v>323</c:v>
                </c:pt>
                <c:pt idx="5">
                  <c:v>337</c:v>
                </c:pt>
                <c:pt idx="6">
                  <c:v>339</c:v>
                </c:pt>
                <c:pt idx="7">
                  <c:v>343</c:v>
                </c:pt>
                <c:pt idx="8">
                  <c:v>343</c:v>
                </c:pt>
                <c:pt idx="9">
                  <c:v>343</c:v>
                </c:pt>
                <c:pt idx="10">
                  <c:v>343</c:v>
                </c:pt>
              </c:numCache>
            </c:numRef>
          </c:val>
        </c:ser>
        <c:marker val="1"/>
        <c:axId val="144188544"/>
        <c:axId val="144190080"/>
      </c:lineChart>
      <c:catAx>
        <c:axId val="1441885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190080"/>
        <c:crosses val="autoZero"/>
        <c:auto val="1"/>
        <c:lblAlgn val="ctr"/>
        <c:lblOffset val="100"/>
      </c:catAx>
      <c:valAx>
        <c:axId val="144190080"/>
        <c:scaling>
          <c:orientation val="minMax"/>
          <c:max val="5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188544"/>
        <c:crosses val="autoZero"/>
        <c:crossBetween val="between"/>
        <c:majorUnit val="5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32986632227346258"/>
          <c:y val="2.201455766554265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4243328"/>
        <c:axId val="144318848"/>
      </c:lineChart>
      <c:catAx>
        <c:axId val="144243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318848"/>
        <c:crosses val="autoZero"/>
        <c:auto val="1"/>
        <c:lblAlgn val="ctr"/>
        <c:lblOffset val="100"/>
      </c:catAx>
      <c:valAx>
        <c:axId val="144318848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2433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81"/>
          <c:y val="0.431976172271869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4329344"/>
        <c:axId val="144349056"/>
      </c:lineChart>
      <c:catAx>
        <c:axId val="1443293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349056"/>
        <c:crosses val="autoZero"/>
        <c:auto val="1"/>
        <c:lblAlgn val="ctr"/>
        <c:lblOffset val="100"/>
      </c:catAx>
      <c:valAx>
        <c:axId val="144349056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329344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Ampoules!$L$3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</c:dPt>
          <c:dPt>
            <c:idx val="2"/>
            <c:spPr>
              <a:ln>
                <a:solidFill>
                  <a:srgbClr val="00B050"/>
                </a:solidFill>
              </a:ln>
            </c:spPr>
          </c:dPt>
          <c:dPt>
            <c:idx val="3"/>
            <c:spPr>
              <a:ln>
                <a:solidFill>
                  <a:srgbClr val="00B050"/>
                </a:solidFill>
              </a:ln>
            </c:spPr>
          </c:dPt>
          <c:dPt>
            <c:idx val="4"/>
            <c:spPr>
              <a:ln>
                <a:solidFill>
                  <a:srgbClr val="00B050"/>
                </a:solidFill>
              </a:ln>
            </c:spPr>
          </c:dPt>
          <c:dPt>
            <c:idx val="5"/>
            <c:spPr>
              <a:ln>
                <a:solidFill>
                  <a:srgbClr val="00B050"/>
                </a:solidFill>
              </a:ln>
            </c:spPr>
          </c:dPt>
          <c:dPt>
            <c:idx val="6"/>
            <c:spPr>
              <a:ln>
                <a:solidFill>
                  <a:srgbClr val="00B050"/>
                </a:solidFill>
              </a:ln>
            </c:spPr>
          </c:dPt>
          <c:dPt>
            <c:idx val="7"/>
            <c:spPr>
              <a:ln>
                <a:solidFill>
                  <a:srgbClr val="00B050"/>
                </a:solidFill>
              </a:ln>
            </c:spPr>
          </c:dPt>
          <c:dPt>
            <c:idx val="8"/>
            <c:spPr>
              <a:ln>
                <a:solidFill>
                  <a:srgbClr val="00B050"/>
                </a:solidFill>
              </a:ln>
            </c:spPr>
          </c:dPt>
          <c:dPt>
            <c:idx val="9"/>
            <c:spPr>
              <a:ln>
                <a:solidFill>
                  <a:srgbClr val="00B050"/>
                </a:solidFill>
              </a:ln>
            </c:spPr>
          </c:dPt>
          <c:dPt>
            <c:idx val="10"/>
            <c:spPr>
              <a:ln>
                <a:solidFill>
                  <a:srgbClr val="00B050"/>
                </a:solidFill>
              </a:ln>
            </c:spPr>
          </c:dPt>
          <c:dLbls>
            <c:dLbl>
              <c:idx val="3"/>
              <c:layout>
                <c:manualLayout>
                  <c:x val="-4.6508694883070183E-2"/>
                  <c:y val="-2.661336751118159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715589562257612E-2"/>
                  <c:y val="-2.6613367511181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5862071118934472E-2"/>
                  <c:y val="-3.75916949673157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060418552866984E-2"/>
                  <c:y val="-3.82433919019036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2.9411764705882353E-2</c:v>
                </c:pt>
                <c:pt idx="3">
                  <c:v>0.34674922600619196</c:v>
                </c:pt>
                <c:pt idx="4">
                  <c:v>0.35294117647058826</c:v>
                </c:pt>
                <c:pt idx="5">
                  <c:v>0.33827893175074186</c:v>
                </c:pt>
                <c:pt idx="6">
                  <c:v>0.33628318584070799</c:v>
                </c:pt>
                <c:pt idx="7">
                  <c:v>0.38192419825072887</c:v>
                </c:pt>
                <c:pt idx="8">
                  <c:v>0.49854227405247814</c:v>
                </c:pt>
                <c:pt idx="9">
                  <c:v>0.70845481049562686</c:v>
                </c:pt>
                <c:pt idx="10">
                  <c:v>0.90379008746355682</c:v>
                </c:pt>
              </c:numCache>
            </c:numRef>
          </c:val>
        </c:ser>
        <c:ser>
          <c:idx val="1"/>
          <c:order val="1"/>
          <c:tx>
            <c:strRef>
              <c:f>Ampoules!$M$3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Ampoules!$M$160:$M$171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3.0959752321981426E-3</c:v>
                </c:pt>
                <c:pt idx="4">
                  <c:v>8.3591331269349839E-2</c:v>
                </c:pt>
                <c:pt idx="5">
                  <c:v>8.0118694362017809E-2</c:v>
                </c:pt>
                <c:pt idx="6">
                  <c:v>7.9646017699115043E-2</c:v>
                </c:pt>
                <c:pt idx="7">
                  <c:v>7.8717201166180764E-2</c:v>
                </c:pt>
                <c:pt idx="8">
                  <c:v>9.6209912536443148E-2</c:v>
                </c:pt>
                <c:pt idx="9">
                  <c:v>9.6209912536443148E-2</c:v>
                </c:pt>
                <c:pt idx="10">
                  <c:v>9.6209912536443148E-2</c:v>
                </c:pt>
              </c:numCache>
            </c:numRef>
          </c:val>
        </c:ser>
        <c:ser>
          <c:idx val="2"/>
          <c:order val="2"/>
          <c:tx>
            <c:strRef>
              <c:f>Ampoules!$N$3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0689662053986173E-2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l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Ampoules!$O$3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Ampoules!$P$3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9"/>
              <c:layout>
                <c:manualLayout>
                  <c:x val="-3.5775866925857602E-2"/>
                  <c:y val="3.06320921321523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775866925857602E-2"/>
                  <c:y val="3.06320921321523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marker val="1"/>
        <c:axId val="144444032"/>
        <c:axId val="144466304"/>
      </c:lineChart>
      <c:catAx>
        <c:axId val="1444440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466304"/>
        <c:crosses val="autoZero"/>
        <c:auto val="1"/>
        <c:lblAlgn val="ctr"/>
        <c:lblOffset val="100"/>
      </c:catAx>
      <c:valAx>
        <c:axId val="144466304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444032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DDS'!$C$56:$C$67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elete val="1"/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DDS'!$D$56:$D$67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DDS'!$E$56:$E$67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trendline>
            <c:name>157</c:name>
            <c:trendlineType val="linear"/>
          </c:trendline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DDS'!$F$56:$F$67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DDS'!$G$56:$G$67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Val val="1"/>
        </c:dLbls>
        <c:marker val="1"/>
        <c:axId val="118474624"/>
        <c:axId val="118476160"/>
      </c:lineChart>
      <c:catAx>
        <c:axId val="1184746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476160"/>
        <c:crosses val="autoZero"/>
        <c:auto val="1"/>
        <c:lblAlgn val="ctr"/>
        <c:lblOffset val="100"/>
      </c:catAx>
      <c:valAx>
        <c:axId val="118476160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474624"/>
        <c:crosses val="autoZero"/>
        <c:crossBetween val="between"/>
        <c:majorUnit val="20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Ampoules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4499072"/>
        <c:axId val="144500608"/>
      </c:lineChart>
      <c:catAx>
        <c:axId val="144499072"/>
        <c:scaling>
          <c:orientation val="minMax"/>
        </c:scaling>
        <c:axPos val="b"/>
        <c:numFmt formatCode="General" sourceLinked="1"/>
        <c:majorTickMark val="none"/>
        <c:tickLblPos val="nextTo"/>
        <c:crossAx val="144500608"/>
        <c:crosses val="autoZero"/>
        <c:auto val="1"/>
        <c:lblAlgn val="ctr"/>
        <c:lblOffset val="100"/>
      </c:catAx>
      <c:valAx>
        <c:axId val="144500608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144499072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28503872998082153"/>
          <c:y val="2.201228230216004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4521088"/>
        <c:axId val="144522624"/>
      </c:lineChart>
      <c:catAx>
        <c:axId val="1445210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522624"/>
        <c:crosses val="autoZero"/>
        <c:auto val="1"/>
        <c:lblAlgn val="ctr"/>
        <c:lblOffset val="100"/>
      </c:catAx>
      <c:valAx>
        <c:axId val="144522624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5210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03"/>
          <c:y val="0.431976172271869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28503872998082153"/>
          <c:y val="1.83074256901188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4562432"/>
        <c:axId val="144594048"/>
      </c:lineChart>
      <c:catAx>
        <c:axId val="1445624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594048"/>
        <c:crosses val="autoZero"/>
        <c:auto val="1"/>
        <c:lblAlgn val="ctr"/>
        <c:lblOffset val="100"/>
      </c:catAx>
      <c:valAx>
        <c:axId val="14459404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562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35055598025468132"/>
          <c:y val="2.201455766554265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4629760"/>
        <c:axId val="144632448"/>
      </c:lineChart>
      <c:catAx>
        <c:axId val="1446297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632448"/>
        <c:crosses val="autoZero"/>
        <c:auto val="1"/>
        <c:lblAlgn val="ctr"/>
        <c:lblOffset val="100"/>
      </c:catAx>
      <c:valAx>
        <c:axId val="14463244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6297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34193528942917317"/>
          <c:y val="2.567586659443100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4922112"/>
        <c:axId val="144953728"/>
      </c:lineChart>
      <c:catAx>
        <c:axId val="1449221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953728"/>
        <c:crosses val="autoZero"/>
        <c:auto val="1"/>
        <c:lblAlgn val="ctr"/>
        <c:lblOffset val="100"/>
      </c:catAx>
      <c:valAx>
        <c:axId val="144953728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922112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35400425658488432"/>
          <c:y val="2.1968722862376215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4964608"/>
        <c:axId val="145000320"/>
      </c:lineChart>
      <c:catAx>
        <c:axId val="1449646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000320"/>
        <c:crosses val="autoZero"/>
        <c:auto val="1"/>
        <c:lblAlgn val="ctr"/>
        <c:lblOffset val="100"/>
      </c:catAx>
      <c:valAx>
        <c:axId val="145000320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496460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31262494062244678"/>
          <c:y val="2.196872927505907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5027840"/>
        <c:axId val="145030528"/>
      </c:lineChart>
      <c:catAx>
        <c:axId val="1450278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030528"/>
        <c:crosses val="autoZero"/>
        <c:auto val="1"/>
        <c:lblAlgn val="ctr"/>
        <c:lblOffset val="100"/>
      </c:catAx>
      <c:valAx>
        <c:axId val="14503052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02784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31434907878754836"/>
          <c:y val="1.830742034617074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5123584"/>
        <c:axId val="145228928"/>
      </c:lineChart>
      <c:catAx>
        <c:axId val="1451235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228928"/>
        <c:crosses val="autoZero"/>
        <c:auto val="1"/>
        <c:lblAlgn val="ctr"/>
        <c:lblOffset val="100"/>
      </c:catAx>
      <c:valAx>
        <c:axId val="14522892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12358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29883183530163387"/>
          <c:y val="2.1968722862376215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5268736"/>
        <c:axId val="145271424"/>
      </c:lineChart>
      <c:catAx>
        <c:axId val="1452687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271424"/>
        <c:crosses val="autoZero"/>
        <c:auto val="1"/>
        <c:lblAlgn val="ctr"/>
        <c:lblOffset val="100"/>
      </c:catAx>
      <c:valAx>
        <c:axId val="14527142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26873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30745252612714197"/>
          <c:y val="2.572169498491459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5311232"/>
        <c:axId val="145334656"/>
      </c:lineChart>
      <c:catAx>
        <c:axId val="145311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334656"/>
        <c:crosses val="autoZero"/>
        <c:auto val="1"/>
        <c:lblAlgn val="ctr"/>
        <c:lblOffset val="100"/>
      </c:catAx>
      <c:valAx>
        <c:axId val="14533465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31123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5"/>
              <c:layout>
                <c:manualLayout>
                  <c:x val="-3.3668074079293252E-2"/>
                  <c:y val="-3.6832423205122697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39221224439483E-2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68074079293189E-2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8150830593379057E-2"/>
                  <c:y val="-2.57826962435858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4198347026655864E-2"/>
                  <c:y val="-2.593537476130289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3853518036046441E-2"/>
                  <c:y val="-2.961848860036501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9025932531351146E-2"/>
                  <c:y val="2.56301809940532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DDS'!$C$69:$C$80</c:f>
              <c:numCache>
                <c:formatCode>General</c:formatCode>
                <c:ptCount val="12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8</c:v>
                </c:pt>
              </c:numCache>
            </c:numRef>
          </c:val>
        </c:ser>
        <c:marker val="1"/>
        <c:axId val="118983680"/>
        <c:axId val="119169792"/>
      </c:lineChart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9"/>
              <c:layout>
                <c:manualLayout>
                  <c:x val="-2.1646622542305542E-2"/>
                  <c:y val="-7.000009340818438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DDS'!$D$69:$D$80</c:f>
              <c:numCache>
                <c:formatCode>General</c:formatCode>
                <c:ptCount val="12"/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20</c:v>
                </c:pt>
                <c:pt idx="9">
                  <c:v>18</c:v>
                </c:pt>
                <c:pt idx="10">
                  <c:v>11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6474208047000821E-2"/>
                  <c:y val="4.008295705774491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4750069881899246E-2"/>
                  <c:y val="6.954889562184296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8535172214929706E-3"/>
                  <c:y val="8.062776370043039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DDS'!$E$69:$E$80</c:f>
              <c:numCache>
                <c:formatCode>General</c:formatCode>
                <c:ptCount val="12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DDS'!$F$69:$F$80</c:f>
              <c:numCache>
                <c:formatCode>General</c:formatCode>
                <c:ptCount val="12"/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9"/>
              <c:layout>
                <c:manualLayout>
                  <c:x val="-2.509489887250867E-2"/>
                  <c:y val="7.370723072755630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8535172214929706E-3"/>
                  <c:y val="-1.526406493736981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DDS'!$G$69:$G$80</c:f>
              <c:numCache>
                <c:formatCode>General</c:formatCode>
                <c:ptCount val="12"/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</c:numCache>
            </c:numRef>
          </c:val>
        </c:ser>
        <c:marker val="1"/>
        <c:axId val="119173120"/>
        <c:axId val="119171328"/>
      </c:lineChart>
      <c:catAx>
        <c:axId val="1189836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169792"/>
        <c:crosses val="autoZero"/>
        <c:auto val="1"/>
        <c:lblAlgn val="ctr"/>
        <c:lblOffset val="100"/>
      </c:catAx>
      <c:valAx>
        <c:axId val="119169792"/>
        <c:scaling>
          <c:orientation val="minMax"/>
          <c:max val="35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8983680"/>
        <c:crosses val="autoZero"/>
        <c:crossBetween val="between"/>
        <c:majorUnit val="5"/>
        <c:minorUnit val="1"/>
      </c:valAx>
      <c:valAx>
        <c:axId val="119171328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173120"/>
        <c:crosses val="max"/>
        <c:crossBetween val="between"/>
      </c:valAx>
      <c:catAx>
        <c:axId val="119173120"/>
        <c:scaling>
          <c:orientation val="minMax"/>
        </c:scaling>
        <c:delete val="1"/>
        <c:axPos val="b"/>
        <c:numFmt formatCode="General" sourceLinked="1"/>
        <c:tickLblPos val="none"/>
        <c:crossAx val="11917132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32296976961305623"/>
          <c:y val="2.576722395335430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5366016"/>
        <c:axId val="145389440"/>
      </c:lineChart>
      <c:catAx>
        <c:axId val="1453660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389440"/>
        <c:crosses val="autoZero"/>
        <c:auto val="1"/>
        <c:lblAlgn val="ctr"/>
        <c:lblOffset val="100"/>
      </c:catAx>
      <c:valAx>
        <c:axId val="14538944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36601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Supports d'enregistrement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33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'Copie Privée'!$C$3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9655571498177E-2"/>
                  <c:y val="-2.66355172529147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284554342187642E-2"/>
                  <c:y val="-3.0298005414714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3836278011984548E-2"/>
                  <c:y val="-3.029800541471486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3836278011984548E-2"/>
                  <c:y val="-2.663551725291480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2112139846882942E-2"/>
                  <c:y val="-3.02982937996094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3836278011984548E-2"/>
                  <c:y val="-3.029800541471486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3836278011984548E-2"/>
                  <c:y val="-2.297302909111470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594896360968828E-3"/>
                  <c:y val="-8.323364828809035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18</c:v>
                </c:pt>
                <c:pt idx="4">
                  <c:v>252</c:v>
                </c:pt>
                <c:pt idx="5">
                  <c:v>254</c:v>
                </c:pt>
                <c:pt idx="6">
                  <c:v>254</c:v>
                </c:pt>
                <c:pt idx="7">
                  <c:v>254</c:v>
                </c:pt>
                <c:pt idx="8">
                  <c:v>254</c:v>
                </c:pt>
                <c:pt idx="9">
                  <c:v>285</c:v>
                </c:pt>
                <c:pt idx="10">
                  <c:v>285</c:v>
                </c:pt>
              </c:numCache>
            </c:numRef>
          </c:val>
        </c:ser>
        <c:ser>
          <c:idx val="1"/>
          <c:order val="1"/>
          <c:tx>
            <c:strRef>
              <c:f>'Copie Privée'!$D$3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24</c:v>
                </c:pt>
                <c:pt idx="10">
                  <c:v>24</c:v>
                </c:pt>
              </c:numCache>
            </c:numRef>
          </c:val>
        </c:ser>
        <c:ser>
          <c:idx val="2"/>
          <c:order val="2"/>
          <c:tx>
            <c:strRef>
              <c:f>'Copie Privée'!$E$3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6466203701629643E-3"/>
                  <c:y val="-9.9810012031417879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224822050613938E-3"/>
                  <c:y val="-9.9810012031417879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24822050613938E-3"/>
                  <c:y val="-9.9810012031417879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466203701629643E-3"/>
                  <c:y val="6.3268762032859726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224822050613938E-3"/>
                  <c:y val="2.6643880414859013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5560416177086081E-2"/>
                  <c:y val="-3.0298005414714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3836278011984548E-2"/>
                  <c:y val="-2.66355172529147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3836278011984548E-2"/>
                  <c:y val="-3.39604935765148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3836278011984548E-2"/>
                  <c:y val="-3.39604935765148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0388001681781384E-2"/>
                  <c:y val="-2.66355172529147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132</c:v>
                </c:pt>
                <c:pt idx="6">
                  <c:v>145</c:v>
                </c:pt>
                <c:pt idx="7">
                  <c:v>145</c:v>
                </c:pt>
                <c:pt idx="8">
                  <c:v>146</c:v>
                </c:pt>
                <c:pt idx="9">
                  <c:v>147</c:v>
                </c:pt>
                <c:pt idx="10">
                  <c:v>187</c:v>
                </c:pt>
              </c:numCache>
            </c:numRef>
          </c:val>
        </c:ser>
        <c:ser>
          <c:idx val="3"/>
          <c:order val="3"/>
          <c:tx>
            <c:strRef>
              <c:f>'Copie Privée'!$F$3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Privée'!$F$160:$F$171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476</c:v>
                </c:pt>
                <c:pt idx="4">
                  <c:v>489</c:v>
                </c:pt>
                <c:pt idx="5">
                  <c:v>491</c:v>
                </c:pt>
                <c:pt idx="6">
                  <c:v>491</c:v>
                </c:pt>
                <c:pt idx="7">
                  <c:v>491</c:v>
                </c:pt>
                <c:pt idx="8">
                  <c:v>494</c:v>
                </c:pt>
                <c:pt idx="9">
                  <c:v>496</c:v>
                </c:pt>
                <c:pt idx="10">
                  <c:v>506</c:v>
                </c:pt>
              </c:numCache>
            </c:numRef>
          </c:val>
        </c:ser>
        <c:ser>
          <c:idx val="4"/>
          <c:order val="4"/>
          <c:tx>
            <c:strRef>
              <c:f>'Copie Privée'!$G$3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Privée'!$G$160:$G$171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476</c:v>
                </c:pt>
                <c:pt idx="4">
                  <c:v>489</c:v>
                </c:pt>
                <c:pt idx="5">
                  <c:v>359</c:v>
                </c:pt>
                <c:pt idx="6">
                  <c:v>346</c:v>
                </c:pt>
                <c:pt idx="7">
                  <c:v>346</c:v>
                </c:pt>
                <c:pt idx="8">
                  <c:v>348</c:v>
                </c:pt>
                <c:pt idx="9">
                  <c:v>349</c:v>
                </c:pt>
                <c:pt idx="10">
                  <c:v>319</c:v>
                </c:pt>
              </c:numCache>
            </c:numRef>
          </c:val>
        </c:ser>
        <c:dLbls>
          <c:showVal val="1"/>
        </c:dLbls>
        <c:marker val="1"/>
        <c:axId val="145738752"/>
        <c:axId val="145978112"/>
      </c:lineChart>
      <c:catAx>
        <c:axId val="1457387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978112"/>
        <c:crosses val="autoZero"/>
        <c:auto val="1"/>
        <c:lblAlgn val="ctr"/>
        <c:lblOffset val="100"/>
      </c:catAx>
      <c:valAx>
        <c:axId val="145978112"/>
        <c:scaling>
          <c:orientation val="minMax"/>
          <c:max val="6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738752"/>
        <c:crosses val="autoZero"/>
        <c:crossBetween val="between"/>
        <c:majorUnit val="5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5339136"/>
        <c:axId val="145340672"/>
      </c:lineChart>
      <c:catAx>
        <c:axId val="1453391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340672"/>
        <c:crosses val="autoZero"/>
        <c:auto val="1"/>
        <c:lblAlgn val="ctr"/>
        <c:lblOffset val="100"/>
      </c:catAx>
      <c:valAx>
        <c:axId val="145340672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53391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03"/>
          <c:y val="0.431976172271869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 sz="1400"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7851520"/>
        <c:axId val="147869696"/>
      </c:lineChart>
      <c:catAx>
        <c:axId val="1478515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7869696"/>
        <c:crosses val="autoZero"/>
        <c:auto val="1"/>
        <c:lblAlgn val="ctr"/>
        <c:lblOffset val="100"/>
      </c:catAx>
      <c:valAx>
        <c:axId val="147869696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7851520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'Copie Privée'!$L$3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</c:dPt>
          <c:dPt>
            <c:idx val="2"/>
            <c:spPr>
              <a:ln>
                <a:solidFill>
                  <a:srgbClr val="00B050"/>
                </a:solidFill>
              </a:ln>
            </c:spPr>
          </c:dPt>
          <c:dPt>
            <c:idx val="3"/>
            <c:spPr>
              <a:ln>
                <a:solidFill>
                  <a:srgbClr val="00B050"/>
                </a:solidFill>
              </a:ln>
            </c:spPr>
          </c:dPt>
          <c:dPt>
            <c:idx val="4"/>
            <c:spPr>
              <a:ln>
                <a:solidFill>
                  <a:srgbClr val="00B050"/>
                </a:solidFill>
              </a:ln>
            </c:spPr>
          </c:dPt>
          <c:dPt>
            <c:idx val="5"/>
            <c:spPr>
              <a:ln>
                <a:solidFill>
                  <a:srgbClr val="00B050"/>
                </a:solidFill>
              </a:ln>
            </c:spPr>
          </c:dPt>
          <c:dPt>
            <c:idx val="6"/>
            <c:spPr>
              <a:ln>
                <a:solidFill>
                  <a:srgbClr val="00B050"/>
                </a:solidFill>
              </a:ln>
            </c:spPr>
          </c:dPt>
          <c:dPt>
            <c:idx val="7"/>
            <c:spPr>
              <a:ln>
                <a:solidFill>
                  <a:srgbClr val="00B050"/>
                </a:solidFill>
              </a:ln>
            </c:spPr>
          </c:dPt>
          <c:dPt>
            <c:idx val="8"/>
            <c:spPr>
              <a:ln>
                <a:solidFill>
                  <a:srgbClr val="00B050"/>
                </a:solidFill>
              </a:ln>
            </c:spPr>
          </c:dPt>
          <c:dPt>
            <c:idx val="9"/>
            <c:spPr>
              <a:ln>
                <a:solidFill>
                  <a:srgbClr val="00B050"/>
                </a:solidFill>
              </a:ln>
            </c:spPr>
          </c:dPt>
          <c:dPt>
            <c:idx val="10"/>
            <c:spPr>
              <a:ln>
                <a:solidFill>
                  <a:srgbClr val="00B050"/>
                </a:solidFill>
              </a:ln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819036901851344E-2"/>
                  <c:y val="-4.857002242344992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715589562257612E-2"/>
                  <c:y val="-2.661336751118154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5862071118934482E-2"/>
                  <c:y val="-3.75916949673157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26731323205441E-2"/>
                  <c:y val="-3.027338628671475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439727727359218E-2"/>
                  <c:y val="-2.295392502580341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5776552508356405E-3"/>
                  <c:y val="-4.656712598913001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3.7815126050420166E-2</c:v>
                </c:pt>
                <c:pt idx="4">
                  <c:v>0.51533742331288346</c:v>
                </c:pt>
                <c:pt idx="5">
                  <c:v>0.70752089136490248</c:v>
                </c:pt>
                <c:pt idx="6">
                  <c:v>0.73410404624277459</c:v>
                </c:pt>
                <c:pt idx="7">
                  <c:v>0.73410404624277459</c:v>
                </c:pt>
                <c:pt idx="8">
                  <c:v>0.72988505747126442</c:v>
                </c:pt>
                <c:pt idx="9">
                  <c:v>0.81661891117478513</c:v>
                </c:pt>
                <c:pt idx="10">
                  <c:v>0.89341692789968652</c:v>
                </c:pt>
              </c:numCache>
            </c:numRef>
          </c:val>
        </c:ser>
        <c:ser>
          <c:idx val="1"/>
          <c:order val="1"/>
          <c:tx>
            <c:strRef>
              <c:f>'Copie Privée'!$M$3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379314604848593E-2"/>
                  <c:y val="-3.0272809996559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7931038274645461E-2"/>
                  <c:y val="-3.0272809996559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655176439747011E-2"/>
                  <c:y val="-3.0272809996559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655176439747011E-2"/>
                  <c:y val="-2.661336751118149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655176439747011E-2"/>
                  <c:y val="-3.0272809996559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7931038274645461E-2"/>
                  <c:y val="-3.75916949673157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7931038274645461E-2"/>
                  <c:y val="-3.39322524819376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Privée'!$M$160:$M$171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3.8854805725971372E-2</c:v>
                </c:pt>
                <c:pt idx="5">
                  <c:v>5.5710306406685235E-2</c:v>
                </c:pt>
                <c:pt idx="6">
                  <c:v>5.7803468208092484E-2</c:v>
                </c:pt>
                <c:pt idx="7">
                  <c:v>5.7803468208092484E-2</c:v>
                </c:pt>
                <c:pt idx="8">
                  <c:v>6.0344827586206899E-2</c:v>
                </c:pt>
                <c:pt idx="9">
                  <c:v>6.8767908309455589E-2</c:v>
                </c:pt>
                <c:pt idx="10">
                  <c:v>7.5235109717868343E-2</c:v>
                </c:pt>
              </c:numCache>
            </c:numRef>
          </c:val>
        </c:ser>
        <c:ser>
          <c:idx val="2"/>
          <c:order val="2"/>
          <c:tx>
            <c:strRef>
              <c:f>'Copie Privée'!$N$3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37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034486971828271E-2"/>
                  <c:y val="-2.56160973976465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7241381651015731E-2"/>
                  <c:y val="-2.56160973976465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689657981218842E-2"/>
                  <c:y val="-2.56160973976465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724138165101571E-2"/>
                  <c:y val="-2.56160973976465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3793105320812571E-2"/>
                  <c:y val="-1.4637769941512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965526604062802E-3"/>
                  <c:y val="-2.8814507758882531E-7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0.36768802228412256</c:v>
                </c:pt>
                <c:pt idx="6">
                  <c:v>0.41907514450867051</c:v>
                </c:pt>
                <c:pt idx="7">
                  <c:v>0.41907514450867051</c:v>
                </c:pt>
                <c:pt idx="8">
                  <c:v>0.41954022988505746</c:v>
                </c:pt>
                <c:pt idx="9">
                  <c:v>0.42120343839541546</c:v>
                </c:pt>
                <c:pt idx="10">
                  <c:v>0.58620689655172409</c:v>
                </c:pt>
              </c:numCache>
            </c:numRef>
          </c:val>
        </c:ser>
        <c:ser>
          <c:idx val="3"/>
          <c:order val="3"/>
          <c:tx>
            <c:strRef>
              <c:f>'Copie Privée'!$O$3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'Copie Privée'!$P$3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1.6811025904293507E-3"/>
                  <c:y val="-1.364107611813257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301793415937271E-2"/>
                  <c:y val="-2.827826976948964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2025931581038702E-2"/>
                  <c:y val="-3.193771225486773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5776552508356561E-3"/>
                  <c:y val="-2.827826976948969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0301793415937226E-2"/>
                  <c:y val="-2.461882728411169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5776552508356405E-3"/>
                  <c:y val="-2.6621723718431552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0.63231197771587744</c:v>
                </c:pt>
                <c:pt idx="6">
                  <c:v>0.58092485549132955</c:v>
                </c:pt>
                <c:pt idx="7">
                  <c:v>0.58092485549132955</c:v>
                </c:pt>
                <c:pt idx="8">
                  <c:v>0.58045977011494254</c:v>
                </c:pt>
                <c:pt idx="9">
                  <c:v>0.57879656160458448</c:v>
                </c:pt>
                <c:pt idx="10">
                  <c:v>0.41379310344827591</c:v>
                </c:pt>
              </c:numCache>
            </c:numRef>
          </c:val>
        </c:ser>
        <c:marker val="1"/>
        <c:axId val="148452096"/>
        <c:axId val="148453632"/>
      </c:lineChart>
      <c:catAx>
        <c:axId val="1484520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453632"/>
        <c:crosses val="autoZero"/>
        <c:auto val="1"/>
        <c:lblAlgn val="ctr"/>
        <c:lblOffset val="100"/>
      </c:catAx>
      <c:valAx>
        <c:axId val="148453632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452096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8769024"/>
        <c:axId val="148783104"/>
      </c:lineChart>
      <c:catAx>
        <c:axId val="148769024"/>
        <c:scaling>
          <c:orientation val="minMax"/>
        </c:scaling>
        <c:axPos val="b"/>
        <c:numFmt formatCode="General" sourceLinked="1"/>
        <c:majorTickMark val="none"/>
        <c:tickLblPos val="nextTo"/>
        <c:crossAx val="148783104"/>
        <c:crosses val="autoZero"/>
        <c:auto val="1"/>
        <c:lblAlgn val="ctr"/>
        <c:lblOffset val="100"/>
      </c:catAx>
      <c:valAx>
        <c:axId val="148783104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148769024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 sz="1400"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712456110841177"/>
          <c:y val="1.464583037821992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8811776"/>
        <c:axId val="148813312"/>
      </c:lineChart>
      <c:catAx>
        <c:axId val="148811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813312"/>
        <c:crosses val="autoZero"/>
        <c:auto val="1"/>
        <c:lblAlgn val="ctr"/>
        <c:lblOffset val="100"/>
      </c:catAx>
      <c:valAx>
        <c:axId val="148813312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8117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464583037821992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8861312"/>
        <c:axId val="148864000"/>
      </c:lineChart>
      <c:catAx>
        <c:axId val="1488613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864000"/>
        <c:crosses val="autoZero"/>
        <c:auto val="1"/>
        <c:lblAlgn val="ctr"/>
        <c:lblOffset val="100"/>
      </c:catAx>
      <c:valAx>
        <c:axId val="148864000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8613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814216374452399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8883328"/>
        <c:axId val="148914944"/>
      </c:lineChart>
      <c:catAx>
        <c:axId val="148883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914944"/>
        <c:crosses val="autoZero"/>
        <c:auto val="1"/>
        <c:lblAlgn val="ctr"/>
        <c:lblOffset val="100"/>
      </c:catAx>
      <c:valAx>
        <c:axId val="148914944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8833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38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8925824"/>
        <c:axId val="148969728"/>
      </c:lineChart>
      <c:catAx>
        <c:axId val="1489258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969728"/>
        <c:crosses val="autoZero"/>
        <c:auto val="1"/>
        <c:lblAlgn val="ctr"/>
        <c:lblOffset val="100"/>
      </c:catAx>
      <c:valAx>
        <c:axId val="148969728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8925824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 baseline="0"/>
              <a:t> </a:t>
            </a:r>
            <a:r>
              <a:rPr lang="fr-FR" sz="1400"/>
              <a:t>Campagne Juillet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DDS'!$C$82:$C$93</c:f>
              <c:numCache>
                <c:formatCode>General</c:formatCode>
                <c:ptCount val="12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DDS'!$E$82:$E$93</c:f>
              <c:numCache>
                <c:formatCode>General</c:formatCode>
                <c:ptCount val="12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marker val="1"/>
        <c:axId val="119751808"/>
        <c:axId val="119753344"/>
      </c:lineChart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8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dLbl>
              <c:idx val="9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dLbl>
              <c:idx val="10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dLbl>
              <c:idx val="11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DDS'!$D$82:$D$93</c:f>
              <c:numCache>
                <c:formatCode>General</c:formatCode>
                <c:ptCount val="12"/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DDS'!$F$82:$F$93</c:f>
              <c:numCache>
                <c:formatCode>General</c:formatCode>
                <c:ptCount val="12"/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DDS'!$G$82:$G$93</c:f>
              <c:numCache>
                <c:formatCode>General</c:formatCode>
                <c:ptCount val="12"/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</c:ser>
        <c:marker val="1"/>
        <c:axId val="119764864"/>
        <c:axId val="119763328"/>
      </c:lineChart>
      <c:catAx>
        <c:axId val="1197518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753344"/>
        <c:crosses val="autoZero"/>
        <c:auto val="1"/>
        <c:lblAlgn val="ctr"/>
        <c:lblOffset val="100"/>
      </c:catAx>
      <c:valAx>
        <c:axId val="119753344"/>
        <c:scaling>
          <c:orientation val="minMax"/>
          <c:max val="4.5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751808"/>
        <c:crosses val="autoZero"/>
        <c:crossBetween val="between"/>
        <c:minorUnit val="0.1"/>
      </c:valAx>
      <c:valAx>
        <c:axId val="119763328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764864"/>
        <c:crosses val="max"/>
        <c:crossBetween val="between"/>
      </c:valAx>
      <c:catAx>
        <c:axId val="119764864"/>
        <c:scaling>
          <c:orientation val="minMax"/>
        </c:scaling>
        <c:delete val="1"/>
        <c:axPos val="b"/>
        <c:numFmt formatCode="General" sourceLinked="1"/>
        <c:tickLblPos val="none"/>
        <c:crossAx val="11976332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9025920"/>
        <c:axId val="149094400"/>
      </c:lineChart>
      <c:catAx>
        <c:axId val="1490259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094400"/>
        <c:crosses val="autoZero"/>
        <c:auto val="1"/>
        <c:lblAlgn val="ctr"/>
        <c:lblOffset val="100"/>
      </c:catAx>
      <c:valAx>
        <c:axId val="149094400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02592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13"/>
          <c:y val="2.1968745567329938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9105280"/>
        <c:axId val="149120512"/>
      </c:lineChart>
      <c:catAx>
        <c:axId val="1491052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120512"/>
        <c:crosses val="autoZero"/>
        <c:auto val="1"/>
        <c:lblAlgn val="ctr"/>
        <c:lblOffset val="100"/>
      </c:catAx>
      <c:valAx>
        <c:axId val="149120512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1052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84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49193088"/>
        <c:axId val="149195776"/>
      </c:lineChart>
      <c:catAx>
        <c:axId val="1491930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195776"/>
        <c:crosses val="autoZero"/>
        <c:auto val="1"/>
        <c:lblAlgn val="ctr"/>
        <c:lblOffset val="100"/>
      </c:catAx>
      <c:valAx>
        <c:axId val="14919577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19308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84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9231488"/>
        <c:axId val="149259008"/>
      </c:lineChart>
      <c:catAx>
        <c:axId val="1492314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259008"/>
        <c:crosses val="autoZero"/>
        <c:auto val="1"/>
        <c:lblAlgn val="ctr"/>
        <c:lblOffset val="100"/>
      </c:catAx>
      <c:valAx>
        <c:axId val="14925900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23148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9021113090023506"/>
          <c:y val="2.1968745567329896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9273984"/>
        <c:axId val="149276928"/>
      </c:lineChart>
      <c:catAx>
        <c:axId val="149273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276928"/>
        <c:crosses val="autoZero"/>
        <c:auto val="1"/>
        <c:lblAlgn val="ctr"/>
        <c:lblOffset val="100"/>
      </c:catAx>
      <c:valAx>
        <c:axId val="14927692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27398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84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49333120"/>
        <c:axId val="149491712"/>
      </c:lineChart>
      <c:catAx>
        <c:axId val="1493331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491712"/>
        <c:crosses val="autoZero"/>
        <c:auto val="1"/>
        <c:lblAlgn val="ctr"/>
        <c:lblOffset val="100"/>
      </c:catAx>
      <c:valAx>
        <c:axId val="14949171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33312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92"/>
          <c:y val="0.43197617227187196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Boissons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39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Boissons!$C$3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3707585352645374E-3"/>
                  <c:y val="-2.6643880414859013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9.094896700366107E-3"/>
                  <c:y val="-2.6643880414859013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9.094896700366107E-3"/>
                  <c:y val="-2.664388041485765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707585352644732E-3"/>
                  <c:y val="-2.664388041485765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646620370162901E-3"/>
                  <c:y val="-2.6643880414859013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0775864889473954E-2"/>
                  <c:y val="-2.097682885048627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9051726724372359E-2"/>
                  <c:y val="-2.463931701228638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9051726724372359E-2"/>
                  <c:y val="-2.463931701228638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14</c:v>
                </c:pt>
                <c:pt idx="9">
                  <c:v>14</c:v>
                </c:pt>
                <c:pt idx="10">
                  <c:v>20</c:v>
                </c:pt>
              </c:numCache>
            </c:numRef>
          </c:val>
        </c:ser>
        <c:ser>
          <c:idx val="1"/>
          <c:order val="1"/>
          <c:tx>
            <c:strRef>
              <c:f>Boissons!$D$3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706897733762934E-3"/>
                  <c:y val="-9.9810012031417879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706897733762934E-3"/>
                  <c:y val="-9.9810012031417879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9827595686613635E-3"/>
                  <c:y val="-4.6605882821142515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2155174063966078E-2"/>
                  <c:y val="-1.93105409293145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431035898864505E-2"/>
                  <c:y val="2.097682885048627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8663863516679823E-2"/>
                  <c:y val="-1.93105409293145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3836278011984548E-2"/>
                  <c:y val="-2.66355172529147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93</c:v>
                </c:pt>
                <c:pt idx="9">
                  <c:v>114</c:v>
                </c:pt>
                <c:pt idx="10">
                  <c:v>114</c:v>
                </c:pt>
              </c:numCache>
            </c:numRef>
          </c:val>
        </c:ser>
        <c:ser>
          <c:idx val="2"/>
          <c:order val="2"/>
          <c:tx>
            <c:strRef>
              <c:f>Boissons!$E$3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948279384778641E-2"/>
                  <c:y val="-8.3230764439143293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051726724372359E-2"/>
                  <c:y val="-3.0298005414714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775864889473954E-2"/>
                  <c:y val="-3.0298005414714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4224141219677059E-2"/>
                  <c:y val="-2.66355172529147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181107002593969E-2"/>
                  <c:y val="-1.93105409293145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0043172691171965E-2"/>
                  <c:y val="1.365185252688612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0043172691171965E-2"/>
                  <c:y val="1.731434068868619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100</c:v>
                </c:pt>
                <c:pt idx="9">
                  <c:v>101</c:v>
                </c:pt>
                <c:pt idx="10">
                  <c:v>102</c:v>
                </c:pt>
              </c:numCache>
            </c:numRef>
          </c:val>
        </c:ser>
        <c:ser>
          <c:idx val="3"/>
          <c:order val="3"/>
          <c:tx>
            <c:strRef>
              <c:f>Boissons!$F$3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3.1120693880083341E-2"/>
                  <c:y val="-2.297302909111464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594896360968828E-3"/>
                  <c:y val="-1.93105409293145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40</c:v>
                </c:pt>
                <c:pt idx="5">
                  <c:v>200</c:v>
                </c:pt>
                <c:pt idx="6">
                  <c:v>208</c:v>
                </c:pt>
                <c:pt idx="7">
                  <c:v>214</c:v>
                </c:pt>
                <c:pt idx="8">
                  <c:v>235</c:v>
                </c:pt>
                <c:pt idx="9">
                  <c:v>241</c:v>
                </c:pt>
                <c:pt idx="10">
                  <c:v>266</c:v>
                </c:pt>
              </c:numCache>
            </c:numRef>
          </c:val>
        </c:ser>
        <c:ser>
          <c:idx val="4"/>
          <c:order val="4"/>
          <c:tx>
            <c:strRef>
              <c:f>Boissons!$G$3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775864889473954E-2"/>
                  <c:y val="1.93105409293145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431035898864505E-2"/>
                  <c:y val="-2.6643880414859013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043172691171965E-2"/>
                  <c:y val="-2.463931701228638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5560416177086081E-2"/>
                  <c:y val="-2.463931701228638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2112139846882942E-2"/>
                  <c:y val="-2.097682885048627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6939725351578255E-2"/>
                  <c:y val="-2.83018051740864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7284554342187642E-2"/>
                  <c:y val="-2.463931701228631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0043172691171965E-2"/>
                  <c:y val="-2.463931701228638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28</c:v>
                </c:pt>
                <c:pt idx="5">
                  <c:v>173</c:v>
                </c:pt>
                <c:pt idx="6">
                  <c:v>180</c:v>
                </c:pt>
                <c:pt idx="7">
                  <c:v>186</c:v>
                </c:pt>
                <c:pt idx="8">
                  <c:v>135</c:v>
                </c:pt>
                <c:pt idx="9">
                  <c:v>140</c:v>
                </c:pt>
                <c:pt idx="10">
                  <c:v>164</c:v>
                </c:pt>
              </c:numCache>
            </c:numRef>
          </c:val>
        </c:ser>
        <c:dLbls>
          <c:showVal val="1"/>
        </c:dLbls>
        <c:marker val="1"/>
        <c:axId val="149951616"/>
        <c:axId val="149953152"/>
      </c:lineChart>
      <c:catAx>
        <c:axId val="1499516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953152"/>
        <c:crosses val="autoZero"/>
        <c:auto val="1"/>
        <c:lblAlgn val="ctr"/>
        <c:lblOffset val="100"/>
      </c:catAx>
      <c:valAx>
        <c:axId val="149953152"/>
        <c:scaling>
          <c:orientation val="minMax"/>
          <c:max val="29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49951616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50002304"/>
        <c:axId val="150004096"/>
      </c:lineChart>
      <c:catAx>
        <c:axId val="1500023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004096"/>
        <c:crosses val="autoZero"/>
        <c:auto val="1"/>
        <c:lblAlgn val="ctr"/>
        <c:lblOffset val="100"/>
      </c:catAx>
      <c:valAx>
        <c:axId val="150004096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0023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25"/>
          <c:y val="0.431976172271869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150027264"/>
        <c:axId val="150054784"/>
      </c:lineChart>
      <c:catAx>
        <c:axId val="150027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054784"/>
        <c:crosses val="autoZero"/>
        <c:auto val="1"/>
        <c:lblAlgn val="ctr"/>
        <c:lblOffset val="100"/>
      </c:catAx>
      <c:valAx>
        <c:axId val="150054784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027264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Boissons 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2260531124155772E-2"/>
          <c:y val="0.19270797015047522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Boissons!$L$3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</c:dPt>
          <c:dPt>
            <c:idx val="2"/>
            <c:spPr>
              <a:ln>
                <a:solidFill>
                  <a:srgbClr val="00B050"/>
                </a:solidFill>
              </a:ln>
            </c:spPr>
          </c:dPt>
          <c:dPt>
            <c:idx val="3"/>
            <c:spPr>
              <a:ln>
                <a:solidFill>
                  <a:srgbClr val="00B050"/>
                </a:solidFill>
              </a:ln>
            </c:spPr>
          </c:dPt>
          <c:dPt>
            <c:idx val="4"/>
            <c:spPr>
              <a:ln>
                <a:solidFill>
                  <a:srgbClr val="00B050"/>
                </a:solidFill>
              </a:ln>
            </c:spPr>
          </c:dPt>
          <c:dPt>
            <c:idx val="5"/>
            <c:spPr>
              <a:ln>
                <a:solidFill>
                  <a:srgbClr val="00B050"/>
                </a:solidFill>
              </a:ln>
            </c:spPr>
          </c:dPt>
          <c:dPt>
            <c:idx val="6"/>
            <c:spPr>
              <a:ln>
                <a:solidFill>
                  <a:srgbClr val="00B050"/>
                </a:solidFill>
              </a:ln>
            </c:spPr>
          </c:dPt>
          <c:dPt>
            <c:idx val="7"/>
            <c:spPr>
              <a:ln>
                <a:solidFill>
                  <a:srgbClr val="00B050"/>
                </a:solidFill>
              </a:ln>
            </c:spPr>
          </c:dPt>
          <c:dPt>
            <c:idx val="8"/>
            <c:spPr>
              <a:ln>
                <a:solidFill>
                  <a:srgbClr val="00B050"/>
                </a:solidFill>
              </a:ln>
            </c:spPr>
          </c:dPt>
          <c:dPt>
            <c:idx val="9"/>
            <c:spPr>
              <a:ln>
                <a:solidFill>
                  <a:srgbClr val="00B050"/>
                </a:solidFill>
              </a:ln>
            </c:spPr>
          </c:dPt>
          <c:dPt>
            <c:idx val="10"/>
            <c:spPr>
              <a:ln>
                <a:solidFill>
                  <a:srgbClr val="00B050"/>
                </a:solidFill>
              </a:ln>
            </c:spPr>
          </c:dPt>
          <c:dLbls>
            <c:dLbl>
              <c:idx val="5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1724144953047124E-3"/>
                  <c:y val="-3.6594424853780777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724138165101571E-2"/>
                  <c:y val="-1.829721242689038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5517243485914125E-2"/>
                  <c:y val="-2.19566549122684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6206908255078568E-3"/>
                  <c:y val="-1.097832745613423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2.1505376344086023E-2</c:v>
                </c:pt>
                <c:pt idx="8">
                  <c:v>0.1037037037037037</c:v>
                </c:pt>
                <c:pt idx="9">
                  <c:v>0.1</c:v>
                </c:pt>
                <c:pt idx="10">
                  <c:v>0.12195121951219512</c:v>
                </c:pt>
              </c:numCache>
            </c:numRef>
          </c:val>
        </c:ser>
        <c:ser>
          <c:idx val="1"/>
          <c:order val="1"/>
          <c:tx>
            <c:strRef>
              <c:f>Boissons!$M$3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8965526604062802E-3"/>
                  <c:y val="-7.3188849707561555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1724144953047124E-3"/>
                  <c:y val="-1.097832745613423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3793105320812571E-2"/>
                  <c:y val="-2.19566549122684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5517243485914125E-2"/>
                  <c:y val="2.56160973976465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4137934311421982E-2"/>
                  <c:y val="-2.56160973976465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1724144953047124E-3"/>
                  <c:y val="-1.4637769941512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Boissons!$M$160:$M$171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0.39285714285714285</c:v>
                </c:pt>
                <c:pt idx="5">
                  <c:v>6.358381502890173E-2</c:v>
                </c:pt>
                <c:pt idx="6">
                  <c:v>6.1111111111111109E-2</c:v>
                </c:pt>
                <c:pt idx="7">
                  <c:v>5.9139784946236562E-2</c:v>
                </c:pt>
                <c:pt idx="8">
                  <c:v>0.68888888888888888</c:v>
                </c:pt>
                <c:pt idx="9">
                  <c:v>0.81428571428571428</c:v>
                </c:pt>
                <c:pt idx="10">
                  <c:v>0.69512195121951215</c:v>
                </c:pt>
              </c:numCache>
            </c:numRef>
          </c:val>
        </c:ser>
        <c:ser>
          <c:idx val="2"/>
          <c:order val="2"/>
          <c:tx>
            <c:strRef>
              <c:f>Boissons!$N$3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655176439747011E-2"/>
                  <c:y val="-3.39322524819376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655176439747011E-2"/>
                  <c:y val="-3.0272809996559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655176439747011E-2"/>
                  <c:y val="-3.0272809996559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551864859063948E-2"/>
                  <c:y val="-3.0272809996559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991451397156027E-2"/>
                  <c:y val="-2.295392502580341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0646622406546619E-2"/>
                  <c:y val="-3.0272809996559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991451397156027E-2"/>
                  <c:y val="-2.295392502580341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7888004057562256E-2"/>
                  <c:y val="-3.02728099965595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439727727359162E-2"/>
                  <c:y val="-2.661336751118149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439727727359218E-2"/>
                  <c:y val="2.827826976948969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1293789206324899E-3"/>
                  <c:y val="-9.9727011353492514E-4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0.42857142857142855</c:v>
                </c:pt>
                <c:pt idx="5">
                  <c:v>0.15606936416184972</c:v>
                </c:pt>
                <c:pt idx="6">
                  <c:v>0.15555555555555556</c:v>
                </c:pt>
                <c:pt idx="7">
                  <c:v>0.15053763440860216</c:v>
                </c:pt>
                <c:pt idx="8">
                  <c:v>0.7407407407407407</c:v>
                </c:pt>
                <c:pt idx="9">
                  <c:v>0.72142857142857142</c:v>
                </c:pt>
                <c:pt idx="10">
                  <c:v>0.62195121951219512</c:v>
                </c:pt>
              </c:numCache>
            </c:numRef>
          </c:val>
        </c:ser>
        <c:ser>
          <c:idx val="3"/>
          <c:order val="3"/>
          <c:tx>
            <c:strRef>
              <c:f>Boissons!$O$3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Boissons!$P$3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4"/>
              <c:layout>
                <c:manualLayout>
                  <c:x val="-2.7543175066952925E-2"/>
                  <c:y val="-5.755402185978130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991451397156027E-2"/>
                  <c:y val="-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991451397156027E-2"/>
                  <c:y val="-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7543175066952856E-2"/>
                  <c:y val="-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2025931581038702E-2"/>
                  <c:y val="-2.827826976948969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0646622406546619E-2"/>
                  <c:y val="-3.559715474024585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0301793415937207E-2"/>
                  <c:y val="-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0.5714285714285714</c:v>
                </c:pt>
                <c:pt idx="5">
                  <c:v>0.84393063583815031</c:v>
                </c:pt>
                <c:pt idx="6">
                  <c:v>0.84444444444444444</c:v>
                </c:pt>
                <c:pt idx="7">
                  <c:v>0.84946236559139787</c:v>
                </c:pt>
                <c:pt idx="8">
                  <c:v>0.2592592592592593</c:v>
                </c:pt>
                <c:pt idx="9">
                  <c:v>0.27857142857142858</c:v>
                </c:pt>
                <c:pt idx="10">
                  <c:v>0.37804878048780488</c:v>
                </c:pt>
              </c:numCache>
            </c:numRef>
          </c:val>
        </c:ser>
        <c:marker val="1"/>
        <c:axId val="150170240"/>
        <c:axId val="150229376"/>
      </c:lineChart>
      <c:catAx>
        <c:axId val="1501702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229376"/>
        <c:crosses val="autoZero"/>
        <c:auto val="1"/>
        <c:lblAlgn val="ctr"/>
        <c:lblOffset val="100"/>
      </c:catAx>
      <c:valAx>
        <c:axId val="150229376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170240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</c:title>
    <c:plotArea>
      <c:layout/>
      <c:lineChart>
        <c:grouping val="standard"/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DDS'!$E$95:$E$106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marker val="1"/>
        <c:axId val="119821440"/>
        <c:axId val="119822976"/>
      </c:lineChart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DDS'!$C$95:$C$106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DDS'!$D$95:$D$106</c:f>
              <c:numCache>
                <c:formatCode>General</c:formatCode>
                <c:ptCount val="12"/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DDS'!$F$95:$F$106</c:f>
              <c:numCache>
                <c:formatCode>General</c:formatCode>
                <c:ptCount val="12"/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DDS'!$G$95:$G$106</c:f>
              <c:numCache>
                <c:formatCode>General</c:formatCode>
                <c:ptCount val="12"/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</c:ser>
        <c:marker val="1"/>
        <c:axId val="119842688"/>
        <c:axId val="119841152"/>
      </c:lineChart>
      <c:catAx>
        <c:axId val="1198214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822976"/>
        <c:crosses val="autoZero"/>
        <c:auto val="1"/>
        <c:lblAlgn val="ctr"/>
        <c:lblOffset val="100"/>
      </c:catAx>
      <c:valAx>
        <c:axId val="119822976"/>
        <c:scaling>
          <c:orientation val="minMax"/>
          <c:max val="4.5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821440"/>
        <c:crosses val="autoZero"/>
        <c:crossBetween val="between"/>
        <c:minorUnit val="0.1"/>
      </c:valAx>
      <c:valAx>
        <c:axId val="119841152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842688"/>
        <c:crosses val="max"/>
        <c:crossBetween val="between"/>
      </c:valAx>
      <c:catAx>
        <c:axId val="119842688"/>
        <c:scaling>
          <c:orientation val="minMax"/>
        </c:scaling>
        <c:delete val="1"/>
        <c:axPos val="b"/>
        <c:numFmt formatCode="General" sourceLinked="1"/>
        <c:tickLblPos val="none"/>
        <c:crossAx val="119841152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Boissons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50339968"/>
        <c:axId val="150341504"/>
      </c:lineChart>
      <c:catAx>
        <c:axId val="150339968"/>
        <c:scaling>
          <c:orientation val="minMax"/>
        </c:scaling>
        <c:axPos val="b"/>
        <c:numFmt formatCode="General" sourceLinked="1"/>
        <c:majorTickMark val="none"/>
        <c:tickLblPos val="nextTo"/>
        <c:crossAx val="150341504"/>
        <c:crosses val="autoZero"/>
        <c:auto val="1"/>
        <c:lblAlgn val="ctr"/>
        <c:lblOffset val="100"/>
      </c:catAx>
      <c:valAx>
        <c:axId val="150341504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150339968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50370176"/>
        <c:axId val="150371712"/>
      </c:lineChart>
      <c:catAx>
        <c:axId val="1503701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371712"/>
        <c:crosses val="autoZero"/>
        <c:auto val="1"/>
        <c:lblAlgn val="ctr"/>
        <c:lblOffset val="100"/>
      </c:catAx>
      <c:valAx>
        <c:axId val="150371712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3701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50449536"/>
        <c:axId val="150451328"/>
      </c:lineChart>
      <c:catAx>
        <c:axId val="1504495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451328"/>
        <c:crosses val="autoZero"/>
        <c:auto val="1"/>
        <c:lblAlgn val="ctr"/>
        <c:lblOffset val="100"/>
      </c:catAx>
      <c:valAx>
        <c:axId val="15045132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504495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3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93868928"/>
        <c:axId val="193870464"/>
      </c:lineChart>
      <c:catAx>
        <c:axId val="1938689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3870464"/>
        <c:crosses val="autoZero"/>
        <c:auto val="1"/>
        <c:lblAlgn val="ctr"/>
        <c:lblOffset val="100"/>
      </c:catAx>
      <c:valAx>
        <c:axId val="193870464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38689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5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97814912"/>
        <c:axId val="197820800"/>
      </c:lineChart>
      <c:catAx>
        <c:axId val="1978149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7820800"/>
        <c:crosses val="autoZero"/>
        <c:auto val="1"/>
        <c:lblAlgn val="ctr"/>
        <c:lblOffset val="100"/>
      </c:catAx>
      <c:valAx>
        <c:axId val="197820800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7814912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196600192"/>
        <c:axId val="196601728"/>
      </c:lineChart>
      <c:catAx>
        <c:axId val="1966001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6601728"/>
        <c:crosses val="autoZero"/>
        <c:auto val="1"/>
        <c:lblAlgn val="ctr"/>
        <c:lblOffset val="100"/>
      </c:catAx>
      <c:valAx>
        <c:axId val="19660172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660019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24"/>
          <c:y val="2.196874556732995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202450816"/>
        <c:axId val="202452352"/>
      </c:lineChart>
      <c:catAx>
        <c:axId val="2024508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452352"/>
        <c:crosses val="autoZero"/>
        <c:auto val="1"/>
        <c:lblAlgn val="ctr"/>
        <c:lblOffset val="100"/>
      </c:catAx>
      <c:valAx>
        <c:axId val="202452352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45081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03"/>
          <c:y val="0.431976172271871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9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202530176"/>
        <c:axId val="202777728"/>
      </c:lineChart>
      <c:catAx>
        <c:axId val="2025301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777728"/>
        <c:crosses val="autoZero"/>
        <c:auto val="1"/>
        <c:lblAlgn val="ctr"/>
        <c:lblOffset val="100"/>
      </c:catAx>
      <c:valAx>
        <c:axId val="20277772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53017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25"/>
          <c:y val="0.4319761722718714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92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202798208"/>
        <c:axId val="202799744"/>
      </c:lineChart>
      <c:catAx>
        <c:axId val="2027982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799744"/>
        <c:crosses val="autoZero"/>
        <c:auto val="1"/>
        <c:lblAlgn val="ctr"/>
        <c:lblOffset val="100"/>
      </c:catAx>
      <c:valAx>
        <c:axId val="20279974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79820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59"/>
          <c:y val="0.4319761722718716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202848896"/>
        <c:axId val="202858880"/>
      </c:lineChart>
      <c:catAx>
        <c:axId val="2028488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858880"/>
        <c:crosses val="autoZero"/>
        <c:auto val="1"/>
        <c:lblAlgn val="ctr"/>
        <c:lblOffset val="100"/>
      </c:catAx>
      <c:valAx>
        <c:axId val="20285888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84889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92"/>
          <c:y val="0.43197617227187196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DDS'!$C$108:$C$119</c:f>
              <c:numCache>
                <c:formatCode>General</c:formatCode>
                <c:ptCount val="12"/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marker val="1"/>
        <c:axId val="119973760"/>
        <c:axId val="119975296"/>
      </c:lineChart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9"/>
              <c:layout>
                <c:manualLayout>
                  <c:x val="-2.8582758183057111E-2"/>
                  <c:y val="2.332464539983596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711602557224135E-3"/>
                  <c:y val="-3.3150069943720393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DDS'!$D$108:$D$119</c:f>
              <c:numCache>
                <c:formatCode>General</c:formatCode>
                <c:ptCount val="12"/>
                <c:pt idx="8">
                  <c:v>12</c:v>
                </c:pt>
                <c:pt idx="9">
                  <c:v>8</c:v>
                </c:pt>
                <c:pt idx="10">
                  <c:v>7</c:v>
                </c:pt>
              </c:numCache>
            </c:numRef>
          </c:val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DDS'!$E$108:$E$119</c:f>
              <c:numCache>
                <c:formatCode>General</c:formatCode>
                <c:ptCount val="12"/>
                <c:pt idx="8">
                  <c:v>0</c:v>
                </c:pt>
                <c:pt idx="9">
                  <c:v>3</c:v>
                </c:pt>
                <c:pt idx="10">
                  <c:v>4</c:v>
                </c:pt>
              </c:numCache>
            </c:numRef>
          </c:val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DDS'!$F$108:$F$119</c:f>
              <c:numCache>
                <c:formatCode>General</c:formatCode>
                <c:ptCount val="12"/>
                <c:pt idx="8">
                  <c:v>12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9"/>
              <c:layout>
                <c:manualLayout>
                  <c:x val="-9.5593598115798605E-3"/>
                  <c:y val="-1.922106651603382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1005601076748938E-3"/>
                  <c:y val="-1.922106651603382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DDS'!$G$108:$G$119</c:f>
              <c:numCache>
                <c:formatCode>General</c:formatCode>
                <c:ptCount val="12"/>
                <c:pt idx="8">
                  <c:v>12</c:v>
                </c:pt>
                <c:pt idx="9">
                  <c:v>9</c:v>
                </c:pt>
                <c:pt idx="10">
                  <c:v>8</c:v>
                </c:pt>
              </c:numCache>
            </c:numRef>
          </c:val>
        </c:ser>
        <c:marker val="1"/>
        <c:axId val="119999104"/>
        <c:axId val="119997568"/>
      </c:lineChart>
      <c:catAx>
        <c:axId val="1199737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975296"/>
        <c:crosses val="autoZero"/>
        <c:auto val="1"/>
        <c:lblAlgn val="ctr"/>
        <c:lblOffset val="100"/>
      </c:catAx>
      <c:valAx>
        <c:axId val="119975296"/>
        <c:scaling>
          <c:orientation val="minMax"/>
          <c:max val="14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973760"/>
        <c:crosses val="autoZero"/>
        <c:crossBetween val="between"/>
        <c:minorUnit val="0.2"/>
      </c:valAx>
      <c:valAx>
        <c:axId val="119997568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9999104"/>
        <c:crosses val="max"/>
        <c:crossBetween val="between"/>
      </c:valAx>
      <c:catAx>
        <c:axId val="119999104"/>
        <c:scaling>
          <c:orientation val="minMax"/>
        </c:scaling>
        <c:delete val="1"/>
        <c:axPos val="b"/>
        <c:numFmt formatCode="General" sourceLinked="1"/>
        <c:tickLblPos val="none"/>
        <c:crossAx val="11999756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92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202916224"/>
        <c:axId val="202917760"/>
      </c:lineChart>
      <c:catAx>
        <c:axId val="2029162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917760"/>
        <c:crosses val="autoZero"/>
        <c:auto val="1"/>
        <c:lblAlgn val="ctr"/>
        <c:lblOffset val="100"/>
      </c:catAx>
      <c:valAx>
        <c:axId val="20291776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291622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14"/>
          <c:y val="0.4319761722718721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</a:t>
            </a:r>
            <a:r>
              <a:rPr lang="fr-FR" sz="1400" baseline="0"/>
              <a:t>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44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DEEE!$C$3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068967155710979E-2"/>
                  <c:y val="-2.19749289708004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965519816117354E-2"/>
                  <c:y val="-2.563741713260061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4137934311421982E-2"/>
                  <c:y val="-2.563741713260061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5517243485914118E-2"/>
                  <c:y val="1.464995264720030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7586210641625222E-2"/>
                  <c:y val="-2.19749289708004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6206908255078568E-3"/>
                  <c:y val="-3.6624881618000822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</c:v>
                </c:pt>
                <c:pt idx="4">
                  <c:v>82</c:v>
                </c:pt>
                <c:pt idx="5">
                  <c:v>150</c:v>
                </c:pt>
                <c:pt idx="6">
                  <c:v>208</c:v>
                </c:pt>
                <c:pt idx="7">
                  <c:v>390</c:v>
                </c:pt>
                <c:pt idx="8">
                  <c:v>423</c:v>
                </c:pt>
                <c:pt idx="9">
                  <c:v>1115</c:v>
                </c:pt>
                <c:pt idx="10">
                  <c:v>1455</c:v>
                </c:pt>
              </c:numCache>
            </c:numRef>
          </c:val>
        </c:ser>
        <c:ser>
          <c:idx val="1"/>
          <c:order val="1"/>
          <c:tx>
            <c:strRef>
              <c:f>DEEE!$D$3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3707585352645521E-3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6466203701629764E-3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707585352645521E-3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431035898864505E-2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9827595686613748E-3"/>
                  <c:y val="9.9893643650860748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732830672390812E-2"/>
                  <c:y val="-2.663551725291483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433</c:v>
                </c:pt>
                <c:pt idx="9">
                  <c:v>456</c:v>
                </c:pt>
                <c:pt idx="10">
                  <c:v>532</c:v>
                </c:pt>
              </c:numCache>
            </c:numRef>
          </c:val>
        </c:ser>
        <c:ser>
          <c:idx val="2"/>
          <c:order val="2"/>
          <c:tx>
            <c:strRef>
              <c:f>DEEE!$E$3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7586210641625222E-2"/>
                  <c:y val="-2.197492897080045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0344828990609421E-2"/>
                  <c:y val="1.464995264720030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965526604062802E-3"/>
                  <c:y val="3.6624881618000822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32</c:v>
                </c:pt>
                <c:pt idx="7">
                  <c:v>74</c:v>
                </c:pt>
                <c:pt idx="8">
                  <c:v>479</c:v>
                </c:pt>
                <c:pt idx="9">
                  <c:v>529</c:v>
                </c:pt>
                <c:pt idx="10">
                  <c:v>545</c:v>
                </c:pt>
              </c:numCache>
            </c:numRef>
          </c:val>
        </c:ser>
        <c:ser>
          <c:idx val="3"/>
          <c:order val="3"/>
          <c:tx>
            <c:strRef>
              <c:f>DEEE!$F$3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935384053133876E-2"/>
                  <c:y val="-2.52071468698127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2431</c:v>
                </c:pt>
                <c:pt idx="6">
                  <c:v>2446</c:v>
                </c:pt>
                <c:pt idx="7">
                  <c:v>2516</c:v>
                </c:pt>
                <c:pt idx="8">
                  <c:v>2532</c:v>
                </c:pt>
                <c:pt idx="9">
                  <c:v>2532</c:v>
                </c:pt>
                <c:pt idx="10">
                  <c:v>2536</c:v>
                </c:pt>
              </c:numCache>
            </c:numRef>
          </c:val>
        </c:ser>
        <c:ser>
          <c:idx val="4"/>
          <c:order val="4"/>
          <c:tx>
            <c:strRef>
              <c:f>DEEE!$G$3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551726384975103E-2"/>
                  <c:y val="3.76229817383149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6896555375584493E-2"/>
                  <c:y val="3.762298173831495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6896555375584493E-2"/>
                  <c:y val="3.396049357651485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6896555375584493E-2"/>
                  <c:y val="3.0298005414714873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2410</c:v>
                </c:pt>
                <c:pt idx="6">
                  <c:v>2414</c:v>
                </c:pt>
                <c:pt idx="7">
                  <c:v>2442</c:v>
                </c:pt>
                <c:pt idx="8">
                  <c:v>2053</c:v>
                </c:pt>
                <c:pt idx="9">
                  <c:v>2003</c:v>
                </c:pt>
                <c:pt idx="10">
                  <c:v>1991</c:v>
                </c:pt>
              </c:numCache>
            </c:numRef>
          </c:val>
        </c:ser>
        <c:marker val="1"/>
        <c:axId val="203283456"/>
        <c:axId val="203346688"/>
      </c:lineChart>
      <c:catAx>
        <c:axId val="2032834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346688"/>
        <c:crosses val="autoZero"/>
        <c:auto val="1"/>
        <c:lblAlgn val="ctr"/>
        <c:lblOffset val="100"/>
      </c:catAx>
      <c:valAx>
        <c:axId val="203346688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283456"/>
        <c:crosses val="autoZero"/>
        <c:crossBetween val="between"/>
        <c:majorUnit val="30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203437184"/>
        <c:axId val="203438720"/>
      </c:lineChart>
      <c:catAx>
        <c:axId val="2034371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438720"/>
        <c:crosses val="autoZero"/>
        <c:auto val="1"/>
        <c:lblAlgn val="ctr"/>
        <c:lblOffset val="100"/>
      </c:catAx>
      <c:valAx>
        <c:axId val="20343872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4371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59"/>
          <c:y val="0.431976172271869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Val val="1"/>
        </c:dLbls>
        <c:marker val="1"/>
        <c:axId val="203471488"/>
        <c:axId val="203501952"/>
      </c:lineChart>
      <c:catAx>
        <c:axId val="2034714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501952"/>
        <c:crosses val="autoZero"/>
        <c:auto val="1"/>
        <c:lblAlgn val="ctr"/>
        <c:lblOffset val="100"/>
      </c:catAx>
      <c:valAx>
        <c:axId val="203501952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471488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 Electriques et</a:t>
            </a:r>
            <a:r>
              <a:rPr lang="fr-FR" sz="1400" baseline="0"/>
              <a:t> Electroniques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DEEE!$L$3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</c:dPt>
          <c:dPt>
            <c:idx val="2"/>
            <c:spPr>
              <a:ln>
                <a:solidFill>
                  <a:srgbClr val="00B050"/>
                </a:solidFill>
              </a:ln>
            </c:spPr>
          </c:dPt>
          <c:dPt>
            <c:idx val="3"/>
            <c:spPr>
              <a:ln>
                <a:solidFill>
                  <a:srgbClr val="00B050"/>
                </a:solidFill>
              </a:ln>
            </c:spPr>
          </c:dPt>
          <c:dPt>
            <c:idx val="4"/>
            <c:spPr>
              <a:ln>
                <a:solidFill>
                  <a:srgbClr val="00B050"/>
                </a:solidFill>
              </a:ln>
            </c:spPr>
          </c:dPt>
          <c:dPt>
            <c:idx val="5"/>
            <c:spPr>
              <a:ln>
                <a:solidFill>
                  <a:srgbClr val="00B050"/>
                </a:solidFill>
              </a:ln>
            </c:spPr>
          </c:dPt>
          <c:dPt>
            <c:idx val="6"/>
            <c:spPr>
              <a:ln>
                <a:solidFill>
                  <a:srgbClr val="00B050"/>
                </a:solidFill>
              </a:ln>
            </c:spPr>
          </c:dPt>
          <c:dPt>
            <c:idx val="7"/>
            <c:spPr>
              <a:ln>
                <a:solidFill>
                  <a:srgbClr val="00B050"/>
                </a:solidFill>
              </a:ln>
            </c:spPr>
          </c:dPt>
          <c:dPt>
            <c:idx val="8"/>
            <c:spPr>
              <a:ln>
                <a:solidFill>
                  <a:srgbClr val="00B050"/>
                </a:solidFill>
              </a:ln>
            </c:spPr>
          </c:dPt>
          <c:dPt>
            <c:idx val="9"/>
            <c:spPr>
              <a:ln>
                <a:solidFill>
                  <a:srgbClr val="00B050"/>
                </a:solidFill>
              </a:ln>
            </c:spPr>
          </c:dPt>
          <c:dPt>
            <c:idx val="10"/>
            <c:spPr>
              <a:ln>
                <a:solidFill>
                  <a:srgbClr val="00B050"/>
                </a:solidFill>
              </a:ln>
            </c:spPr>
          </c:dPt>
          <c:dLbls>
            <c:dLbl>
              <c:idx val="3"/>
              <c:layout>
                <c:manualLayout>
                  <c:x val="-4.6508694883070183E-2"/>
                  <c:y val="-2.6613367511181648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715589562257612E-2"/>
                  <c:y val="-2.661336751118158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5862071118934496E-2"/>
                  <c:y val="-3.75916949673157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301793415937174E-2"/>
                  <c:y val="1.729994231335546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0.47445255474452552</c:v>
                </c:pt>
                <c:pt idx="4">
                  <c:v>0.59854014598540151</c:v>
                </c:pt>
                <c:pt idx="5">
                  <c:v>6.2240663900414939E-2</c:v>
                </c:pt>
                <c:pt idx="6">
                  <c:v>8.6164043082021538E-2</c:v>
                </c:pt>
                <c:pt idx="7">
                  <c:v>0.15970515970515969</c:v>
                </c:pt>
                <c:pt idx="8">
                  <c:v>0.20603994154895275</c:v>
                </c:pt>
                <c:pt idx="9">
                  <c:v>0.55666500249625561</c:v>
                </c:pt>
                <c:pt idx="10">
                  <c:v>0.73078854846810648</c:v>
                </c:pt>
              </c:numCache>
            </c:numRef>
          </c:val>
        </c:ser>
        <c:ser>
          <c:idx val="1"/>
          <c:order val="1"/>
          <c:tx>
            <c:strRef>
              <c:f>DEEE!$M$3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5"/>
              <c:layout>
                <c:manualLayout>
                  <c:x val="-8.9655184585281968E-3"/>
                  <c:y val="6.3216148572212295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2413802934266133E-3"/>
                  <c:y val="6.3216148572212295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5172421283250402E-3"/>
                  <c:y val="2.6621723718431552E-3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060418552866984E-2"/>
                  <c:y val="-2.661336751118158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2370760571648211E-2"/>
                  <c:y val="-3.027280999655961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0.52554744525547448</c:v>
                </c:pt>
                <c:pt idx="4">
                  <c:v>0.40145985401459849</c:v>
                </c:pt>
                <c:pt idx="5">
                  <c:v>0.929045643153527</c:v>
                </c:pt>
                <c:pt idx="6">
                  <c:v>0.90057995028997517</c:v>
                </c:pt>
                <c:pt idx="7">
                  <c:v>0.80999180999180997</c:v>
                </c:pt>
                <c:pt idx="8">
                  <c:v>0.56064296151972726</c:v>
                </c:pt>
                <c:pt idx="9">
                  <c:v>0.17923115327009487</c:v>
                </c:pt>
                <c:pt idx="10">
                  <c:v>-4.520341536916106E-3</c:v>
                </c:pt>
              </c:numCache>
            </c:numRef>
          </c:val>
        </c:ser>
        <c:ser>
          <c:idx val="2"/>
          <c:order val="2"/>
          <c:tx>
            <c:strRef>
              <c:f>DEEE!$N$3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8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3793105320812607E-2"/>
                  <c:y val="-1.829721242689037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7241381651015748E-2"/>
                  <c:y val="-2.5616097397646545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034486971828271E-2"/>
                  <c:y val="-2.1956654912268427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344828990609421E-2"/>
                  <c:y val="0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2068967155710979E-2"/>
                  <c:y val="1.829721242689037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965526604062802E-3"/>
                  <c:y val="1.0978327456134234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8.7136929460580916E-3</c:v>
                </c:pt>
                <c:pt idx="6">
                  <c:v>1.3256006628003313E-2</c:v>
                </c:pt>
                <c:pt idx="7">
                  <c:v>3.0303030303030304E-2</c:v>
                </c:pt>
                <c:pt idx="8">
                  <c:v>0.23331709693132002</c:v>
                </c:pt>
                <c:pt idx="9">
                  <c:v>0.26410384423364952</c:v>
                </c:pt>
                <c:pt idx="10">
                  <c:v>0.27373179306880963</c:v>
                </c:pt>
              </c:numCache>
            </c:numRef>
          </c:val>
        </c:ser>
        <c:ser>
          <c:idx val="3"/>
          <c:order val="3"/>
          <c:tx>
            <c:strRef>
              <c:f>DEEE!$O$3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4"/>
          <c:order val="4"/>
          <c:tx>
            <c:strRef>
              <c:f>DEEE!$P$3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3.4439727727359329E-2"/>
                  <c:y val="3.759169496731570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439727727359329E-2"/>
                  <c:y val="3.39322524819376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336280387765413E-2"/>
                  <c:y val="3.393225248193763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5776552508356647E-3"/>
                  <c:y val="-2.8278269769489699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0301793415937238E-2"/>
                  <c:y val="-2.4618827284111692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5776552508356647E-3"/>
                  <c:y val="-2.0959384798733546E-2"/>
                </c:manualLayout>
              </c:layout>
              <c:dLblPos val="r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0.99128630705394194</c:v>
                </c:pt>
                <c:pt idx="6">
                  <c:v>0.9867439933719967</c:v>
                </c:pt>
                <c:pt idx="7">
                  <c:v>0.96969696969696972</c:v>
                </c:pt>
                <c:pt idx="8">
                  <c:v>0.76668290306867992</c:v>
                </c:pt>
                <c:pt idx="9">
                  <c:v>0.73589615576635048</c:v>
                </c:pt>
                <c:pt idx="10">
                  <c:v>0.72626820693119032</c:v>
                </c:pt>
              </c:numCache>
            </c:numRef>
          </c:val>
        </c:ser>
        <c:marker val="1"/>
        <c:axId val="203605120"/>
        <c:axId val="203606656"/>
      </c:lineChart>
      <c:catAx>
        <c:axId val="2036051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606656"/>
        <c:crosses val="autoZero"/>
        <c:auto val="1"/>
        <c:lblAlgn val="ctr"/>
        <c:lblOffset val="100"/>
      </c:catAx>
      <c:valAx>
        <c:axId val="203606656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605120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203643520"/>
        <c:axId val="203653504"/>
      </c:lineChart>
      <c:catAx>
        <c:axId val="203643520"/>
        <c:scaling>
          <c:orientation val="minMax"/>
        </c:scaling>
        <c:axPos val="b"/>
        <c:numFmt formatCode="General" sourceLinked="1"/>
        <c:majorTickMark val="none"/>
        <c:tickLblPos val="nextTo"/>
        <c:crossAx val="203653504"/>
        <c:crosses val="autoZero"/>
        <c:auto val="1"/>
        <c:lblAlgn val="ctr"/>
        <c:lblOffset val="100"/>
      </c:catAx>
      <c:valAx>
        <c:axId val="203653504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03643520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203682176"/>
        <c:axId val="203683712"/>
      </c:lineChart>
      <c:catAx>
        <c:axId val="2036821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683712"/>
        <c:crosses val="autoZero"/>
        <c:auto val="1"/>
        <c:lblAlgn val="ctr"/>
        <c:lblOffset val="100"/>
      </c:catAx>
      <c:valAx>
        <c:axId val="203683712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6821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92"/>
          <c:y val="0.4319761722718701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203792768"/>
        <c:axId val="203795840"/>
      </c:lineChart>
      <c:catAx>
        <c:axId val="2037927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795840"/>
        <c:crosses val="autoZero"/>
        <c:auto val="1"/>
        <c:lblAlgn val="ctr"/>
        <c:lblOffset val="100"/>
      </c:catAx>
      <c:valAx>
        <c:axId val="203795840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37927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14"/>
          <c:y val="0.4319761722718704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327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238258048"/>
        <c:axId val="238269568"/>
      </c:lineChart>
      <c:catAx>
        <c:axId val="2382580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269568"/>
        <c:crosses val="autoZero"/>
        <c:auto val="1"/>
        <c:lblAlgn val="ctr"/>
        <c:lblOffset val="100"/>
      </c:catAx>
      <c:valAx>
        <c:axId val="23826956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2580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36"/>
          <c:y val="0.4319761722718706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7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marker val="1"/>
        <c:axId val="238382464"/>
        <c:axId val="238393984"/>
      </c:lineChart>
      <c:catAx>
        <c:axId val="2383824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393984"/>
        <c:crosses val="autoZero"/>
        <c:auto val="1"/>
        <c:lblAlgn val="ctr"/>
        <c:lblOffset val="100"/>
      </c:catAx>
      <c:valAx>
        <c:axId val="238393984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382464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81"/>
          <c:y val="0.43197617227187091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chart" Target="../charts/chart103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1" Type="http://schemas.openxmlformats.org/officeDocument/2006/relationships/chart" Target="../charts/chart101.xml"/><Relationship Id="rId5" Type="http://schemas.openxmlformats.org/officeDocument/2006/relationships/chart" Target="../charts/chart95.xml"/><Relationship Id="rId15" Type="http://schemas.openxmlformats.org/officeDocument/2006/relationships/chart" Target="../charts/chart105.xml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Relationship Id="rId14" Type="http://schemas.openxmlformats.org/officeDocument/2006/relationships/chart" Target="../charts/chart104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10" Type="http://schemas.openxmlformats.org/officeDocument/2006/relationships/chart" Target="../charts/chart115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109681</xdr:colOff>
      <xdr:row>66</xdr:row>
      <xdr:rowOff>84609</xdr:rowOff>
    </xdr:from>
    <xdr:to>
      <xdr:col>9</xdr:col>
      <xdr:colOff>617680</xdr:colOff>
      <xdr:row>87</xdr:row>
      <xdr:rowOff>65558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124115</xdr:colOff>
      <xdr:row>88</xdr:row>
      <xdr:rowOff>24788</xdr:rowOff>
    </xdr:from>
    <xdr:to>
      <xdr:col>9</xdr:col>
      <xdr:colOff>617682</xdr:colOff>
      <xdr:row>108</xdr:row>
      <xdr:rowOff>121328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116032</xdr:colOff>
      <xdr:row>109</xdr:row>
      <xdr:rowOff>61563</xdr:rowOff>
    </xdr:from>
    <xdr:to>
      <xdr:col>9</xdr:col>
      <xdr:colOff>624031</xdr:colOff>
      <xdr:row>130</xdr:row>
      <xdr:rowOff>42514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111889</xdr:colOff>
      <xdr:row>130</xdr:row>
      <xdr:rowOff>135998</xdr:rowOff>
    </xdr:from>
    <xdr:to>
      <xdr:col>9</xdr:col>
      <xdr:colOff>619888</xdr:colOff>
      <xdr:row>151</xdr:row>
      <xdr:rowOff>116947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109681</xdr:colOff>
      <xdr:row>152</xdr:row>
      <xdr:rowOff>33787</xdr:rowOff>
    </xdr:from>
    <xdr:to>
      <xdr:col>9</xdr:col>
      <xdr:colOff>617680</xdr:colOff>
      <xdr:row>173</xdr:row>
      <xdr:rowOff>11850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124114</xdr:colOff>
      <xdr:row>173</xdr:row>
      <xdr:rowOff>103570</xdr:rowOff>
    </xdr:from>
    <xdr:to>
      <xdr:col>9</xdr:col>
      <xdr:colOff>617682</xdr:colOff>
      <xdr:row>194</xdr:row>
      <xdr:rowOff>18337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125438</xdr:colOff>
      <xdr:row>194</xdr:row>
      <xdr:rowOff>121092</xdr:rowOff>
    </xdr:from>
    <xdr:to>
      <xdr:col>9</xdr:col>
      <xdr:colOff>611026</xdr:colOff>
      <xdr:row>215</xdr:row>
      <xdr:rowOff>35282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122923</xdr:colOff>
      <xdr:row>215</xdr:row>
      <xdr:rowOff>125132</xdr:rowOff>
    </xdr:from>
    <xdr:to>
      <xdr:col>9</xdr:col>
      <xdr:colOff>608511</xdr:colOff>
      <xdr:row>236</xdr:row>
      <xdr:rowOff>37016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119868</xdr:colOff>
      <xdr:row>236</xdr:row>
      <xdr:rowOff>120549</xdr:rowOff>
    </xdr:from>
    <xdr:to>
      <xdr:col>9</xdr:col>
      <xdr:colOff>605456</xdr:colOff>
      <xdr:row>257</xdr:row>
      <xdr:rowOff>35317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138546</xdr:colOff>
      <xdr:row>258</xdr:row>
      <xdr:rowOff>18338</xdr:rowOff>
    </xdr:from>
    <xdr:to>
      <xdr:col>9</xdr:col>
      <xdr:colOff>603250</xdr:colOff>
      <xdr:row>278</xdr:row>
      <xdr:rowOff>100515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/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151683</xdr:colOff>
      <xdr:row>1</xdr:row>
      <xdr:rowOff>6350</xdr:rowOff>
    </xdr:from>
    <xdr:to>
      <xdr:col>9</xdr:col>
      <xdr:colOff>659682</xdr:colOff>
      <xdr:row>21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740996</xdr:colOff>
      <xdr:row>1</xdr:row>
      <xdr:rowOff>13854</xdr:rowOff>
    </xdr:from>
    <xdr:to>
      <xdr:col>19</xdr:col>
      <xdr:colOff>486995</xdr:colOff>
      <xdr:row>21</xdr:row>
      <xdr:rowOff>162790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0.83554</cdr:x>
      <cdr:y>0.09852</cdr:y>
    </cdr:from>
    <cdr:to>
      <cdr:x>0.98475</cdr:x>
      <cdr:y>0.17658</cdr:y>
    </cdr:to>
    <cdr:sp macro="" textlink="">
      <cdr:nvSpPr>
        <cdr:cNvPr id="2" name="ZoneTexte 1"/>
        <cdr:cNvSpPr txBox="1"/>
      </cdr:nvSpPr>
      <cdr:spPr>
        <a:xfrm xmlns:a="http://schemas.openxmlformats.org/drawingml/2006/main" rot="918543">
          <a:off x="6154617" y="341923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Revoir le % de la</a:t>
          </a:r>
          <a:r>
            <a:rPr lang="fr-FR" sz="1100" baseline="0">
              <a:solidFill>
                <a:srgbClr val="FF0000"/>
              </a:solidFill>
            </a:rPr>
            <a:t> courbe "Total attendus"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/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0.39523</cdr:x>
      <cdr:y>0.40408</cdr:y>
    </cdr:from>
    <cdr:to>
      <cdr:x>0.54443</cdr:x>
      <cdr:y>0.48216</cdr:y>
    </cdr:to>
    <cdr:sp macro="" textlink="">
      <cdr:nvSpPr>
        <cdr:cNvPr id="3" name="ZoneTexte 1"/>
        <cdr:cNvSpPr txBox="1"/>
      </cdr:nvSpPr>
      <cdr:spPr>
        <a:xfrm xmlns:a="http://schemas.openxmlformats.org/drawingml/2006/main" rot="19477399">
          <a:off x="2911231" y="1401885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/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/>
        <xdr:cNvSpPr txBox="1"/>
      </xdr:nvSpPr>
      <xdr:spPr>
        <a:xfrm rot="19186851">
          <a:off x="3160346" y="5407269"/>
          <a:ext cx="981808" cy="21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/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/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tables/table1.xml><?xml version="1.0" encoding="utf-8"?>
<table xmlns="http://schemas.openxmlformats.org/spreadsheetml/2006/main" id="1" name="Tableau1" displayName="Tableau1" ref="A2:U7328" totalsRowShown="0" headerRowDxfId="0" headerRowCellStyle="Normal 2 2">
  <autoFilter ref="A2:U7328">
    <filterColumn colId="2">
      <filters>
        <filter val="01/2022"/>
      </filters>
    </filterColumn>
    <filterColumn colId="3"/>
    <filterColumn colId="10">
      <filters>
        <dateGroupItem year="2022" month="2" dateTimeGrouping="month"/>
      </filters>
    </filterColumn>
  </autoFilter>
  <tableColumns count="21">
    <tableColumn id="1" name="FournisseurRegroupement" dataDxfId="5" dataCellStyle="Normal 2 2"/>
    <tableColumn id="2" name="Nom Fournisseur" dataDxfId="4" dataCellStyle="Normal 2 2"/>
    <tableColumn id="3" name="Mois de campagne" dataDxfId="3" dataCellStyle="Normal 2 2"/>
    <tableColumn id="4" name="Taxe"/>
    <tableColumn id="5" name="Code fournisseur"/>
    <tableColumn id="6" name="Regroupement"/>
    <tableColumn id="7" name="EAN"/>
    <tableColumn id="8" name="Date_Envoi1" dataDxfId="2"/>
    <tableColumn id="9" name="Negociateur"/>
    <tableColumn id="10" name="Statut"/>
    <tableColumn id="11" name="Date_Statut" dataDxfId="1"/>
    <tableColumn id="12" name="Destinataire"/>
    <tableColumn id="13" name="Abandon motif"/>
    <tableColumn id="14" name="Date_Relance_1"/>
    <tableColumn id="15" name="Date_Relance_2"/>
    <tableColumn id="16" name="Date_Relance_3"/>
    <tableColumn id="17" name="Reponse_OK"/>
    <tableColumn id="18" name="Reponse_KO"/>
    <tableColumn id="19" name="Date_Relance_KO_1"/>
    <tableColumn id="20" name="Date_Relance_KO_2"/>
    <tableColumn id="21" name="Date_Relance_KO_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2"/>
  <dimension ref="A1:U7328"/>
  <sheetViews>
    <sheetView zoomScaleNormal="100" workbookViewId="0">
      <selection activeCell="D14" sqref="D14"/>
    </sheetView>
  </sheetViews>
  <sheetFormatPr baseColWidth="10" defaultColWidth="8.81640625" defaultRowHeight="13"/>
  <cols>
    <col min="1" max="1" width="23.81640625" style="10" customWidth="1"/>
    <col min="2" max="2" width="24.81640625" style="10" customWidth="1"/>
    <col min="3" max="3" width="17.90625" style="11" customWidth="1"/>
    <col min="4" max="4" width="27.81640625" style="10" bestFit="1" customWidth="1"/>
    <col min="5" max="5" width="16.36328125" style="10" customWidth="1"/>
    <col min="6" max="6" width="15.81640625" style="10" customWidth="1"/>
    <col min="7" max="7" width="14" style="12" customWidth="1"/>
    <col min="8" max="8" width="13" style="13" customWidth="1"/>
    <col min="9" max="9" width="22.26953125" style="10" customWidth="1"/>
    <col min="10" max="10" width="12.1796875" style="10" customWidth="1"/>
    <col min="11" max="11" width="12.453125" style="13" bestFit="1" customWidth="1"/>
    <col min="12" max="12" width="12.453125" style="10" bestFit="1" customWidth="1"/>
    <col min="13" max="13" width="14.54296875" style="10" bestFit="1" customWidth="1"/>
    <col min="14" max="16" width="16.1796875" style="13" bestFit="1" customWidth="1"/>
    <col min="17" max="18" width="13.81640625" style="13" bestFit="1" customWidth="1"/>
    <col min="19" max="21" width="20.1796875" style="13" bestFit="1" customWidth="1"/>
    <col min="22" max="16384" width="8.81640625" style="10"/>
  </cols>
  <sheetData>
    <row r="1" spans="1:21">
      <c r="A1" s="53" t="str">
        <f t="shared" ref="A1" si="0">E1&amp;F1</f>
        <v/>
      </c>
      <c r="B1" s="53" t="e">
        <f>VLOOKUP($E1,Fournisseur!A:B,2,0)</f>
        <v>#N/A</v>
      </c>
      <c r="C1" s="54" t="str">
        <f>IF(H1="","Supplément Frs",TEXT(MONTH(H1),"00")&amp;"/"&amp;YEAR(H1))</f>
        <v>Supplément Frs</v>
      </c>
    </row>
    <row r="2" spans="1:21" s="6" customFormat="1" ht="37" customHeight="1">
      <c r="A2" s="1" t="s">
        <v>3</v>
      </c>
      <c r="B2" s="1" t="s">
        <v>4</v>
      </c>
      <c r="C2" s="2" t="s">
        <v>5</v>
      </c>
      <c r="D2" s="3" t="s">
        <v>6</v>
      </c>
      <c r="E2" s="3" t="s">
        <v>7</v>
      </c>
      <c r="F2" s="3" t="s">
        <v>8</v>
      </c>
      <c r="G2" s="4" t="s">
        <v>9</v>
      </c>
      <c r="H2" s="5" t="s">
        <v>10</v>
      </c>
      <c r="I2" s="3" t="s">
        <v>11</v>
      </c>
      <c r="J2" s="3" t="s">
        <v>12</v>
      </c>
      <c r="K2" s="5" t="s">
        <v>13</v>
      </c>
      <c r="L2" s="3" t="s">
        <v>14</v>
      </c>
      <c r="M2" s="3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3" t="s">
        <v>20</v>
      </c>
      <c r="S2" s="5" t="s">
        <v>21</v>
      </c>
      <c r="T2" s="5" t="s">
        <v>22</v>
      </c>
      <c r="U2" s="5" t="s">
        <v>23</v>
      </c>
    </row>
    <row r="3" spans="1:21" hidden="1">
      <c r="A3" s="7" t="s">
        <v>8712</v>
      </c>
      <c r="B3" s="7" t="s">
        <v>5405</v>
      </c>
      <c r="C3" s="8" t="s">
        <v>5314</v>
      </c>
      <c r="D3" t="s">
        <v>24</v>
      </c>
      <c r="E3" t="s">
        <v>25</v>
      </c>
      <c r="F3" t="s">
        <v>26</v>
      </c>
      <c r="G3" t="s">
        <v>27</v>
      </c>
      <c r="H3" s="9">
        <v>44586</v>
      </c>
      <c r="I3" t="s">
        <v>8634</v>
      </c>
      <c r="J3" t="s">
        <v>0</v>
      </c>
      <c r="K3" s="9">
        <v>44882</v>
      </c>
      <c r="L3" t="s">
        <v>29</v>
      </c>
      <c r="M3"/>
      <c r="N3" s="9">
        <v>44614</v>
      </c>
      <c r="O3" s="9">
        <v>44614</v>
      </c>
      <c r="P3" s="9">
        <v>44686</v>
      </c>
      <c r="Q3" s="9">
        <v>44882</v>
      </c>
      <c r="R3"/>
      <c r="S3"/>
      <c r="T3"/>
      <c r="U3"/>
    </row>
    <row r="4" spans="1:21" hidden="1">
      <c r="A4" s="7" t="s">
        <v>8712</v>
      </c>
      <c r="B4" s="7" t="s">
        <v>5405</v>
      </c>
      <c r="C4" s="8" t="s">
        <v>5314</v>
      </c>
      <c r="D4" t="s">
        <v>24</v>
      </c>
      <c r="E4" t="s">
        <v>25</v>
      </c>
      <c r="F4" t="s">
        <v>26</v>
      </c>
      <c r="G4" t="s">
        <v>30</v>
      </c>
      <c r="H4" s="9">
        <v>44586</v>
      </c>
      <c r="I4" t="s">
        <v>8634</v>
      </c>
      <c r="J4" t="s">
        <v>0</v>
      </c>
      <c r="K4" s="9">
        <v>44882</v>
      </c>
      <c r="L4" t="s">
        <v>29</v>
      </c>
      <c r="M4"/>
      <c r="N4"/>
      <c r="O4"/>
      <c r="P4"/>
      <c r="Q4" s="9">
        <v>44882</v>
      </c>
      <c r="R4"/>
      <c r="S4"/>
      <c r="T4"/>
      <c r="U4"/>
    </row>
    <row r="5" spans="1:21" hidden="1">
      <c r="A5" s="7" t="s">
        <v>8712</v>
      </c>
      <c r="B5" s="7" t="s">
        <v>5405</v>
      </c>
      <c r="C5" s="8" t="s">
        <v>5314</v>
      </c>
      <c r="D5" t="s">
        <v>24</v>
      </c>
      <c r="E5" t="s">
        <v>25</v>
      </c>
      <c r="F5" t="s">
        <v>26</v>
      </c>
      <c r="G5" t="s">
        <v>31</v>
      </c>
      <c r="H5" s="9">
        <v>44586</v>
      </c>
      <c r="I5" t="s">
        <v>8634</v>
      </c>
      <c r="J5" t="s">
        <v>0</v>
      </c>
      <c r="K5" s="9">
        <v>44882</v>
      </c>
      <c r="L5" t="s">
        <v>29</v>
      </c>
      <c r="M5"/>
      <c r="N5"/>
      <c r="O5"/>
      <c r="P5"/>
      <c r="Q5" s="9">
        <v>44882</v>
      </c>
      <c r="R5"/>
      <c r="S5"/>
      <c r="T5"/>
      <c r="U5"/>
    </row>
    <row r="6" spans="1:21" hidden="1">
      <c r="A6" s="7" t="s">
        <v>8712</v>
      </c>
      <c r="B6" s="7" t="s">
        <v>5405</v>
      </c>
      <c r="C6" s="8" t="s">
        <v>5314</v>
      </c>
      <c r="D6" t="s">
        <v>24</v>
      </c>
      <c r="E6" t="s">
        <v>25</v>
      </c>
      <c r="F6" t="s">
        <v>26</v>
      </c>
      <c r="G6" t="s">
        <v>32</v>
      </c>
      <c r="H6" s="9">
        <v>44586</v>
      </c>
      <c r="I6" t="s">
        <v>8634</v>
      </c>
      <c r="J6" t="s">
        <v>0</v>
      </c>
      <c r="K6" s="9">
        <v>44882</v>
      </c>
      <c r="L6" t="s">
        <v>29</v>
      </c>
      <c r="M6"/>
      <c r="N6"/>
      <c r="O6"/>
      <c r="P6"/>
      <c r="Q6" s="9">
        <v>44882</v>
      </c>
      <c r="R6"/>
      <c r="S6"/>
      <c r="T6"/>
      <c r="U6"/>
    </row>
    <row r="7" spans="1:21" hidden="1">
      <c r="A7" s="7" t="s">
        <v>8712</v>
      </c>
      <c r="B7" s="7" t="s">
        <v>5405</v>
      </c>
      <c r="C7" s="8" t="s">
        <v>5314</v>
      </c>
      <c r="D7" t="s">
        <v>24</v>
      </c>
      <c r="E7" t="s">
        <v>25</v>
      </c>
      <c r="F7" t="s">
        <v>26</v>
      </c>
      <c r="G7" t="s">
        <v>33</v>
      </c>
      <c r="H7" s="9">
        <v>44586</v>
      </c>
      <c r="I7" t="s">
        <v>8634</v>
      </c>
      <c r="J7" t="s">
        <v>0</v>
      </c>
      <c r="K7" s="9">
        <v>44882</v>
      </c>
      <c r="L7" t="s">
        <v>29</v>
      </c>
      <c r="M7"/>
      <c r="N7"/>
      <c r="O7"/>
      <c r="P7"/>
      <c r="Q7" s="9">
        <v>44882</v>
      </c>
      <c r="R7"/>
      <c r="S7"/>
      <c r="T7"/>
      <c r="U7"/>
    </row>
    <row r="8" spans="1:21" hidden="1">
      <c r="A8" s="7" t="s">
        <v>8712</v>
      </c>
      <c r="B8" s="7" t="s">
        <v>5405</v>
      </c>
      <c r="C8" s="8" t="s">
        <v>5314</v>
      </c>
      <c r="D8" t="s">
        <v>24</v>
      </c>
      <c r="E8" t="s">
        <v>25</v>
      </c>
      <c r="F8" t="s">
        <v>26</v>
      </c>
      <c r="G8" t="s">
        <v>34</v>
      </c>
      <c r="H8" s="9">
        <v>44586</v>
      </c>
      <c r="I8" t="s">
        <v>8634</v>
      </c>
      <c r="J8" t="s">
        <v>0</v>
      </c>
      <c r="K8" s="9">
        <v>44882</v>
      </c>
      <c r="L8" t="s">
        <v>29</v>
      </c>
      <c r="M8"/>
      <c r="N8"/>
      <c r="O8"/>
      <c r="P8"/>
      <c r="Q8" s="9">
        <v>44882</v>
      </c>
      <c r="R8"/>
      <c r="S8"/>
      <c r="T8"/>
      <c r="U8"/>
    </row>
    <row r="9" spans="1:21" hidden="1">
      <c r="A9" s="7" t="s">
        <v>8712</v>
      </c>
      <c r="B9" s="7" t="s">
        <v>5405</v>
      </c>
      <c r="C9" s="8" t="s">
        <v>5314</v>
      </c>
      <c r="D9" t="s">
        <v>24</v>
      </c>
      <c r="E9" t="s">
        <v>25</v>
      </c>
      <c r="F9" t="s">
        <v>26</v>
      </c>
      <c r="G9" t="s">
        <v>35</v>
      </c>
      <c r="H9" s="9">
        <v>44586</v>
      </c>
      <c r="I9" t="s">
        <v>8634</v>
      </c>
      <c r="J9" t="s">
        <v>0</v>
      </c>
      <c r="K9" s="9">
        <v>44882</v>
      </c>
      <c r="L9" t="s">
        <v>29</v>
      </c>
      <c r="M9"/>
      <c r="N9"/>
      <c r="O9"/>
      <c r="P9"/>
      <c r="Q9" s="9">
        <v>44882</v>
      </c>
      <c r="R9"/>
      <c r="S9"/>
      <c r="T9"/>
      <c r="U9"/>
    </row>
    <row r="10" spans="1:21" hidden="1">
      <c r="A10" s="7" t="s">
        <v>8712</v>
      </c>
      <c r="B10" s="7" t="s">
        <v>5405</v>
      </c>
      <c r="C10" s="8" t="s">
        <v>5314</v>
      </c>
      <c r="D10" t="s">
        <v>24</v>
      </c>
      <c r="E10" t="s">
        <v>25</v>
      </c>
      <c r="F10" t="s">
        <v>26</v>
      </c>
      <c r="G10" t="s">
        <v>36</v>
      </c>
      <c r="H10" s="9">
        <v>44586</v>
      </c>
      <c r="I10" t="s">
        <v>8634</v>
      </c>
      <c r="J10" t="s">
        <v>0</v>
      </c>
      <c r="K10" s="9">
        <v>44882</v>
      </c>
      <c r="L10" t="s">
        <v>29</v>
      </c>
      <c r="M10"/>
      <c r="N10"/>
      <c r="O10"/>
      <c r="P10"/>
      <c r="Q10" s="9">
        <v>44882</v>
      </c>
      <c r="R10"/>
      <c r="S10"/>
      <c r="T10"/>
      <c r="U10"/>
    </row>
    <row r="11" spans="1:21" hidden="1">
      <c r="A11" s="7" t="s">
        <v>8712</v>
      </c>
      <c r="B11" s="7" t="s">
        <v>5405</v>
      </c>
      <c r="C11" s="8" t="s">
        <v>5314</v>
      </c>
      <c r="D11" t="s">
        <v>24</v>
      </c>
      <c r="E11" t="s">
        <v>25</v>
      </c>
      <c r="F11" t="s">
        <v>26</v>
      </c>
      <c r="G11" t="s">
        <v>37</v>
      </c>
      <c r="H11" s="9">
        <v>44586</v>
      </c>
      <c r="I11" t="s">
        <v>8634</v>
      </c>
      <c r="J11" t="s">
        <v>0</v>
      </c>
      <c r="K11" s="9">
        <v>44882</v>
      </c>
      <c r="L11" t="s">
        <v>29</v>
      </c>
      <c r="M11"/>
      <c r="N11"/>
      <c r="O11"/>
      <c r="P11"/>
      <c r="Q11" s="9">
        <v>44882</v>
      </c>
      <c r="R11"/>
      <c r="S11"/>
      <c r="T11"/>
      <c r="U11"/>
    </row>
    <row r="12" spans="1:21" hidden="1">
      <c r="A12" s="7" t="s">
        <v>8712</v>
      </c>
      <c r="B12" s="7" t="s">
        <v>5405</v>
      </c>
      <c r="C12" s="8" t="s">
        <v>5314</v>
      </c>
      <c r="D12" t="s">
        <v>24</v>
      </c>
      <c r="E12" t="s">
        <v>25</v>
      </c>
      <c r="F12" t="s">
        <v>26</v>
      </c>
      <c r="G12" t="s">
        <v>38</v>
      </c>
      <c r="H12" s="9">
        <v>44586</v>
      </c>
      <c r="I12" t="s">
        <v>8634</v>
      </c>
      <c r="J12" t="s">
        <v>0</v>
      </c>
      <c r="K12" s="9">
        <v>44882</v>
      </c>
      <c r="L12" t="s">
        <v>29</v>
      </c>
      <c r="M12"/>
      <c r="N12"/>
      <c r="O12"/>
      <c r="P12"/>
      <c r="Q12" s="9">
        <v>44882</v>
      </c>
      <c r="R12"/>
      <c r="S12"/>
      <c r="T12"/>
      <c r="U12"/>
    </row>
    <row r="13" spans="1:21" hidden="1">
      <c r="A13" s="7" t="s">
        <v>8712</v>
      </c>
      <c r="B13" s="7" t="s">
        <v>5405</v>
      </c>
      <c r="C13" s="8" t="s">
        <v>5314</v>
      </c>
      <c r="D13" t="s">
        <v>24</v>
      </c>
      <c r="E13" t="s">
        <v>25</v>
      </c>
      <c r="F13" t="s">
        <v>26</v>
      </c>
      <c r="G13" t="s">
        <v>39</v>
      </c>
      <c r="H13" s="9">
        <v>44586</v>
      </c>
      <c r="I13" t="s">
        <v>8634</v>
      </c>
      <c r="J13" t="s">
        <v>0</v>
      </c>
      <c r="K13" s="9">
        <v>44882</v>
      </c>
      <c r="L13" t="s">
        <v>29</v>
      </c>
      <c r="M13"/>
      <c r="N13"/>
      <c r="O13"/>
      <c r="P13"/>
      <c r="Q13" s="9">
        <v>44882</v>
      </c>
      <c r="R13"/>
      <c r="S13"/>
      <c r="T13"/>
      <c r="U13"/>
    </row>
    <row r="14" spans="1:21">
      <c r="A14" s="7" t="s">
        <v>8713</v>
      </c>
      <c r="B14" s="7" t="s">
        <v>5848</v>
      </c>
      <c r="C14" s="8" t="s">
        <v>5314</v>
      </c>
      <c r="D14" t="s">
        <v>24</v>
      </c>
      <c r="E14" t="s">
        <v>40</v>
      </c>
      <c r="F14" t="s">
        <v>41</v>
      </c>
      <c r="G14" t="s">
        <v>42</v>
      </c>
      <c r="H14" s="9">
        <v>44586</v>
      </c>
      <c r="I14" t="s">
        <v>43</v>
      </c>
      <c r="J14" t="s">
        <v>0</v>
      </c>
      <c r="K14" s="9">
        <v>44599</v>
      </c>
      <c r="L14" t="s">
        <v>29</v>
      </c>
      <c r="M14"/>
      <c r="N14"/>
      <c r="O14"/>
      <c r="P14"/>
      <c r="Q14" s="9">
        <v>44599</v>
      </c>
      <c r="R14"/>
      <c r="S14"/>
      <c r="T14"/>
      <c r="U14"/>
    </row>
    <row r="15" spans="1:21">
      <c r="A15" s="7" t="s">
        <v>8713</v>
      </c>
      <c r="B15" s="7" t="s">
        <v>5848</v>
      </c>
      <c r="C15" s="8" t="s">
        <v>5314</v>
      </c>
      <c r="D15" t="s">
        <v>24</v>
      </c>
      <c r="E15" t="s">
        <v>40</v>
      </c>
      <c r="F15" t="s">
        <v>41</v>
      </c>
      <c r="G15" t="s">
        <v>44</v>
      </c>
      <c r="H15" s="9">
        <v>44586</v>
      </c>
      <c r="I15" t="s">
        <v>43</v>
      </c>
      <c r="J15" t="s">
        <v>0</v>
      </c>
      <c r="K15" s="9">
        <v>44599</v>
      </c>
      <c r="L15" t="s">
        <v>29</v>
      </c>
      <c r="M15"/>
      <c r="N15"/>
      <c r="O15"/>
      <c r="P15"/>
      <c r="Q15" s="9">
        <v>44599</v>
      </c>
      <c r="R15"/>
      <c r="S15"/>
      <c r="T15"/>
      <c r="U15"/>
    </row>
    <row r="16" spans="1:21">
      <c r="A16" s="7" t="s">
        <v>8713</v>
      </c>
      <c r="B16" s="7" t="s">
        <v>5848</v>
      </c>
      <c r="C16" s="8" t="s">
        <v>5314</v>
      </c>
      <c r="D16" t="s">
        <v>24</v>
      </c>
      <c r="E16" t="s">
        <v>40</v>
      </c>
      <c r="F16" t="s">
        <v>41</v>
      </c>
      <c r="G16" t="s">
        <v>45</v>
      </c>
      <c r="H16" s="9">
        <v>44586</v>
      </c>
      <c r="I16" t="s">
        <v>43</v>
      </c>
      <c r="J16" t="s">
        <v>0</v>
      </c>
      <c r="K16" s="9">
        <v>44599</v>
      </c>
      <c r="L16" t="s">
        <v>29</v>
      </c>
      <c r="M16"/>
      <c r="N16"/>
      <c r="O16"/>
      <c r="P16"/>
      <c r="Q16" s="9">
        <v>44599</v>
      </c>
      <c r="R16"/>
      <c r="S16"/>
      <c r="T16"/>
      <c r="U16"/>
    </row>
    <row r="17" spans="1:21">
      <c r="A17" s="7" t="s">
        <v>8713</v>
      </c>
      <c r="B17" s="7" t="s">
        <v>5848</v>
      </c>
      <c r="C17" s="8" t="s">
        <v>5314</v>
      </c>
      <c r="D17" t="s">
        <v>24</v>
      </c>
      <c r="E17" t="s">
        <v>40</v>
      </c>
      <c r="F17" t="s">
        <v>41</v>
      </c>
      <c r="G17" t="s">
        <v>46</v>
      </c>
      <c r="H17" s="9">
        <v>44586</v>
      </c>
      <c r="I17" t="s">
        <v>43</v>
      </c>
      <c r="J17" t="s">
        <v>0</v>
      </c>
      <c r="K17" s="9">
        <v>44599</v>
      </c>
      <c r="L17" t="s">
        <v>29</v>
      </c>
      <c r="M17"/>
      <c r="N17"/>
      <c r="O17"/>
      <c r="P17"/>
      <c r="Q17" s="9">
        <v>44599</v>
      </c>
      <c r="R17"/>
      <c r="S17"/>
      <c r="T17"/>
      <c r="U17"/>
    </row>
    <row r="18" spans="1:21">
      <c r="A18" s="7" t="s">
        <v>8713</v>
      </c>
      <c r="B18" s="7" t="s">
        <v>5848</v>
      </c>
      <c r="C18" s="8" t="s">
        <v>5314</v>
      </c>
      <c r="D18" t="s">
        <v>24</v>
      </c>
      <c r="E18" t="s">
        <v>40</v>
      </c>
      <c r="F18" t="s">
        <v>41</v>
      </c>
      <c r="G18" t="s">
        <v>47</v>
      </c>
      <c r="H18" s="9">
        <v>44586</v>
      </c>
      <c r="I18" t="s">
        <v>43</v>
      </c>
      <c r="J18" t="s">
        <v>0</v>
      </c>
      <c r="K18" s="9">
        <v>44599</v>
      </c>
      <c r="L18" t="s">
        <v>29</v>
      </c>
      <c r="M18"/>
      <c r="N18"/>
      <c r="O18"/>
      <c r="P18"/>
      <c r="Q18" s="9">
        <v>44599</v>
      </c>
      <c r="R18"/>
      <c r="S18"/>
      <c r="T18"/>
      <c r="U18"/>
    </row>
    <row r="19" spans="1:21">
      <c r="A19" s="7" t="s">
        <v>8713</v>
      </c>
      <c r="B19" s="7" t="s">
        <v>5848</v>
      </c>
      <c r="C19" s="8" t="s">
        <v>5314</v>
      </c>
      <c r="D19" t="s">
        <v>24</v>
      </c>
      <c r="E19" t="s">
        <v>40</v>
      </c>
      <c r="F19" t="s">
        <v>41</v>
      </c>
      <c r="G19" t="s">
        <v>48</v>
      </c>
      <c r="H19" s="9">
        <v>44586</v>
      </c>
      <c r="I19" t="s">
        <v>43</v>
      </c>
      <c r="J19" t="s">
        <v>0</v>
      </c>
      <c r="K19" s="9">
        <v>44599</v>
      </c>
      <c r="L19" t="s">
        <v>29</v>
      </c>
      <c r="M19"/>
      <c r="N19"/>
      <c r="O19"/>
      <c r="P19"/>
      <c r="Q19" s="9">
        <v>44599</v>
      </c>
      <c r="R19"/>
      <c r="S19"/>
      <c r="T19"/>
      <c r="U19"/>
    </row>
    <row r="20" spans="1:21">
      <c r="A20" s="7" t="s">
        <v>8713</v>
      </c>
      <c r="B20" s="7" t="s">
        <v>5848</v>
      </c>
      <c r="C20" s="8" t="s">
        <v>5314</v>
      </c>
      <c r="D20" t="s">
        <v>24</v>
      </c>
      <c r="E20" t="s">
        <v>40</v>
      </c>
      <c r="F20" t="s">
        <v>41</v>
      </c>
      <c r="G20" t="s">
        <v>49</v>
      </c>
      <c r="H20" s="9">
        <v>44586</v>
      </c>
      <c r="I20" t="s">
        <v>43</v>
      </c>
      <c r="J20" t="s">
        <v>0</v>
      </c>
      <c r="K20" s="9">
        <v>44599</v>
      </c>
      <c r="L20" t="s">
        <v>29</v>
      </c>
      <c r="M20"/>
      <c r="N20"/>
      <c r="O20"/>
      <c r="P20"/>
      <c r="Q20" s="9">
        <v>44599</v>
      </c>
      <c r="R20"/>
      <c r="S20"/>
      <c r="T20"/>
      <c r="U20"/>
    </row>
    <row r="21" spans="1:21">
      <c r="A21" s="7" t="s">
        <v>8713</v>
      </c>
      <c r="B21" s="7" t="s">
        <v>5848</v>
      </c>
      <c r="C21" s="8" t="s">
        <v>5314</v>
      </c>
      <c r="D21" t="s">
        <v>24</v>
      </c>
      <c r="E21" t="s">
        <v>40</v>
      </c>
      <c r="F21" t="s">
        <v>41</v>
      </c>
      <c r="G21" t="s">
        <v>50</v>
      </c>
      <c r="H21" s="9">
        <v>44586</v>
      </c>
      <c r="I21" t="s">
        <v>43</v>
      </c>
      <c r="J21" t="s">
        <v>0</v>
      </c>
      <c r="K21" s="9">
        <v>44599</v>
      </c>
      <c r="L21" t="s">
        <v>29</v>
      </c>
      <c r="M21"/>
      <c r="N21"/>
      <c r="O21"/>
      <c r="P21"/>
      <c r="Q21" s="9">
        <v>44599</v>
      </c>
      <c r="R21"/>
      <c r="S21"/>
      <c r="T21"/>
      <c r="U21"/>
    </row>
    <row r="22" spans="1:21">
      <c r="A22" s="7" t="s">
        <v>8713</v>
      </c>
      <c r="B22" s="7" t="s">
        <v>5848</v>
      </c>
      <c r="C22" s="8" t="s">
        <v>5314</v>
      </c>
      <c r="D22" t="s">
        <v>24</v>
      </c>
      <c r="E22" t="s">
        <v>40</v>
      </c>
      <c r="F22" t="s">
        <v>41</v>
      </c>
      <c r="G22" t="s">
        <v>51</v>
      </c>
      <c r="H22" s="9">
        <v>44586</v>
      </c>
      <c r="I22" t="s">
        <v>43</v>
      </c>
      <c r="J22" t="s">
        <v>0</v>
      </c>
      <c r="K22" s="9">
        <v>44599</v>
      </c>
      <c r="L22" t="s">
        <v>29</v>
      </c>
      <c r="M22"/>
      <c r="N22"/>
      <c r="O22"/>
      <c r="P22"/>
      <c r="Q22" s="9">
        <v>44599</v>
      </c>
      <c r="R22"/>
      <c r="S22"/>
      <c r="T22"/>
      <c r="U22"/>
    </row>
    <row r="23" spans="1:21">
      <c r="A23" s="7" t="s">
        <v>8713</v>
      </c>
      <c r="B23" s="7" t="s">
        <v>5848</v>
      </c>
      <c r="C23" s="8" t="s">
        <v>5314</v>
      </c>
      <c r="D23" t="s">
        <v>24</v>
      </c>
      <c r="E23" t="s">
        <v>40</v>
      </c>
      <c r="F23" t="s">
        <v>41</v>
      </c>
      <c r="G23" t="s">
        <v>52</v>
      </c>
      <c r="H23" s="9">
        <v>44586</v>
      </c>
      <c r="I23" t="s">
        <v>43</v>
      </c>
      <c r="J23" t="s">
        <v>0</v>
      </c>
      <c r="K23" s="9">
        <v>44599</v>
      </c>
      <c r="L23" t="s">
        <v>29</v>
      </c>
      <c r="M23"/>
      <c r="N23"/>
      <c r="O23"/>
      <c r="P23"/>
      <c r="Q23" s="9">
        <v>44599</v>
      </c>
      <c r="R23"/>
      <c r="S23"/>
      <c r="T23"/>
      <c r="U23"/>
    </row>
    <row r="24" spans="1:21">
      <c r="A24" s="7" t="s">
        <v>8713</v>
      </c>
      <c r="B24" s="7" t="s">
        <v>5848</v>
      </c>
      <c r="C24" s="8" t="s">
        <v>5314</v>
      </c>
      <c r="D24" t="s">
        <v>24</v>
      </c>
      <c r="E24" t="s">
        <v>40</v>
      </c>
      <c r="F24" t="s">
        <v>41</v>
      </c>
      <c r="G24" t="s">
        <v>53</v>
      </c>
      <c r="H24" s="9">
        <v>44586</v>
      </c>
      <c r="I24" t="s">
        <v>43</v>
      </c>
      <c r="J24" t="s">
        <v>0</v>
      </c>
      <c r="K24" s="9">
        <v>44599</v>
      </c>
      <c r="L24" t="s">
        <v>29</v>
      </c>
      <c r="M24"/>
      <c r="N24"/>
      <c r="O24"/>
      <c r="P24"/>
      <c r="Q24" s="9">
        <v>44599</v>
      </c>
      <c r="R24"/>
      <c r="S24"/>
      <c r="T24"/>
      <c r="U24"/>
    </row>
    <row r="25" spans="1:21">
      <c r="A25" s="7" t="s">
        <v>8713</v>
      </c>
      <c r="B25" s="7" t="s">
        <v>5848</v>
      </c>
      <c r="C25" s="8" t="s">
        <v>5314</v>
      </c>
      <c r="D25" t="s">
        <v>24</v>
      </c>
      <c r="E25" t="s">
        <v>40</v>
      </c>
      <c r="F25" t="s">
        <v>41</v>
      </c>
      <c r="G25" t="s">
        <v>54</v>
      </c>
      <c r="H25" s="9">
        <v>44586</v>
      </c>
      <c r="I25" t="s">
        <v>43</v>
      </c>
      <c r="J25" t="s">
        <v>0</v>
      </c>
      <c r="K25" s="9">
        <v>44599</v>
      </c>
      <c r="L25" t="s">
        <v>29</v>
      </c>
      <c r="M25"/>
      <c r="N25"/>
      <c r="O25"/>
      <c r="P25"/>
      <c r="Q25" s="9">
        <v>44599</v>
      </c>
      <c r="R25"/>
      <c r="S25"/>
      <c r="T25"/>
      <c r="U25"/>
    </row>
    <row r="26" spans="1:21">
      <c r="A26" s="7" t="s">
        <v>8713</v>
      </c>
      <c r="B26" s="7" t="s">
        <v>5848</v>
      </c>
      <c r="C26" s="8" t="s">
        <v>5314</v>
      </c>
      <c r="D26" t="s">
        <v>24</v>
      </c>
      <c r="E26" t="s">
        <v>40</v>
      </c>
      <c r="F26" t="s">
        <v>41</v>
      </c>
      <c r="G26" t="s">
        <v>55</v>
      </c>
      <c r="H26" s="9">
        <v>44586</v>
      </c>
      <c r="I26" t="s">
        <v>43</v>
      </c>
      <c r="J26" t="s">
        <v>0</v>
      </c>
      <c r="K26" s="9">
        <v>44599</v>
      </c>
      <c r="L26" t="s">
        <v>29</v>
      </c>
      <c r="M26"/>
      <c r="N26"/>
      <c r="O26"/>
      <c r="P26"/>
      <c r="Q26" s="9">
        <v>44599</v>
      </c>
      <c r="R26"/>
      <c r="S26"/>
      <c r="T26"/>
      <c r="U26"/>
    </row>
    <row r="27" spans="1:21">
      <c r="A27" s="7" t="s">
        <v>8713</v>
      </c>
      <c r="B27" s="7" t="s">
        <v>5848</v>
      </c>
      <c r="C27" s="8" t="s">
        <v>5314</v>
      </c>
      <c r="D27" t="s">
        <v>24</v>
      </c>
      <c r="E27" t="s">
        <v>40</v>
      </c>
      <c r="F27" t="s">
        <v>41</v>
      </c>
      <c r="G27" t="s">
        <v>56</v>
      </c>
      <c r="H27" s="9">
        <v>44586</v>
      </c>
      <c r="I27" t="s">
        <v>43</v>
      </c>
      <c r="J27" t="s">
        <v>0</v>
      </c>
      <c r="K27" s="9">
        <v>44599</v>
      </c>
      <c r="L27" t="s">
        <v>29</v>
      </c>
      <c r="M27"/>
      <c r="N27"/>
      <c r="O27"/>
      <c r="P27"/>
      <c r="Q27" s="9">
        <v>44599</v>
      </c>
      <c r="R27"/>
      <c r="S27"/>
      <c r="T27"/>
      <c r="U27"/>
    </row>
    <row r="28" spans="1:21">
      <c r="A28" s="7" t="s">
        <v>8713</v>
      </c>
      <c r="B28" s="7" t="s">
        <v>5848</v>
      </c>
      <c r="C28" s="8" t="s">
        <v>5314</v>
      </c>
      <c r="D28" t="s">
        <v>24</v>
      </c>
      <c r="E28" t="s">
        <v>40</v>
      </c>
      <c r="F28" t="s">
        <v>41</v>
      </c>
      <c r="G28" t="s">
        <v>57</v>
      </c>
      <c r="H28" s="9">
        <v>44586</v>
      </c>
      <c r="I28" t="s">
        <v>43</v>
      </c>
      <c r="J28" t="s">
        <v>0</v>
      </c>
      <c r="K28" s="9">
        <v>44599</v>
      </c>
      <c r="L28" t="s">
        <v>29</v>
      </c>
      <c r="M28"/>
      <c r="N28"/>
      <c r="O28"/>
      <c r="P28"/>
      <c r="Q28" s="9">
        <v>44599</v>
      </c>
      <c r="R28"/>
      <c r="S28"/>
      <c r="T28"/>
      <c r="U28"/>
    </row>
    <row r="29" spans="1:21">
      <c r="A29" s="7" t="s">
        <v>8713</v>
      </c>
      <c r="B29" s="7" t="s">
        <v>5848</v>
      </c>
      <c r="C29" s="8" t="s">
        <v>5314</v>
      </c>
      <c r="D29" t="s">
        <v>24</v>
      </c>
      <c r="E29" t="s">
        <v>40</v>
      </c>
      <c r="F29" t="s">
        <v>41</v>
      </c>
      <c r="G29" t="s">
        <v>58</v>
      </c>
      <c r="H29" s="9">
        <v>44586</v>
      </c>
      <c r="I29" t="s">
        <v>43</v>
      </c>
      <c r="J29" t="s">
        <v>0</v>
      </c>
      <c r="K29" s="9">
        <v>44607</v>
      </c>
      <c r="L29" t="s">
        <v>29</v>
      </c>
      <c r="M29"/>
      <c r="N29"/>
      <c r="O29"/>
      <c r="P29"/>
      <c r="Q29" s="9">
        <v>44607</v>
      </c>
      <c r="R29"/>
      <c r="S29"/>
      <c r="T29"/>
      <c r="U29"/>
    </row>
    <row r="30" spans="1:21">
      <c r="A30" s="7" t="s">
        <v>8713</v>
      </c>
      <c r="B30" s="7" t="s">
        <v>5848</v>
      </c>
      <c r="C30" s="8" t="s">
        <v>5314</v>
      </c>
      <c r="D30" t="s">
        <v>24</v>
      </c>
      <c r="E30" t="s">
        <v>40</v>
      </c>
      <c r="F30" t="s">
        <v>41</v>
      </c>
      <c r="G30" t="s">
        <v>59</v>
      </c>
      <c r="H30" s="9">
        <v>44586</v>
      </c>
      <c r="I30" t="s">
        <v>43</v>
      </c>
      <c r="J30" t="s">
        <v>0</v>
      </c>
      <c r="K30" s="9">
        <v>44607</v>
      </c>
      <c r="L30" t="s">
        <v>29</v>
      </c>
      <c r="M30"/>
      <c r="N30"/>
      <c r="O30"/>
      <c r="P30"/>
      <c r="Q30" s="9">
        <v>44607</v>
      </c>
      <c r="R30"/>
      <c r="S30"/>
      <c r="T30"/>
      <c r="U30"/>
    </row>
    <row r="31" spans="1:21">
      <c r="A31" s="7" t="s">
        <v>8713</v>
      </c>
      <c r="B31" s="7" t="s">
        <v>5848</v>
      </c>
      <c r="C31" s="8" t="s">
        <v>5314</v>
      </c>
      <c r="D31" t="s">
        <v>24</v>
      </c>
      <c r="E31" t="s">
        <v>40</v>
      </c>
      <c r="F31" t="s">
        <v>41</v>
      </c>
      <c r="G31" t="s">
        <v>60</v>
      </c>
      <c r="H31" s="9">
        <v>44586</v>
      </c>
      <c r="I31" t="s">
        <v>43</v>
      </c>
      <c r="J31" t="s">
        <v>0</v>
      </c>
      <c r="K31" s="9">
        <v>44599</v>
      </c>
      <c r="L31" t="s">
        <v>29</v>
      </c>
      <c r="M31"/>
      <c r="N31"/>
      <c r="O31"/>
      <c r="P31"/>
      <c r="Q31" s="9">
        <v>44599</v>
      </c>
      <c r="R31"/>
      <c r="S31"/>
      <c r="T31"/>
      <c r="U31"/>
    </row>
    <row r="32" spans="1:21">
      <c r="A32" s="7" t="s">
        <v>8713</v>
      </c>
      <c r="B32" s="7" t="s">
        <v>5848</v>
      </c>
      <c r="C32" s="8" t="s">
        <v>5314</v>
      </c>
      <c r="D32" t="s">
        <v>24</v>
      </c>
      <c r="E32" t="s">
        <v>40</v>
      </c>
      <c r="F32" t="s">
        <v>41</v>
      </c>
      <c r="G32" t="s">
        <v>61</v>
      </c>
      <c r="H32" s="9">
        <v>44586</v>
      </c>
      <c r="I32" t="s">
        <v>43</v>
      </c>
      <c r="J32" t="s">
        <v>0</v>
      </c>
      <c r="K32" s="9">
        <v>44599</v>
      </c>
      <c r="L32" t="s">
        <v>29</v>
      </c>
      <c r="M32"/>
      <c r="N32"/>
      <c r="O32"/>
      <c r="P32"/>
      <c r="Q32" s="9">
        <v>44599</v>
      </c>
      <c r="R32"/>
      <c r="S32"/>
      <c r="T32"/>
      <c r="U32"/>
    </row>
    <row r="33" spans="1:21">
      <c r="A33" s="7" t="s">
        <v>8713</v>
      </c>
      <c r="B33" s="7" t="s">
        <v>5848</v>
      </c>
      <c r="C33" s="8" t="s">
        <v>5314</v>
      </c>
      <c r="D33" t="s">
        <v>24</v>
      </c>
      <c r="E33" t="s">
        <v>40</v>
      </c>
      <c r="F33" t="s">
        <v>41</v>
      </c>
      <c r="G33" t="s">
        <v>62</v>
      </c>
      <c r="H33" s="9">
        <v>44586</v>
      </c>
      <c r="I33" t="s">
        <v>43</v>
      </c>
      <c r="J33" t="s">
        <v>0</v>
      </c>
      <c r="K33" s="9">
        <v>44607</v>
      </c>
      <c r="L33" t="s">
        <v>29</v>
      </c>
      <c r="M33"/>
      <c r="N33"/>
      <c r="O33"/>
      <c r="P33"/>
      <c r="Q33" s="9">
        <v>44607</v>
      </c>
      <c r="R33" s="9">
        <v>44596.598726851902</v>
      </c>
      <c r="S33"/>
      <c r="T33"/>
      <c r="U33"/>
    </row>
    <row r="34" spans="1:21">
      <c r="A34" s="7" t="s">
        <v>8713</v>
      </c>
      <c r="B34" s="7" t="s">
        <v>5848</v>
      </c>
      <c r="C34" s="8" t="s">
        <v>5314</v>
      </c>
      <c r="D34" t="s">
        <v>24</v>
      </c>
      <c r="E34" t="s">
        <v>40</v>
      </c>
      <c r="F34" t="s">
        <v>41</v>
      </c>
      <c r="G34" t="s">
        <v>63</v>
      </c>
      <c r="H34" s="9">
        <v>44586</v>
      </c>
      <c r="I34" t="s">
        <v>43</v>
      </c>
      <c r="J34" t="s">
        <v>0</v>
      </c>
      <c r="K34" s="9">
        <v>44607</v>
      </c>
      <c r="L34" t="s">
        <v>29</v>
      </c>
      <c r="M34"/>
      <c r="N34"/>
      <c r="O34"/>
      <c r="P34"/>
      <c r="Q34" s="9">
        <v>44607</v>
      </c>
      <c r="R34"/>
      <c r="S34"/>
      <c r="T34"/>
      <c r="U34"/>
    </row>
    <row r="35" spans="1:21">
      <c r="A35" s="7" t="s">
        <v>8713</v>
      </c>
      <c r="B35" s="7" t="s">
        <v>5848</v>
      </c>
      <c r="C35" s="8" t="s">
        <v>5314</v>
      </c>
      <c r="D35" t="s">
        <v>24</v>
      </c>
      <c r="E35" t="s">
        <v>40</v>
      </c>
      <c r="F35" t="s">
        <v>41</v>
      </c>
      <c r="G35" t="s">
        <v>64</v>
      </c>
      <c r="H35" s="9">
        <v>44586</v>
      </c>
      <c r="I35" t="s">
        <v>43</v>
      </c>
      <c r="J35" t="s">
        <v>0</v>
      </c>
      <c r="K35" s="9">
        <v>44607</v>
      </c>
      <c r="L35" t="s">
        <v>29</v>
      </c>
      <c r="M35"/>
      <c r="N35"/>
      <c r="O35"/>
      <c r="P35"/>
      <c r="Q35" s="9">
        <v>44607</v>
      </c>
      <c r="R35"/>
      <c r="S35"/>
      <c r="T35"/>
      <c r="U35"/>
    </row>
    <row r="36" spans="1:21">
      <c r="A36" s="7" t="s">
        <v>8713</v>
      </c>
      <c r="B36" s="7" t="s">
        <v>5848</v>
      </c>
      <c r="C36" s="8" t="s">
        <v>5314</v>
      </c>
      <c r="D36" t="s">
        <v>24</v>
      </c>
      <c r="E36" t="s">
        <v>40</v>
      </c>
      <c r="F36" t="s">
        <v>41</v>
      </c>
      <c r="G36" t="s">
        <v>65</v>
      </c>
      <c r="H36" s="9">
        <v>44586</v>
      </c>
      <c r="I36" t="s">
        <v>43</v>
      </c>
      <c r="J36" t="s">
        <v>0</v>
      </c>
      <c r="K36" s="9">
        <v>44607</v>
      </c>
      <c r="L36" t="s">
        <v>29</v>
      </c>
      <c r="M36"/>
      <c r="N36"/>
      <c r="O36"/>
      <c r="P36"/>
      <c r="Q36" s="9">
        <v>44607</v>
      </c>
      <c r="R36"/>
      <c r="S36"/>
      <c r="T36"/>
      <c r="U36"/>
    </row>
    <row r="37" spans="1:21">
      <c r="A37" s="7" t="s">
        <v>8713</v>
      </c>
      <c r="B37" s="7" t="s">
        <v>5848</v>
      </c>
      <c r="C37" s="8" t="s">
        <v>5314</v>
      </c>
      <c r="D37" t="s">
        <v>24</v>
      </c>
      <c r="E37" t="s">
        <v>40</v>
      </c>
      <c r="F37" t="s">
        <v>41</v>
      </c>
      <c r="G37" t="s">
        <v>66</v>
      </c>
      <c r="H37" s="9">
        <v>44586</v>
      </c>
      <c r="I37" t="s">
        <v>43</v>
      </c>
      <c r="J37" t="s">
        <v>0</v>
      </c>
      <c r="K37" s="9">
        <v>44599</v>
      </c>
      <c r="L37" t="s">
        <v>29</v>
      </c>
      <c r="M37"/>
      <c r="N37"/>
      <c r="O37"/>
      <c r="P37"/>
      <c r="Q37" s="9">
        <v>44599</v>
      </c>
      <c r="R37"/>
      <c r="S37"/>
      <c r="T37"/>
      <c r="U37"/>
    </row>
    <row r="38" spans="1:21">
      <c r="A38" s="7" t="s">
        <v>8713</v>
      </c>
      <c r="B38" s="7" t="s">
        <v>5848</v>
      </c>
      <c r="C38" s="8" t="s">
        <v>5314</v>
      </c>
      <c r="D38" t="s">
        <v>24</v>
      </c>
      <c r="E38" t="s">
        <v>40</v>
      </c>
      <c r="F38" t="s">
        <v>41</v>
      </c>
      <c r="G38" t="s">
        <v>67</v>
      </c>
      <c r="H38" s="9">
        <v>44586</v>
      </c>
      <c r="I38" t="s">
        <v>43</v>
      </c>
      <c r="J38" t="s">
        <v>0</v>
      </c>
      <c r="K38" s="9">
        <v>44599</v>
      </c>
      <c r="L38" t="s">
        <v>29</v>
      </c>
      <c r="M38"/>
      <c r="N38"/>
      <c r="O38"/>
      <c r="P38"/>
      <c r="Q38" s="9">
        <v>44599</v>
      </c>
      <c r="R38"/>
      <c r="S38"/>
      <c r="T38"/>
      <c r="U38"/>
    </row>
    <row r="39" spans="1:21">
      <c r="A39" s="7" t="s">
        <v>8713</v>
      </c>
      <c r="B39" s="7" t="s">
        <v>5848</v>
      </c>
      <c r="C39" s="8" t="s">
        <v>5314</v>
      </c>
      <c r="D39" t="s">
        <v>24</v>
      </c>
      <c r="E39" t="s">
        <v>40</v>
      </c>
      <c r="F39" t="s">
        <v>41</v>
      </c>
      <c r="G39" t="s">
        <v>68</v>
      </c>
      <c r="H39" s="9">
        <v>44586</v>
      </c>
      <c r="I39" t="s">
        <v>43</v>
      </c>
      <c r="J39" t="s">
        <v>0</v>
      </c>
      <c r="K39" s="9">
        <v>44607</v>
      </c>
      <c r="L39" t="s">
        <v>29</v>
      </c>
      <c r="M39"/>
      <c r="N39"/>
      <c r="O39"/>
      <c r="P39"/>
      <c r="Q39" s="9">
        <v>44607</v>
      </c>
      <c r="R39"/>
      <c r="S39"/>
      <c r="T39"/>
      <c r="U39"/>
    </row>
    <row r="40" spans="1:21">
      <c r="A40" s="7" t="s">
        <v>8713</v>
      </c>
      <c r="B40" s="7" t="s">
        <v>5848</v>
      </c>
      <c r="C40" s="8" t="s">
        <v>5314</v>
      </c>
      <c r="D40" t="s">
        <v>24</v>
      </c>
      <c r="E40" t="s">
        <v>40</v>
      </c>
      <c r="F40" t="s">
        <v>41</v>
      </c>
      <c r="G40" t="s">
        <v>69</v>
      </c>
      <c r="H40" s="9">
        <v>44586</v>
      </c>
      <c r="I40" t="s">
        <v>43</v>
      </c>
      <c r="J40" t="s">
        <v>0</v>
      </c>
      <c r="K40" s="9">
        <v>44607</v>
      </c>
      <c r="L40" t="s">
        <v>29</v>
      </c>
      <c r="M40"/>
      <c r="N40"/>
      <c r="O40"/>
      <c r="P40"/>
      <c r="Q40" s="9">
        <v>44607</v>
      </c>
      <c r="R40"/>
      <c r="S40"/>
      <c r="T40"/>
      <c r="U40"/>
    </row>
    <row r="41" spans="1:21">
      <c r="A41" s="7" t="s">
        <v>8713</v>
      </c>
      <c r="B41" s="7" t="s">
        <v>5848</v>
      </c>
      <c r="C41" s="8" t="s">
        <v>5314</v>
      </c>
      <c r="D41" t="s">
        <v>24</v>
      </c>
      <c r="E41" t="s">
        <v>40</v>
      </c>
      <c r="F41" t="s">
        <v>41</v>
      </c>
      <c r="G41" t="s">
        <v>70</v>
      </c>
      <c r="H41" s="9">
        <v>44586</v>
      </c>
      <c r="I41" t="s">
        <v>43</v>
      </c>
      <c r="J41" t="s">
        <v>0</v>
      </c>
      <c r="K41" s="9">
        <v>44599</v>
      </c>
      <c r="L41" t="s">
        <v>29</v>
      </c>
      <c r="M41"/>
      <c r="N41"/>
      <c r="O41"/>
      <c r="P41"/>
      <c r="Q41" s="9">
        <v>44599</v>
      </c>
      <c r="R41"/>
      <c r="S41"/>
      <c r="T41"/>
      <c r="U41"/>
    </row>
    <row r="42" spans="1:21">
      <c r="A42" s="7" t="s">
        <v>8713</v>
      </c>
      <c r="B42" s="7" t="s">
        <v>5848</v>
      </c>
      <c r="C42" s="8" t="s">
        <v>5314</v>
      </c>
      <c r="D42" t="s">
        <v>24</v>
      </c>
      <c r="E42" t="s">
        <v>40</v>
      </c>
      <c r="F42" t="s">
        <v>41</v>
      </c>
      <c r="G42" t="s">
        <v>71</v>
      </c>
      <c r="H42" s="9">
        <v>44586</v>
      </c>
      <c r="I42" t="s">
        <v>43</v>
      </c>
      <c r="J42" t="s">
        <v>0</v>
      </c>
      <c r="K42" s="9">
        <v>44607</v>
      </c>
      <c r="L42" t="s">
        <v>29</v>
      </c>
      <c r="M42"/>
      <c r="N42"/>
      <c r="O42"/>
      <c r="P42"/>
      <c r="Q42" s="9">
        <v>44607</v>
      </c>
      <c r="R42"/>
      <c r="S42"/>
      <c r="T42"/>
      <c r="U42"/>
    </row>
    <row r="43" spans="1:21">
      <c r="A43" s="7" t="s">
        <v>8713</v>
      </c>
      <c r="B43" s="7" t="s">
        <v>5848</v>
      </c>
      <c r="C43" s="8" t="s">
        <v>5314</v>
      </c>
      <c r="D43" t="s">
        <v>24</v>
      </c>
      <c r="E43" t="s">
        <v>40</v>
      </c>
      <c r="F43" t="s">
        <v>41</v>
      </c>
      <c r="G43" t="s">
        <v>72</v>
      </c>
      <c r="H43" s="9">
        <v>44586</v>
      </c>
      <c r="I43" t="s">
        <v>43</v>
      </c>
      <c r="J43" t="s">
        <v>0</v>
      </c>
      <c r="K43" s="9">
        <v>44599</v>
      </c>
      <c r="L43" t="s">
        <v>29</v>
      </c>
      <c r="M43"/>
      <c r="N43"/>
      <c r="O43"/>
      <c r="P43"/>
      <c r="Q43" s="9">
        <v>44599</v>
      </c>
      <c r="R43"/>
      <c r="S43"/>
      <c r="T43"/>
      <c r="U43"/>
    </row>
    <row r="44" spans="1:21">
      <c r="A44" s="7" t="s">
        <v>8713</v>
      </c>
      <c r="B44" s="7" t="s">
        <v>5848</v>
      </c>
      <c r="C44" s="8" t="s">
        <v>5314</v>
      </c>
      <c r="D44" t="s">
        <v>24</v>
      </c>
      <c r="E44" t="s">
        <v>40</v>
      </c>
      <c r="F44" t="s">
        <v>41</v>
      </c>
      <c r="G44" t="s">
        <v>73</v>
      </c>
      <c r="H44" s="9">
        <v>44586</v>
      </c>
      <c r="I44" t="s">
        <v>43</v>
      </c>
      <c r="J44" t="s">
        <v>0</v>
      </c>
      <c r="K44" s="9">
        <v>44599</v>
      </c>
      <c r="L44" t="s">
        <v>29</v>
      </c>
      <c r="M44"/>
      <c r="N44"/>
      <c r="O44"/>
      <c r="P44"/>
      <c r="Q44" s="9">
        <v>44599</v>
      </c>
      <c r="R44"/>
      <c r="S44"/>
      <c r="T44"/>
      <c r="U44"/>
    </row>
    <row r="45" spans="1:21">
      <c r="A45" s="7" t="s">
        <v>8714</v>
      </c>
      <c r="B45" s="7" t="s">
        <v>6017</v>
      </c>
      <c r="C45" s="8" t="s">
        <v>5314</v>
      </c>
      <c r="D45" t="s">
        <v>24</v>
      </c>
      <c r="E45" t="s">
        <v>74</v>
      </c>
      <c r="F45" t="s">
        <v>75</v>
      </c>
      <c r="G45" t="s">
        <v>76</v>
      </c>
      <c r="H45" s="9">
        <v>44586</v>
      </c>
      <c r="I45" t="s">
        <v>77</v>
      </c>
      <c r="J45" t="s">
        <v>0</v>
      </c>
      <c r="K45" s="9">
        <v>44593</v>
      </c>
      <c r="L45" t="s">
        <v>29</v>
      </c>
      <c r="M45"/>
      <c r="N45"/>
      <c r="O45"/>
      <c r="P45"/>
      <c r="Q45" s="9">
        <v>44593</v>
      </c>
      <c r="R45"/>
      <c r="S45"/>
      <c r="T45"/>
      <c r="U45"/>
    </row>
    <row r="46" spans="1:21">
      <c r="A46" s="7" t="s">
        <v>8715</v>
      </c>
      <c r="B46" s="7" t="s">
        <v>6307</v>
      </c>
      <c r="C46" s="8" t="s">
        <v>5314</v>
      </c>
      <c r="D46" t="s">
        <v>24</v>
      </c>
      <c r="E46" t="s">
        <v>78</v>
      </c>
      <c r="F46" t="s">
        <v>79</v>
      </c>
      <c r="G46" t="s">
        <v>80</v>
      </c>
      <c r="H46" s="9">
        <v>44586</v>
      </c>
      <c r="I46" t="s">
        <v>81</v>
      </c>
      <c r="J46" t="s">
        <v>0</v>
      </c>
      <c r="K46" s="9">
        <v>44607</v>
      </c>
      <c r="L46" t="s">
        <v>29</v>
      </c>
      <c r="M46"/>
      <c r="N46"/>
      <c r="O46"/>
      <c r="P46"/>
      <c r="Q46" s="9">
        <v>44607</v>
      </c>
      <c r="R46"/>
      <c r="S46"/>
      <c r="T46"/>
      <c r="U46"/>
    </row>
    <row r="47" spans="1:21">
      <c r="A47" s="7" t="s">
        <v>8716</v>
      </c>
      <c r="B47" s="7" t="s">
        <v>6733</v>
      </c>
      <c r="C47" s="8" t="s">
        <v>5314</v>
      </c>
      <c r="D47" t="s">
        <v>24</v>
      </c>
      <c r="E47" t="s">
        <v>82</v>
      </c>
      <c r="F47" t="s">
        <v>83</v>
      </c>
      <c r="G47" t="s">
        <v>84</v>
      </c>
      <c r="H47" s="9">
        <v>44586</v>
      </c>
      <c r="I47" t="s">
        <v>85</v>
      </c>
      <c r="J47" t="s">
        <v>0</v>
      </c>
      <c r="K47" s="9">
        <v>44599</v>
      </c>
      <c r="L47" t="s">
        <v>29</v>
      </c>
      <c r="M47"/>
      <c r="N47"/>
      <c r="O47"/>
      <c r="P47"/>
      <c r="Q47" s="9">
        <v>44599</v>
      </c>
      <c r="R47"/>
      <c r="S47"/>
      <c r="T47"/>
      <c r="U47"/>
    </row>
    <row r="48" spans="1:21">
      <c r="A48" s="7" t="s">
        <v>8716</v>
      </c>
      <c r="B48" s="7" t="s">
        <v>6733</v>
      </c>
      <c r="C48" s="8" t="s">
        <v>5314</v>
      </c>
      <c r="D48" t="s">
        <v>24</v>
      </c>
      <c r="E48" t="s">
        <v>82</v>
      </c>
      <c r="F48" t="s">
        <v>83</v>
      </c>
      <c r="G48" t="s">
        <v>86</v>
      </c>
      <c r="H48" s="9">
        <v>44586</v>
      </c>
      <c r="I48" t="s">
        <v>85</v>
      </c>
      <c r="J48" t="s">
        <v>0</v>
      </c>
      <c r="K48" s="9">
        <v>44599</v>
      </c>
      <c r="L48" t="s">
        <v>29</v>
      </c>
      <c r="M48"/>
      <c r="N48"/>
      <c r="O48"/>
      <c r="P48"/>
      <c r="Q48" s="9">
        <v>44599</v>
      </c>
      <c r="R48"/>
      <c r="S48"/>
      <c r="T48"/>
      <c r="U48"/>
    </row>
    <row r="49" spans="1:21">
      <c r="A49" s="7" t="s">
        <v>8716</v>
      </c>
      <c r="B49" s="7" t="s">
        <v>6733</v>
      </c>
      <c r="C49" s="8" t="s">
        <v>5314</v>
      </c>
      <c r="D49" t="s">
        <v>24</v>
      </c>
      <c r="E49" t="s">
        <v>82</v>
      </c>
      <c r="F49" t="s">
        <v>83</v>
      </c>
      <c r="G49" t="s">
        <v>87</v>
      </c>
      <c r="H49" s="9">
        <v>44586</v>
      </c>
      <c r="I49" t="s">
        <v>85</v>
      </c>
      <c r="J49" t="s">
        <v>0</v>
      </c>
      <c r="K49" s="9">
        <v>44599</v>
      </c>
      <c r="L49" t="s">
        <v>29</v>
      </c>
      <c r="M49"/>
      <c r="N49"/>
      <c r="O49"/>
      <c r="P49"/>
      <c r="Q49" s="9">
        <v>44599</v>
      </c>
      <c r="R49"/>
      <c r="S49"/>
      <c r="T49"/>
      <c r="U49"/>
    </row>
    <row r="50" spans="1:21">
      <c r="A50" s="7" t="s">
        <v>8716</v>
      </c>
      <c r="B50" s="7" t="s">
        <v>6733</v>
      </c>
      <c r="C50" s="8" t="s">
        <v>5314</v>
      </c>
      <c r="D50" t="s">
        <v>24</v>
      </c>
      <c r="E50" t="s">
        <v>82</v>
      </c>
      <c r="F50" t="s">
        <v>83</v>
      </c>
      <c r="G50" t="s">
        <v>88</v>
      </c>
      <c r="H50" s="9">
        <v>44586</v>
      </c>
      <c r="I50" t="s">
        <v>85</v>
      </c>
      <c r="J50" t="s">
        <v>0</v>
      </c>
      <c r="K50" s="9">
        <v>44599</v>
      </c>
      <c r="L50" t="s">
        <v>29</v>
      </c>
      <c r="M50"/>
      <c r="N50"/>
      <c r="O50"/>
      <c r="P50"/>
      <c r="Q50" s="9">
        <v>44599</v>
      </c>
      <c r="R50"/>
      <c r="S50"/>
      <c r="T50"/>
      <c r="U50"/>
    </row>
    <row r="51" spans="1:21">
      <c r="A51" s="7" t="s">
        <v>8716</v>
      </c>
      <c r="B51" s="7" t="s">
        <v>6733</v>
      </c>
      <c r="C51" s="8" t="s">
        <v>5314</v>
      </c>
      <c r="D51" t="s">
        <v>24</v>
      </c>
      <c r="E51" t="s">
        <v>82</v>
      </c>
      <c r="F51" t="s">
        <v>83</v>
      </c>
      <c r="G51" t="s">
        <v>89</v>
      </c>
      <c r="H51" s="9">
        <v>44586</v>
      </c>
      <c r="I51" t="s">
        <v>85</v>
      </c>
      <c r="J51" t="s">
        <v>0</v>
      </c>
      <c r="K51" s="9">
        <v>44599</v>
      </c>
      <c r="L51" t="s">
        <v>29</v>
      </c>
      <c r="M51"/>
      <c r="N51"/>
      <c r="O51"/>
      <c r="P51"/>
      <c r="Q51" s="9">
        <v>44599</v>
      </c>
      <c r="R51"/>
      <c r="S51"/>
      <c r="T51"/>
      <c r="U51"/>
    </row>
    <row r="52" spans="1:21">
      <c r="A52" s="7" t="s">
        <v>8716</v>
      </c>
      <c r="B52" s="7" t="s">
        <v>6733</v>
      </c>
      <c r="C52" s="8" t="s">
        <v>5314</v>
      </c>
      <c r="D52" t="s">
        <v>24</v>
      </c>
      <c r="E52" t="s">
        <v>82</v>
      </c>
      <c r="F52" t="s">
        <v>83</v>
      </c>
      <c r="G52" t="s">
        <v>90</v>
      </c>
      <c r="H52" s="9">
        <v>44586</v>
      </c>
      <c r="I52" t="s">
        <v>85</v>
      </c>
      <c r="J52" t="s">
        <v>0</v>
      </c>
      <c r="K52" s="9">
        <v>44599</v>
      </c>
      <c r="L52" t="s">
        <v>29</v>
      </c>
      <c r="M52"/>
      <c r="N52"/>
      <c r="O52"/>
      <c r="P52"/>
      <c r="Q52" s="9">
        <v>44599</v>
      </c>
      <c r="R52"/>
      <c r="S52"/>
      <c r="T52"/>
      <c r="U52"/>
    </row>
    <row r="53" spans="1:21">
      <c r="A53" s="7" t="s">
        <v>8716</v>
      </c>
      <c r="B53" s="7" t="s">
        <v>6733</v>
      </c>
      <c r="C53" s="8" t="s">
        <v>5314</v>
      </c>
      <c r="D53" t="s">
        <v>24</v>
      </c>
      <c r="E53" t="s">
        <v>82</v>
      </c>
      <c r="F53" t="s">
        <v>83</v>
      </c>
      <c r="G53" t="s">
        <v>91</v>
      </c>
      <c r="H53" s="9">
        <v>44586</v>
      </c>
      <c r="I53" t="s">
        <v>85</v>
      </c>
      <c r="J53" t="s">
        <v>0</v>
      </c>
      <c r="K53" s="9">
        <v>44599</v>
      </c>
      <c r="L53" t="s">
        <v>29</v>
      </c>
      <c r="M53"/>
      <c r="N53"/>
      <c r="O53"/>
      <c r="P53"/>
      <c r="Q53" s="9">
        <v>44599</v>
      </c>
      <c r="R53"/>
      <c r="S53"/>
      <c r="T53"/>
      <c r="U53"/>
    </row>
    <row r="54" spans="1:21" hidden="1">
      <c r="A54" s="7" t="s">
        <v>8715</v>
      </c>
      <c r="B54" s="7" t="s">
        <v>6307</v>
      </c>
      <c r="C54" s="8" t="s">
        <v>8717</v>
      </c>
      <c r="D54" t="s">
        <v>24</v>
      </c>
      <c r="E54" t="s">
        <v>78</v>
      </c>
      <c r="F54" t="s">
        <v>79</v>
      </c>
      <c r="G54" t="s">
        <v>92</v>
      </c>
      <c r="H54"/>
      <c r="I54"/>
      <c r="J54" t="s">
        <v>0</v>
      </c>
      <c r="K54" s="9">
        <v>44607</v>
      </c>
      <c r="L54"/>
      <c r="M54"/>
      <c r="N54"/>
      <c r="O54"/>
      <c r="P54"/>
      <c r="Q54" s="9">
        <v>44607</v>
      </c>
      <c r="R54"/>
      <c r="S54"/>
      <c r="T54"/>
      <c r="U54"/>
    </row>
    <row r="55" spans="1:21" hidden="1">
      <c r="A55" s="7" t="s">
        <v>8715</v>
      </c>
      <c r="B55" s="7" t="s">
        <v>6307</v>
      </c>
      <c r="C55" s="8" t="s">
        <v>8717</v>
      </c>
      <c r="D55" t="s">
        <v>24</v>
      </c>
      <c r="E55" t="s">
        <v>78</v>
      </c>
      <c r="F55" t="s">
        <v>79</v>
      </c>
      <c r="G55" t="s">
        <v>93</v>
      </c>
      <c r="H55"/>
      <c r="I55"/>
      <c r="J55" t="s">
        <v>0</v>
      </c>
      <c r="K55" s="9">
        <v>44607</v>
      </c>
      <c r="L55"/>
      <c r="M55"/>
      <c r="N55"/>
      <c r="O55"/>
      <c r="P55"/>
      <c r="Q55" s="9">
        <v>44607</v>
      </c>
      <c r="R55"/>
      <c r="S55"/>
      <c r="T55"/>
      <c r="U55"/>
    </row>
    <row r="56" spans="1:21" hidden="1">
      <c r="A56" s="7" t="s">
        <v>8715</v>
      </c>
      <c r="B56" s="7" t="s">
        <v>6307</v>
      </c>
      <c r="C56" s="8" t="s">
        <v>8717</v>
      </c>
      <c r="D56" t="s">
        <v>24</v>
      </c>
      <c r="E56" t="s">
        <v>78</v>
      </c>
      <c r="F56" t="s">
        <v>79</v>
      </c>
      <c r="G56" t="s">
        <v>94</v>
      </c>
      <c r="H56"/>
      <c r="I56"/>
      <c r="J56" t="s">
        <v>0</v>
      </c>
      <c r="K56" s="9">
        <v>44607</v>
      </c>
      <c r="L56"/>
      <c r="M56"/>
      <c r="N56"/>
      <c r="O56"/>
      <c r="P56"/>
      <c r="Q56" s="9">
        <v>44607</v>
      </c>
      <c r="R56"/>
      <c r="S56"/>
      <c r="T56"/>
      <c r="U56"/>
    </row>
    <row r="57" spans="1:21" hidden="1">
      <c r="A57" s="7" t="s">
        <v>8715</v>
      </c>
      <c r="B57" s="7" t="s">
        <v>6307</v>
      </c>
      <c r="C57" s="8" t="s">
        <v>8717</v>
      </c>
      <c r="D57" t="s">
        <v>24</v>
      </c>
      <c r="E57" t="s">
        <v>78</v>
      </c>
      <c r="F57" t="s">
        <v>79</v>
      </c>
      <c r="G57" t="s">
        <v>95</v>
      </c>
      <c r="H57"/>
      <c r="I57"/>
      <c r="J57" t="s">
        <v>0</v>
      </c>
      <c r="K57" s="9">
        <v>44607</v>
      </c>
      <c r="L57"/>
      <c r="M57"/>
      <c r="N57"/>
      <c r="O57"/>
      <c r="P57"/>
      <c r="Q57" s="9">
        <v>44607</v>
      </c>
      <c r="R57"/>
      <c r="S57"/>
      <c r="T57"/>
      <c r="U57"/>
    </row>
    <row r="58" spans="1:21" hidden="1">
      <c r="A58" s="7" t="s">
        <v>8718</v>
      </c>
      <c r="B58" s="7" t="s">
        <v>6644</v>
      </c>
      <c r="C58" s="8" t="s">
        <v>5315</v>
      </c>
      <c r="D58" t="s">
        <v>24</v>
      </c>
      <c r="E58" t="s">
        <v>96</v>
      </c>
      <c r="F58" t="s">
        <v>97</v>
      </c>
      <c r="G58" t="s">
        <v>98</v>
      </c>
      <c r="H58" s="9">
        <v>44608</v>
      </c>
      <c r="I58" t="s">
        <v>99</v>
      </c>
      <c r="J58" t="s">
        <v>0</v>
      </c>
      <c r="K58" s="9">
        <v>44622</v>
      </c>
      <c r="L58" t="s">
        <v>29</v>
      </c>
      <c r="M58"/>
      <c r="N58" s="9">
        <v>44614</v>
      </c>
      <c r="O58"/>
      <c r="P58"/>
      <c r="Q58" s="9">
        <v>44622</v>
      </c>
      <c r="R58"/>
      <c r="S58"/>
      <c r="T58"/>
      <c r="U58"/>
    </row>
    <row r="59" spans="1:21" hidden="1">
      <c r="A59" s="7" t="s">
        <v>8718</v>
      </c>
      <c r="B59" s="7" t="s">
        <v>6644</v>
      </c>
      <c r="C59" s="8" t="s">
        <v>5315</v>
      </c>
      <c r="D59" t="s">
        <v>24</v>
      </c>
      <c r="E59" t="s">
        <v>96</v>
      </c>
      <c r="F59" t="s">
        <v>97</v>
      </c>
      <c r="G59" t="s">
        <v>100</v>
      </c>
      <c r="H59" s="9">
        <v>44608</v>
      </c>
      <c r="I59" t="s">
        <v>99</v>
      </c>
      <c r="J59" t="s">
        <v>0</v>
      </c>
      <c r="K59" s="9">
        <v>44622</v>
      </c>
      <c r="L59" t="s">
        <v>29</v>
      </c>
      <c r="M59"/>
      <c r="N59" s="9">
        <v>44614</v>
      </c>
      <c r="O59"/>
      <c r="P59"/>
      <c r="Q59" s="9">
        <v>44622</v>
      </c>
      <c r="R59"/>
      <c r="S59"/>
      <c r="T59"/>
      <c r="U59"/>
    </row>
    <row r="60" spans="1:21" hidden="1">
      <c r="A60" s="7" t="s">
        <v>8718</v>
      </c>
      <c r="B60" s="7" t="s">
        <v>6644</v>
      </c>
      <c r="C60" s="8" t="s">
        <v>5315</v>
      </c>
      <c r="D60" t="s">
        <v>24</v>
      </c>
      <c r="E60" t="s">
        <v>96</v>
      </c>
      <c r="F60" t="s">
        <v>97</v>
      </c>
      <c r="G60" t="s">
        <v>101</v>
      </c>
      <c r="H60" s="9">
        <v>44608</v>
      </c>
      <c r="I60" t="s">
        <v>99</v>
      </c>
      <c r="J60" t="s">
        <v>0</v>
      </c>
      <c r="K60" s="9">
        <v>44622</v>
      </c>
      <c r="L60" t="s">
        <v>29</v>
      </c>
      <c r="M60"/>
      <c r="N60" s="9">
        <v>44614</v>
      </c>
      <c r="O60"/>
      <c r="P60"/>
      <c r="Q60" s="9">
        <v>44622</v>
      </c>
      <c r="R60"/>
      <c r="S60"/>
      <c r="T60"/>
      <c r="U60"/>
    </row>
    <row r="61" spans="1:21" hidden="1">
      <c r="A61" s="7" t="s">
        <v>8718</v>
      </c>
      <c r="B61" s="7" t="s">
        <v>6644</v>
      </c>
      <c r="C61" s="8" t="s">
        <v>5315</v>
      </c>
      <c r="D61" t="s">
        <v>24</v>
      </c>
      <c r="E61" t="s">
        <v>96</v>
      </c>
      <c r="F61" t="s">
        <v>97</v>
      </c>
      <c r="G61" t="s">
        <v>102</v>
      </c>
      <c r="H61" s="9">
        <v>44608</v>
      </c>
      <c r="I61" t="s">
        <v>99</v>
      </c>
      <c r="J61" t="s">
        <v>0</v>
      </c>
      <c r="K61" s="9">
        <v>44622</v>
      </c>
      <c r="L61" t="s">
        <v>29</v>
      </c>
      <c r="M61"/>
      <c r="N61" s="9">
        <v>44614</v>
      </c>
      <c r="O61"/>
      <c r="P61"/>
      <c r="Q61" s="9">
        <v>44622</v>
      </c>
      <c r="R61"/>
      <c r="S61"/>
      <c r="T61"/>
      <c r="U61"/>
    </row>
    <row r="62" spans="1:21" hidden="1">
      <c r="A62" s="7" t="s">
        <v>8719</v>
      </c>
      <c r="B62" s="7" t="s">
        <v>6307</v>
      </c>
      <c r="C62" s="8" t="s">
        <v>5315</v>
      </c>
      <c r="D62" t="s">
        <v>24</v>
      </c>
      <c r="E62" t="s">
        <v>78</v>
      </c>
      <c r="F62" t="s">
        <v>103</v>
      </c>
      <c r="G62" t="s">
        <v>104</v>
      </c>
      <c r="H62" s="9">
        <v>44608</v>
      </c>
      <c r="I62" t="s">
        <v>105</v>
      </c>
      <c r="J62" t="s">
        <v>0</v>
      </c>
      <c r="K62" s="9">
        <v>44614</v>
      </c>
      <c r="L62" t="s">
        <v>29</v>
      </c>
      <c r="M62"/>
      <c r="N62"/>
      <c r="O62"/>
      <c r="P62"/>
      <c r="Q62" s="9">
        <v>44614</v>
      </c>
      <c r="R62"/>
      <c r="S62"/>
      <c r="T62"/>
      <c r="U62"/>
    </row>
    <row r="63" spans="1:21" hidden="1">
      <c r="A63" s="7" t="s">
        <v>8719</v>
      </c>
      <c r="B63" s="7" t="s">
        <v>6307</v>
      </c>
      <c r="C63" s="8" t="s">
        <v>5315</v>
      </c>
      <c r="D63" t="s">
        <v>24</v>
      </c>
      <c r="E63" t="s">
        <v>78</v>
      </c>
      <c r="F63" t="s">
        <v>103</v>
      </c>
      <c r="G63" t="s">
        <v>106</v>
      </c>
      <c r="H63" s="9">
        <v>44608</v>
      </c>
      <c r="I63" t="s">
        <v>105</v>
      </c>
      <c r="J63" t="s">
        <v>0</v>
      </c>
      <c r="K63" s="9">
        <v>44614</v>
      </c>
      <c r="L63" t="s">
        <v>29</v>
      </c>
      <c r="M63"/>
      <c r="N63"/>
      <c r="O63"/>
      <c r="P63"/>
      <c r="Q63" s="9">
        <v>44614</v>
      </c>
      <c r="R63"/>
      <c r="S63"/>
      <c r="T63"/>
      <c r="U63"/>
    </row>
    <row r="64" spans="1:21" hidden="1">
      <c r="A64" s="7" t="s">
        <v>8720</v>
      </c>
      <c r="B64" s="7" t="s">
        <v>8349</v>
      </c>
      <c r="C64" s="8" t="s">
        <v>5315</v>
      </c>
      <c r="D64" t="s">
        <v>24</v>
      </c>
      <c r="E64" t="s">
        <v>107</v>
      </c>
      <c r="F64" t="s">
        <v>83</v>
      </c>
      <c r="G64" t="s">
        <v>108</v>
      </c>
      <c r="H64" s="9">
        <v>44608</v>
      </c>
      <c r="I64" t="s">
        <v>109</v>
      </c>
      <c r="J64" t="s">
        <v>0</v>
      </c>
      <c r="K64" s="9">
        <v>44616</v>
      </c>
      <c r="L64" t="s">
        <v>29</v>
      </c>
      <c r="M64"/>
      <c r="N64" s="9">
        <v>44614</v>
      </c>
      <c r="O64"/>
      <c r="P64"/>
      <c r="Q64" s="9">
        <v>44616</v>
      </c>
      <c r="R64"/>
      <c r="S64"/>
      <c r="T64"/>
      <c r="U64"/>
    </row>
    <row r="65" spans="1:21" hidden="1">
      <c r="A65" s="7" t="s">
        <v>8721</v>
      </c>
      <c r="B65" s="7" t="s">
        <v>6307</v>
      </c>
      <c r="C65" s="8" t="s">
        <v>5315</v>
      </c>
      <c r="D65" t="s">
        <v>24</v>
      </c>
      <c r="E65" t="s">
        <v>78</v>
      </c>
      <c r="F65" t="s">
        <v>75</v>
      </c>
      <c r="G65" t="s">
        <v>110</v>
      </c>
      <c r="H65" s="9">
        <v>44608</v>
      </c>
      <c r="I65" t="s">
        <v>105</v>
      </c>
      <c r="J65" t="s">
        <v>0</v>
      </c>
      <c r="K65" s="9">
        <v>44614</v>
      </c>
      <c r="L65" t="s">
        <v>29</v>
      </c>
      <c r="M65"/>
      <c r="N65"/>
      <c r="O65"/>
      <c r="P65"/>
      <c r="Q65" s="9">
        <v>44614</v>
      </c>
      <c r="R65"/>
      <c r="S65"/>
      <c r="T65"/>
      <c r="U65"/>
    </row>
    <row r="66" spans="1:21" hidden="1">
      <c r="A66" s="7" t="s">
        <v>8722</v>
      </c>
      <c r="B66" s="7" t="s">
        <v>6644</v>
      </c>
      <c r="C66" s="8" t="s">
        <v>5315</v>
      </c>
      <c r="D66" t="s">
        <v>24</v>
      </c>
      <c r="E66" t="s">
        <v>96</v>
      </c>
      <c r="F66" t="s">
        <v>111</v>
      </c>
      <c r="G66" t="s">
        <v>112</v>
      </c>
      <c r="H66" s="9">
        <v>44608</v>
      </c>
      <c r="I66" t="s">
        <v>99</v>
      </c>
      <c r="J66" t="s">
        <v>0</v>
      </c>
      <c r="K66" s="9">
        <v>44622</v>
      </c>
      <c r="L66" t="s">
        <v>29</v>
      </c>
      <c r="M66"/>
      <c r="N66" s="9">
        <v>44614</v>
      </c>
      <c r="O66"/>
      <c r="P66"/>
      <c r="Q66" s="9">
        <v>44622</v>
      </c>
      <c r="R66"/>
      <c r="S66"/>
      <c r="T66"/>
      <c r="U66"/>
    </row>
    <row r="67" spans="1:21" hidden="1">
      <c r="A67" s="7" t="s">
        <v>8722</v>
      </c>
      <c r="B67" s="7" t="s">
        <v>6644</v>
      </c>
      <c r="C67" s="8" t="s">
        <v>5315</v>
      </c>
      <c r="D67" t="s">
        <v>24</v>
      </c>
      <c r="E67" t="s">
        <v>96</v>
      </c>
      <c r="F67" t="s">
        <v>111</v>
      </c>
      <c r="G67" t="s">
        <v>113</v>
      </c>
      <c r="H67" s="9">
        <v>44608</v>
      </c>
      <c r="I67" t="s">
        <v>99</v>
      </c>
      <c r="J67" t="s">
        <v>0</v>
      </c>
      <c r="K67" s="9">
        <v>44622</v>
      </c>
      <c r="L67" t="s">
        <v>29</v>
      </c>
      <c r="M67"/>
      <c r="N67" s="9">
        <v>44614</v>
      </c>
      <c r="O67"/>
      <c r="P67"/>
      <c r="Q67" s="9">
        <v>44622</v>
      </c>
      <c r="R67"/>
      <c r="S67"/>
      <c r="T67"/>
      <c r="U67"/>
    </row>
    <row r="68" spans="1:21" hidden="1">
      <c r="A68" s="7" t="s">
        <v>8722</v>
      </c>
      <c r="B68" s="7" t="s">
        <v>6644</v>
      </c>
      <c r="C68" s="8" t="s">
        <v>5315</v>
      </c>
      <c r="D68" t="s">
        <v>24</v>
      </c>
      <c r="E68" t="s">
        <v>96</v>
      </c>
      <c r="F68" t="s">
        <v>111</v>
      </c>
      <c r="G68" t="s">
        <v>114</v>
      </c>
      <c r="H68" s="9">
        <v>44608</v>
      </c>
      <c r="I68" t="s">
        <v>99</v>
      </c>
      <c r="J68" t="s">
        <v>0</v>
      </c>
      <c r="K68" s="9">
        <v>44622</v>
      </c>
      <c r="L68" t="s">
        <v>29</v>
      </c>
      <c r="M68"/>
      <c r="N68" s="9">
        <v>44614</v>
      </c>
      <c r="O68"/>
      <c r="P68"/>
      <c r="Q68" s="9">
        <v>44622</v>
      </c>
      <c r="R68"/>
      <c r="S68"/>
      <c r="T68"/>
      <c r="U68"/>
    </row>
    <row r="69" spans="1:21" hidden="1">
      <c r="A69" s="7" t="s">
        <v>8722</v>
      </c>
      <c r="B69" s="7" t="s">
        <v>6644</v>
      </c>
      <c r="C69" s="8" t="s">
        <v>5315</v>
      </c>
      <c r="D69" t="s">
        <v>24</v>
      </c>
      <c r="E69" t="s">
        <v>96</v>
      </c>
      <c r="F69" t="s">
        <v>111</v>
      </c>
      <c r="G69" t="s">
        <v>115</v>
      </c>
      <c r="H69" s="9">
        <v>44608</v>
      </c>
      <c r="I69" t="s">
        <v>99</v>
      </c>
      <c r="J69" t="s">
        <v>0</v>
      </c>
      <c r="K69" s="9">
        <v>44622</v>
      </c>
      <c r="L69" t="s">
        <v>29</v>
      </c>
      <c r="M69"/>
      <c r="N69" s="9">
        <v>44614</v>
      </c>
      <c r="O69"/>
      <c r="P69"/>
      <c r="Q69" s="9">
        <v>44622</v>
      </c>
      <c r="R69"/>
      <c r="S69"/>
      <c r="T69"/>
      <c r="U69"/>
    </row>
    <row r="70" spans="1:21" hidden="1">
      <c r="A70" s="7" t="s">
        <v>8723</v>
      </c>
      <c r="B70" s="7" t="s">
        <v>6719</v>
      </c>
      <c r="C70" s="8" t="s">
        <v>5315</v>
      </c>
      <c r="D70" t="s">
        <v>24</v>
      </c>
      <c r="E70" t="s">
        <v>116</v>
      </c>
      <c r="F70" t="s">
        <v>117</v>
      </c>
      <c r="G70" t="s">
        <v>118</v>
      </c>
      <c r="H70" s="9">
        <v>44608</v>
      </c>
      <c r="I70" t="s">
        <v>43</v>
      </c>
      <c r="J70" t="s">
        <v>0</v>
      </c>
      <c r="K70" s="9">
        <v>44690</v>
      </c>
      <c r="L70" t="s">
        <v>29</v>
      </c>
      <c r="M70"/>
      <c r="N70" s="9">
        <v>44614</v>
      </c>
      <c r="O70" s="9">
        <v>44686</v>
      </c>
      <c r="P70"/>
      <c r="Q70" s="9">
        <v>44690</v>
      </c>
      <c r="R70"/>
      <c r="S70"/>
      <c r="T70"/>
      <c r="U70"/>
    </row>
    <row r="71" spans="1:21" hidden="1">
      <c r="A71" s="7" t="s">
        <v>8723</v>
      </c>
      <c r="B71" s="7" t="s">
        <v>6719</v>
      </c>
      <c r="C71" s="8" t="s">
        <v>5315</v>
      </c>
      <c r="D71" t="s">
        <v>24</v>
      </c>
      <c r="E71" t="s">
        <v>116</v>
      </c>
      <c r="F71" t="s">
        <v>117</v>
      </c>
      <c r="G71" t="s">
        <v>119</v>
      </c>
      <c r="H71" s="9">
        <v>44608</v>
      </c>
      <c r="I71" t="s">
        <v>43</v>
      </c>
      <c r="J71" t="s">
        <v>0</v>
      </c>
      <c r="K71" s="9">
        <v>44690</v>
      </c>
      <c r="L71" t="s">
        <v>29</v>
      </c>
      <c r="M71"/>
      <c r="N71" s="9">
        <v>44614</v>
      </c>
      <c r="O71" s="9">
        <v>44686</v>
      </c>
      <c r="P71"/>
      <c r="Q71" s="9">
        <v>44690</v>
      </c>
      <c r="R71"/>
      <c r="S71"/>
      <c r="T71"/>
      <c r="U71"/>
    </row>
    <row r="72" spans="1:21" hidden="1">
      <c r="A72" s="7" t="s">
        <v>8714</v>
      </c>
      <c r="B72" s="7" t="s">
        <v>6017</v>
      </c>
      <c r="C72" s="8" t="s">
        <v>5315</v>
      </c>
      <c r="D72" t="s">
        <v>24</v>
      </c>
      <c r="E72" t="s">
        <v>74</v>
      </c>
      <c r="F72" t="s">
        <v>75</v>
      </c>
      <c r="G72" t="s">
        <v>120</v>
      </c>
      <c r="H72" s="9">
        <v>44608</v>
      </c>
      <c r="I72" t="s">
        <v>77</v>
      </c>
      <c r="J72" t="s">
        <v>0</v>
      </c>
      <c r="K72" s="9">
        <v>44672</v>
      </c>
      <c r="L72" t="s">
        <v>29</v>
      </c>
      <c r="M72"/>
      <c r="N72" s="9">
        <v>44614</v>
      </c>
      <c r="O72"/>
      <c r="P72"/>
      <c r="Q72" s="9">
        <v>44672</v>
      </c>
      <c r="R72" s="9">
        <v>44649.413356481498</v>
      </c>
      <c r="S72"/>
      <c r="T72"/>
      <c r="U72"/>
    </row>
    <row r="73" spans="1:21" hidden="1">
      <c r="A73" s="7" t="s">
        <v>8716</v>
      </c>
      <c r="B73" s="7" t="s">
        <v>6733</v>
      </c>
      <c r="C73" s="8" t="s">
        <v>5315</v>
      </c>
      <c r="D73" t="s">
        <v>24</v>
      </c>
      <c r="E73" t="s">
        <v>82</v>
      </c>
      <c r="F73" t="s">
        <v>83</v>
      </c>
      <c r="G73" t="s">
        <v>121</v>
      </c>
      <c r="H73" s="9">
        <v>44608</v>
      </c>
      <c r="I73" t="s">
        <v>85</v>
      </c>
      <c r="J73" t="s">
        <v>0</v>
      </c>
      <c r="K73" s="9">
        <v>44628</v>
      </c>
      <c r="L73" t="s">
        <v>29</v>
      </c>
      <c r="M73"/>
      <c r="N73" s="9">
        <v>44614</v>
      </c>
      <c r="O73"/>
      <c r="P73"/>
      <c r="Q73" s="9">
        <v>44628</v>
      </c>
      <c r="R73" s="9">
        <v>44622.576469907399</v>
      </c>
      <c r="S73"/>
      <c r="T73"/>
      <c r="U73"/>
    </row>
    <row r="74" spans="1:21" hidden="1">
      <c r="A74" s="7" t="s">
        <v>8716</v>
      </c>
      <c r="B74" s="7" t="s">
        <v>6733</v>
      </c>
      <c r="C74" s="8" t="s">
        <v>5315</v>
      </c>
      <c r="D74" t="s">
        <v>24</v>
      </c>
      <c r="E74" t="s">
        <v>82</v>
      </c>
      <c r="F74" t="s">
        <v>83</v>
      </c>
      <c r="G74" t="s">
        <v>122</v>
      </c>
      <c r="H74" s="9">
        <v>44608</v>
      </c>
      <c r="I74" t="s">
        <v>85</v>
      </c>
      <c r="J74" t="s">
        <v>0</v>
      </c>
      <c r="K74" s="9">
        <v>44628</v>
      </c>
      <c r="L74" t="s">
        <v>29</v>
      </c>
      <c r="M74"/>
      <c r="N74" s="9">
        <v>44614</v>
      </c>
      <c r="O74"/>
      <c r="P74"/>
      <c r="Q74" s="9">
        <v>44628</v>
      </c>
      <c r="R74" s="9">
        <v>44622.576469907399</v>
      </c>
      <c r="S74"/>
      <c r="T74"/>
      <c r="U74"/>
    </row>
    <row r="75" spans="1:21" hidden="1">
      <c r="A75" s="7" t="s">
        <v>8716</v>
      </c>
      <c r="B75" s="7" t="s">
        <v>6733</v>
      </c>
      <c r="C75" s="8" t="s">
        <v>5315</v>
      </c>
      <c r="D75" t="s">
        <v>24</v>
      </c>
      <c r="E75" t="s">
        <v>82</v>
      </c>
      <c r="F75" t="s">
        <v>83</v>
      </c>
      <c r="G75" t="s">
        <v>123</v>
      </c>
      <c r="H75" s="9">
        <v>44608</v>
      </c>
      <c r="I75" t="s">
        <v>85</v>
      </c>
      <c r="J75" t="s">
        <v>0</v>
      </c>
      <c r="K75" s="9">
        <v>44628</v>
      </c>
      <c r="L75" t="s">
        <v>29</v>
      </c>
      <c r="M75"/>
      <c r="N75" s="9">
        <v>44614</v>
      </c>
      <c r="O75"/>
      <c r="P75"/>
      <c r="Q75" s="9">
        <v>44628</v>
      </c>
      <c r="R75" s="9">
        <v>44622.576469907399</v>
      </c>
      <c r="S75"/>
      <c r="T75"/>
      <c r="U75"/>
    </row>
    <row r="76" spans="1:21" hidden="1">
      <c r="A76" s="7" t="s">
        <v>8716</v>
      </c>
      <c r="B76" s="7" t="s">
        <v>6733</v>
      </c>
      <c r="C76" s="8" t="s">
        <v>5315</v>
      </c>
      <c r="D76" t="s">
        <v>24</v>
      </c>
      <c r="E76" t="s">
        <v>82</v>
      </c>
      <c r="F76" t="s">
        <v>83</v>
      </c>
      <c r="G76" t="s">
        <v>124</v>
      </c>
      <c r="H76" s="9">
        <v>44608</v>
      </c>
      <c r="I76" t="s">
        <v>85</v>
      </c>
      <c r="J76" t="s">
        <v>0</v>
      </c>
      <c r="K76" s="9">
        <v>44628</v>
      </c>
      <c r="L76" t="s">
        <v>29</v>
      </c>
      <c r="M76"/>
      <c r="N76" s="9">
        <v>44614</v>
      </c>
      <c r="O76"/>
      <c r="P76"/>
      <c r="Q76" s="9">
        <v>44628</v>
      </c>
      <c r="R76" s="9">
        <v>44622.576469907399</v>
      </c>
      <c r="S76"/>
      <c r="T76"/>
      <c r="U76"/>
    </row>
    <row r="77" spans="1:21" hidden="1">
      <c r="A77" s="7" t="s">
        <v>8716</v>
      </c>
      <c r="B77" s="7" t="s">
        <v>6733</v>
      </c>
      <c r="C77" s="8" t="s">
        <v>5315</v>
      </c>
      <c r="D77" t="s">
        <v>24</v>
      </c>
      <c r="E77" t="s">
        <v>82</v>
      </c>
      <c r="F77" t="s">
        <v>83</v>
      </c>
      <c r="G77" t="s">
        <v>125</v>
      </c>
      <c r="H77" s="9">
        <v>44608</v>
      </c>
      <c r="I77" t="s">
        <v>85</v>
      </c>
      <c r="J77" t="s">
        <v>0</v>
      </c>
      <c r="K77" s="9">
        <v>44628</v>
      </c>
      <c r="L77" t="s">
        <v>29</v>
      </c>
      <c r="M77"/>
      <c r="N77" s="9">
        <v>44614</v>
      </c>
      <c r="O77"/>
      <c r="P77"/>
      <c r="Q77" s="9">
        <v>44628</v>
      </c>
      <c r="R77" s="9">
        <v>44622.576469907399</v>
      </c>
      <c r="S77"/>
      <c r="T77"/>
      <c r="U77"/>
    </row>
    <row r="78" spans="1:21" hidden="1">
      <c r="A78" s="7" t="s">
        <v>8716</v>
      </c>
      <c r="B78" s="7" t="s">
        <v>6733</v>
      </c>
      <c r="C78" s="8" t="s">
        <v>5315</v>
      </c>
      <c r="D78" t="s">
        <v>24</v>
      </c>
      <c r="E78" t="s">
        <v>82</v>
      </c>
      <c r="F78" t="s">
        <v>83</v>
      </c>
      <c r="G78" t="s">
        <v>126</v>
      </c>
      <c r="H78" s="9">
        <v>44608</v>
      </c>
      <c r="I78" t="s">
        <v>85</v>
      </c>
      <c r="J78" t="s">
        <v>0</v>
      </c>
      <c r="K78" s="9">
        <v>44628</v>
      </c>
      <c r="L78" t="s">
        <v>29</v>
      </c>
      <c r="M78"/>
      <c r="N78" s="9">
        <v>44614</v>
      </c>
      <c r="O78"/>
      <c r="P78"/>
      <c r="Q78" s="9">
        <v>44628</v>
      </c>
      <c r="R78" s="9">
        <v>44622.576469907399</v>
      </c>
      <c r="S78"/>
      <c r="T78"/>
      <c r="U78"/>
    </row>
    <row r="79" spans="1:21" hidden="1">
      <c r="A79" s="7" t="s">
        <v>8716</v>
      </c>
      <c r="B79" s="7" t="s">
        <v>6733</v>
      </c>
      <c r="C79" s="8" t="s">
        <v>5315</v>
      </c>
      <c r="D79" t="s">
        <v>24</v>
      </c>
      <c r="E79" t="s">
        <v>82</v>
      </c>
      <c r="F79" t="s">
        <v>83</v>
      </c>
      <c r="G79" t="s">
        <v>127</v>
      </c>
      <c r="H79" s="9">
        <v>44608</v>
      </c>
      <c r="I79" t="s">
        <v>85</v>
      </c>
      <c r="J79" t="s">
        <v>0</v>
      </c>
      <c r="K79" s="9">
        <v>44628</v>
      </c>
      <c r="L79" t="s">
        <v>29</v>
      </c>
      <c r="M79"/>
      <c r="N79" s="9">
        <v>44614</v>
      </c>
      <c r="O79"/>
      <c r="P79"/>
      <c r="Q79" s="9">
        <v>44628</v>
      </c>
      <c r="R79" s="9">
        <v>44622.576469907399</v>
      </c>
      <c r="S79"/>
      <c r="T79"/>
      <c r="U79"/>
    </row>
    <row r="80" spans="1:21" hidden="1">
      <c r="A80" s="7" t="s">
        <v>8716</v>
      </c>
      <c r="B80" s="7" t="s">
        <v>6733</v>
      </c>
      <c r="C80" s="8" t="s">
        <v>5315</v>
      </c>
      <c r="D80" t="s">
        <v>24</v>
      </c>
      <c r="E80" t="s">
        <v>82</v>
      </c>
      <c r="F80" t="s">
        <v>83</v>
      </c>
      <c r="G80" t="s">
        <v>128</v>
      </c>
      <c r="H80" s="9">
        <v>44608</v>
      </c>
      <c r="I80" t="s">
        <v>85</v>
      </c>
      <c r="J80" t="s">
        <v>0</v>
      </c>
      <c r="K80" s="9">
        <v>44628</v>
      </c>
      <c r="L80" t="s">
        <v>29</v>
      </c>
      <c r="M80"/>
      <c r="N80" s="9">
        <v>44614</v>
      </c>
      <c r="O80"/>
      <c r="P80"/>
      <c r="Q80" s="9">
        <v>44628</v>
      </c>
      <c r="R80" s="9">
        <v>44622.576469907399</v>
      </c>
      <c r="S80"/>
      <c r="T80"/>
      <c r="U80"/>
    </row>
    <row r="81" spans="1:21" hidden="1">
      <c r="A81" s="7" t="s">
        <v>8716</v>
      </c>
      <c r="B81" s="7" t="s">
        <v>6733</v>
      </c>
      <c r="C81" s="8" t="s">
        <v>5315</v>
      </c>
      <c r="D81" t="s">
        <v>24</v>
      </c>
      <c r="E81" t="s">
        <v>82</v>
      </c>
      <c r="F81" t="s">
        <v>83</v>
      </c>
      <c r="G81" t="s">
        <v>129</v>
      </c>
      <c r="H81" s="9">
        <v>44608</v>
      </c>
      <c r="I81" t="s">
        <v>85</v>
      </c>
      <c r="J81" t="s">
        <v>0</v>
      </c>
      <c r="K81" s="9">
        <v>44628</v>
      </c>
      <c r="L81" t="s">
        <v>29</v>
      </c>
      <c r="M81"/>
      <c r="N81" s="9">
        <v>44614</v>
      </c>
      <c r="O81"/>
      <c r="P81"/>
      <c r="Q81" s="9">
        <v>44628</v>
      </c>
      <c r="R81" s="9">
        <v>44622.576469907399</v>
      </c>
      <c r="S81"/>
      <c r="T81"/>
      <c r="U81"/>
    </row>
    <row r="82" spans="1:21" hidden="1">
      <c r="A82" s="7" t="s">
        <v>8716</v>
      </c>
      <c r="B82" s="7" t="s">
        <v>6733</v>
      </c>
      <c r="C82" s="8" t="s">
        <v>5315</v>
      </c>
      <c r="D82" t="s">
        <v>24</v>
      </c>
      <c r="E82" t="s">
        <v>82</v>
      </c>
      <c r="F82" t="s">
        <v>83</v>
      </c>
      <c r="G82" t="s">
        <v>130</v>
      </c>
      <c r="H82" s="9">
        <v>44608</v>
      </c>
      <c r="I82" t="s">
        <v>85</v>
      </c>
      <c r="J82" t="s">
        <v>0</v>
      </c>
      <c r="K82" s="9">
        <v>44628</v>
      </c>
      <c r="L82" t="s">
        <v>29</v>
      </c>
      <c r="M82"/>
      <c r="N82" s="9">
        <v>44614</v>
      </c>
      <c r="O82"/>
      <c r="P82"/>
      <c r="Q82" s="9">
        <v>44628</v>
      </c>
      <c r="R82" s="9">
        <v>44622.576469907399</v>
      </c>
      <c r="S82"/>
      <c r="T82"/>
      <c r="U82"/>
    </row>
    <row r="83" spans="1:21" hidden="1">
      <c r="A83" s="7" t="s">
        <v>8716</v>
      </c>
      <c r="B83" s="7" t="s">
        <v>6733</v>
      </c>
      <c r="C83" s="8" t="s">
        <v>5315</v>
      </c>
      <c r="D83" t="s">
        <v>24</v>
      </c>
      <c r="E83" t="s">
        <v>82</v>
      </c>
      <c r="F83" t="s">
        <v>83</v>
      </c>
      <c r="G83" t="s">
        <v>131</v>
      </c>
      <c r="H83" s="9">
        <v>44608</v>
      </c>
      <c r="I83" t="s">
        <v>85</v>
      </c>
      <c r="J83" t="s">
        <v>0</v>
      </c>
      <c r="K83" s="9">
        <v>44628</v>
      </c>
      <c r="L83" t="s">
        <v>29</v>
      </c>
      <c r="M83"/>
      <c r="N83" s="9">
        <v>44614</v>
      </c>
      <c r="O83"/>
      <c r="P83"/>
      <c r="Q83" s="9">
        <v>44628</v>
      </c>
      <c r="R83" s="9">
        <v>44622.576469907399</v>
      </c>
      <c r="S83"/>
      <c r="T83"/>
      <c r="U83"/>
    </row>
    <row r="84" spans="1:21" hidden="1">
      <c r="A84" s="7" t="s">
        <v>8716</v>
      </c>
      <c r="B84" s="7" t="s">
        <v>6733</v>
      </c>
      <c r="C84" s="8" t="s">
        <v>5315</v>
      </c>
      <c r="D84" t="s">
        <v>24</v>
      </c>
      <c r="E84" t="s">
        <v>82</v>
      </c>
      <c r="F84" t="s">
        <v>83</v>
      </c>
      <c r="G84" t="s">
        <v>132</v>
      </c>
      <c r="H84" s="9">
        <v>44608</v>
      </c>
      <c r="I84" t="s">
        <v>85</v>
      </c>
      <c r="J84" t="s">
        <v>0</v>
      </c>
      <c r="K84" s="9">
        <v>44628</v>
      </c>
      <c r="L84" t="s">
        <v>29</v>
      </c>
      <c r="M84"/>
      <c r="N84" s="9">
        <v>44614</v>
      </c>
      <c r="O84"/>
      <c r="P84"/>
      <c r="Q84" s="9">
        <v>44628</v>
      </c>
      <c r="R84" s="9">
        <v>44622.576469907399</v>
      </c>
      <c r="S84"/>
      <c r="T84"/>
      <c r="U84"/>
    </row>
    <row r="85" spans="1:21" hidden="1">
      <c r="A85" s="7" t="s">
        <v>8716</v>
      </c>
      <c r="B85" s="7" t="s">
        <v>6733</v>
      </c>
      <c r="C85" s="8" t="s">
        <v>5315</v>
      </c>
      <c r="D85" t="s">
        <v>24</v>
      </c>
      <c r="E85" t="s">
        <v>82</v>
      </c>
      <c r="F85" t="s">
        <v>83</v>
      </c>
      <c r="G85" t="s">
        <v>133</v>
      </c>
      <c r="H85" s="9">
        <v>44608</v>
      </c>
      <c r="I85" t="s">
        <v>85</v>
      </c>
      <c r="J85" t="s">
        <v>0</v>
      </c>
      <c r="K85" s="9">
        <v>44628</v>
      </c>
      <c r="L85" t="s">
        <v>29</v>
      </c>
      <c r="M85"/>
      <c r="N85" s="9">
        <v>44614</v>
      </c>
      <c r="O85"/>
      <c r="P85"/>
      <c r="Q85" s="9">
        <v>44628</v>
      </c>
      <c r="R85" s="9">
        <v>44622.576469907399</v>
      </c>
      <c r="S85"/>
      <c r="T85"/>
      <c r="U85"/>
    </row>
    <row r="86" spans="1:21" hidden="1">
      <c r="A86" s="7" t="s">
        <v>8716</v>
      </c>
      <c r="B86" s="7" t="s">
        <v>6733</v>
      </c>
      <c r="C86" s="8" t="s">
        <v>5315</v>
      </c>
      <c r="D86" t="s">
        <v>24</v>
      </c>
      <c r="E86" t="s">
        <v>82</v>
      </c>
      <c r="F86" t="s">
        <v>83</v>
      </c>
      <c r="G86" t="s">
        <v>134</v>
      </c>
      <c r="H86" s="9">
        <v>44608</v>
      </c>
      <c r="I86" t="s">
        <v>85</v>
      </c>
      <c r="J86" t="s">
        <v>0</v>
      </c>
      <c r="K86" s="9">
        <v>44628</v>
      </c>
      <c r="L86" t="s">
        <v>29</v>
      </c>
      <c r="M86"/>
      <c r="N86" s="9">
        <v>44614</v>
      </c>
      <c r="O86"/>
      <c r="P86"/>
      <c r="Q86" s="9">
        <v>44628</v>
      </c>
      <c r="R86" s="9">
        <v>44622.576469907399</v>
      </c>
      <c r="S86"/>
      <c r="T86"/>
      <c r="U86"/>
    </row>
    <row r="87" spans="1:21" hidden="1">
      <c r="A87" s="7" t="s">
        <v>8716</v>
      </c>
      <c r="B87" s="7" t="s">
        <v>6733</v>
      </c>
      <c r="C87" s="8" t="s">
        <v>5315</v>
      </c>
      <c r="D87" t="s">
        <v>24</v>
      </c>
      <c r="E87" t="s">
        <v>82</v>
      </c>
      <c r="F87" t="s">
        <v>83</v>
      </c>
      <c r="G87" t="s">
        <v>135</v>
      </c>
      <c r="H87" s="9">
        <v>44608</v>
      </c>
      <c r="I87" t="s">
        <v>85</v>
      </c>
      <c r="J87" t="s">
        <v>0</v>
      </c>
      <c r="K87" s="9">
        <v>44628</v>
      </c>
      <c r="L87" t="s">
        <v>29</v>
      </c>
      <c r="M87"/>
      <c r="N87" s="9">
        <v>44614</v>
      </c>
      <c r="O87"/>
      <c r="P87"/>
      <c r="Q87" s="9">
        <v>44628</v>
      </c>
      <c r="R87" s="9">
        <v>44622.576469907399</v>
      </c>
      <c r="S87"/>
      <c r="T87"/>
      <c r="U87"/>
    </row>
    <row r="88" spans="1:21" hidden="1">
      <c r="A88" s="7" t="s">
        <v>8716</v>
      </c>
      <c r="B88" s="7" t="s">
        <v>6733</v>
      </c>
      <c r="C88" s="8" t="s">
        <v>5315</v>
      </c>
      <c r="D88" t="s">
        <v>24</v>
      </c>
      <c r="E88" t="s">
        <v>82</v>
      </c>
      <c r="F88" t="s">
        <v>83</v>
      </c>
      <c r="G88" t="s">
        <v>136</v>
      </c>
      <c r="H88" s="9">
        <v>44608</v>
      </c>
      <c r="I88" t="s">
        <v>85</v>
      </c>
      <c r="J88" t="s">
        <v>0</v>
      </c>
      <c r="K88" s="9">
        <v>44628</v>
      </c>
      <c r="L88" t="s">
        <v>29</v>
      </c>
      <c r="M88"/>
      <c r="N88" s="9">
        <v>44614</v>
      </c>
      <c r="O88"/>
      <c r="P88"/>
      <c r="Q88" s="9">
        <v>44628</v>
      </c>
      <c r="R88" s="9">
        <v>44622.576469907399</v>
      </c>
      <c r="S88"/>
      <c r="T88"/>
      <c r="U88"/>
    </row>
    <row r="89" spans="1:21" hidden="1">
      <c r="A89" s="7" t="s">
        <v>8716</v>
      </c>
      <c r="B89" s="7" t="s">
        <v>6733</v>
      </c>
      <c r="C89" s="8" t="s">
        <v>5315</v>
      </c>
      <c r="D89" t="s">
        <v>24</v>
      </c>
      <c r="E89" t="s">
        <v>82</v>
      </c>
      <c r="F89" t="s">
        <v>83</v>
      </c>
      <c r="G89" t="s">
        <v>137</v>
      </c>
      <c r="H89" s="9">
        <v>44608</v>
      </c>
      <c r="I89" t="s">
        <v>85</v>
      </c>
      <c r="J89" t="s">
        <v>0</v>
      </c>
      <c r="K89" s="9">
        <v>44628</v>
      </c>
      <c r="L89" t="s">
        <v>29</v>
      </c>
      <c r="M89"/>
      <c r="N89" s="9">
        <v>44614</v>
      </c>
      <c r="O89"/>
      <c r="P89"/>
      <c r="Q89" s="9">
        <v>44628</v>
      </c>
      <c r="R89" s="9">
        <v>44622.576469907399</v>
      </c>
      <c r="S89"/>
      <c r="T89"/>
      <c r="U89"/>
    </row>
    <row r="90" spans="1:21" hidden="1">
      <c r="A90" s="7" t="s">
        <v>8716</v>
      </c>
      <c r="B90" s="7" t="s">
        <v>6733</v>
      </c>
      <c r="C90" s="8" t="s">
        <v>5315</v>
      </c>
      <c r="D90" t="s">
        <v>24</v>
      </c>
      <c r="E90" t="s">
        <v>82</v>
      </c>
      <c r="F90" t="s">
        <v>83</v>
      </c>
      <c r="G90" t="s">
        <v>138</v>
      </c>
      <c r="H90" s="9">
        <v>44608</v>
      </c>
      <c r="I90" t="s">
        <v>85</v>
      </c>
      <c r="J90" t="s">
        <v>0</v>
      </c>
      <c r="K90" s="9">
        <v>44628</v>
      </c>
      <c r="L90" t="s">
        <v>29</v>
      </c>
      <c r="M90"/>
      <c r="N90" s="9">
        <v>44614</v>
      </c>
      <c r="O90"/>
      <c r="P90"/>
      <c r="Q90" s="9">
        <v>44628</v>
      </c>
      <c r="R90" s="9">
        <v>44622.576469907399</v>
      </c>
      <c r="S90"/>
      <c r="T90"/>
      <c r="U90"/>
    </row>
    <row r="91" spans="1:21" hidden="1">
      <c r="A91" s="7" t="s">
        <v>8716</v>
      </c>
      <c r="B91" s="7" t="s">
        <v>6733</v>
      </c>
      <c r="C91" s="8" t="s">
        <v>5315</v>
      </c>
      <c r="D91" t="s">
        <v>24</v>
      </c>
      <c r="E91" t="s">
        <v>82</v>
      </c>
      <c r="F91" t="s">
        <v>83</v>
      </c>
      <c r="G91" t="s">
        <v>139</v>
      </c>
      <c r="H91" s="9">
        <v>44608</v>
      </c>
      <c r="I91" t="s">
        <v>85</v>
      </c>
      <c r="J91" t="s">
        <v>0</v>
      </c>
      <c r="K91" s="9">
        <v>44628</v>
      </c>
      <c r="L91" t="s">
        <v>29</v>
      </c>
      <c r="M91"/>
      <c r="N91" s="9">
        <v>44614</v>
      </c>
      <c r="O91"/>
      <c r="P91"/>
      <c r="Q91" s="9">
        <v>44628</v>
      </c>
      <c r="R91" s="9">
        <v>44622.576469907399</v>
      </c>
      <c r="S91"/>
      <c r="T91"/>
      <c r="U91"/>
    </row>
    <row r="92" spans="1:21" hidden="1">
      <c r="A92" s="7" t="s">
        <v>8716</v>
      </c>
      <c r="B92" s="7" t="s">
        <v>6733</v>
      </c>
      <c r="C92" s="8" t="s">
        <v>5315</v>
      </c>
      <c r="D92" t="s">
        <v>24</v>
      </c>
      <c r="E92" t="s">
        <v>82</v>
      </c>
      <c r="F92" t="s">
        <v>83</v>
      </c>
      <c r="G92" t="s">
        <v>140</v>
      </c>
      <c r="H92" s="9">
        <v>44608</v>
      </c>
      <c r="I92" t="s">
        <v>85</v>
      </c>
      <c r="J92" t="s">
        <v>0</v>
      </c>
      <c r="K92" s="9">
        <v>44628</v>
      </c>
      <c r="L92" t="s">
        <v>29</v>
      </c>
      <c r="M92"/>
      <c r="N92" s="9">
        <v>44614</v>
      </c>
      <c r="O92"/>
      <c r="P92"/>
      <c r="Q92" s="9">
        <v>44628</v>
      </c>
      <c r="R92" s="9">
        <v>44622.576469907399</v>
      </c>
      <c r="S92"/>
      <c r="T92"/>
      <c r="U92"/>
    </row>
    <row r="93" spans="1:21" hidden="1">
      <c r="A93" s="7" t="s">
        <v>8716</v>
      </c>
      <c r="B93" s="7" t="s">
        <v>6733</v>
      </c>
      <c r="C93" s="8" t="s">
        <v>5315</v>
      </c>
      <c r="D93" t="s">
        <v>24</v>
      </c>
      <c r="E93" t="s">
        <v>82</v>
      </c>
      <c r="F93" t="s">
        <v>83</v>
      </c>
      <c r="G93" t="s">
        <v>141</v>
      </c>
      <c r="H93" s="9">
        <v>44608</v>
      </c>
      <c r="I93" t="s">
        <v>85</v>
      </c>
      <c r="J93" t="s">
        <v>0</v>
      </c>
      <c r="K93" s="9">
        <v>44628</v>
      </c>
      <c r="L93" t="s">
        <v>29</v>
      </c>
      <c r="M93"/>
      <c r="N93" s="9">
        <v>44614</v>
      </c>
      <c r="O93"/>
      <c r="P93"/>
      <c r="Q93" s="9">
        <v>44628</v>
      </c>
      <c r="R93" s="9">
        <v>44622.576469907399</v>
      </c>
      <c r="S93"/>
      <c r="T93"/>
      <c r="U93"/>
    </row>
    <row r="94" spans="1:21" hidden="1">
      <c r="A94" s="7" t="s">
        <v>8716</v>
      </c>
      <c r="B94" s="7" t="s">
        <v>6733</v>
      </c>
      <c r="C94" s="8" t="s">
        <v>5315</v>
      </c>
      <c r="D94" t="s">
        <v>24</v>
      </c>
      <c r="E94" t="s">
        <v>82</v>
      </c>
      <c r="F94" t="s">
        <v>83</v>
      </c>
      <c r="G94" t="s">
        <v>142</v>
      </c>
      <c r="H94" s="9">
        <v>44608</v>
      </c>
      <c r="I94" t="s">
        <v>85</v>
      </c>
      <c r="J94" t="s">
        <v>0</v>
      </c>
      <c r="K94" s="9">
        <v>44628</v>
      </c>
      <c r="L94" t="s">
        <v>29</v>
      </c>
      <c r="M94"/>
      <c r="N94" s="9">
        <v>44614</v>
      </c>
      <c r="O94"/>
      <c r="P94"/>
      <c r="Q94" s="9">
        <v>44628</v>
      </c>
      <c r="R94" s="9">
        <v>44622.576469907399</v>
      </c>
      <c r="S94"/>
      <c r="T94"/>
      <c r="U94"/>
    </row>
    <row r="95" spans="1:21" hidden="1">
      <c r="A95" s="7" t="s">
        <v>8716</v>
      </c>
      <c r="B95" s="7" t="s">
        <v>6733</v>
      </c>
      <c r="C95" s="8" t="s">
        <v>5315</v>
      </c>
      <c r="D95" t="s">
        <v>24</v>
      </c>
      <c r="E95" t="s">
        <v>82</v>
      </c>
      <c r="F95" t="s">
        <v>83</v>
      </c>
      <c r="G95" t="s">
        <v>143</v>
      </c>
      <c r="H95" s="9">
        <v>44608</v>
      </c>
      <c r="I95" t="s">
        <v>85</v>
      </c>
      <c r="J95" t="s">
        <v>0</v>
      </c>
      <c r="K95" s="9">
        <v>44628</v>
      </c>
      <c r="L95" t="s">
        <v>29</v>
      </c>
      <c r="M95"/>
      <c r="N95" s="9">
        <v>44614</v>
      </c>
      <c r="O95"/>
      <c r="P95"/>
      <c r="Q95" s="9">
        <v>44628</v>
      </c>
      <c r="R95" s="9">
        <v>44622.576469907399</v>
      </c>
      <c r="S95"/>
      <c r="T95"/>
      <c r="U95"/>
    </row>
    <row r="96" spans="1:21" hidden="1">
      <c r="A96" s="7" t="s">
        <v>8716</v>
      </c>
      <c r="B96" s="7" t="s">
        <v>6733</v>
      </c>
      <c r="C96" s="8" t="s">
        <v>5315</v>
      </c>
      <c r="D96" t="s">
        <v>24</v>
      </c>
      <c r="E96" t="s">
        <v>82</v>
      </c>
      <c r="F96" t="s">
        <v>83</v>
      </c>
      <c r="G96" t="s">
        <v>144</v>
      </c>
      <c r="H96" s="9">
        <v>44608</v>
      </c>
      <c r="I96" t="s">
        <v>85</v>
      </c>
      <c r="J96" t="s">
        <v>0</v>
      </c>
      <c r="K96" s="9">
        <v>44628</v>
      </c>
      <c r="L96" t="s">
        <v>29</v>
      </c>
      <c r="M96"/>
      <c r="N96" s="9">
        <v>44614</v>
      </c>
      <c r="O96"/>
      <c r="P96"/>
      <c r="Q96" s="9">
        <v>44628</v>
      </c>
      <c r="R96" s="9">
        <v>44622.576469907399</v>
      </c>
      <c r="S96"/>
      <c r="T96"/>
      <c r="U96"/>
    </row>
    <row r="97" spans="1:21" hidden="1">
      <c r="A97" s="7" t="s">
        <v>8716</v>
      </c>
      <c r="B97" s="7" t="s">
        <v>6733</v>
      </c>
      <c r="C97" s="8" t="s">
        <v>5315</v>
      </c>
      <c r="D97" t="s">
        <v>24</v>
      </c>
      <c r="E97" t="s">
        <v>82</v>
      </c>
      <c r="F97" t="s">
        <v>83</v>
      </c>
      <c r="G97" t="s">
        <v>145</v>
      </c>
      <c r="H97" s="9">
        <v>44608</v>
      </c>
      <c r="I97" t="s">
        <v>85</v>
      </c>
      <c r="J97" t="s">
        <v>0</v>
      </c>
      <c r="K97" s="9">
        <v>44628</v>
      </c>
      <c r="L97" t="s">
        <v>29</v>
      </c>
      <c r="M97"/>
      <c r="N97" s="9">
        <v>44614</v>
      </c>
      <c r="O97"/>
      <c r="P97"/>
      <c r="Q97" s="9">
        <v>44628</v>
      </c>
      <c r="R97" s="9">
        <v>44622.576469907399</v>
      </c>
      <c r="S97"/>
      <c r="T97"/>
      <c r="U97"/>
    </row>
    <row r="98" spans="1:21" hidden="1">
      <c r="A98" s="7" t="s">
        <v>8716</v>
      </c>
      <c r="B98" s="7" t="s">
        <v>6733</v>
      </c>
      <c r="C98" s="8" t="s">
        <v>5315</v>
      </c>
      <c r="D98" t="s">
        <v>24</v>
      </c>
      <c r="E98" t="s">
        <v>82</v>
      </c>
      <c r="F98" t="s">
        <v>83</v>
      </c>
      <c r="G98" t="s">
        <v>146</v>
      </c>
      <c r="H98" s="9">
        <v>44608</v>
      </c>
      <c r="I98" t="s">
        <v>85</v>
      </c>
      <c r="J98" t="s">
        <v>0</v>
      </c>
      <c r="K98" s="9">
        <v>44628</v>
      </c>
      <c r="L98" t="s">
        <v>29</v>
      </c>
      <c r="M98"/>
      <c r="N98" s="9">
        <v>44614</v>
      </c>
      <c r="O98"/>
      <c r="P98"/>
      <c r="Q98" s="9">
        <v>44628</v>
      </c>
      <c r="R98" s="9">
        <v>44622.576469907399</v>
      </c>
      <c r="S98"/>
      <c r="T98"/>
      <c r="U98"/>
    </row>
    <row r="99" spans="1:21" hidden="1">
      <c r="A99" s="7" t="s">
        <v>8716</v>
      </c>
      <c r="B99" s="7" t="s">
        <v>6733</v>
      </c>
      <c r="C99" s="8" t="s">
        <v>5315</v>
      </c>
      <c r="D99" t="s">
        <v>24</v>
      </c>
      <c r="E99" t="s">
        <v>82</v>
      </c>
      <c r="F99" t="s">
        <v>83</v>
      </c>
      <c r="G99" t="s">
        <v>147</v>
      </c>
      <c r="H99" s="9">
        <v>44608</v>
      </c>
      <c r="I99" t="s">
        <v>85</v>
      </c>
      <c r="J99" t="s">
        <v>0</v>
      </c>
      <c r="K99" s="9">
        <v>44628</v>
      </c>
      <c r="L99" t="s">
        <v>29</v>
      </c>
      <c r="M99"/>
      <c r="N99" s="9">
        <v>44614</v>
      </c>
      <c r="O99"/>
      <c r="P99"/>
      <c r="Q99" s="9">
        <v>44628</v>
      </c>
      <c r="R99" s="9">
        <v>44622.576469907399</v>
      </c>
      <c r="S99"/>
      <c r="T99"/>
      <c r="U99"/>
    </row>
    <row r="100" spans="1:21" hidden="1">
      <c r="A100" s="7" t="s">
        <v>8716</v>
      </c>
      <c r="B100" s="7" t="s">
        <v>6733</v>
      </c>
      <c r="C100" s="8" t="s">
        <v>5315</v>
      </c>
      <c r="D100" t="s">
        <v>24</v>
      </c>
      <c r="E100" t="s">
        <v>82</v>
      </c>
      <c r="F100" t="s">
        <v>83</v>
      </c>
      <c r="G100" t="s">
        <v>148</v>
      </c>
      <c r="H100" s="9">
        <v>44608</v>
      </c>
      <c r="I100" t="s">
        <v>85</v>
      </c>
      <c r="J100" t="s">
        <v>0</v>
      </c>
      <c r="K100" s="9">
        <v>44628</v>
      </c>
      <c r="L100" t="s">
        <v>29</v>
      </c>
      <c r="M100"/>
      <c r="N100" s="9">
        <v>44614</v>
      </c>
      <c r="O100"/>
      <c r="P100"/>
      <c r="Q100" s="9">
        <v>44628</v>
      </c>
      <c r="R100" s="9">
        <v>44622.576469907399</v>
      </c>
      <c r="S100"/>
      <c r="T100"/>
      <c r="U100"/>
    </row>
    <row r="101" spans="1:21" hidden="1">
      <c r="A101" s="7" t="s">
        <v>8716</v>
      </c>
      <c r="B101" s="7" t="s">
        <v>6733</v>
      </c>
      <c r="C101" s="8" t="s">
        <v>5315</v>
      </c>
      <c r="D101" t="s">
        <v>24</v>
      </c>
      <c r="E101" t="s">
        <v>82</v>
      </c>
      <c r="F101" t="s">
        <v>83</v>
      </c>
      <c r="G101" t="s">
        <v>149</v>
      </c>
      <c r="H101" s="9">
        <v>44608</v>
      </c>
      <c r="I101" t="s">
        <v>85</v>
      </c>
      <c r="J101" t="s">
        <v>0</v>
      </c>
      <c r="K101" s="9">
        <v>44628</v>
      </c>
      <c r="L101" t="s">
        <v>29</v>
      </c>
      <c r="M101"/>
      <c r="N101" s="9">
        <v>44614</v>
      </c>
      <c r="O101"/>
      <c r="P101"/>
      <c r="Q101" s="9">
        <v>44628</v>
      </c>
      <c r="R101" s="9">
        <v>44622.576469907399</v>
      </c>
      <c r="S101"/>
      <c r="T101"/>
      <c r="U101"/>
    </row>
    <row r="102" spans="1:21" hidden="1">
      <c r="A102" s="7" t="s">
        <v>8716</v>
      </c>
      <c r="B102" s="7" t="s">
        <v>6733</v>
      </c>
      <c r="C102" s="8" t="s">
        <v>5315</v>
      </c>
      <c r="D102" t="s">
        <v>24</v>
      </c>
      <c r="E102" t="s">
        <v>82</v>
      </c>
      <c r="F102" t="s">
        <v>83</v>
      </c>
      <c r="G102" t="s">
        <v>150</v>
      </c>
      <c r="H102" s="9">
        <v>44608</v>
      </c>
      <c r="I102" t="s">
        <v>85</v>
      </c>
      <c r="J102" t="s">
        <v>0</v>
      </c>
      <c r="K102" s="9">
        <v>44628</v>
      </c>
      <c r="L102" t="s">
        <v>29</v>
      </c>
      <c r="M102"/>
      <c r="N102" s="9">
        <v>44614</v>
      </c>
      <c r="O102"/>
      <c r="P102"/>
      <c r="Q102" s="9">
        <v>44628</v>
      </c>
      <c r="R102" s="9">
        <v>44622.576469907399</v>
      </c>
      <c r="S102"/>
      <c r="T102"/>
      <c r="U102"/>
    </row>
    <row r="103" spans="1:21" hidden="1">
      <c r="A103" s="7" t="s">
        <v>8716</v>
      </c>
      <c r="B103" s="7" t="s">
        <v>6733</v>
      </c>
      <c r="C103" s="8" t="s">
        <v>5315</v>
      </c>
      <c r="D103" t="s">
        <v>24</v>
      </c>
      <c r="E103" t="s">
        <v>82</v>
      </c>
      <c r="F103" t="s">
        <v>83</v>
      </c>
      <c r="G103" t="s">
        <v>151</v>
      </c>
      <c r="H103" s="9">
        <v>44608</v>
      </c>
      <c r="I103" t="s">
        <v>85</v>
      </c>
      <c r="J103" t="s">
        <v>0</v>
      </c>
      <c r="K103" s="9">
        <v>44628</v>
      </c>
      <c r="L103" t="s">
        <v>29</v>
      </c>
      <c r="M103"/>
      <c r="N103" s="9">
        <v>44614</v>
      </c>
      <c r="O103"/>
      <c r="P103"/>
      <c r="Q103" s="9">
        <v>44628</v>
      </c>
      <c r="R103" s="9">
        <v>44622.576469907399</v>
      </c>
      <c r="S103"/>
      <c r="T103"/>
      <c r="U103"/>
    </row>
    <row r="104" spans="1:21" hidden="1">
      <c r="A104" s="7" t="s">
        <v>8716</v>
      </c>
      <c r="B104" s="7" t="s">
        <v>6733</v>
      </c>
      <c r="C104" s="8" t="s">
        <v>5315</v>
      </c>
      <c r="D104" t="s">
        <v>24</v>
      </c>
      <c r="E104" t="s">
        <v>82</v>
      </c>
      <c r="F104" t="s">
        <v>83</v>
      </c>
      <c r="G104" t="s">
        <v>152</v>
      </c>
      <c r="H104" s="9">
        <v>44608</v>
      </c>
      <c r="I104" t="s">
        <v>85</v>
      </c>
      <c r="J104" t="s">
        <v>0</v>
      </c>
      <c r="K104" s="9">
        <v>44628</v>
      </c>
      <c r="L104" t="s">
        <v>29</v>
      </c>
      <c r="M104"/>
      <c r="N104" s="9">
        <v>44614</v>
      </c>
      <c r="O104"/>
      <c r="P104"/>
      <c r="Q104" s="9">
        <v>44628</v>
      </c>
      <c r="R104" s="9">
        <v>44622.576469907399</v>
      </c>
      <c r="S104"/>
      <c r="T104"/>
      <c r="U104"/>
    </row>
    <row r="105" spans="1:21" hidden="1">
      <c r="A105" s="7" t="s">
        <v>8716</v>
      </c>
      <c r="B105" s="7" t="s">
        <v>6733</v>
      </c>
      <c r="C105" s="8" t="s">
        <v>5315</v>
      </c>
      <c r="D105" t="s">
        <v>24</v>
      </c>
      <c r="E105" t="s">
        <v>82</v>
      </c>
      <c r="F105" t="s">
        <v>83</v>
      </c>
      <c r="G105" t="s">
        <v>153</v>
      </c>
      <c r="H105" s="9">
        <v>44608</v>
      </c>
      <c r="I105" t="s">
        <v>85</v>
      </c>
      <c r="J105" t="s">
        <v>0</v>
      </c>
      <c r="K105" s="9">
        <v>44628</v>
      </c>
      <c r="L105" t="s">
        <v>29</v>
      </c>
      <c r="M105"/>
      <c r="N105" s="9">
        <v>44614</v>
      </c>
      <c r="O105"/>
      <c r="P105"/>
      <c r="Q105" s="9">
        <v>44628</v>
      </c>
      <c r="R105" s="9">
        <v>44622.576469907399</v>
      </c>
      <c r="S105"/>
      <c r="T105"/>
      <c r="U105"/>
    </row>
    <row r="106" spans="1:21" hidden="1">
      <c r="A106" s="7" t="s">
        <v>8716</v>
      </c>
      <c r="B106" s="7" t="s">
        <v>6733</v>
      </c>
      <c r="C106" s="8" t="s">
        <v>5315</v>
      </c>
      <c r="D106" t="s">
        <v>24</v>
      </c>
      <c r="E106" t="s">
        <v>82</v>
      </c>
      <c r="F106" t="s">
        <v>83</v>
      </c>
      <c r="G106" t="s">
        <v>154</v>
      </c>
      <c r="H106" s="9">
        <v>44608</v>
      </c>
      <c r="I106" t="s">
        <v>85</v>
      </c>
      <c r="J106" t="s">
        <v>0</v>
      </c>
      <c r="K106" s="9">
        <v>44628</v>
      </c>
      <c r="L106" t="s">
        <v>29</v>
      </c>
      <c r="M106"/>
      <c r="N106" s="9">
        <v>44614</v>
      </c>
      <c r="O106"/>
      <c r="P106"/>
      <c r="Q106" s="9">
        <v>44628</v>
      </c>
      <c r="R106" s="9">
        <v>44622.576469907399</v>
      </c>
      <c r="S106"/>
      <c r="T106"/>
      <c r="U106"/>
    </row>
    <row r="107" spans="1:21" hidden="1">
      <c r="A107" s="7" t="s">
        <v>8716</v>
      </c>
      <c r="B107" s="7" t="s">
        <v>6733</v>
      </c>
      <c r="C107" s="8" t="s">
        <v>5315</v>
      </c>
      <c r="D107" t="s">
        <v>24</v>
      </c>
      <c r="E107" t="s">
        <v>82</v>
      </c>
      <c r="F107" t="s">
        <v>83</v>
      </c>
      <c r="G107" t="s">
        <v>155</v>
      </c>
      <c r="H107" s="9">
        <v>44608</v>
      </c>
      <c r="I107" t="s">
        <v>85</v>
      </c>
      <c r="J107" t="s">
        <v>0</v>
      </c>
      <c r="K107" s="9">
        <v>44628</v>
      </c>
      <c r="L107" t="s">
        <v>29</v>
      </c>
      <c r="M107"/>
      <c r="N107" s="9">
        <v>44614</v>
      </c>
      <c r="O107"/>
      <c r="P107"/>
      <c r="Q107" s="9">
        <v>44628</v>
      </c>
      <c r="R107" s="9">
        <v>44622.576469907399</v>
      </c>
      <c r="S107"/>
      <c r="T107"/>
      <c r="U107"/>
    </row>
    <row r="108" spans="1:21" hidden="1">
      <c r="A108" s="7" t="s">
        <v>8716</v>
      </c>
      <c r="B108" s="7" t="s">
        <v>6733</v>
      </c>
      <c r="C108" s="8" t="s">
        <v>5315</v>
      </c>
      <c r="D108" t="s">
        <v>24</v>
      </c>
      <c r="E108" t="s">
        <v>82</v>
      </c>
      <c r="F108" t="s">
        <v>83</v>
      </c>
      <c r="G108" t="s">
        <v>156</v>
      </c>
      <c r="H108" s="9">
        <v>44608</v>
      </c>
      <c r="I108" t="s">
        <v>85</v>
      </c>
      <c r="J108" t="s">
        <v>0</v>
      </c>
      <c r="K108" s="9">
        <v>44628</v>
      </c>
      <c r="L108" t="s">
        <v>29</v>
      </c>
      <c r="M108"/>
      <c r="N108" s="9">
        <v>44614</v>
      </c>
      <c r="O108"/>
      <c r="P108"/>
      <c r="Q108" s="9">
        <v>44628</v>
      </c>
      <c r="R108" s="9">
        <v>44622.576469907399</v>
      </c>
      <c r="S108"/>
      <c r="T108"/>
      <c r="U108"/>
    </row>
    <row r="109" spans="1:21" hidden="1">
      <c r="A109" s="7" t="s">
        <v>8716</v>
      </c>
      <c r="B109" s="7" t="s">
        <v>6733</v>
      </c>
      <c r="C109" s="8" t="s">
        <v>5315</v>
      </c>
      <c r="D109" t="s">
        <v>24</v>
      </c>
      <c r="E109" t="s">
        <v>82</v>
      </c>
      <c r="F109" t="s">
        <v>83</v>
      </c>
      <c r="G109" t="s">
        <v>157</v>
      </c>
      <c r="H109" s="9">
        <v>44608</v>
      </c>
      <c r="I109" t="s">
        <v>85</v>
      </c>
      <c r="J109" t="s">
        <v>0</v>
      </c>
      <c r="K109" s="9">
        <v>44628</v>
      </c>
      <c r="L109" t="s">
        <v>29</v>
      </c>
      <c r="M109"/>
      <c r="N109" s="9">
        <v>44614</v>
      </c>
      <c r="O109"/>
      <c r="P109"/>
      <c r="Q109" s="9">
        <v>44628</v>
      </c>
      <c r="R109" s="9">
        <v>44622.576469907399</v>
      </c>
      <c r="S109"/>
      <c r="T109"/>
      <c r="U109"/>
    </row>
    <row r="110" spans="1:21" hidden="1">
      <c r="A110" s="7" t="s">
        <v>8716</v>
      </c>
      <c r="B110" s="7" t="s">
        <v>6733</v>
      </c>
      <c r="C110" s="8" t="s">
        <v>5315</v>
      </c>
      <c r="D110" t="s">
        <v>24</v>
      </c>
      <c r="E110" t="s">
        <v>82</v>
      </c>
      <c r="F110" t="s">
        <v>83</v>
      </c>
      <c r="G110" t="s">
        <v>158</v>
      </c>
      <c r="H110" s="9">
        <v>44608</v>
      </c>
      <c r="I110" t="s">
        <v>85</v>
      </c>
      <c r="J110" t="s">
        <v>0</v>
      </c>
      <c r="K110" s="9">
        <v>44628</v>
      </c>
      <c r="L110" t="s">
        <v>29</v>
      </c>
      <c r="M110"/>
      <c r="N110" s="9">
        <v>44614</v>
      </c>
      <c r="O110"/>
      <c r="P110"/>
      <c r="Q110" s="9">
        <v>44628</v>
      </c>
      <c r="R110" s="9">
        <v>44622.576469907399</v>
      </c>
      <c r="S110"/>
      <c r="T110"/>
      <c r="U110"/>
    </row>
    <row r="111" spans="1:21" hidden="1">
      <c r="A111" s="7" t="s">
        <v>8716</v>
      </c>
      <c r="B111" s="7" t="s">
        <v>6733</v>
      </c>
      <c r="C111" s="8" t="s">
        <v>5315</v>
      </c>
      <c r="D111" t="s">
        <v>24</v>
      </c>
      <c r="E111" t="s">
        <v>82</v>
      </c>
      <c r="F111" t="s">
        <v>83</v>
      </c>
      <c r="G111" t="s">
        <v>159</v>
      </c>
      <c r="H111" s="9">
        <v>44608</v>
      </c>
      <c r="I111" t="s">
        <v>85</v>
      </c>
      <c r="J111" t="s">
        <v>0</v>
      </c>
      <c r="K111" s="9">
        <v>44628</v>
      </c>
      <c r="L111" t="s">
        <v>29</v>
      </c>
      <c r="M111"/>
      <c r="N111" s="9">
        <v>44614</v>
      </c>
      <c r="O111"/>
      <c r="P111"/>
      <c r="Q111" s="9">
        <v>44628</v>
      </c>
      <c r="R111" s="9">
        <v>44622.576469907399</v>
      </c>
      <c r="S111"/>
      <c r="T111"/>
      <c r="U111"/>
    </row>
    <row r="112" spans="1:21" hidden="1">
      <c r="A112" s="7" t="s">
        <v>8716</v>
      </c>
      <c r="B112" s="7" t="s">
        <v>6733</v>
      </c>
      <c r="C112" s="8" t="s">
        <v>5315</v>
      </c>
      <c r="D112" t="s">
        <v>24</v>
      </c>
      <c r="E112" t="s">
        <v>82</v>
      </c>
      <c r="F112" t="s">
        <v>83</v>
      </c>
      <c r="G112" t="s">
        <v>160</v>
      </c>
      <c r="H112" s="9">
        <v>44608</v>
      </c>
      <c r="I112" t="s">
        <v>85</v>
      </c>
      <c r="J112" t="s">
        <v>0</v>
      </c>
      <c r="K112" s="9">
        <v>44628</v>
      </c>
      <c r="L112" t="s">
        <v>29</v>
      </c>
      <c r="M112"/>
      <c r="N112" s="9">
        <v>44614</v>
      </c>
      <c r="O112"/>
      <c r="P112"/>
      <c r="Q112" s="9">
        <v>44628</v>
      </c>
      <c r="R112" s="9">
        <v>44622.576469907399</v>
      </c>
      <c r="S112"/>
      <c r="T112"/>
      <c r="U112"/>
    </row>
    <row r="113" spans="1:21" hidden="1">
      <c r="A113" s="7" t="s">
        <v>8716</v>
      </c>
      <c r="B113" s="7" t="s">
        <v>6733</v>
      </c>
      <c r="C113" s="8" t="s">
        <v>5315</v>
      </c>
      <c r="D113" t="s">
        <v>24</v>
      </c>
      <c r="E113" t="s">
        <v>82</v>
      </c>
      <c r="F113" t="s">
        <v>83</v>
      </c>
      <c r="G113" t="s">
        <v>161</v>
      </c>
      <c r="H113" s="9">
        <v>44608</v>
      </c>
      <c r="I113" t="s">
        <v>85</v>
      </c>
      <c r="J113" t="s">
        <v>0</v>
      </c>
      <c r="K113" s="9">
        <v>44628</v>
      </c>
      <c r="L113" t="s">
        <v>29</v>
      </c>
      <c r="M113"/>
      <c r="N113" s="9">
        <v>44614</v>
      </c>
      <c r="O113"/>
      <c r="P113"/>
      <c r="Q113" s="9">
        <v>44628</v>
      </c>
      <c r="R113" s="9">
        <v>44622.576469907399</v>
      </c>
      <c r="S113"/>
      <c r="T113"/>
      <c r="U113"/>
    </row>
    <row r="114" spans="1:21" hidden="1">
      <c r="A114" s="7" t="s">
        <v>8712</v>
      </c>
      <c r="B114" s="7" t="s">
        <v>5405</v>
      </c>
      <c r="C114" s="8" t="s">
        <v>5315</v>
      </c>
      <c r="D114" t="s">
        <v>24</v>
      </c>
      <c r="E114" t="s">
        <v>25</v>
      </c>
      <c r="F114" t="s">
        <v>26</v>
      </c>
      <c r="G114" t="s">
        <v>162</v>
      </c>
      <c r="H114" s="9">
        <v>44608</v>
      </c>
      <c r="I114" t="s">
        <v>8634</v>
      </c>
      <c r="J114" t="s">
        <v>163</v>
      </c>
      <c r="K114" s="9">
        <v>44693</v>
      </c>
      <c r="L114" t="s">
        <v>29</v>
      </c>
      <c r="M114"/>
      <c r="N114" s="9">
        <v>44614</v>
      </c>
      <c r="O114" s="9">
        <v>44686</v>
      </c>
      <c r="P114" s="9">
        <v>44693</v>
      </c>
      <c r="Q114"/>
      <c r="R114"/>
      <c r="S114"/>
      <c r="T114"/>
      <c r="U114"/>
    </row>
    <row r="115" spans="1:21" hidden="1">
      <c r="A115" s="7" t="s">
        <v>8724</v>
      </c>
      <c r="B115" s="7" t="s">
        <v>7240</v>
      </c>
      <c r="C115" s="8" t="s">
        <v>5315</v>
      </c>
      <c r="D115" t="s">
        <v>164</v>
      </c>
      <c r="E115" t="s">
        <v>165</v>
      </c>
      <c r="F115" t="s">
        <v>117</v>
      </c>
      <c r="G115" t="s">
        <v>166</v>
      </c>
      <c r="H115" s="9">
        <v>44608</v>
      </c>
      <c r="I115" t="s">
        <v>167</v>
      </c>
      <c r="J115" t="s">
        <v>0</v>
      </c>
      <c r="K115" s="9">
        <v>44622</v>
      </c>
      <c r="L115" t="s">
        <v>29</v>
      </c>
      <c r="M115"/>
      <c r="N115" s="9">
        <v>44614</v>
      </c>
      <c r="O115"/>
      <c r="P115"/>
      <c r="Q115" s="9">
        <v>44622</v>
      </c>
      <c r="R115" s="9">
        <v>44617.3450115741</v>
      </c>
      <c r="S115"/>
      <c r="T115"/>
      <c r="U115"/>
    </row>
    <row r="116" spans="1:21" hidden="1">
      <c r="A116" s="7" t="s">
        <v>8725</v>
      </c>
      <c r="B116" s="7" t="s">
        <v>7662</v>
      </c>
      <c r="C116" s="8" t="s">
        <v>5316</v>
      </c>
      <c r="D116" t="s">
        <v>168</v>
      </c>
      <c r="E116" t="s">
        <v>169</v>
      </c>
      <c r="F116" t="s">
        <v>117</v>
      </c>
      <c r="G116" t="s">
        <v>170</v>
      </c>
      <c r="H116" s="9">
        <v>44627</v>
      </c>
      <c r="I116" t="s">
        <v>171</v>
      </c>
      <c r="J116" t="s">
        <v>0</v>
      </c>
      <c r="K116" s="9">
        <v>44676</v>
      </c>
      <c r="L116" t="s">
        <v>29</v>
      </c>
      <c r="M116"/>
      <c r="N116"/>
      <c r="O116"/>
      <c r="P116"/>
      <c r="Q116" s="9">
        <v>44676</v>
      </c>
      <c r="R116"/>
      <c r="S116"/>
      <c r="T116"/>
      <c r="U116"/>
    </row>
    <row r="117" spans="1:21" hidden="1">
      <c r="A117" s="7" t="s">
        <v>8725</v>
      </c>
      <c r="B117" s="7" t="s">
        <v>7662</v>
      </c>
      <c r="C117" s="8" t="s">
        <v>5316</v>
      </c>
      <c r="D117" t="s">
        <v>168</v>
      </c>
      <c r="E117" t="s">
        <v>169</v>
      </c>
      <c r="F117" t="s">
        <v>117</v>
      </c>
      <c r="G117" t="s">
        <v>172</v>
      </c>
      <c r="H117" s="9">
        <v>44627</v>
      </c>
      <c r="I117" t="s">
        <v>171</v>
      </c>
      <c r="J117" t="s">
        <v>0</v>
      </c>
      <c r="K117" s="9">
        <v>44676</v>
      </c>
      <c r="L117" t="s">
        <v>29</v>
      </c>
      <c r="M117"/>
      <c r="N117"/>
      <c r="O117"/>
      <c r="P117"/>
      <c r="Q117" s="9">
        <v>44676</v>
      </c>
      <c r="R117"/>
      <c r="S117"/>
      <c r="T117"/>
      <c r="U117"/>
    </row>
    <row r="118" spans="1:21" hidden="1">
      <c r="A118" s="7" t="s">
        <v>8725</v>
      </c>
      <c r="B118" s="7" t="s">
        <v>7662</v>
      </c>
      <c r="C118" s="8" t="s">
        <v>5316</v>
      </c>
      <c r="D118" t="s">
        <v>168</v>
      </c>
      <c r="E118" t="s">
        <v>169</v>
      </c>
      <c r="F118" t="s">
        <v>117</v>
      </c>
      <c r="G118" t="s">
        <v>173</v>
      </c>
      <c r="H118" s="9">
        <v>44627</v>
      </c>
      <c r="I118" t="s">
        <v>171</v>
      </c>
      <c r="J118" t="s">
        <v>0</v>
      </c>
      <c r="K118" s="9">
        <v>44676</v>
      </c>
      <c r="L118" t="s">
        <v>29</v>
      </c>
      <c r="M118"/>
      <c r="N118"/>
      <c r="O118"/>
      <c r="P118"/>
      <c r="Q118" s="9">
        <v>44676</v>
      </c>
      <c r="R118"/>
      <c r="S118"/>
      <c r="T118"/>
      <c r="U118"/>
    </row>
    <row r="119" spans="1:21" hidden="1">
      <c r="A119" s="7" t="s">
        <v>8725</v>
      </c>
      <c r="B119" s="7" t="s">
        <v>7662</v>
      </c>
      <c r="C119" s="8" t="s">
        <v>5316</v>
      </c>
      <c r="D119" t="s">
        <v>168</v>
      </c>
      <c r="E119" t="s">
        <v>169</v>
      </c>
      <c r="F119" t="s">
        <v>117</v>
      </c>
      <c r="G119" t="s">
        <v>174</v>
      </c>
      <c r="H119" s="9">
        <v>44627</v>
      </c>
      <c r="I119" t="s">
        <v>171</v>
      </c>
      <c r="J119" t="s">
        <v>0</v>
      </c>
      <c r="K119" s="9">
        <v>44676</v>
      </c>
      <c r="L119" t="s">
        <v>29</v>
      </c>
      <c r="M119"/>
      <c r="N119"/>
      <c r="O119"/>
      <c r="P119"/>
      <c r="Q119" s="9">
        <v>44676</v>
      </c>
      <c r="R119"/>
      <c r="S119"/>
      <c r="T119"/>
      <c r="U119"/>
    </row>
    <row r="120" spans="1:21" hidden="1">
      <c r="A120" s="7" t="s">
        <v>8725</v>
      </c>
      <c r="B120" s="7" t="s">
        <v>7662</v>
      </c>
      <c r="C120" s="8" t="s">
        <v>5316</v>
      </c>
      <c r="D120" t="s">
        <v>168</v>
      </c>
      <c r="E120" t="s">
        <v>169</v>
      </c>
      <c r="F120" t="s">
        <v>117</v>
      </c>
      <c r="G120" t="s">
        <v>175</v>
      </c>
      <c r="H120" s="9">
        <v>44627</v>
      </c>
      <c r="I120" t="s">
        <v>171</v>
      </c>
      <c r="J120" t="s">
        <v>0</v>
      </c>
      <c r="K120" s="9">
        <v>44676</v>
      </c>
      <c r="L120" t="s">
        <v>29</v>
      </c>
      <c r="M120"/>
      <c r="N120"/>
      <c r="O120"/>
      <c r="P120"/>
      <c r="Q120" s="9">
        <v>44676</v>
      </c>
      <c r="R120"/>
      <c r="S120"/>
      <c r="T120"/>
      <c r="U120"/>
    </row>
    <row r="121" spans="1:21" hidden="1">
      <c r="A121" s="7" t="s">
        <v>8725</v>
      </c>
      <c r="B121" s="7" t="s">
        <v>7662</v>
      </c>
      <c r="C121" s="8" t="s">
        <v>5316</v>
      </c>
      <c r="D121" t="s">
        <v>168</v>
      </c>
      <c r="E121" t="s">
        <v>169</v>
      </c>
      <c r="F121" t="s">
        <v>117</v>
      </c>
      <c r="G121" t="s">
        <v>176</v>
      </c>
      <c r="H121" s="9">
        <v>44627</v>
      </c>
      <c r="I121" t="s">
        <v>171</v>
      </c>
      <c r="J121" t="s">
        <v>0</v>
      </c>
      <c r="K121" s="9">
        <v>44676</v>
      </c>
      <c r="L121" t="s">
        <v>29</v>
      </c>
      <c r="M121"/>
      <c r="N121"/>
      <c r="O121"/>
      <c r="P121"/>
      <c r="Q121" s="9">
        <v>44676</v>
      </c>
      <c r="R121"/>
      <c r="S121"/>
      <c r="T121"/>
      <c r="U121"/>
    </row>
    <row r="122" spans="1:21" hidden="1">
      <c r="A122" s="7" t="s">
        <v>8725</v>
      </c>
      <c r="B122" s="7" t="s">
        <v>7662</v>
      </c>
      <c r="C122" s="8" t="s">
        <v>5316</v>
      </c>
      <c r="D122" t="s">
        <v>168</v>
      </c>
      <c r="E122" t="s">
        <v>169</v>
      </c>
      <c r="F122" t="s">
        <v>117</v>
      </c>
      <c r="G122" t="s">
        <v>177</v>
      </c>
      <c r="H122" s="9">
        <v>44627</v>
      </c>
      <c r="I122" t="s">
        <v>171</v>
      </c>
      <c r="J122" t="s">
        <v>0</v>
      </c>
      <c r="K122" s="9">
        <v>44697</v>
      </c>
      <c r="L122" t="s">
        <v>29</v>
      </c>
      <c r="M122"/>
      <c r="N122" s="9">
        <v>44686</v>
      </c>
      <c r="O122" s="9">
        <v>44693</v>
      </c>
      <c r="P122" s="9">
        <v>44693</v>
      </c>
      <c r="Q122" s="9">
        <v>44697</v>
      </c>
      <c r="R122"/>
      <c r="S122"/>
      <c r="T122"/>
      <c r="U122"/>
    </row>
    <row r="123" spans="1:21" hidden="1">
      <c r="A123" s="7" t="s">
        <v>8725</v>
      </c>
      <c r="B123" s="7" t="s">
        <v>7662</v>
      </c>
      <c r="C123" s="8" t="s">
        <v>5316</v>
      </c>
      <c r="D123" t="s">
        <v>168</v>
      </c>
      <c r="E123" t="s">
        <v>169</v>
      </c>
      <c r="F123" t="s">
        <v>117</v>
      </c>
      <c r="G123" t="s">
        <v>178</v>
      </c>
      <c r="H123" s="9">
        <v>44627</v>
      </c>
      <c r="I123" t="s">
        <v>171</v>
      </c>
      <c r="J123" t="s">
        <v>0</v>
      </c>
      <c r="K123" s="9">
        <v>44676</v>
      </c>
      <c r="L123" t="s">
        <v>29</v>
      </c>
      <c r="M123"/>
      <c r="N123"/>
      <c r="O123"/>
      <c r="P123"/>
      <c r="Q123" s="9">
        <v>44676</v>
      </c>
      <c r="R123"/>
      <c r="S123"/>
      <c r="T123"/>
      <c r="U123"/>
    </row>
    <row r="124" spans="1:21" hidden="1">
      <c r="A124" s="7" t="s">
        <v>8726</v>
      </c>
      <c r="B124" s="7" t="s">
        <v>7519</v>
      </c>
      <c r="C124" s="8" t="s">
        <v>5316</v>
      </c>
      <c r="D124" t="s">
        <v>168</v>
      </c>
      <c r="E124" t="s">
        <v>179</v>
      </c>
      <c r="F124" t="s">
        <v>117</v>
      </c>
      <c r="G124" t="s">
        <v>180</v>
      </c>
      <c r="H124" s="9">
        <v>44627</v>
      </c>
      <c r="I124" t="s">
        <v>181</v>
      </c>
      <c r="J124" t="s">
        <v>0</v>
      </c>
      <c r="K124" s="9">
        <v>44662</v>
      </c>
      <c r="L124" t="s">
        <v>29</v>
      </c>
      <c r="M124"/>
      <c r="N124"/>
      <c r="O124"/>
      <c r="P124"/>
      <c r="Q124" s="9">
        <v>44662</v>
      </c>
      <c r="R124"/>
      <c r="S124"/>
      <c r="T124"/>
      <c r="U124"/>
    </row>
    <row r="125" spans="1:21" hidden="1">
      <c r="A125" s="7" t="s">
        <v>8726</v>
      </c>
      <c r="B125" s="7" t="s">
        <v>7519</v>
      </c>
      <c r="C125" s="8" t="s">
        <v>5316</v>
      </c>
      <c r="D125" t="s">
        <v>168</v>
      </c>
      <c r="E125" t="s">
        <v>179</v>
      </c>
      <c r="F125" t="s">
        <v>117</v>
      </c>
      <c r="G125" t="s">
        <v>182</v>
      </c>
      <c r="H125" s="9">
        <v>44627</v>
      </c>
      <c r="I125" t="s">
        <v>181</v>
      </c>
      <c r="J125" t="s">
        <v>0</v>
      </c>
      <c r="K125" s="9">
        <v>44662</v>
      </c>
      <c r="L125" t="s">
        <v>29</v>
      </c>
      <c r="M125"/>
      <c r="N125"/>
      <c r="O125"/>
      <c r="P125"/>
      <c r="Q125" s="9">
        <v>44662</v>
      </c>
      <c r="R125"/>
      <c r="S125"/>
      <c r="T125"/>
      <c r="U125"/>
    </row>
    <row r="126" spans="1:21" hidden="1">
      <c r="A126" s="7" t="s">
        <v>8726</v>
      </c>
      <c r="B126" s="7" t="s">
        <v>7519</v>
      </c>
      <c r="C126" s="8" t="s">
        <v>5316</v>
      </c>
      <c r="D126" t="s">
        <v>168</v>
      </c>
      <c r="E126" t="s">
        <v>179</v>
      </c>
      <c r="F126" t="s">
        <v>117</v>
      </c>
      <c r="G126" t="s">
        <v>183</v>
      </c>
      <c r="H126" s="9">
        <v>44627</v>
      </c>
      <c r="I126" t="s">
        <v>181</v>
      </c>
      <c r="J126" t="s">
        <v>0</v>
      </c>
      <c r="K126" s="9">
        <v>44662</v>
      </c>
      <c r="L126" t="s">
        <v>29</v>
      </c>
      <c r="M126"/>
      <c r="N126"/>
      <c r="O126"/>
      <c r="P126"/>
      <c r="Q126" s="9">
        <v>44662</v>
      </c>
      <c r="R126"/>
      <c r="S126"/>
      <c r="T126"/>
      <c r="U126"/>
    </row>
    <row r="127" spans="1:21" hidden="1">
      <c r="A127" s="7" t="s">
        <v>8726</v>
      </c>
      <c r="B127" s="7" t="s">
        <v>7519</v>
      </c>
      <c r="C127" s="8" t="s">
        <v>5316</v>
      </c>
      <c r="D127" t="s">
        <v>168</v>
      </c>
      <c r="E127" t="s">
        <v>179</v>
      </c>
      <c r="F127" t="s">
        <v>117</v>
      </c>
      <c r="G127" t="s">
        <v>184</v>
      </c>
      <c r="H127" s="9">
        <v>44627</v>
      </c>
      <c r="I127" t="s">
        <v>181</v>
      </c>
      <c r="J127" t="s">
        <v>0</v>
      </c>
      <c r="K127" s="9">
        <v>44662</v>
      </c>
      <c r="L127" t="s">
        <v>29</v>
      </c>
      <c r="M127"/>
      <c r="N127"/>
      <c r="O127"/>
      <c r="P127"/>
      <c r="Q127" s="9">
        <v>44662</v>
      </c>
      <c r="R127"/>
      <c r="S127"/>
      <c r="T127"/>
      <c r="U127"/>
    </row>
    <row r="128" spans="1:21" hidden="1">
      <c r="A128" s="7" t="s">
        <v>8726</v>
      </c>
      <c r="B128" s="7" t="s">
        <v>7519</v>
      </c>
      <c r="C128" s="8" t="s">
        <v>5316</v>
      </c>
      <c r="D128" t="s">
        <v>168</v>
      </c>
      <c r="E128" t="s">
        <v>179</v>
      </c>
      <c r="F128" t="s">
        <v>117</v>
      </c>
      <c r="G128" t="s">
        <v>185</v>
      </c>
      <c r="H128" s="9">
        <v>44627</v>
      </c>
      <c r="I128" t="s">
        <v>181</v>
      </c>
      <c r="J128" t="s">
        <v>0</v>
      </c>
      <c r="K128" s="9">
        <v>44662</v>
      </c>
      <c r="L128" t="s">
        <v>29</v>
      </c>
      <c r="M128"/>
      <c r="N128"/>
      <c r="O128"/>
      <c r="P128"/>
      <c r="Q128" s="9">
        <v>44662</v>
      </c>
      <c r="R128"/>
      <c r="S128"/>
      <c r="T128"/>
      <c r="U128"/>
    </row>
    <row r="129" spans="1:21" hidden="1">
      <c r="A129" s="7" t="s">
        <v>8726</v>
      </c>
      <c r="B129" s="7" t="s">
        <v>7519</v>
      </c>
      <c r="C129" s="8" t="s">
        <v>5316</v>
      </c>
      <c r="D129" t="s">
        <v>168</v>
      </c>
      <c r="E129" t="s">
        <v>179</v>
      </c>
      <c r="F129" t="s">
        <v>117</v>
      </c>
      <c r="G129" t="s">
        <v>186</v>
      </c>
      <c r="H129" s="9">
        <v>44627</v>
      </c>
      <c r="I129" t="s">
        <v>181</v>
      </c>
      <c r="J129" t="s">
        <v>0</v>
      </c>
      <c r="K129" s="9">
        <v>44662</v>
      </c>
      <c r="L129" t="s">
        <v>29</v>
      </c>
      <c r="M129"/>
      <c r="N129"/>
      <c r="O129"/>
      <c r="P129"/>
      <c r="Q129" s="9">
        <v>44662</v>
      </c>
      <c r="R129"/>
      <c r="S129"/>
      <c r="T129"/>
      <c r="U129"/>
    </row>
    <row r="130" spans="1:21" hidden="1">
      <c r="A130" s="7" t="s">
        <v>8726</v>
      </c>
      <c r="B130" s="7" t="s">
        <v>7519</v>
      </c>
      <c r="C130" s="8" t="s">
        <v>5316</v>
      </c>
      <c r="D130" t="s">
        <v>168</v>
      </c>
      <c r="E130" t="s">
        <v>179</v>
      </c>
      <c r="F130" t="s">
        <v>117</v>
      </c>
      <c r="G130" t="s">
        <v>187</v>
      </c>
      <c r="H130" s="9">
        <v>44627</v>
      </c>
      <c r="I130" t="s">
        <v>181</v>
      </c>
      <c r="J130" t="s">
        <v>0</v>
      </c>
      <c r="K130" s="9">
        <v>44662</v>
      </c>
      <c r="L130" t="s">
        <v>29</v>
      </c>
      <c r="M130"/>
      <c r="N130"/>
      <c r="O130"/>
      <c r="P130"/>
      <c r="Q130" s="9">
        <v>44662</v>
      </c>
      <c r="R130"/>
      <c r="S130"/>
      <c r="T130"/>
      <c r="U130"/>
    </row>
    <row r="131" spans="1:21" hidden="1">
      <c r="A131" s="7" t="s">
        <v>8726</v>
      </c>
      <c r="B131" s="7" t="s">
        <v>7519</v>
      </c>
      <c r="C131" s="8" t="s">
        <v>5316</v>
      </c>
      <c r="D131" t="s">
        <v>168</v>
      </c>
      <c r="E131" t="s">
        <v>179</v>
      </c>
      <c r="F131" t="s">
        <v>117</v>
      </c>
      <c r="G131" t="s">
        <v>188</v>
      </c>
      <c r="H131" s="9">
        <v>44627</v>
      </c>
      <c r="I131" t="s">
        <v>181</v>
      </c>
      <c r="J131" t="s">
        <v>0</v>
      </c>
      <c r="K131" s="9">
        <v>44662</v>
      </c>
      <c r="L131" t="s">
        <v>29</v>
      </c>
      <c r="M131"/>
      <c r="N131"/>
      <c r="O131"/>
      <c r="P131"/>
      <c r="Q131" s="9">
        <v>44662</v>
      </c>
      <c r="R131"/>
      <c r="S131"/>
      <c r="T131"/>
      <c r="U131"/>
    </row>
    <row r="132" spans="1:21" hidden="1">
      <c r="A132" s="7" t="s">
        <v>8726</v>
      </c>
      <c r="B132" s="7" t="s">
        <v>7519</v>
      </c>
      <c r="C132" s="8" t="s">
        <v>5316</v>
      </c>
      <c r="D132" t="s">
        <v>168</v>
      </c>
      <c r="E132" t="s">
        <v>179</v>
      </c>
      <c r="F132" t="s">
        <v>117</v>
      </c>
      <c r="G132" t="s">
        <v>189</v>
      </c>
      <c r="H132" s="9">
        <v>44627</v>
      </c>
      <c r="I132" t="s">
        <v>181</v>
      </c>
      <c r="J132" t="s">
        <v>0</v>
      </c>
      <c r="K132" s="9">
        <v>44662</v>
      </c>
      <c r="L132" t="s">
        <v>29</v>
      </c>
      <c r="M132"/>
      <c r="N132"/>
      <c r="O132"/>
      <c r="P132"/>
      <c r="Q132" s="9">
        <v>44662</v>
      </c>
      <c r="R132"/>
      <c r="S132"/>
      <c r="T132"/>
      <c r="U132"/>
    </row>
    <row r="133" spans="1:21" hidden="1">
      <c r="A133" s="7" t="s">
        <v>8726</v>
      </c>
      <c r="B133" s="7" t="s">
        <v>7519</v>
      </c>
      <c r="C133" s="8" t="s">
        <v>5316</v>
      </c>
      <c r="D133" t="s">
        <v>168</v>
      </c>
      <c r="E133" t="s">
        <v>179</v>
      </c>
      <c r="F133" t="s">
        <v>117</v>
      </c>
      <c r="G133" t="s">
        <v>190</v>
      </c>
      <c r="H133" s="9">
        <v>44627</v>
      </c>
      <c r="I133" t="s">
        <v>181</v>
      </c>
      <c r="J133" t="s">
        <v>0</v>
      </c>
      <c r="K133" s="9">
        <v>44662</v>
      </c>
      <c r="L133" t="s">
        <v>29</v>
      </c>
      <c r="M133"/>
      <c r="N133"/>
      <c r="O133"/>
      <c r="P133"/>
      <c r="Q133" s="9">
        <v>44662</v>
      </c>
      <c r="R133"/>
      <c r="S133"/>
      <c r="T133"/>
      <c r="U133"/>
    </row>
    <row r="134" spans="1:21" hidden="1">
      <c r="A134" s="7" t="s">
        <v>8726</v>
      </c>
      <c r="B134" s="7" t="s">
        <v>7519</v>
      </c>
      <c r="C134" s="8" t="s">
        <v>5316</v>
      </c>
      <c r="D134" t="s">
        <v>168</v>
      </c>
      <c r="E134" t="s">
        <v>179</v>
      </c>
      <c r="F134" t="s">
        <v>117</v>
      </c>
      <c r="G134" t="s">
        <v>191</v>
      </c>
      <c r="H134" s="9">
        <v>44627</v>
      </c>
      <c r="I134" t="s">
        <v>181</v>
      </c>
      <c r="J134" t="s">
        <v>0</v>
      </c>
      <c r="K134" s="9">
        <v>44662</v>
      </c>
      <c r="L134" t="s">
        <v>29</v>
      </c>
      <c r="M134"/>
      <c r="N134"/>
      <c r="O134"/>
      <c r="P134"/>
      <c r="Q134" s="9">
        <v>44662</v>
      </c>
      <c r="R134"/>
      <c r="S134"/>
      <c r="T134"/>
      <c r="U134"/>
    </row>
    <row r="135" spans="1:21" hidden="1">
      <c r="A135" s="7" t="s">
        <v>8726</v>
      </c>
      <c r="B135" s="7" t="s">
        <v>7519</v>
      </c>
      <c r="C135" s="8" t="s">
        <v>5316</v>
      </c>
      <c r="D135" t="s">
        <v>168</v>
      </c>
      <c r="E135" t="s">
        <v>179</v>
      </c>
      <c r="F135" t="s">
        <v>117</v>
      </c>
      <c r="G135" t="s">
        <v>192</v>
      </c>
      <c r="H135" s="9">
        <v>44627</v>
      </c>
      <c r="I135" t="s">
        <v>181</v>
      </c>
      <c r="J135" t="s">
        <v>0</v>
      </c>
      <c r="K135" s="9">
        <v>44662</v>
      </c>
      <c r="L135" t="s">
        <v>29</v>
      </c>
      <c r="M135"/>
      <c r="N135"/>
      <c r="O135"/>
      <c r="P135"/>
      <c r="Q135" s="9">
        <v>44662</v>
      </c>
      <c r="R135"/>
      <c r="S135"/>
      <c r="T135"/>
      <c r="U135"/>
    </row>
    <row r="136" spans="1:21" hidden="1">
      <c r="A136" s="7" t="s">
        <v>8727</v>
      </c>
      <c r="B136" s="7" t="s">
        <v>5405</v>
      </c>
      <c r="C136" s="8" t="s">
        <v>5316</v>
      </c>
      <c r="D136" t="s">
        <v>168</v>
      </c>
      <c r="E136" t="s">
        <v>25</v>
      </c>
      <c r="F136" t="s">
        <v>193</v>
      </c>
      <c r="G136" t="s">
        <v>194</v>
      </c>
      <c r="H136" s="9">
        <v>44627</v>
      </c>
      <c r="I136" t="s">
        <v>8634</v>
      </c>
      <c r="J136" t="s">
        <v>0</v>
      </c>
      <c r="K136" s="9">
        <v>44862</v>
      </c>
      <c r="L136" t="s">
        <v>29</v>
      </c>
      <c r="M136"/>
      <c r="N136" s="9">
        <v>44686</v>
      </c>
      <c r="O136" s="9">
        <v>44693</v>
      </c>
      <c r="P136" s="9">
        <v>44693</v>
      </c>
      <c r="Q136" s="9">
        <v>44862</v>
      </c>
      <c r="R136"/>
      <c r="S136"/>
      <c r="T136"/>
      <c r="U136"/>
    </row>
    <row r="137" spans="1:21" hidden="1">
      <c r="A137" s="7" t="s">
        <v>8712</v>
      </c>
      <c r="B137" s="7" t="s">
        <v>5405</v>
      </c>
      <c r="C137" s="8" t="s">
        <v>5316</v>
      </c>
      <c r="D137" t="s">
        <v>168</v>
      </c>
      <c r="E137" t="s">
        <v>25</v>
      </c>
      <c r="F137" t="s">
        <v>26</v>
      </c>
      <c r="G137" t="s">
        <v>196</v>
      </c>
      <c r="H137" s="9">
        <v>44627</v>
      </c>
      <c r="I137" t="s">
        <v>8634</v>
      </c>
      <c r="J137" t="s">
        <v>0</v>
      </c>
      <c r="K137" s="9">
        <v>44882</v>
      </c>
      <c r="L137" t="s">
        <v>29</v>
      </c>
      <c r="M137"/>
      <c r="N137" s="9">
        <v>44686</v>
      </c>
      <c r="O137" s="9">
        <v>44693</v>
      </c>
      <c r="P137" s="9">
        <v>44693</v>
      </c>
      <c r="Q137" s="9">
        <v>44882</v>
      </c>
      <c r="R137"/>
      <c r="S137"/>
      <c r="T137"/>
      <c r="U137"/>
    </row>
    <row r="138" spans="1:21" hidden="1">
      <c r="A138" s="7" t="s">
        <v>8727</v>
      </c>
      <c r="B138" s="7" t="s">
        <v>5405</v>
      </c>
      <c r="C138" s="8" t="s">
        <v>5316</v>
      </c>
      <c r="D138" t="s">
        <v>168</v>
      </c>
      <c r="E138" t="s">
        <v>25</v>
      </c>
      <c r="F138" t="s">
        <v>193</v>
      </c>
      <c r="G138" t="s">
        <v>197</v>
      </c>
      <c r="H138" s="9">
        <v>44627</v>
      </c>
      <c r="I138" t="s">
        <v>8634</v>
      </c>
      <c r="J138" t="s">
        <v>0</v>
      </c>
      <c r="K138" s="9">
        <v>44862</v>
      </c>
      <c r="L138" t="s">
        <v>29</v>
      </c>
      <c r="M138"/>
      <c r="N138" s="9">
        <v>44686</v>
      </c>
      <c r="O138" s="9">
        <v>44693</v>
      </c>
      <c r="P138" s="9">
        <v>44693</v>
      </c>
      <c r="Q138" s="9">
        <v>44862</v>
      </c>
      <c r="R138"/>
      <c r="S138"/>
      <c r="T138"/>
      <c r="U138"/>
    </row>
    <row r="139" spans="1:21" hidden="1">
      <c r="A139" s="7" t="s">
        <v>8712</v>
      </c>
      <c r="B139" s="7" t="s">
        <v>5405</v>
      </c>
      <c r="C139" s="8" t="s">
        <v>5316</v>
      </c>
      <c r="D139" t="s">
        <v>168</v>
      </c>
      <c r="E139" t="s">
        <v>25</v>
      </c>
      <c r="F139" t="s">
        <v>26</v>
      </c>
      <c r="G139" t="s">
        <v>198</v>
      </c>
      <c r="H139" s="9">
        <v>44627</v>
      </c>
      <c r="I139" t="s">
        <v>8634</v>
      </c>
      <c r="J139" t="s">
        <v>0</v>
      </c>
      <c r="K139" s="9">
        <v>44882</v>
      </c>
      <c r="L139" t="s">
        <v>29</v>
      </c>
      <c r="M139"/>
      <c r="N139" s="9">
        <v>44686</v>
      </c>
      <c r="O139" s="9">
        <v>44693</v>
      </c>
      <c r="P139" s="9">
        <v>44693</v>
      </c>
      <c r="Q139" s="9">
        <v>44882</v>
      </c>
      <c r="R139"/>
      <c r="S139"/>
      <c r="T139"/>
      <c r="U139"/>
    </row>
    <row r="140" spans="1:21" hidden="1">
      <c r="A140" s="7" t="s">
        <v>8712</v>
      </c>
      <c r="B140" s="7" t="s">
        <v>5405</v>
      </c>
      <c r="C140" s="8" t="s">
        <v>5316</v>
      </c>
      <c r="D140" t="s">
        <v>168</v>
      </c>
      <c r="E140" t="s">
        <v>25</v>
      </c>
      <c r="F140" t="s">
        <v>26</v>
      </c>
      <c r="G140" t="s">
        <v>199</v>
      </c>
      <c r="H140" s="9">
        <v>44627</v>
      </c>
      <c r="I140" t="s">
        <v>8634</v>
      </c>
      <c r="J140" t="s">
        <v>0</v>
      </c>
      <c r="K140" s="9">
        <v>44882</v>
      </c>
      <c r="L140" t="s">
        <v>29</v>
      </c>
      <c r="M140"/>
      <c r="N140" s="9">
        <v>44686</v>
      </c>
      <c r="O140" s="9">
        <v>44693</v>
      </c>
      <c r="P140" s="9">
        <v>44693</v>
      </c>
      <c r="Q140" s="9">
        <v>44882</v>
      </c>
      <c r="R140"/>
      <c r="S140"/>
      <c r="T140"/>
      <c r="U140"/>
    </row>
    <row r="141" spans="1:21" hidden="1">
      <c r="A141" s="7" t="s">
        <v>8728</v>
      </c>
      <c r="B141" s="7" t="s">
        <v>5405</v>
      </c>
      <c r="C141" s="8" t="s">
        <v>5316</v>
      </c>
      <c r="D141" t="s">
        <v>168</v>
      </c>
      <c r="E141" t="s">
        <v>25</v>
      </c>
      <c r="F141" t="s">
        <v>200</v>
      </c>
      <c r="G141" t="s">
        <v>201</v>
      </c>
      <c r="H141" s="9">
        <v>44627</v>
      </c>
      <c r="I141" t="s">
        <v>8634</v>
      </c>
      <c r="J141" t="s">
        <v>0</v>
      </c>
      <c r="K141" s="9">
        <v>44862</v>
      </c>
      <c r="L141" t="s">
        <v>29</v>
      </c>
      <c r="M141"/>
      <c r="N141" s="9">
        <v>44686</v>
      </c>
      <c r="O141" s="9">
        <v>44693</v>
      </c>
      <c r="P141" s="9">
        <v>44693</v>
      </c>
      <c r="Q141" s="9">
        <v>44862</v>
      </c>
      <c r="R141"/>
      <c r="S141"/>
      <c r="T141"/>
      <c r="U141"/>
    </row>
    <row r="142" spans="1:21" hidden="1">
      <c r="A142" s="7" t="s">
        <v>8712</v>
      </c>
      <c r="B142" s="7" t="s">
        <v>5405</v>
      </c>
      <c r="C142" s="8" t="s">
        <v>5316</v>
      </c>
      <c r="D142" t="s">
        <v>168</v>
      </c>
      <c r="E142" t="s">
        <v>25</v>
      </c>
      <c r="F142" t="s">
        <v>26</v>
      </c>
      <c r="G142" t="s">
        <v>202</v>
      </c>
      <c r="H142" s="9">
        <v>44627</v>
      </c>
      <c r="I142" t="s">
        <v>8634</v>
      </c>
      <c r="J142" t="s">
        <v>0</v>
      </c>
      <c r="K142" s="9">
        <v>44882</v>
      </c>
      <c r="L142" t="s">
        <v>29</v>
      </c>
      <c r="M142"/>
      <c r="N142" s="9">
        <v>44686</v>
      </c>
      <c r="O142" s="9">
        <v>44693</v>
      </c>
      <c r="P142" s="9">
        <v>44693</v>
      </c>
      <c r="Q142" s="9">
        <v>44882</v>
      </c>
      <c r="R142"/>
      <c r="S142"/>
      <c r="T142"/>
      <c r="U142"/>
    </row>
    <row r="143" spans="1:21" hidden="1">
      <c r="A143" s="7" t="s">
        <v>8712</v>
      </c>
      <c r="B143" s="7" t="s">
        <v>5405</v>
      </c>
      <c r="C143" s="8" t="s">
        <v>5316</v>
      </c>
      <c r="D143" t="s">
        <v>168</v>
      </c>
      <c r="E143" t="s">
        <v>25</v>
      </c>
      <c r="F143" t="s">
        <v>26</v>
      </c>
      <c r="G143" t="s">
        <v>203</v>
      </c>
      <c r="H143" s="9">
        <v>44627</v>
      </c>
      <c r="I143" t="s">
        <v>8634</v>
      </c>
      <c r="J143" t="s">
        <v>0</v>
      </c>
      <c r="K143" s="9">
        <v>44882</v>
      </c>
      <c r="L143" t="s">
        <v>29</v>
      </c>
      <c r="M143"/>
      <c r="N143" s="9">
        <v>44686</v>
      </c>
      <c r="O143" s="9">
        <v>44693</v>
      </c>
      <c r="P143" s="9">
        <v>44693</v>
      </c>
      <c r="Q143" s="9">
        <v>44882</v>
      </c>
      <c r="R143"/>
      <c r="S143"/>
      <c r="T143"/>
      <c r="U143"/>
    </row>
    <row r="144" spans="1:21" hidden="1">
      <c r="A144" s="7" t="s">
        <v>8712</v>
      </c>
      <c r="B144" s="7" t="s">
        <v>5405</v>
      </c>
      <c r="C144" s="8" t="s">
        <v>5316</v>
      </c>
      <c r="D144" t="s">
        <v>168</v>
      </c>
      <c r="E144" t="s">
        <v>25</v>
      </c>
      <c r="F144" t="s">
        <v>26</v>
      </c>
      <c r="G144" t="s">
        <v>204</v>
      </c>
      <c r="H144" s="9">
        <v>44627</v>
      </c>
      <c r="I144" t="s">
        <v>8634</v>
      </c>
      <c r="J144" t="s">
        <v>0</v>
      </c>
      <c r="K144" s="9">
        <v>44882</v>
      </c>
      <c r="L144" t="s">
        <v>29</v>
      </c>
      <c r="M144"/>
      <c r="N144" s="9">
        <v>44686</v>
      </c>
      <c r="O144" s="9">
        <v>44693</v>
      </c>
      <c r="P144" s="9">
        <v>44693</v>
      </c>
      <c r="Q144" s="9">
        <v>44882</v>
      </c>
      <c r="R144"/>
      <c r="S144"/>
      <c r="T144"/>
      <c r="U144"/>
    </row>
    <row r="145" spans="1:21" hidden="1">
      <c r="A145" s="7" t="s">
        <v>8712</v>
      </c>
      <c r="B145" s="7" t="s">
        <v>5405</v>
      </c>
      <c r="C145" s="8" t="s">
        <v>5316</v>
      </c>
      <c r="D145" t="s">
        <v>168</v>
      </c>
      <c r="E145" t="s">
        <v>25</v>
      </c>
      <c r="F145" t="s">
        <v>26</v>
      </c>
      <c r="G145" t="s">
        <v>205</v>
      </c>
      <c r="H145" s="9">
        <v>44627</v>
      </c>
      <c r="I145" t="s">
        <v>8634</v>
      </c>
      <c r="J145" t="s">
        <v>0</v>
      </c>
      <c r="K145" s="9">
        <v>44882</v>
      </c>
      <c r="L145" t="s">
        <v>29</v>
      </c>
      <c r="M145"/>
      <c r="N145" s="9">
        <v>44686</v>
      </c>
      <c r="O145" s="9">
        <v>44693</v>
      </c>
      <c r="P145" s="9">
        <v>44693</v>
      </c>
      <c r="Q145" s="9">
        <v>44882</v>
      </c>
      <c r="R145"/>
      <c r="S145"/>
      <c r="T145"/>
      <c r="U145"/>
    </row>
    <row r="146" spans="1:21" hidden="1">
      <c r="A146" s="7" t="s">
        <v>8729</v>
      </c>
      <c r="B146" s="7" t="s">
        <v>7796</v>
      </c>
      <c r="C146" s="8" t="s">
        <v>5316</v>
      </c>
      <c r="D146" t="s">
        <v>168</v>
      </c>
      <c r="E146" t="s">
        <v>206</v>
      </c>
      <c r="F146" t="s">
        <v>117</v>
      </c>
      <c r="G146" t="s">
        <v>207</v>
      </c>
      <c r="H146" s="9">
        <v>44627</v>
      </c>
      <c r="I146" t="s">
        <v>171</v>
      </c>
      <c r="J146" t="s">
        <v>0</v>
      </c>
      <c r="K146" s="9">
        <v>44635</v>
      </c>
      <c r="L146" t="s">
        <v>29</v>
      </c>
      <c r="M146"/>
      <c r="N146"/>
      <c r="O146"/>
      <c r="P146"/>
      <c r="Q146" s="9">
        <v>44635</v>
      </c>
      <c r="R146"/>
      <c r="S146"/>
      <c r="T146"/>
      <c r="U146"/>
    </row>
    <row r="147" spans="1:21" hidden="1">
      <c r="A147" s="7" t="s">
        <v>8730</v>
      </c>
      <c r="B147" s="7" t="s">
        <v>6784</v>
      </c>
      <c r="C147" s="8" t="s">
        <v>5316</v>
      </c>
      <c r="D147" t="s">
        <v>168</v>
      </c>
      <c r="E147" t="s">
        <v>208</v>
      </c>
      <c r="F147" t="s">
        <v>209</v>
      </c>
      <c r="G147" t="s">
        <v>210</v>
      </c>
      <c r="H147" s="9">
        <v>44627</v>
      </c>
      <c r="I147" t="s">
        <v>211</v>
      </c>
      <c r="J147" t="s">
        <v>212</v>
      </c>
      <c r="K147" s="9">
        <v>44676.341562499998</v>
      </c>
      <c r="L147" t="s">
        <v>29</v>
      </c>
      <c r="M147"/>
      <c r="N147"/>
      <c r="O147"/>
      <c r="P147"/>
      <c r="Q147"/>
      <c r="R147" s="9">
        <v>44676.339340277802</v>
      </c>
      <c r="S147"/>
      <c r="T147"/>
      <c r="U147"/>
    </row>
    <row r="148" spans="1:21" hidden="1">
      <c r="A148" s="7" t="s">
        <v>8712</v>
      </c>
      <c r="B148" s="7" t="s">
        <v>5405</v>
      </c>
      <c r="C148" s="8" t="s">
        <v>5316</v>
      </c>
      <c r="D148" t="s">
        <v>168</v>
      </c>
      <c r="E148" t="s">
        <v>25</v>
      </c>
      <c r="F148" t="s">
        <v>26</v>
      </c>
      <c r="G148" t="s">
        <v>213</v>
      </c>
      <c r="H148" s="9">
        <v>44627</v>
      </c>
      <c r="I148" t="s">
        <v>8634</v>
      </c>
      <c r="J148" t="s">
        <v>0</v>
      </c>
      <c r="K148" s="9">
        <v>44882</v>
      </c>
      <c r="L148" t="s">
        <v>29</v>
      </c>
      <c r="M148"/>
      <c r="N148" s="9">
        <v>44686</v>
      </c>
      <c r="O148" s="9">
        <v>44693</v>
      </c>
      <c r="P148" s="9">
        <v>44693</v>
      </c>
      <c r="Q148" s="9">
        <v>44882</v>
      </c>
      <c r="R148"/>
      <c r="S148"/>
      <c r="T148"/>
      <c r="U148"/>
    </row>
    <row r="149" spans="1:21" hidden="1">
      <c r="A149" s="7" t="s">
        <v>8727</v>
      </c>
      <c r="B149" s="7" t="s">
        <v>5405</v>
      </c>
      <c r="C149" s="8" t="s">
        <v>5316</v>
      </c>
      <c r="D149" t="s">
        <v>168</v>
      </c>
      <c r="E149" t="s">
        <v>25</v>
      </c>
      <c r="F149" t="s">
        <v>193</v>
      </c>
      <c r="G149" t="s">
        <v>214</v>
      </c>
      <c r="H149" s="9">
        <v>44627</v>
      </c>
      <c r="I149" t="s">
        <v>8634</v>
      </c>
      <c r="J149" t="s">
        <v>0</v>
      </c>
      <c r="K149" s="9">
        <v>44862</v>
      </c>
      <c r="L149" t="s">
        <v>29</v>
      </c>
      <c r="M149"/>
      <c r="N149" s="9">
        <v>44686</v>
      </c>
      <c r="O149" s="9">
        <v>44693</v>
      </c>
      <c r="P149" s="9">
        <v>44693</v>
      </c>
      <c r="Q149" s="9">
        <v>44862</v>
      </c>
      <c r="R149"/>
      <c r="S149"/>
      <c r="T149"/>
      <c r="U149"/>
    </row>
    <row r="150" spans="1:21" hidden="1">
      <c r="A150" s="7" t="s">
        <v>8712</v>
      </c>
      <c r="B150" s="7" t="s">
        <v>5405</v>
      </c>
      <c r="C150" s="8" t="s">
        <v>5316</v>
      </c>
      <c r="D150" t="s">
        <v>24</v>
      </c>
      <c r="E150" t="s">
        <v>25</v>
      </c>
      <c r="F150" t="s">
        <v>26</v>
      </c>
      <c r="G150" t="s">
        <v>215</v>
      </c>
      <c r="H150" s="9">
        <v>44627</v>
      </c>
      <c r="I150" t="s">
        <v>8634</v>
      </c>
      <c r="J150" t="s">
        <v>0</v>
      </c>
      <c r="K150" s="9">
        <v>44882</v>
      </c>
      <c r="L150" t="s">
        <v>29</v>
      </c>
      <c r="M150"/>
      <c r="N150" s="9">
        <v>44686</v>
      </c>
      <c r="O150" s="9">
        <v>44693</v>
      </c>
      <c r="P150" s="9">
        <v>44693</v>
      </c>
      <c r="Q150" s="9">
        <v>44882</v>
      </c>
      <c r="R150"/>
      <c r="S150"/>
      <c r="T150"/>
      <c r="U150"/>
    </row>
    <row r="151" spans="1:21" hidden="1">
      <c r="A151" s="7" t="s">
        <v>8725</v>
      </c>
      <c r="B151" s="7" t="s">
        <v>7662</v>
      </c>
      <c r="C151" s="8" t="s">
        <v>5316</v>
      </c>
      <c r="D151" t="s">
        <v>216</v>
      </c>
      <c r="E151" t="s">
        <v>169</v>
      </c>
      <c r="F151" t="s">
        <v>117</v>
      </c>
      <c r="G151" t="s">
        <v>217</v>
      </c>
      <c r="H151" s="9">
        <v>44627</v>
      </c>
      <c r="I151" t="s">
        <v>171</v>
      </c>
      <c r="J151" t="s">
        <v>0</v>
      </c>
      <c r="K151" s="9">
        <v>44697</v>
      </c>
      <c r="L151" t="s">
        <v>29</v>
      </c>
      <c r="M151"/>
      <c r="N151" s="9">
        <v>44686</v>
      </c>
      <c r="O151" s="9">
        <v>44693</v>
      </c>
      <c r="P151" s="9">
        <v>44693</v>
      </c>
      <c r="Q151" s="9">
        <v>44697</v>
      </c>
      <c r="R151"/>
      <c r="S151"/>
      <c r="T151"/>
      <c r="U151"/>
    </row>
    <row r="152" spans="1:21" hidden="1">
      <c r="A152" s="7" t="s">
        <v>8731</v>
      </c>
      <c r="B152" s="7" t="s">
        <v>7478</v>
      </c>
      <c r="C152" s="8" t="s">
        <v>5316</v>
      </c>
      <c r="D152" t="s">
        <v>216</v>
      </c>
      <c r="E152" t="s">
        <v>218</v>
      </c>
      <c r="F152" t="s">
        <v>117</v>
      </c>
      <c r="G152" t="s">
        <v>219</v>
      </c>
      <c r="H152" s="9">
        <v>44627</v>
      </c>
      <c r="I152" t="s">
        <v>220</v>
      </c>
      <c r="J152" t="s">
        <v>0</v>
      </c>
      <c r="K152" s="9">
        <v>44651</v>
      </c>
      <c r="L152" t="s">
        <v>29</v>
      </c>
      <c r="M152"/>
      <c r="N152"/>
      <c r="O152"/>
      <c r="P152"/>
      <c r="Q152" s="9">
        <v>44651</v>
      </c>
      <c r="R152"/>
      <c r="S152"/>
      <c r="T152"/>
      <c r="U152"/>
    </row>
    <row r="153" spans="1:21" hidden="1">
      <c r="A153" s="7" t="s">
        <v>8731</v>
      </c>
      <c r="B153" s="7" t="s">
        <v>7478</v>
      </c>
      <c r="C153" s="8" t="s">
        <v>5316</v>
      </c>
      <c r="D153" t="s">
        <v>216</v>
      </c>
      <c r="E153" t="s">
        <v>218</v>
      </c>
      <c r="F153" t="s">
        <v>117</v>
      </c>
      <c r="G153" t="s">
        <v>221</v>
      </c>
      <c r="H153" s="9">
        <v>44627</v>
      </c>
      <c r="I153" t="s">
        <v>220</v>
      </c>
      <c r="J153" t="s">
        <v>0</v>
      </c>
      <c r="K153" s="9">
        <v>44651</v>
      </c>
      <c r="L153" t="s">
        <v>29</v>
      </c>
      <c r="M153"/>
      <c r="N153"/>
      <c r="O153"/>
      <c r="P153"/>
      <c r="Q153" s="9">
        <v>44651</v>
      </c>
      <c r="R153"/>
      <c r="S153"/>
      <c r="T153"/>
      <c r="U153"/>
    </row>
    <row r="154" spans="1:21" hidden="1">
      <c r="A154" s="7" t="s">
        <v>8731</v>
      </c>
      <c r="B154" s="7" t="s">
        <v>7478</v>
      </c>
      <c r="C154" s="8" t="s">
        <v>5316</v>
      </c>
      <c r="D154" t="s">
        <v>216</v>
      </c>
      <c r="E154" t="s">
        <v>218</v>
      </c>
      <c r="F154" t="s">
        <v>117</v>
      </c>
      <c r="G154" t="s">
        <v>222</v>
      </c>
      <c r="H154" s="9">
        <v>44627</v>
      </c>
      <c r="I154" t="s">
        <v>220</v>
      </c>
      <c r="J154" t="s">
        <v>0</v>
      </c>
      <c r="K154" s="9">
        <v>44651</v>
      </c>
      <c r="L154" t="s">
        <v>29</v>
      </c>
      <c r="M154"/>
      <c r="N154"/>
      <c r="O154"/>
      <c r="P154"/>
      <c r="Q154" s="9">
        <v>44651</v>
      </c>
      <c r="R154"/>
      <c r="S154"/>
      <c r="T154"/>
      <c r="U154"/>
    </row>
    <row r="155" spans="1:21" hidden="1">
      <c r="A155" s="7" t="s">
        <v>8731</v>
      </c>
      <c r="B155" s="7" t="s">
        <v>7478</v>
      </c>
      <c r="C155" s="8" t="s">
        <v>5316</v>
      </c>
      <c r="D155" t="s">
        <v>216</v>
      </c>
      <c r="E155" t="s">
        <v>218</v>
      </c>
      <c r="F155" t="s">
        <v>117</v>
      </c>
      <c r="G155" t="s">
        <v>223</v>
      </c>
      <c r="H155" s="9">
        <v>44627</v>
      </c>
      <c r="I155" t="s">
        <v>220</v>
      </c>
      <c r="J155" t="s">
        <v>0</v>
      </c>
      <c r="K155" s="9">
        <v>44651</v>
      </c>
      <c r="L155" t="s">
        <v>29</v>
      </c>
      <c r="M155"/>
      <c r="N155"/>
      <c r="O155"/>
      <c r="P155"/>
      <c r="Q155" s="9">
        <v>44651</v>
      </c>
      <c r="R155"/>
      <c r="S155"/>
      <c r="T155"/>
      <c r="U155"/>
    </row>
    <row r="156" spans="1:21" hidden="1">
      <c r="A156" s="7" t="s">
        <v>8731</v>
      </c>
      <c r="B156" s="7" t="s">
        <v>7478</v>
      </c>
      <c r="C156" s="8" t="s">
        <v>5316</v>
      </c>
      <c r="D156" t="s">
        <v>216</v>
      </c>
      <c r="E156" t="s">
        <v>218</v>
      </c>
      <c r="F156" t="s">
        <v>117</v>
      </c>
      <c r="G156" t="s">
        <v>224</v>
      </c>
      <c r="H156" s="9">
        <v>44627</v>
      </c>
      <c r="I156" t="s">
        <v>220</v>
      </c>
      <c r="J156" t="s">
        <v>0</v>
      </c>
      <c r="K156" s="9">
        <v>44651</v>
      </c>
      <c r="L156" t="s">
        <v>29</v>
      </c>
      <c r="M156"/>
      <c r="N156"/>
      <c r="O156"/>
      <c r="P156"/>
      <c r="Q156" s="9">
        <v>44651</v>
      </c>
      <c r="R156"/>
      <c r="S156"/>
      <c r="T156"/>
      <c r="U156"/>
    </row>
    <row r="157" spans="1:21" hidden="1">
      <c r="A157" s="7" t="s">
        <v>8731</v>
      </c>
      <c r="B157" s="7" t="s">
        <v>7478</v>
      </c>
      <c r="C157" s="8" t="s">
        <v>5316</v>
      </c>
      <c r="D157" t="s">
        <v>216</v>
      </c>
      <c r="E157" t="s">
        <v>218</v>
      </c>
      <c r="F157" t="s">
        <v>117</v>
      </c>
      <c r="G157" t="s">
        <v>225</v>
      </c>
      <c r="H157" s="9">
        <v>44627</v>
      </c>
      <c r="I157" t="s">
        <v>220</v>
      </c>
      <c r="J157" t="s">
        <v>0</v>
      </c>
      <c r="K157" s="9">
        <v>44651</v>
      </c>
      <c r="L157" t="s">
        <v>29</v>
      </c>
      <c r="M157"/>
      <c r="N157"/>
      <c r="O157"/>
      <c r="P157"/>
      <c r="Q157" s="9">
        <v>44651</v>
      </c>
      <c r="R157"/>
      <c r="S157"/>
      <c r="T157"/>
      <c r="U157"/>
    </row>
    <row r="158" spans="1:21" hidden="1">
      <c r="A158" s="7" t="s">
        <v>8732</v>
      </c>
      <c r="B158" s="7" t="s">
        <v>6619</v>
      </c>
      <c r="C158" s="8" t="s">
        <v>5316</v>
      </c>
      <c r="D158" t="s">
        <v>216</v>
      </c>
      <c r="E158" t="s">
        <v>226</v>
      </c>
      <c r="F158" t="s">
        <v>227</v>
      </c>
      <c r="G158" t="s">
        <v>228</v>
      </c>
      <c r="H158" s="9">
        <v>44627</v>
      </c>
      <c r="I158" t="s">
        <v>229</v>
      </c>
      <c r="J158" t="s">
        <v>0</v>
      </c>
      <c r="K158" s="9">
        <v>44649</v>
      </c>
      <c r="L158" t="s">
        <v>29</v>
      </c>
      <c r="M158"/>
      <c r="N158"/>
      <c r="O158"/>
      <c r="P158"/>
      <c r="Q158" s="9">
        <v>44649</v>
      </c>
      <c r="R158" s="9">
        <v>44642.708067129599</v>
      </c>
      <c r="S158"/>
      <c r="T158"/>
      <c r="U158"/>
    </row>
    <row r="159" spans="1:21" hidden="1">
      <c r="A159" s="7" t="s">
        <v>8733</v>
      </c>
      <c r="B159" s="7" t="s">
        <v>7433</v>
      </c>
      <c r="C159" s="8" t="s">
        <v>5316</v>
      </c>
      <c r="D159" t="s">
        <v>216</v>
      </c>
      <c r="E159" t="s">
        <v>230</v>
      </c>
      <c r="F159" t="s">
        <v>231</v>
      </c>
      <c r="G159" t="s">
        <v>232</v>
      </c>
      <c r="H159" s="9">
        <v>44627</v>
      </c>
      <c r="I159" t="s">
        <v>85</v>
      </c>
      <c r="J159" t="s">
        <v>0</v>
      </c>
      <c r="K159" s="9">
        <v>44649</v>
      </c>
      <c r="L159" t="s">
        <v>29</v>
      </c>
      <c r="M159"/>
      <c r="N159"/>
      <c r="O159"/>
      <c r="P159"/>
      <c r="Q159" s="9">
        <v>44649</v>
      </c>
      <c r="R159"/>
      <c r="S159"/>
      <c r="T159"/>
      <c r="U159"/>
    </row>
    <row r="160" spans="1:21" hidden="1">
      <c r="A160" s="7" t="s">
        <v>8733</v>
      </c>
      <c r="B160" s="7" t="s">
        <v>7433</v>
      </c>
      <c r="C160" s="8" t="s">
        <v>5316</v>
      </c>
      <c r="D160" t="s">
        <v>216</v>
      </c>
      <c r="E160" t="s">
        <v>230</v>
      </c>
      <c r="F160" t="s">
        <v>231</v>
      </c>
      <c r="G160" t="s">
        <v>233</v>
      </c>
      <c r="H160" s="9">
        <v>44627</v>
      </c>
      <c r="I160" t="s">
        <v>85</v>
      </c>
      <c r="J160" t="s">
        <v>0</v>
      </c>
      <c r="K160" s="9">
        <v>44649</v>
      </c>
      <c r="L160" t="s">
        <v>29</v>
      </c>
      <c r="M160"/>
      <c r="N160"/>
      <c r="O160"/>
      <c r="P160"/>
      <c r="Q160" s="9">
        <v>44649</v>
      </c>
      <c r="R160"/>
      <c r="S160"/>
      <c r="T160"/>
      <c r="U160"/>
    </row>
    <row r="161" spans="1:21" hidden="1">
      <c r="A161" s="7" t="s">
        <v>8733</v>
      </c>
      <c r="B161" s="7" t="s">
        <v>7433</v>
      </c>
      <c r="C161" s="8" t="s">
        <v>5316</v>
      </c>
      <c r="D161" t="s">
        <v>216</v>
      </c>
      <c r="E161" t="s">
        <v>230</v>
      </c>
      <c r="F161" t="s">
        <v>231</v>
      </c>
      <c r="G161" t="s">
        <v>234</v>
      </c>
      <c r="H161" s="9">
        <v>44627</v>
      </c>
      <c r="I161" t="s">
        <v>85</v>
      </c>
      <c r="J161" t="s">
        <v>0</v>
      </c>
      <c r="K161" s="9">
        <v>44649</v>
      </c>
      <c r="L161" t="s">
        <v>29</v>
      </c>
      <c r="M161"/>
      <c r="N161"/>
      <c r="O161"/>
      <c r="P161"/>
      <c r="Q161" s="9">
        <v>44649</v>
      </c>
      <c r="R161"/>
      <c r="S161"/>
      <c r="T161"/>
      <c r="U161"/>
    </row>
    <row r="162" spans="1:21" hidden="1">
      <c r="A162" s="7" t="s">
        <v>8733</v>
      </c>
      <c r="B162" s="7" t="s">
        <v>7433</v>
      </c>
      <c r="C162" s="8" t="s">
        <v>5316</v>
      </c>
      <c r="D162" t="s">
        <v>216</v>
      </c>
      <c r="E162" t="s">
        <v>230</v>
      </c>
      <c r="F162" t="s">
        <v>231</v>
      </c>
      <c r="G162" t="s">
        <v>235</v>
      </c>
      <c r="H162" s="9">
        <v>44627</v>
      </c>
      <c r="I162" t="s">
        <v>85</v>
      </c>
      <c r="J162" t="s">
        <v>0</v>
      </c>
      <c r="K162" s="9">
        <v>44649</v>
      </c>
      <c r="L162" t="s">
        <v>29</v>
      </c>
      <c r="M162"/>
      <c r="N162"/>
      <c r="O162"/>
      <c r="P162"/>
      <c r="Q162" s="9">
        <v>44649</v>
      </c>
      <c r="R162"/>
      <c r="S162"/>
      <c r="T162"/>
      <c r="U162"/>
    </row>
    <row r="163" spans="1:21" hidden="1">
      <c r="A163" s="7" t="s">
        <v>8733</v>
      </c>
      <c r="B163" s="7" t="s">
        <v>7433</v>
      </c>
      <c r="C163" s="8" t="s">
        <v>5316</v>
      </c>
      <c r="D163" t="s">
        <v>216</v>
      </c>
      <c r="E163" t="s">
        <v>230</v>
      </c>
      <c r="F163" t="s">
        <v>231</v>
      </c>
      <c r="G163" t="s">
        <v>236</v>
      </c>
      <c r="H163" s="9">
        <v>44627</v>
      </c>
      <c r="I163" t="s">
        <v>85</v>
      </c>
      <c r="J163" t="s">
        <v>0</v>
      </c>
      <c r="K163" s="9">
        <v>44649</v>
      </c>
      <c r="L163" t="s">
        <v>29</v>
      </c>
      <c r="M163"/>
      <c r="N163"/>
      <c r="O163"/>
      <c r="P163"/>
      <c r="Q163" s="9">
        <v>44649</v>
      </c>
      <c r="R163"/>
      <c r="S163"/>
      <c r="T163"/>
      <c r="U163"/>
    </row>
    <row r="164" spans="1:21" hidden="1">
      <c r="A164" s="7" t="s">
        <v>8733</v>
      </c>
      <c r="B164" s="7" t="s">
        <v>7433</v>
      </c>
      <c r="C164" s="8" t="s">
        <v>5316</v>
      </c>
      <c r="D164" t="s">
        <v>216</v>
      </c>
      <c r="E164" t="s">
        <v>230</v>
      </c>
      <c r="F164" t="s">
        <v>231</v>
      </c>
      <c r="G164" t="s">
        <v>237</v>
      </c>
      <c r="H164" s="9">
        <v>44627</v>
      </c>
      <c r="I164" t="s">
        <v>85</v>
      </c>
      <c r="J164" t="s">
        <v>0</v>
      </c>
      <c r="K164" s="9">
        <v>44649</v>
      </c>
      <c r="L164" t="s">
        <v>29</v>
      </c>
      <c r="M164"/>
      <c r="N164"/>
      <c r="O164"/>
      <c r="P164"/>
      <c r="Q164" s="9">
        <v>44649</v>
      </c>
      <c r="R164"/>
      <c r="S164"/>
      <c r="T164"/>
      <c r="U164"/>
    </row>
    <row r="165" spans="1:21" hidden="1">
      <c r="A165" s="7" t="s">
        <v>8733</v>
      </c>
      <c r="B165" s="7" t="s">
        <v>7433</v>
      </c>
      <c r="C165" s="8" t="s">
        <v>5316</v>
      </c>
      <c r="D165" t="s">
        <v>216</v>
      </c>
      <c r="E165" t="s">
        <v>230</v>
      </c>
      <c r="F165" t="s">
        <v>231</v>
      </c>
      <c r="G165" t="s">
        <v>238</v>
      </c>
      <c r="H165" s="9">
        <v>44627</v>
      </c>
      <c r="I165" t="s">
        <v>85</v>
      </c>
      <c r="J165" t="s">
        <v>0</v>
      </c>
      <c r="K165" s="9">
        <v>44649</v>
      </c>
      <c r="L165" t="s">
        <v>29</v>
      </c>
      <c r="M165"/>
      <c r="N165"/>
      <c r="O165"/>
      <c r="P165"/>
      <c r="Q165" s="9">
        <v>44649</v>
      </c>
      <c r="R165"/>
      <c r="S165"/>
      <c r="T165"/>
      <c r="U165"/>
    </row>
    <row r="166" spans="1:21" hidden="1">
      <c r="A166" s="7" t="s">
        <v>8733</v>
      </c>
      <c r="B166" s="7" t="s">
        <v>7433</v>
      </c>
      <c r="C166" s="8" t="s">
        <v>5316</v>
      </c>
      <c r="D166" t="s">
        <v>216</v>
      </c>
      <c r="E166" t="s">
        <v>230</v>
      </c>
      <c r="F166" t="s">
        <v>231</v>
      </c>
      <c r="G166" t="s">
        <v>239</v>
      </c>
      <c r="H166" s="9">
        <v>44627</v>
      </c>
      <c r="I166" t="s">
        <v>85</v>
      </c>
      <c r="J166" t="s">
        <v>0</v>
      </c>
      <c r="K166" s="9">
        <v>44649</v>
      </c>
      <c r="L166" t="s">
        <v>29</v>
      </c>
      <c r="M166"/>
      <c r="N166"/>
      <c r="O166"/>
      <c r="P166"/>
      <c r="Q166" s="9">
        <v>44649</v>
      </c>
      <c r="R166"/>
      <c r="S166"/>
      <c r="T166"/>
      <c r="U166"/>
    </row>
    <row r="167" spans="1:21" hidden="1">
      <c r="A167" s="7" t="s">
        <v>8734</v>
      </c>
      <c r="B167" s="7" t="s">
        <v>6775</v>
      </c>
      <c r="C167" s="8" t="s">
        <v>5316</v>
      </c>
      <c r="D167" t="s">
        <v>216</v>
      </c>
      <c r="E167" t="s">
        <v>240</v>
      </c>
      <c r="F167" t="s">
        <v>117</v>
      </c>
      <c r="G167" t="s">
        <v>241</v>
      </c>
      <c r="H167" s="9">
        <v>44627</v>
      </c>
      <c r="I167" t="s">
        <v>85</v>
      </c>
      <c r="J167" t="s">
        <v>0</v>
      </c>
      <c r="K167" s="9">
        <v>44652</v>
      </c>
      <c r="L167" t="s">
        <v>29</v>
      </c>
      <c r="M167"/>
      <c r="N167"/>
      <c r="O167"/>
      <c r="P167"/>
      <c r="Q167" s="9">
        <v>44652</v>
      </c>
      <c r="R167"/>
      <c r="S167"/>
      <c r="T167"/>
      <c r="U167"/>
    </row>
    <row r="168" spans="1:21" hidden="1">
      <c r="A168" s="7" t="s">
        <v>8734</v>
      </c>
      <c r="B168" s="7" t="s">
        <v>6775</v>
      </c>
      <c r="C168" s="8" t="s">
        <v>5316</v>
      </c>
      <c r="D168" t="s">
        <v>216</v>
      </c>
      <c r="E168" t="s">
        <v>240</v>
      </c>
      <c r="F168" t="s">
        <v>117</v>
      </c>
      <c r="G168" t="s">
        <v>242</v>
      </c>
      <c r="H168" s="9">
        <v>44627</v>
      </c>
      <c r="I168" t="s">
        <v>85</v>
      </c>
      <c r="J168" t="s">
        <v>0</v>
      </c>
      <c r="K168" s="9">
        <v>44652</v>
      </c>
      <c r="L168" t="s">
        <v>29</v>
      </c>
      <c r="M168"/>
      <c r="N168"/>
      <c r="O168"/>
      <c r="P168"/>
      <c r="Q168" s="9">
        <v>44652</v>
      </c>
      <c r="R168"/>
      <c r="S168"/>
      <c r="T168"/>
      <c r="U168"/>
    </row>
    <row r="169" spans="1:21" hidden="1">
      <c r="A169" s="7" t="s">
        <v>8735</v>
      </c>
      <c r="B169" s="7" t="s">
        <v>7743</v>
      </c>
      <c r="C169" s="8" t="s">
        <v>5316</v>
      </c>
      <c r="D169" t="s">
        <v>216</v>
      </c>
      <c r="E169" t="s">
        <v>243</v>
      </c>
      <c r="F169" t="s">
        <v>117</v>
      </c>
      <c r="G169" t="s">
        <v>244</v>
      </c>
      <c r="H169" s="9">
        <v>44627</v>
      </c>
      <c r="I169" t="s">
        <v>171</v>
      </c>
      <c r="J169" t="s">
        <v>212</v>
      </c>
      <c r="K169" s="9">
        <v>44862.397384259297</v>
      </c>
      <c r="L169" t="s">
        <v>29</v>
      </c>
      <c r="M169"/>
      <c r="N169"/>
      <c r="O169"/>
      <c r="P169"/>
      <c r="Q169" s="9">
        <v>44637</v>
      </c>
      <c r="R169" s="9">
        <v>44636.655451388899</v>
      </c>
      <c r="S169"/>
      <c r="T169"/>
      <c r="U169"/>
    </row>
    <row r="170" spans="1:21" hidden="1">
      <c r="A170" s="7" t="s">
        <v>8735</v>
      </c>
      <c r="B170" s="7" t="s">
        <v>7743</v>
      </c>
      <c r="C170" s="8" t="s">
        <v>5316</v>
      </c>
      <c r="D170" t="s">
        <v>216</v>
      </c>
      <c r="E170" t="s">
        <v>243</v>
      </c>
      <c r="F170" t="s">
        <v>117</v>
      </c>
      <c r="G170" t="s">
        <v>245</v>
      </c>
      <c r="H170" s="9">
        <v>44627</v>
      </c>
      <c r="I170" t="s">
        <v>171</v>
      </c>
      <c r="J170" t="s">
        <v>212</v>
      </c>
      <c r="K170" s="9">
        <v>44862.397384259297</v>
      </c>
      <c r="L170" t="s">
        <v>29</v>
      </c>
      <c r="M170"/>
      <c r="N170"/>
      <c r="O170"/>
      <c r="P170"/>
      <c r="Q170" s="9">
        <v>44637</v>
      </c>
      <c r="R170" s="9">
        <v>44636.655451388899</v>
      </c>
      <c r="S170"/>
      <c r="T170"/>
      <c r="U170"/>
    </row>
    <row r="171" spans="1:21" hidden="1">
      <c r="A171" s="7" t="s">
        <v>8735</v>
      </c>
      <c r="B171" s="7" t="s">
        <v>7743</v>
      </c>
      <c r="C171" s="8" t="s">
        <v>5316</v>
      </c>
      <c r="D171" t="s">
        <v>216</v>
      </c>
      <c r="E171" t="s">
        <v>243</v>
      </c>
      <c r="F171" t="s">
        <v>117</v>
      </c>
      <c r="G171" t="s">
        <v>246</v>
      </c>
      <c r="H171" s="9">
        <v>44627</v>
      </c>
      <c r="I171" t="s">
        <v>171</v>
      </c>
      <c r="J171" t="s">
        <v>212</v>
      </c>
      <c r="K171" s="9">
        <v>44862.397384259297</v>
      </c>
      <c r="L171" t="s">
        <v>29</v>
      </c>
      <c r="M171"/>
      <c r="N171"/>
      <c r="O171"/>
      <c r="P171"/>
      <c r="Q171" s="9">
        <v>44637</v>
      </c>
      <c r="R171" s="9">
        <v>44636.655451388899</v>
      </c>
      <c r="S171"/>
      <c r="T171"/>
      <c r="U171"/>
    </row>
    <row r="172" spans="1:21" hidden="1">
      <c r="A172" s="7" t="s">
        <v>8735</v>
      </c>
      <c r="B172" s="7" t="s">
        <v>7743</v>
      </c>
      <c r="C172" s="8" t="s">
        <v>5316</v>
      </c>
      <c r="D172" t="s">
        <v>216</v>
      </c>
      <c r="E172" t="s">
        <v>243</v>
      </c>
      <c r="F172" t="s">
        <v>117</v>
      </c>
      <c r="G172" t="s">
        <v>247</v>
      </c>
      <c r="H172" s="9">
        <v>44627</v>
      </c>
      <c r="I172" t="s">
        <v>171</v>
      </c>
      <c r="J172" t="s">
        <v>212</v>
      </c>
      <c r="K172" s="9">
        <v>44862.397384259297</v>
      </c>
      <c r="L172" t="s">
        <v>29</v>
      </c>
      <c r="M172"/>
      <c r="N172"/>
      <c r="O172"/>
      <c r="P172"/>
      <c r="Q172" s="9">
        <v>44637</v>
      </c>
      <c r="R172" s="9">
        <v>44636.655451388899</v>
      </c>
      <c r="S172"/>
      <c r="T172"/>
      <c r="U172"/>
    </row>
    <row r="173" spans="1:21" hidden="1">
      <c r="A173" s="7" t="s">
        <v>8735</v>
      </c>
      <c r="B173" s="7" t="s">
        <v>7743</v>
      </c>
      <c r="C173" s="8" t="s">
        <v>5316</v>
      </c>
      <c r="D173" t="s">
        <v>216</v>
      </c>
      <c r="E173" t="s">
        <v>243</v>
      </c>
      <c r="F173" t="s">
        <v>117</v>
      </c>
      <c r="G173" t="s">
        <v>248</v>
      </c>
      <c r="H173" s="9">
        <v>44627</v>
      </c>
      <c r="I173" t="s">
        <v>171</v>
      </c>
      <c r="J173" t="s">
        <v>212</v>
      </c>
      <c r="K173" s="9">
        <v>44862.397384259297</v>
      </c>
      <c r="L173" t="s">
        <v>29</v>
      </c>
      <c r="M173"/>
      <c r="N173"/>
      <c r="O173"/>
      <c r="P173"/>
      <c r="Q173" s="9">
        <v>44637</v>
      </c>
      <c r="R173" s="9">
        <v>44636.655451388899</v>
      </c>
      <c r="S173"/>
      <c r="T173"/>
      <c r="U173"/>
    </row>
    <row r="174" spans="1:21" hidden="1">
      <c r="A174" s="7" t="s">
        <v>8735</v>
      </c>
      <c r="B174" s="7" t="s">
        <v>7743</v>
      </c>
      <c r="C174" s="8" t="s">
        <v>5316</v>
      </c>
      <c r="D174" t="s">
        <v>216</v>
      </c>
      <c r="E174" t="s">
        <v>243</v>
      </c>
      <c r="F174" t="s">
        <v>117</v>
      </c>
      <c r="G174" t="s">
        <v>249</v>
      </c>
      <c r="H174" s="9">
        <v>44627</v>
      </c>
      <c r="I174" t="s">
        <v>171</v>
      </c>
      <c r="J174" t="s">
        <v>212</v>
      </c>
      <c r="K174" s="9">
        <v>44862.397384259297</v>
      </c>
      <c r="L174" t="s">
        <v>29</v>
      </c>
      <c r="M174"/>
      <c r="N174"/>
      <c r="O174"/>
      <c r="P174"/>
      <c r="Q174" s="9">
        <v>44637</v>
      </c>
      <c r="R174" s="9">
        <v>44636.655451388899</v>
      </c>
      <c r="S174"/>
      <c r="T174"/>
      <c r="U174"/>
    </row>
    <row r="175" spans="1:21" hidden="1">
      <c r="A175" s="7" t="s">
        <v>8735</v>
      </c>
      <c r="B175" s="7" t="s">
        <v>7743</v>
      </c>
      <c r="C175" s="8" t="s">
        <v>5316</v>
      </c>
      <c r="D175" t="s">
        <v>216</v>
      </c>
      <c r="E175" t="s">
        <v>243</v>
      </c>
      <c r="F175" t="s">
        <v>117</v>
      </c>
      <c r="G175" t="s">
        <v>250</v>
      </c>
      <c r="H175" s="9">
        <v>44627</v>
      </c>
      <c r="I175" t="s">
        <v>171</v>
      </c>
      <c r="J175" t="s">
        <v>212</v>
      </c>
      <c r="K175" s="9">
        <v>44862.397384259297</v>
      </c>
      <c r="L175" t="s">
        <v>29</v>
      </c>
      <c r="M175"/>
      <c r="N175"/>
      <c r="O175"/>
      <c r="P175"/>
      <c r="Q175" s="9">
        <v>44637</v>
      </c>
      <c r="R175" s="9">
        <v>44636.655451388899</v>
      </c>
      <c r="S175"/>
      <c r="T175"/>
      <c r="U175"/>
    </row>
    <row r="176" spans="1:21" hidden="1">
      <c r="A176" s="7" t="s">
        <v>8735</v>
      </c>
      <c r="B176" s="7" t="s">
        <v>7743</v>
      </c>
      <c r="C176" s="8" t="s">
        <v>5316</v>
      </c>
      <c r="D176" t="s">
        <v>216</v>
      </c>
      <c r="E176" t="s">
        <v>243</v>
      </c>
      <c r="F176" t="s">
        <v>117</v>
      </c>
      <c r="G176" t="s">
        <v>251</v>
      </c>
      <c r="H176" s="9">
        <v>44627</v>
      </c>
      <c r="I176" t="s">
        <v>171</v>
      </c>
      <c r="J176" t="s">
        <v>212</v>
      </c>
      <c r="K176" s="9">
        <v>44862.397384259297</v>
      </c>
      <c r="L176" t="s">
        <v>29</v>
      </c>
      <c r="M176"/>
      <c r="N176"/>
      <c r="O176"/>
      <c r="P176"/>
      <c r="Q176" s="9">
        <v>44637</v>
      </c>
      <c r="R176" s="9">
        <v>44636.655451388899</v>
      </c>
      <c r="S176"/>
      <c r="T176"/>
      <c r="U176"/>
    </row>
    <row r="177" spans="1:21" hidden="1">
      <c r="A177" s="7" t="s">
        <v>8735</v>
      </c>
      <c r="B177" s="7" t="s">
        <v>7743</v>
      </c>
      <c r="C177" s="8" t="s">
        <v>5316</v>
      </c>
      <c r="D177" t="s">
        <v>216</v>
      </c>
      <c r="E177" t="s">
        <v>243</v>
      </c>
      <c r="F177" t="s">
        <v>117</v>
      </c>
      <c r="G177" t="s">
        <v>252</v>
      </c>
      <c r="H177" s="9">
        <v>44627</v>
      </c>
      <c r="I177" t="s">
        <v>171</v>
      </c>
      <c r="J177" t="s">
        <v>212</v>
      </c>
      <c r="K177" s="9">
        <v>44862.397384259297</v>
      </c>
      <c r="L177" t="s">
        <v>29</v>
      </c>
      <c r="M177"/>
      <c r="N177"/>
      <c r="O177"/>
      <c r="P177"/>
      <c r="Q177" s="9">
        <v>44637</v>
      </c>
      <c r="R177" s="9">
        <v>44636.655451388899</v>
      </c>
      <c r="S177"/>
      <c r="T177"/>
      <c r="U177"/>
    </row>
    <row r="178" spans="1:21" hidden="1">
      <c r="A178" s="7" t="s">
        <v>8735</v>
      </c>
      <c r="B178" s="7" t="s">
        <v>7743</v>
      </c>
      <c r="C178" s="8" t="s">
        <v>5316</v>
      </c>
      <c r="D178" t="s">
        <v>216</v>
      </c>
      <c r="E178" t="s">
        <v>243</v>
      </c>
      <c r="F178" t="s">
        <v>117</v>
      </c>
      <c r="G178" t="s">
        <v>253</v>
      </c>
      <c r="H178" s="9">
        <v>44627</v>
      </c>
      <c r="I178" t="s">
        <v>171</v>
      </c>
      <c r="J178" t="s">
        <v>212</v>
      </c>
      <c r="K178" s="9">
        <v>44862.397384259297</v>
      </c>
      <c r="L178" t="s">
        <v>29</v>
      </c>
      <c r="M178"/>
      <c r="N178"/>
      <c r="O178"/>
      <c r="P178"/>
      <c r="Q178" s="9">
        <v>44637</v>
      </c>
      <c r="R178" s="9">
        <v>44636.655451388899</v>
      </c>
      <c r="S178"/>
      <c r="T178"/>
      <c r="U178"/>
    </row>
    <row r="179" spans="1:21" hidden="1">
      <c r="A179" s="7" t="s">
        <v>8735</v>
      </c>
      <c r="B179" s="7" t="s">
        <v>7743</v>
      </c>
      <c r="C179" s="8" t="s">
        <v>5316</v>
      </c>
      <c r="D179" t="s">
        <v>216</v>
      </c>
      <c r="E179" t="s">
        <v>243</v>
      </c>
      <c r="F179" t="s">
        <v>117</v>
      </c>
      <c r="G179" t="s">
        <v>254</v>
      </c>
      <c r="H179" s="9">
        <v>44627</v>
      </c>
      <c r="I179" t="s">
        <v>171</v>
      </c>
      <c r="J179" t="s">
        <v>212</v>
      </c>
      <c r="K179" s="9">
        <v>44862.397384259297</v>
      </c>
      <c r="L179" t="s">
        <v>29</v>
      </c>
      <c r="M179"/>
      <c r="N179"/>
      <c r="O179"/>
      <c r="P179"/>
      <c r="Q179" s="9">
        <v>44637</v>
      </c>
      <c r="R179" s="9">
        <v>44636.655451388899</v>
      </c>
      <c r="S179"/>
      <c r="T179"/>
      <c r="U179"/>
    </row>
    <row r="180" spans="1:21" hidden="1">
      <c r="A180" s="7" t="s">
        <v>8725</v>
      </c>
      <c r="B180" s="7" t="s">
        <v>7662</v>
      </c>
      <c r="C180" s="8" t="s">
        <v>5316</v>
      </c>
      <c r="D180" t="s">
        <v>216</v>
      </c>
      <c r="E180" t="s">
        <v>169</v>
      </c>
      <c r="F180" t="s">
        <v>117</v>
      </c>
      <c r="G180" t="s">
        <v>255</v>
      </c>
      <c r="H180" s="9">
        <v>44627</v>
      </c>
      <c r="I180" t="s">
        <v>171</v>
      </c>
      <c r="J180" t="s">
        <v>0</v>
      </c>
      <c r="K180" s="9">
        <v>44697</v>
      </c>
      <c r="L180" t="s">
        <v>29</v>
      </c>
      <c r="M180"/>
      <c r="N180" s="9">
        <v>44686</v>
      </c>
      <c r="O180" s="9">
        <v>44693</v>
      </c>
      <c r="P180" s="9">
        <v>44693</v>
      </c>
      <c r="Q180" s="9">
        <v>44697</v>
      </c>
      <c r="R180"/>
      <c r="S180"/>
      <c r="T180"/>
      <c r="U180"/>
    </row>
    <row r="181" spans="1:21" hidden="1">
      <c r="A181" s="7" t="s">
        <v>8725</v>
      </c>
      <c r="B181" s="7" t="s">
        <v>7662</v>
      </c>
      <c r="C181" s="8" t="s">
        <v>5316</v>
      </c>
      <c r="D181" t="s">
        <v>216</v>
      </c>
      <c r="E181" t="s">
        <v>169</v>
      </c>
      <c r="F181" t="s">
        <v>117</v>
      </c>
      <c r="G181" t="s">
        <v>256</v>
      </c>
      <c r="H181" s="9">
        <v>44627</v>
      </c>
      <c r="I181" t="s">
        <v>171</v>
      </c>
      <c r="J181" t="s">
        <v>0</v>
      </c>
      <c r="K181" s="9">
        <v>44697</v>
      </c>
      <c r="L181" t="s">
        <v>29</v>
      </c>
      <c r="M181"/>
      <c r="N181" s="9">
        <v>44686</v>
      </c>
      <c r="O181" s="9">
        <v>44693</v>
      </c>
      <c r="P181" s="9">
        <v>44693</v>
      </c>
      <c r="Q181" s="9">
        <v>44697</v>
      </c>
      <c r="R181"/>
      <c r="S181"/>
      <c r="T181"/>
      <c r="U181"/>
    </row>
    <row r="182" spans="1:21" hidden="1">
      <c r="A182" s="7" t="s">
        <v>8733</v>
      </c>
      <c r="B182" s="7" t="s">
        <v>7433</v>
      </c>
      <c r="C182" s="8" t="s">
        <v>5316</v>
      </c>
      <c r="D182" t="s">
        <v>216</v>
      </c>
      <c r="E182" t="s">
        <v>230</v>
      </c>
      <c r="F182" t="s">
        <v>231</v>
      </c>
      <c r="G182" t="s">
        <v>257</v>
      </c>
      <c r="H182" s="9">
        <v>44627</v>
      </c>
      <c r="I182" t="s">
        <v>85</v>
      </c>
      <c r="J182" t="s">
        <v>0</v>
      </c>
      <c r="K182" s="9">
        <v>44649</v>
      </c>
      <c r="L182" t="s">
        <v>29</v>
      </c>
      <c r="M182"/>
      <c r="N182"/>
      <c r="O182"/>
      <c r="P182"/>
      <c r="Q182" s="9">
        <v>44649</v>
      </c>
      <c r="R182"/>
      <c r="S182"/>
      <c r="T182"/>
      <c r="U182"/>
    </row>
    <row r="183" spans="1:21" hidden="1">
      <c r="A183" s="7" t="s">
        <v>8733</v>
      </c>
      <c r="B183" s="7" t="s">
        <v>7433</v>
      </c>
      <c r="C183" s="8" t="s">
        <v>5316</v>
      </c>
      <c r="D183" t="s">
        <v>216</v>
      </c>
      <c r="E183" t="s">
        <v>230</v>
      </c>
      <c r="F183" t="s">
        <v>231</v>
      </c>
      <c r="G183" t="s">
        <v>258</v>
      </c>
      <c r="H183" s="9">
        <v>44627</v>
      </c>
      <c r="I183" t="s">
        <v>85</v>
      </c>
      <c r="J183" t="s">
        <v>0</v>
      </c>
      <c r="K183" s="9">
        <v>44649</v>
      </c>
      <c r="L183" t="s">
        <v>29</v>
      </c>
      <c r="M183"/>
      <c r="N183"/>
      <c r="O183"/>
      <c r="P183"/>
      <c r="Q183" s="9">
        <v>44649</v>
      </c>
      <c r="R183"/>
      <c r="S183"/>
      <c r="T183"/>
      <c r="U183"/>
    </row>
    <row r="184" spans="1:21" hidden="1">
      <c r="A184" s="7" t="s">
        <v>8733</v>
      </c>
      <c r="B184" s="7" t="s">
        <v>7433</v>
      </c>
      <c r="C184" s="8" t="s">
        <v>5316</v>
      </c>
      <c r="D184" t="s">
        <v>216</v>
      </c>
      <c r="E184" t="s">
        <v>230</v>
      </c>
      <c r="F184" t="s">
        <v>231</v>
      </c>
      <c r="G184" t="s">
        <v>259</v>
      </c>
      <c r="H184" s="9">
        <v>44627</v>
      </c>
      <c r="I184" t="s">
        <v>85</v>
      </c>
      <c r="J184" t="s">
        <v>0</v>
      </c>
      <c r="K184" s="9">
        <v>44649</v>
      </c>
      <c r="L184" t="s">
        <v>29</v>
      </c>
      <c r="M184"/>
      <c r="N184"/>
      <c r="O184"/>
      <c r="P184"/>
      <c r="Q184" s="9">
        <v>44649</v>
      </c>
      <c r="R184"/>
      <c r="S184"/>
      <c r="T184"/>
      <c r="U184"/>
    </row>
    <row r="185" spans="1:21" hidden="1">
      <c r="A185" s="7" t="s">
        <v>8733</v>
      </c>
      <c r="B185" s="7" t="s">
        <v>7433</v>
      </c>
      <c r="C185" s="8" t="s">
        <v>5316</v>
      </c>
      <c r="D185" t="s">
        <v>216</v>
      </c>
      <c r="E185" t="s">
        <v>230</v>
      </c>
      <c r="F185" t="s">
        <v>231</v>
      </c>
      <c r="G185" t="s">
        <v>260</v>
      </c>
      <c r="H185" s="9">
        <v>44627</v>
      </c>
      <c r="I185" t="s">
        <v>85</v>
      </c>
      <c r="J185" t="s">
        <v>0</v>
      </c>
      <c r="K185" s="9">
        <v>44649</v>
      </c>
      <c r="L185" t="s">
        <v>29</v>
      </c>
      <c r="M185"/>
      <c r="N185"/>
      <c r="O185"/>
      <c r="P185"/>
      <c r="Q185" s="9">
        <v>44649</v>
      </c>
      <c r="R185"/>
      <c r="S185"/>
      <c r="T185"/>
      <c r="U185"/>
    </row>
    <row r="186" spans="1:21" hidden="1">
      <c r="A186" s="7" t="s">
        <v>8733</v>
      </c>
      <c r="B186" s="7" t="s">
        <v>7433</v>
      </c>
      <c r="C186" s="8" t="s">
        <v>5316</v>
      </c>
      <c r="D186" t="s">
        <v>216</v>
      </c>
      <c r="E186" t="s">
        <v>230</v>
      </c>
      <c r="F186" t="s">
        <v>231</v>
      </c>
      <c r="G186" t="s">
        <v>261</v>
      </c>
      <c r="H186" s="9">
        <v>44627</v>
      </c>
      <c r="I186" t="s">
        <v>85</v>
      </c>
      <c r="J186" t="s">
        <v>0</v>
      </c>
      <c r="K186" s="9">
        <v>44649</v>
      </c>
      <c r="L186" t="s">
        <v>29</v>
      </c>
      <c r="M186"/>
      <c r="N186"/>
      <c r="O186"/>
      <c r="P186"/>
      <c r="Q186" s="9">
        <v>44649</v>
      </c>
      <c r="R186"/>
      <c r="S186"/>
      <c r="T186"/>
      <c r="U186"/>
    </row>
    <row r="187" spans="1:21" hidden="1">
      <c r="A187" s="7" t="s">
        <v>8733</v>
      </c>
      <c r="B187" s="7" t="s">
        <v>7433</v>
      </c>
      <c r="C187" s="8" t="s">
        <v>5316</v>
      </c>
      <c r="D187" t="s">
        <v>216</v>
      </c>
      <c r="E187" t="s">
        <v>230</v>
      </c>
      <c r="F187" t="s">
        <v>231</v>
      </c>
      <c r="G187" t="s">
        <v>262</v>
      </c>
      <c r="H187" s="9">
        <v>44627</v>
      </c>
      <c r="I187" t="s">
        <v>85</v>
      </c>
      <c r="J187" t="s">
        <v>0</v>
      </c>
      <c r="K187" s="9">
        <v>44649</v>
      </c>
      <c r="L187" t="s">
        <v>29</v>
      </c>
      <c r="M187"/>
      <c r="N187"/>
      <c r="O187"/>
      <c r="P187"/>
      <c r="Q187" s="9">
        <v>44649</v>
      </c>
      <c r="R187"/>
      <c r="S187"/>
      <c r="T187"/>
      <c r="U187"/>
    </row>
    <row r="188" spans="1:21" hidden="1">
      <c r="A188" s="7" t="s">
        <v>8712</v>
      </c>
      <c r="B188" s="7" t="s">
        <v>5405</v>
      </c>
      <c r="C188" s="8" t="s">
        <v>5316</v>
      </c>
      <c r="D188" t="s">
        <v>216</v>
      </c>
      <c r="E188" t="s">
        <v>25</v>
      </c>
      <c r="F188" t="s">
        <v>26</v>
      </c>
      <c r="G188" t="s">
        <v>263</v>
      </c>
      <c r="H188" s="9">
        <v>44627</v>
      </c>
      <c r="I188" t="s">
        <v>8634</v>
      </c>
      <c r="J188" t="s">
        <v>0</v>
      </c>
      <c r="K188" s="9">
        <v>44882</v>
      </c>
      <c r="L188" t="s">
        <v>29</v>
      </c>
      <c r="M188"/>
      <c r="N188" s="9">
        <v>44686</v>
      </c>
      <c r="O188" s="9">
        <v>44693</v>
      </c>
      <c r="P188" s="9">
        <v>44693</v>
      </c>
      <c r="Q188" s="9">
        <v>44882</v>
      </c>
      <c r="R188" s="9">
        <v>44812.483622685198</v>
      </c>
      <c r="S188"/>
      <c r="T188"/>
      <c r="U188"/>
    </row>
    <row r="189" spans="1:21" hidden="1">
      <c r="A189" s="7" t="s">
        <v>8712</v>
      </c>
      <c r="B189" s="7" t="s">
        <v>5405</v>
      </c>
      <c r="C189" s="8" t="s">
        <v>5316</v>
      </c>
      <c r="D189" t="s">
        <v>216</v>
      </c>
      <c r="E189" t="s">
        <v>25</v>
      </c>
      <c r="F189" t="s">
        <v>26</v>
      </c>
      <c r="G189" t="s">
        <v>264</v>
      </c>
      <c r="H189" s="9">
        <v>44627</v>
      </c>
      <c r="I189" t="s">
        <v>8634</v>
      </c>
      <c r="J189" t="s">
        <v>0</v>
      </c>
      <c r="K189" s="9">
        <v>44882</v>
      </c>
      <c r="L189" t="s">
        <v>29</v>
      </c>
      <c r="M189"/>
      <c r="N189" s="9">
        <v>44686</v>
      </c>
      <c r="O189" s="9">
        <v>44693</v>
      </c>
      <c r="P189" s="9">
        <v>44693</v>
      </c>
      <c r="Q189" s="9">
        <v>44882</v>
      </c>
      <c r="R189"/>
      <c r="S189"/>
      <c r="T189"/>
      <c r="U189"/>
    </row>
    <row r="190" spans="1:21" hidden="1">
      <c r="A190" s="7" t="s">
        <v>8712</v>
      </c>
      <c r="B190" s="7" t="s">
        <v>5405</v>
      </c>
      <c r="C190" s="8" t="s">
        <v>5316</v>
      </c>
      <c r="D190" t="s">
        <v>216</v>
      </c>
      <c r="E190" t="s">
        <v>25</v>
      </c>
      <c r="F190" t="s">
        <v>26</v>
      </c>
      <c r="G190" t="s">
        <v>265</v>
      </c>
      <c r="H190" s="9">
        <v>44627</v>
      </c>
      <c r="I190" t="s">
        <v>8634</v>
      </c>
      <c r="J190" t="s">
        <v>0</v>
      </c>
      <c r="K190" s="9">
        <v>44882</v>
      </c>
      <c r="L190" t="s">
        <v>29</v>
      </c>
      <c r="M190"/>
      <c r="N190" s="9">
        <v>44686</v>
      </c>
      <c r="O190" s="9">
        <v>44693</v>
      </c>
      <c r="P190" s="9">
        <v>44693</v>
      </c>
      <c r="Q190" s="9">
        <v>44882</v>
      </c>
      <c r="R190"/>
      <c r="S190"/>
      <c r="T190"/>
      <c r="U190"/>
    </row>
    <row r="191" spans="1:21" hidden="1">
      <c r="A191" s="7" t="s">
        <v>8712</v>
      </c>
      <c r="B191" s="7" t="s">
        <v>5405</v>
      </c>
      <c r="C191" s="8" t="s">
        <v>5316</v>
      </c>
      <c r="D191" t="s">
        <v>216</v>
      </c>
      <c r="E191" t="s">
        <v>25</v>
      </c>
      <c r="F191" t="s">
        <v>26</v>
      </c>
      <c r="G191" t="s">
        <v>162</v>
      </c>
      <c r="H191" s="9">
        <v>44627</v>
      </c>
      <c r="I191" t="s">
        <v>8634</v>
      </c>
      <c r="J191" t="s">
        <v>0</v>
      </c>
      <c r="K191" s="9">
        <v>44882</v>
      </c>
      <c r="L191" t="s">
        <v>29</v>
      </c>
      <c r="M191"/>
      <c r="N191" s="9">
        <v>44686</v>
      </c>
      <c r="O191" s="9">
        <v>44693</v>
      </c>
      <c r="P191" s="9">
        <v>44693</v>
      </c>
      <c r="Q191" s="9">
        <v>44882</v>
      </c>
      <c r="R191" s="9">
        <v>44776.734444444402</v>
      </c>
      <c r="S191"/>
      <c r="T191"/>
      <c r="U191"/>
    </row>
    <row r="192" spans="1:21" hidden="1">
      <c r="A192" s="7" t="s">
        <v>8725</v>
      </c>
      <c r="B192" s="7" t="s">
        <v>7662</v>
      </c>
      <c r="C192" s="8" t="s">
        <v>8717</v>
      </c>
      <c r="D192" t="s">
        <v>266</v>
      </c>
      <c r="E192" t="s">
        <v>169</v>
      </c>
      <c r="F192" t="s">
        <v>117</v>
      </c>
      <c r="G192" t="s">
        <v>267</v>
      </c>
      <c r="H192"/>
      <c r="I192"/>
      <c r="J192" t="s">
        <v>0</v>
      </c>
      <c r="K192" s="9">
        <v>44676</v>
      </c>
      <c r="L192"/>
      <c r="M192"/>
      <c r="N192"/>
      <c r="O192"/>
      <c r="P192"/>
      <c r="Q192" s="9">
        <v>44676</v>
      </c>
      <c r="R192"/>
      <c r="S192"/>
      <c r="T192"/>
      <c r="U192"/>
    </row>
    <row r="193" spans="1:21" hidden="1">
      <c r="A193" s="7" t="s">
        <v>8725</v>
      </c>
      <c r="B193" s="7" t="s">
        <v>7662</v>
      </c>
      <c r="C193" s="8" t="s">
        <v>8717</v>
      </c>
      <c r="D193" t="s">
        <v>216</v>
      </c>
      <c r="E193" t="s">
        <v>169</v>
      </c>
      <c r="F193" t="s">
        <v>117</v>
      </c>
      <c r="G193" t="s">
        <v>268</v>
      </c>
      <c r="H193"/>
      <c r="I193"/>
      <c r="J193" t="s">
        <v>269</v>
      </c>
      <c r="K193" s="9">
        <v>44676.3416782407</v>
      </c>
      <c r="L193"/>
      <c r="M193"/>
      <c r="N193"/>
      <c r="O193"/>
      <c r="P193"/>
      <c r="Q193" s="9">
        <v>44664</v>
      </c>
      <c r="R193" s="9">
        <v>44676.339837963002</v>
      </c>
      <c r="S193"/>
      <c r="T193"/>
      <c r="U193"/>
    </row>
    <row r="194" spans="1:21" hidden="1">
      <c r="A194" s="7" t="s">
        <v>8725</v>
      </c>
      <c r="B194" s="7" t="s">
        <v>7662</v>
      </c>
      <c r="C194" s="8" t="s">
        <v>8717</v>
      </c>
      <c r="D194" t="s">
        <v>216</v>
      </c>
      <c r="E194" t="s">
        <v>169</v>
      </c>
      <c r="F194" t="s">
        <v>117</v>
      </c>
      <c r="G194" t="s">
        <v>270</v>
      </c>
      <c r="H194"/>
      <c r="I194"/>
      <c r="J194" t="s">
        <v>269</v>
      </c>
      <c r="K194" s="9">
        <v>44676.3416782407</v>
      </c>
      <c r="L194"/>
      <c r="M194"/>
      <c r="N194"/>
      <c r="O194"/>
      <c r="P194"/>
      <c r="Q194" s="9">
        <v>44664</v>
      </c>
      <c r="R194" s="9">
        <v>44676.339837963002</v>
      </c>
      <c r="S194"/>
      <c r="T194"/>
      <c r="U194"/>
    </row>
    <row r="195" spans="1:21" hidden="1">
      <c r="A195" s="7" t="s">
        <v>8725</v>
      </c>
      <c r="B195" s="7" t="s">
        <v>7662</v>
      </c>
      <c r="C195" s="8" t="s">
        <v>8717</v>
      </c>
      <c r="D195" t="s">
        <v>216</v>
      </c>
      <c r="E195" t="s">
        <v>169</v>
      </c>
      <c r="F195" t="s">
        <v>117</v>
      </c>
      <c r="G195" t="s">
        <v>271</v>
      </c>
      <c r="H195"/>
      <c r="I195"/>
      <c r="J195" t="s">
        <v>269</v>
      </c>
      <c r="K195" s="9">
        <v>44676.3416782407</v>
      </c>
      <c r="L195"/>
      <c r="M195"/>
      <c r="N195"/>
      <c r="O195"/>
      <c r="P195"/>
      <c r="Q195" s="9">
        <v>44664</v>
      </c>
      <c r="R195" s="9">
        <v>44676.339837963002</v>
      </c>
      <c r="S195"/>
      <c r="T195"/>
      <c r="U195"/>
    </row>
    <row r="196" spans="1:21" hidden="1">
      <c r="A196" s="7" t="s">
        <v>8736</v>
      </c>
      <c r="B196" s="7" t="s">
        <v>6549</v>
      </c>
      <c r="C196" s="8" t="s">
        <v>5317</v>
      </c>
      <c r="D196" t="s">
        <v>272</v>
      </c>
      <c r="E196" t="s">
        <v>273</v>
      </c>
      <c r="F196" t="s">
        <v>117</v>
      </c>
      <c r="G196" t="s">
        <v>274</v>
      </c>
      <c r="H196" s="9">
        <v>44657</v>
      </c>
      <c r="I196" t="s">
        <v>275</v>
      </c>
      <c r="J196" t="s">
        <v>0</v>
      </c>
      <c r="K196" s="9">
        <v>44881</v>
      </c>
      <c r="L196" t="s">
        <v>29</v>
      </c>
      <c r="M196"/>
      <c r="N196" s="9">
        <v>44686</v>
      </c>
      <c r="O196" s="9">
        <v>44693</v>
      </c>
      <c r="P196" s="9">
        <v>44693</v>
      </c>
      <c r="Q196" s="9">
        <v>44881</v>
      </c>
      <c r="R196" s="9">
        <v>44872.748553240701</v>
      </c>
      <c r="S196"/>
      <c r="T196"/>
      <c r="U196"/>
    </row>
    <row r="197" spans="1:21" hidden="1">
      <c r="A197" s="7" t="s">
        <v>8736</v>
      </c>
      <c r="B197" s="7" t="s">
        <v>6549</v>
      </c>
      <c r="C197" s="8" t="s">
        <v>5317</v>
      </c>
      <c r="D197" t="s">
        <v>272</v>
      </c>
      <c r="E197" t="s">
        <v>273</v>
      </c>
      <c r="F197" t="s">
        <v>117</v>
      </c>
      <c r="G197" t="s">
        <v>277</v>
      </c>
      <c r="H197" s="9">
        <v>44657</v>
      </c>
      <c r="I197" t="s">
        <v>275</v>
      </c>
      <c r="J197" t="s">
        <v>0</v>
      </c>
      <c r="K197" s="9">
        <v>44881</v>
      </c>
      <c r="L197" t="s">
        <v>29</v>
      </c>
      <c r="M197"/>
      <c r="N197" s="9">
        <v>44686</v>
      </c>
      <c r="O197" s="9">
        <v>44693</v>
      </c>
      <c r="P197" s="9">
        <v>44693</v>
      </c>
      <c r="Q197" s="9">
        <v>44881</v>
      </c>
      <c r="R197" s="9">
        <v>44872.748553240701</v>
      </c>
      <c r="S197"/>
      <c r="T197"/>
      <c r="U197"/>
    </row>
    <row r="198" spans="1:21" hidden="1">
      <c r="A198" s="7" t="s">
        <v>8736</v>
      </c>
      <c r="B198" s="7" t="s">
        <v>6549</v>
      </c>
      <c r="C198" s="8" t="s">
        <v>5317</v>
      </c>
      <c r="D198" t="s">
        <v>272</v>
      </c>
      <c r="E198" t="s">
        <v>273</v>
      </c>
      <c r="F198" t="s">
        <v>117</v>
      </c>
      <c r="G198" t="s">
        <v>278</v>
      </c>
      <c r="H198" s="9">
        <v>44657</v>
      </c>
      <c r="I198" t="s">
        <v>275</v>
      </c>
      <c r="J198" t="s">
        <v>0</v>
      </c>
      <c r="K198" s="9">
        <v>44881</v>
      </c>
      <c r="L198" t="s">
        <v>29</v>
      </c>
      <c r="M198"/>
      <c r="N198" s="9">
        <v>44686</v>
      </c>
      <c r="O198" s="9">
        <v>44693</v>
      </c>
      <c r="P198" s="9">
        <v>44693</v>
      </c>
      <c r="Q198" s="9">
        <v>44881</v>
      </c>
      <c r="R198" s="9">
        <v>44872.748553240701</v>
      </c>
      <c r="S198"/>
      <c r="T198"/>
      <c r="U198"/>
    </row>
    <row r="199" spans="1:21" hidden="1">
      <c r="A199" s="7" t="s">
        <v>8736</v>
      </c>
      <c r="B199" s="7" t="s">
        <v>6549</v>
      </c>
      <c r="C199" s="8" t="s">
        <v>5317</v>
      </c>
      <c r="D199" t="s">
        <v>272</v>
      </c>
      <c r="E199" t="s">
        <v>273</v>
      </c>
      <c r="F199" t="s">
        <v>117</v>
      </c>
      <c r="G199" t="s">
        <v>279</v>
      </c>
      <c r="H199" s="9">
        <v>44657</v>
      </c>
      <c r="I199" t="s">
        <v>275</v>
      </c>
      <c r="J199" t="s">
        <v>0</v>
      </c>
      <c r="K199" s="9">
        <v>44881</v>
      </c>
      <c r="L199" t="s">
        <v>29</v>
      </c>
      <c r="M199"/>
      <c r="N199" s="9">
        <v>44686</v>
      </c>
      <c r="O199" s="9">
        <v>44693</v>
      </c>
      <c r="P199" s="9">
        <v>44693</v>
      </c>
      <c r="Q199" s="9">
        <v>44881</v>
      </c>
      <c r="R199" s="9">
        <v>44872.748553240701</v>
      </c>
      <c r="S199"/>
      <c r="T199"/>
      <c r="U199"/>
    </row>
    <row r="200" spans="1:21" hidden="1">
      <c r="A200" s="7" t="s">
        <v>8737</v>
      </c>
      <c r="B200" s="7" t="s">
        <v>6549</v>
      </c>
      <c r="C200" s="8" t="s">
        <v>5317</v>
      </c>
      <c r="D200" t="s">
        <v>272</v>
      </c>
      <c r="E200" t="s">
        <v>273</v>
      </c>
      <c r="F200" t="s">
        <v>280</v>
      </c>
      <c r="G200" t="s">
        <v>281</v>
      </c>
      <c r="H200" s="9">
        <v>44657</v>
      </c>
      <c r="I200" t="s">
        <v>282</v>
      </c>
      <c r="J200" t="s">
        <v>0</v>
      </c>
      <c r="K200" s="9">
        <v>44882</v>
      </c>
      <c r="L200" t="s">
        <v>29</v>
      </c>
      <c r="M200"/>
      <c r="N200" s="9">
        <v>44686</v>
      </c>
      <c r="O200" s="9">
        <v>44693</v>
      </c>
      <c r="P200" s="9">
        <v>44693</v>
      </c>
      <c r="Q200" s="9">
        <v>44882</v>
      </c>
      <c r="R200" s="9">
        <v>44873.538483796299</v>
      </c>
      <c r="S200"/>
      <c r="T200"/>
      <c r="U200"/>
    </row>
    <row r="201" spans="1:21" hidden="1">
      <c r="A201" s="7" t="s">
        <v>8737</v>
      </c>
      <c r="B201" s="7" t="s">
        <v>6549</v>
      </c>
      <c r="C201" s="8" t="s">
        <v>5317</v>
      </c>
      <c r="D201" t="s">
        <v>272</v>
      </c>
      <c r="E201" t="s">
        <v>273</v>
      </c>
      <c r="F201" t="s">
        <v>280</v>
      </c>
      <c r="G201" t="s">
        <v>283</v>
      </c>
      <c r="H201" s="9">
        <v>44657</v>
      </c>
      <c r="I201" t="s">
        <v>282</v>
      </c>
      <c r="J201" t="s">
        <v>0</v>
      </c>
      <c r="K201" s="9">
        <v>44882</v>
      </c>
      <c r="L201" t="s">
        <v>29</v>
      </c>
      <c r="M201"/>
      <c r="N201" s="9">
        <v>44686</v>
      </c>
      <c r="O201" s="9">
        <v>44693</v>
      </c>
      <c r="P201" s="9">
        <v>44693</v>
      </c>
      <c r="Q201" s="9">
        <v>44882</v>
      </c>
      <c r="R201" s="9">
        <v>44873.538483796299</v>
      </c>
      <c r="S201"/>
      <c r="T201"/>
      <c r="U201"/>
    </row>
    <row r="202" spans="1:21" hidden="1">
      <c r="A202" s="7" t="s">
        <v>8737</v>
      </c>
      <c r="B202" s="7" t="s">
        <v>6549</v>
      </c>
      <c r="C202" s="8" t="s">
        <v>5317</v>
      </c>
      <c r="D202" t="s">
        <v>272</v>
      </c>
      <c r="E202" t="s">
        <v>273</v>
      </c>
      <c r="F202" t="s">
        <v>280</v>
      </c>
      <c r="G202" t="s">
        <v>284</v>
      </c>
      <c r="H202" s="9">
        <v>44657</v>
      </c>
      <c r="I202" t="s">
        <v>282</v>
      </c>
      <c r="J202" t="s">
        <v>0</v>
      </c>
      <c r="K202" s="9">
        <v>44882</v>
      </c>
      <c r="L202" t="s">
        <v>29</v>
      </c>
      <c r="M202"/>
      <c r="N202" s="9">
        <v>44686</v>
      </c>
      <c r="O202" s="9">
        <v>44693</v>
      </c>
      <c r="P202" s="9">
        <v>44693</v>
      </c>
      <c r="Q202" s="9">
        <v>44882</v>
      </c>
      <c r="R202" s="9">
        <v>44873.538483796299</v>
      </c>
      <c r="S202"/>
      <c r="T202"/>
      <c r="U202"/>
    </row>
    <row r="203" spans="1:21" hidden="1">
      <c r="A203" s="7" t="s">
        <v>8737</v>
      </c>
      <c r="B203" s="7" t="s">
        <v>6549</v>
      </c>
      <c r="C203" s="8" t="s">
        <v>5317</v>
      </c>
      <c r="D203" t="s">
        <v>272</v>
      </c>
      <c r="E203" t="s">
        <v>273</v>
      </c>
      <c r="F203" t="s">
        <v>280</v>
      </c>
      <c r="G203" t="s">
        <v>285</v>
      </c>
      <c r="H203" s="9">
        <v>44657</v>
      </c>
      <c r="I203" t="s">
        <v>282</v>
      </c>
      <c r="J203" t="s">
        <v>0</v>
      </c>
      <c r="K203" s="9">
        <v>44882</v>
      </c>
      <c r="L203" t="s">
        <v>29</v>
      </c>
      <c r="M203"/>
      <c r="N203" s="9">
        <v>44686</v>
      </c>
      <c r="O203" s="9">
        <v>44693</v>
      </c>
      <c r="P203" s="9">
        <v>44693</v>
      </c>
      <c r="Q203" s="9">
        <v>44882</v>
      </c>
      <c r="R203" s="9">
        <v>44873.538483796299</v>
      </c>
      <c r="S203"/>
      <c r="T203"/>
      <c r="U203"/>
    </row>
    <row r="204" spans="1:21" hidden="1">
      <c r="A204" s="7" t="s">
        <v>8737</v>
      </c>
      <c r="B204" s="7" t="s">
        <v>6549</v>
      </c>
      <c r="C204" s="8" t="s">
        <v>5317</v>
      </c>
      <c r="D204" t="s">
        <v>272</v>
      </c>
      <c r="E204" t="s">
        <v>273</v>
      </c>
      <c r="F204" t="s">
        <v>280</v>
      </c>
      <c r="G204" t="s">
        <v>286</v>
      </c>
      <c r="H204" s="9">
        <v>44657</v>
      </c>
      <c r="I204" t="s">
        <v>282</v>
      </c>
      <c r="J204" t="s">
        <v>0</v>
      </c>
      <c r="K204" s="9">
        <v>44882</v>
      </c>
      <c r="L204" t="s">
        <v>29</v>
      </c>
      <c r="M204"/>
      <c r="N204" s="9">
        <v>44686</v>
      </c>
      <c r="O204" s="9">
        <v>44693</v>
      </c>
      <c r="P204" s="9">
        <v>44693</v>
      </c>
      <c r="Q204" s="9">
        <v>44882</v>
      </c>
      <c r="R204" s="9">
        <v>44873.538483796299</v>
      </c>
      <c r="S204"/>
      <c r="T204"/>
      <c r="U204"/>
    </row>
    <row r="205" spans="1:21" hidden="1">
      <c r="A205" s="7" t="s">
        <v>8737</v>
      </c>
      <c r="B205" s="7" t="s">
        <v>6549</v>
      </c>
      <c r="C205" s="8" t="s">
        <v>5317</v>
      </c>
      <c r="D205" t="s">
        <v>272</v>
      </c>
      <c r="E205" t="s">
        <v>273</v>
      </c>
      <c r="F205" t="s">
        <v>280</v>
      </c>
      <c r="G205" t="s">
        <v>287</v>
      </c>
      <c r="H205" s="9">
        <v>44657</v>
      </c>
      <c r="I205" t="s">
        <v>282</v>
      </c>
      <c r="J205" t="s">
        <v>0</v>
      </c>
      <c r="K205" s="9">
        <v>44882</v>
      </c>
      <c r="L205" t="s">
        <v>29</v>
      </c>
      <c r="M205"/>
      <c r="N205" s="9">
        <v>44686</v>
      </c>
      <c r="O205" s="9">
        <v>44693</v>
      </c>
      <c r="P205" s="9">
        <v>44693</v>
      </c>
      <c r="Q205" s="9">
        <v>44882</v>
      </c>
      <c r="R205" s="9">
        <v>44873.538483796299</v>
      </c>
      <c r="S205"/>
      <c r="T205"/>
      <c r="U205"/>
    </row>
    <row r="206" spans="1:21" hidden="1">
      <c r="A206" s="7" t="s">
        <v>8737</v>
      </c>
      <c r="B206" s="7" t="s">
        <v>6549</v>
      </c>
      <c r="C206" s="8" t="s">
        <v>5317</v>
      </c>
      <c r="D206" t="s">
        <v>272</v>
      </c>
      <c r="E206" t="s">
        <v>273</v>
      </c>
      <c r="F206" t="s">
        <v>280</v>
      </c>
      <c r="G206" t="s">
        <v>288</v>
      </c>
      <c r="H206" s="9">
        <v>44657</v>
      </c>
      <c r="I206" t="s">
        <v>282</v>
      </c>
      <c r="J206" t="s">
        <v>0</v>
      </c>
      <c r="K206" s="9">
        <v>44882</v>
      </c>
      <c r="L206" t="s">
        <v>29</v>
      </c>
      <c r="M206"/>
      <c r="N206" s="9">
        <v>44686</v>
      </c>
      <c r="O206" s="9">
        <v>44693</v>
      </c>
      <c r="P206" s="9">
        <v>44693</v>
      </c>
      <c r="Q206" s="9">
        <v>44882</v>
      </c>
      <c r="R206" s="9">
        <v>44873.538483796299</v>
      </c>
      <c r="S206"/>
      <c r="T206"/>
      <c r="U206"/>
    </row>
    <row r="207" spans="1:21" hidden="1">
      <c r="A207" s="7" t="s">
        <v>8737</v>
      </c>
      <c r="B207" s="7" t="s">
        <v>6549</v>
      </c>
      <c r="C207" s="8" t="s">
        <v>5317</v>
      </c>
      <c r="D207" t="s">
        <v>272</v>
      </c>
      <c r="E207" t="s">
        <v>273</v>
      </c>
      <c r="F207" t="s">
        <v>280</v>
      </c>
      <c r="G207" t="s">
        <v>289</v>
      </c>
      <c r="H207" s="9">
        <v>44657</v>
      </c>
      <c r="I207" t="s">
        <v>282</v>
      </c>
      <c r="J207" t="s">
        <v>0</v>
      </c>
      <c r="K207" s="9">
        <v>44882</v>
      </c>
      <c r="L207" t="s">
        <v>29</v>
      </c>
      <c r="M207"/>
      <c r="N207" s="9">
        <v>44686</v>
      </c>
      <c r="O207" s="9">
        <v>44693</v>
      </c>
      <c r="P207" s="9">
        <v>44693</v>
      </c>
      <c r="Q207" s="9">
        <v>44882</v>
      </c>
      <c r="R207" s="9">
        <v>44873.538483796299</v>
      </c>
      <c r="S207"/>
      <c r="T207"/>
      <c r="U207"/>
    </row>
    <row r="208" spans="1:21" hidden="1">
      <c r="A208" s="7" t="s">
        <v>8737</v>
      </c>
      <c r="B208" s="7" t="s">
        <v>6549</v>
      </c>
      <c r="C208" s="8" t="s">
        <v>5317</v>
      </c>
      <c r="D208" t="s">
        <v>272</v>
      </c>
      <c r="E208" t="s">
        <v>273</v>
      </c>
      <c r="F208" t="s">
        <v>280</v>
      </c>
      <c r="G208" t="s">
        <v>290</v>
      </c>
      <c r="H208" s="9">
        <v>44657</v>
      </c>
      <c r="I208" t="s">
        <v>282</v>
      </c>
      <c r="J208" t="s">
        <v>0</v>
      </c>
      <c r="K208" s="9">
        <v>44882</v>
      </c>
      <c r="L208" t="s">
        <v>29</v>
      </c>
      <c r="M208"/>
      <c r="N208" s="9">
        <v>44686</v>
      </c>
      <c r="O208" s="9">
        <v>44693</v>
      </c>
      <c r="P208" s="9">
        <v>44693</v>
      </c>
      <c r="Q208" s="9">
        <v>44882</v>
      </c>
      <c r="R208" s="9">
        <v>44873.538483796299</v>
      </c>
      <c r="S208"/>
      <c r="T208"/>
      <c r="U208"/>
    </row>
    <row r="209" spans="1:21" hidden="1">
      <c r="A209" s="7" t="s">
        <v>8737</v>
      </c>
      <c r="B209" s="7" t="s">
        <v>6549</v>
      </c>
      <c r="C209" s="8" t="s">
        <v>5317</v>
      </c>
      <c r="D209" t="s">
        <v>272</v>
      </c>
      <c r="E209" t="s">
        <v>273</v>
      </c>
      <c r="F209" t="s">
        <v>280</v>
      </c>
      <c r="G209" t="s">
        <v>291</v>
      </c>
      <c r="H209" s="9">
        <v>44657</v>
      </c>
      <c r="I209" t="s">
        <v>282</v>
      </c>
      <c r="J209" t="s">
        <v>0</v>
      </c>
      <c r="K209" s="9">
        <v>44882</v>
      </c>
      <c r="L209" t="s">
        <v>29</v>
      </c>
      <c r="M209"/>
      <c r="N209" s="9">
        <v>44686</v>
      </c>
      <c r="O209" s="9">
        <v>44693</v>
      </c>
      <c r="P209" s="9">
        <v>44693</v>
      </c>
      <c r="Q209" s="9">
        <v>44882</v>
      </c>
      <c r="R209" s="9">
        <v>44873.538483796299</v>
      </c>
      <c r="S209"/>
      <c r="T209"/>
      <c r="U209"/>
    </row>
    <row r="210" spans="1:21" hidden="1">
      <c r="A210" s="7" t="s">
        <v>8737</v>
      </c>
      <c r="B210" s="7" t="s">
        <v>6549</v>
      </c>
      <c r="C210" s="8" t="s">
        <v>5317</v>
      </c>
      <c r="D210" t="s">
        <v>272</v>
      </c>
      <c r="E210" t="s">
        <v>273</v>
      </c>
      <c r="F210" t="s">
        <v>280</v>
      </c>
      <c r="G210" t="s">
        <v>292</v>
      </c>
      <c r="H210" s="9">
        <v>44657</v>
      </c>
      <c r="I210" t="s">
        <v>282</v>
      </c>
      <c r="J210" t="s">
        <v>0</v>
      </c>
      <c r="K210" s="9">
        <v>44882</v>
      </c>
      <c r="L210" t="s">
        <v>29</v>
      </c>
      <c r="M210"/>
      <c r="N210" s="9">
        <v>44686</v>
      </c>
      <c r="O210" s="9">
        <v>44693</v>
      </c>
      <c r="P210" s="9">
        <v>44693</v>
      </c>
      <c r="Q210" s="9">
        <v>44882</v>
      </c>
      <c r="R210" s="9">
        <v>44873.538483796299</v>
      </c>
      <c r="S210"/>
      <c r="T210"/>
      <c r="U210"/>
    </row>
    <row r="211" spans="1:21" hidden="1">
      <c r="A211" s="7" t="s">
        <v>8737</v>
      </c>
      <c r="B211" s="7" t="s">
        <v>6549</v>
      </c>
      <c r="C211" s="8" t="s">
        <v>5317</v>
      </c>
      <c r="D211" t="s">
        <v>272</v>
      </c>
      <c r="E211" t="s">
        <v>273</v>
      </c>
      <c r="F211" t="s">
        <v>280</v>
      </c>
      <c r="G211" t="s">
        <v>293</v>
      </c>
      <c r="H211" s="9">
        <v>44657</v>
      </c>
      <c r="I211" t="s">
        <v>282</v>
      </c>
      <c r="J211" t="s">
        <v>0</v>
      </c>
      <c r="K211" s="9">
        <v>44882</v>
      </c>
      <c r="L211" t="s">
        <v>29</v>
      </c>
      <c r="M211"/>
      <c r="N211" s="9">
        <v>44686</v>
      </c>
      <c r="O211" s="9">
        <v>44693</v>
      </c>
      <c r="P211" s="9">
        <v>44693</v>
      </c>
      <c r="Q211" s="9">
        <v>44882</v>
      </c>
      <c r="R211" s="9">
        <v>44873.538483796299</v>
      </c>
      <c r="S211"/>
      <c r="T211"/>
      <c r="U211"/>
    </row>
    <row r="212" spans="1:21" hidden="1">
      <c r="A212" s="7" t="s">
        <v>8737</v>
      </c>
      <c r="B212" s="7" t="s">
        <v>6549</v>
      </c>
      <c r="C212" s="8" t="s">
        <v>5317</v>
      </c>
      <c r="D212" t="s">
        <v>272</v>
      </c>
      <c r="E212" t="s">
        <v>273</v>
      </c>
      <c r="F212" t="s">
        <v>280</v>
      </c>
      <c r="G212" t="s">
        <v>294</v>
      </c>
      <c r="H212" s="9">
        <v>44657</v>
      </c>
      <c r="I212" t="s">
        <v>282</v>
      </c>
      <c r="J212" t="s">
        <v>0</v>
      </c>
      <c r="K212" s="9">
        <v>44882</v>
      </c>
      <c r="L212" t="s">
        <v>29</v>
      </c>
      <c r="M212"/>
      <c r="N212" s="9">
        <v>44686</v>
      </c>
      <c r="O212" s="9">
        <v>44693</v>
      </c>
      <c r="P212" s="9">
        <v>44693</v>
      </c>
      <c r="Q212" s="9">
        <v>44882</v>
      </c>
      <c r="R212" s="9">
        <v>44873.538483796299</v>
      </c>
      <c r="S212"/>
      <c r="T212"/>
      <c r="U212"/>
    </row>
    <row r="213" spans="1:21" hidden="1">
      <c r="A213" s="7" t="s">
        <v>8737</v>
      </c>
      <c r="B213" s="7" t="s">
        <v>6549</v>
      </c>
      <c r="C213" s="8" t="s">
        <v>5317</v>
      </c>
      <c r="D213" t="s">
        <v>272</v>
      </c>
      <c r="E213" t="s">
        <v>273</v>
      </c>
      <c r="F213" t="s">
        <v>280</v>
      </c>
      <c r="G213" t="s">
        <v>295</v>
      </c>
      <c r="H213" s="9">
        <v>44657</v>
      </c>
      <c r="I213" t="s">
        <v>282</v>
      </c>
      <c r="J213" t="s">
        <v>0</v>
      </c>
      <c r="K213" s="9">
        <v>44882</v>
      </c>
      <c r="L213" t="s">
        <v>29</v>
      </c>
      <c r="M213"/>
      <c r="N213" s="9">
        <v>44686</v>
      </c>
      <c r="O213" s="9">
        <v>44693</v>
      </c>
      <c r="P213" s="9">
        <v>44693</v>
      </c>
      <c r="Q213" s="9">
        <v>44882</v>
      </c>
      <c r="R213" s="9">
        <v>44873.538483796299</v>
      </c>
      <c r="S213"/>
      <c r="T213"/>
      <c r="U213"/>
    </row>
    <row r="214" spans="1:21" hidden="1">
      <c r="A214" s="7" t="s">
        <v>8738</v>
      </c>
      <c r="B214" s="7" t="s">
        <v>6549</v>
      </c>
      <c r="C214" s="8" t="s">
        <v>5317</v>
      </c>
      <c r="D214" t="s">
        <v>272</v>
      </c>
      <c r="E214" t="s">
        <v>273</v>
      </c>
      <c r="F214" t="s">
        <v>97</v>
      </c>
      <c r="G214" t="s">
        <v>296</v>
      </c>
      <c r="H214" s="9">
        <v>44657</v>
      </c>
      <c r="I214" t="s">
        <v>297</v>
      </c>
      <c r="J214" t="s">
        <v>0</v>
      </c>
      <c r="K214" s="9">
        <v>44881</v>
      </c>
      <c r="L214" t="s">
        <v>29</v>
      </c>
      <c r="M214"/>
      <c r="N214"/>
      <c r="O214"/>
      <c r="P214"/>
      <c r="Q214" s="9">
        <v>44881</v>
      </c>
      <c r="R214" s="9">
        <v>44676.339236111096</v>
      </c>
      <c r="S214"/>
      <c r="T214"/>
      <c r="U214"/>
    </row>
    <row r="215" spans="1:21" hidden="1">
      <c r="A215" s="7" t="s">
        <v>8738</v>
      </c>
      <c r="B215" s="7" t="s">
        <v>6549</v>
      </c>
      <c r="C215" s="8" t="s">
        <v>5317</v>
      </c>
      <c r="D215" t="s">
        <v>272</v>
      </c>
      <c r="E215" t="s">
        <v>273</v>
      </c>
      <c r="F215" t="s">
        <v>97</v>
      </c>
      <c r="G215" t="s">
        <v>298</v>
      </c>
      <c r="H215" s="9">
        <v>44657</v>
      </c>
      <c r="I215" t="s">
        <v>297</v>
      </c>
      <c r="J215" t="s">
        <v>0</v>
      </c>
      <c r="K215" s="9">
        <v>44881</v>
      </c>
      <c r="L215" t="s">
        <v>29</v>
      </c>
      <c r="M215"/>
      <c r="N215"/>
      <c r="O215"/>
      <c r="P215"/>
      <c r="Q215" s="9">
        <v>44881</v>
      </c>
      <c r="R215" s="9">
        <v>44676.339236111096</v>
      </c>
      <c r="S215"/>
      <c r="T215"/>
      <c r="U215"/>
    </row>
    <row r="216" spans="1:21" hidden="1">
      <c r="A216" s="7" t="s">
        <v>8739</v>
      </c>
      <c r="B216" s="7" t="s">
        <v>6549</v>
      </c>
      <c r="C216" s="8" t="s">
        <v>5317</v>
      </c>
      <c r="D216" t="s">
        <v>272</v>
      </c>
      <c r="E216" t="s">
        <v>273</v>
      </c>
      <c r="F216" t="s">
        <v>103</v>
      </c>
      <c r="G216" t="s">
        <v>299</v>
      </c>
      <c r="H216" s="9">
        <v>44657</v>
      </c>
      <c r="I216" t="s">
        <v>282</v>
      </c>
      <c r="J216" t="s">
        <v>163</v>
      </c>
      <c r="K216" s="9">
        <v>44693</v>
      </c>
      <c r="L216" t="s">
        <v>29</v>
      </c>
      <c r="M216"/>
      <c r="N216" s="9">
        <v>44686</v>
      </c>
      <c r="O216" s="9">
        <v>44693</v>
      </c>
      <c r="P216" s="9">
        <v>44693</v>
      </c>
      <c r="Q216"/>
      <c r="R216"/>
      <c r="S216"/>
      <c r="T216"/>
      <c r="U216"/>
    </row>
    <row r="217" spans="1:21" hidden="1">
      <c r="A217" s="7" t="s">
        <v>8739</v>
      </c>
      <c r="B217" s="7" t="s">
        <v>6549</v>
      </c>
      <c r="C217" s="8" t="s">
        <v>5317</v>
      </c>
      <c r="D217" t="s">
        <v>272</v>
      </c>
      <c r="E217" t="s">
        <v>273</v>
      </c>
      <c r="F217" t="s">
        <v>103</v>
      </c>
      <c r="G217" t="s">
        <v>300</v>
      </c>
      <c r="H217" s="9">
        <v>44657</v>
      </c>
      <c r="I217" t="s">
        <v>282</v>
      </c>
      <c r="J217" t="s">
        <v>163</v>
      </c>
      <c r="K217" s="9">
        <v>44693</v>
      </c>
      <c r="L217" t="s">
        <v>29</v>
      </c>
      <c r="M217"/>
      <c r="N217" s="9">
        <v>44686</v>
      </c>
      <c r="O217" s="9">
        <v>44693</v>
      </c>
      <c r="P217" s="9">
        <v>44693</v>
      </c>
      <c r="Q217"/>
      <c r="R217"/>
      <c r="S217"/>
      <c r="T217"/>
      <c r="U217"/>
    </row>
    <row r="218" spans="1:21" hidden="1">
      <c r="A218" s="7" t="s">
        <v>8739</v>
      </c>
      <c r="B218" s="7" t="s">
        <v>6549</v>
      </c>
      <c r="C218" s="8" t="s">
        <v>5317</v>
      </c>
      <c r="D218" t="s">
        <v>272</v>
      </c>
      <c r="E218" t="s">
        <v>273</v>
      </c>
      <c r="F218" t="s">
        <v>103</v>
      </c>
      <c r="G218" t="s">
        <v>301</v>
      </c>
      <c r="H218" s="9">
        <v>44657</v>
      </c>
      <c r="I218" t="s">
        <v>282</v>
      </c>
      <c r="J218" t="s">
        <v>163</v>
      </c>
      <c r="K218" s="9">
        <v>44693</v>
      </c>
      <c r="L218" t="s">
        <v>29</v>
      </c>
      <c r="M218"/>
      <c r="N218" s="9">
        <v>44686</v>
      </c>
      <c r="O218" s="9">
        <v>44693</v>
      </c>
      <c r="P218" s="9">
        <v>44693</v>
      </c>
      <c r="Q218"/>
      <c r="R218"/>
      <c r="S218"/>
      <c r="T218"/>
      <c r="U218"/>
    </row>
    <row r="219" spans="1:21" hidden="1">
      <c r="A219" s="7" t="s">
        <v>8732</v>
      </c>
      <c r="B219" s="7" t="s">
        <v>6619</v>
      </c>
      <c r="C219" s="8" t="s">
        <v>5317</v>
      </c>
      <c r="D219" t="s">
        <v>272</v>
      </c>
      <c r="E219" t="s">
        <v>226</v>
      </c>
      <c r="F219" t="s">
        <v>227</v>
      </c>
      <c r="G219" t="s">
        <v>302</v>
      </c>
      <c r="H219" s="9">
        <v>44657</v>
      </c>
      <c r="I219" t="s">
        <v>229</v>
      </c>
      <c r="J219" t="s">
        <v>0</v>
      </c>
      <c r="K219" s="9">
        <v>44676</v>
      </c>
      <c r="L219" t="s">
        <v>29</v>
      </c>
      <c r="M219"/>
      <c r="N219"/>
      <c r="O219"/>
      <c r="P219"/>
      <c r="Q219" s="9">
        <v>44676</v>
      </c>
      <c r="R219"/>
      <c r="S219"/>
      <c r="T219"/>
      <c r="U219"/>
    </row>
    <row r="220" spans="1:21" hidden="1">
      <c r="A220" s="7" t="s">
        <v>8732</v>
      </c>
      <c r="B220" s="7" t="s">
        <v>6619</v>
      </c>
      <c r="C220" s="8" t="s">
        <v>5317</v>
      </c>
      <c r="D220" t="s">
        <v>272</v>
      </c>
      <c r="E220" t="s">
        <v>226</v>
      </c>
      <c r="F220" t="s">
        <v>227</v>
      </c>
      <c r="G220" t="s">
        <v>303</v>
      </c>
      <c r="H220" s="9">
        <v>44657</v>
      </c>
      <c r="I220" t="s">
        <v>229</v>
      </c>
      <c r="J220" t="s">
        <v>0</v>
      </c>
      <c r="K220" s="9">
        <v>44676</v>
      </c>
      <c r="L220" t="s">
        <v>29</v>
      </c>
      <c r="M220"/>
      <c r="N220"/>
      <c r="O220"/>
      <c r="P220"/>
      <c r="Q220" s="9">
        <v>44676</v>
      </c>
      <c r="R220"/>
      <c r="S220"/>
      <c r="T220"/>
      <c r="U220"/>
    </row>
    <row r="221" spans="1:21" hidden="1">
      <c r="A221" s="7" t="s">
        <v>8740</v>
      </c>
      <c r="B221" s="7" t="s">
        <v>6627</v>
      </c>
      <c r="C221" s="8" t="s">
        <v>5317</v>
      </c>
      <c r="D221" t="s">
        <v>272</v>
      </c>
      <c r="E221" t="s">
        <v>304</v>
      </c>
      <c r="F221" t="s">
        <v>117</v>
      </c>
      <c r="G221" t="s">
        <v>305</v>
      </c>
      <c r="H221" s="9">
        <v>44657</v>
      </c>
      <c r="I221" t="s">
        <v>306</v>
      </c>
      <c r="J221" t="s">
        <v>0</v>
      </c>
      <c r="K221" s="9">
        <v>44711</v>
      </c>
      <c r="L221" t="s">
        <v>29</v>
      </c>
      <c r="M221"/>
      <c r="N221" s="9">
        <v>44686</v>
      </c>
      <c r="O221"/>
      <c r="P221"/>
      <c r="Q221" s="9">
        <v>44711</v>
      </c>
      <c r="R221"/>
      <c r="S221"/>
      <c r="T221"/>
      <c r="U221"/>
    </row>
    <row r="222" spans="1:21" hidden="1">
      <c r="A222" s="7" t="s">
        <v>8740</v>
      </c>
      <c r="B222" s="7" t="s">
        <v>6627</v>
      </c>
      <c r="C222" s="8" t="s">
        <v>5317</v>
      </c>
      <c r="D222" t="s">
        <v>272</v>
      </c>
      <c r="E222" t="s">
        <v>304</v>
      </c>
      <c r="F222" t="s">
        <v>117</v>
      </c>
      <c r="G222" t="s">
        <v>307</v>
      </c>
      <c r="H222" s="9">
        <v>44657</v>
      </c>
      <c r="I222" t="s">
        <v>306</v>
      </c>
      <c r="J222" t="s">
        <v>0</v>
      </c>
      <c r="K222" s="9">
        <v>44711</v>
      </c>
      <c r="L222" t="s">
        <v>29</v>
      </c>
      <c r="M222"/>
      <c r="N222" s="9">
        <v>44686</v>
      </c>
      <c r="O222"/>
      <c r="P222"/>
      <c r="Q222" s="9">
        <v>44711</v>
      </c>
      <c r="R222"/>
      <c r="S222"/>
      <c r="T222"/>
      <c r="U222"/>
    </row>
    <row r="223" spans="1:21" hidden="1">
      <c r="A223" s="7" t="s">
        <v>8740</v>
      </c>
      <c r="B223" s="7" t="s">
        <v>6627</v>
      </c>
      <c r="C223" s="8" t="s">
        <v>5317</v>
      </c>
      <c r="D223" t="s">
        <v>272</v>
      </c>
      <c r="E223" t="s">
        <v>304</v>
      </c>
      <c r="F223" t="s">
        <v>117</v>
      </c>
      <c r="G223" t="s">
        <v>308</v>
      </c>
      <c r="H223" s="9">
        <v>44657</v>
      </c>
      <c r="I223" t="s">
        <v>306</v>
      </c>
      <c r="J223" t="s">
        <v>0</v>
      </c>
      <c r="K223" s="9">
        <v>44711</v>
      </c>
      <c r="L223" t="s">
        <v>29</v>
      </c>
      <c r="M223"/>
      <c r="N223" s="9">
        <v>44686</v>
      </c>
      <c r="O223"/>
      <c r="P223"/>
      <c r="Q223" s="9">
        <v>44711</v>
      </c>
      <c r="R223"/>
      <c r="S223"/>
      <c r="T223"/>
      <c r="U223"/>
    </row>
    <row r="224" spans="1:21" hidden="1">
      <c r="A224" s="7" t="s">
        <v>8740</v>
      </c>
      <c r="B224" s="7" t="s">
        <v>6627</v>
      </c>
      <c r="C224" s="8" t="s">
        <v>5317</v>
      </c>
      <c r="D224" t="s">
        <v>272</v>
      </c>
      <c r="E224" t="s">
        <v>304</v>
      </c>
      <c r="F224" t="s">
        <v>117</v>
      </c>
      <c r="G224" t="s">
        <v>309</v>
      </c>
      <c r="H224" s="9">
        <v>44657</v>
      </c>
      <c r="I224" t="s">
        <v>306</v>
      </c>
      <c r="J224" t="s">
        <v>0</v>
      </c>
      <c r="K224" s="9">
        <v>44711</v>
      </c>
      <c r="L224" t="s">
        <v>29</v>
      </c>
      <c r="M224"/>
      <c r="N224" s="9">
        <v>44686</v>
      </c>
      <c r="O224"/>
      <c r="P224"/>
      <c r="Q224" s="9">
        <v>44711</v>
      </c>
      <c r="R224"/>
      <c r="S224"/>
      <c r="T224"/>
      <c r="U224"/>
    </row>
    <row r="225" spans="1:21" hidden="1">
      <c r="A225" s="7" t="s">
        <v>8740</v>
      </c>
      <c r="B225" s="7" t="s">
        <v>6627</v>
      </c>
      <c r="C225" s="8" t="s">
        <v>5317</v>
      </c>
      <c r="D225" t="s">
        <v>272</v>
      </c>
      <c r="E225" t="s">
        <v>304</v>
      </c>
      <c r="F225" t="s">
        <v>117</v>
      </c>
      <c r="G225" t="s">
        <v>310</v>
      </c>
      <c r="H225" s="9">
        <v>44657</v>
      </c>
      <c r="I225" t="s">
        <v>306</v>
      </c>
      <c r="J225" t="s">
        <v>0</v>
      </c>
      <c r="K225" s="9">
        <v>44711</v>
      </c>
      <c r="L225" t="s">
        <v>29</v>
      </c>
      <c r="M225"/>
      <c r="N225" s="9">
        <v>44686</v>
      </c>
      <c r="O225"/>
      <c r="P225"/>
      <c r="Q225" s="9">
        <v>44711</v>
      </c>
      <c r="R225"/>
      <c r="S225"/>
      <c r="T225"/>
      <c r="U225"/>
    </row>
    <row r="226" spans="1:21" hidden="1">
      <c r="A226" s="7" t="s">
        <v>8740</v>
      </c>
      <c r="B226" s="7" t="s">
        <v>6627</v>
      </c>
      <c r="C226" s="8" t="s">
        <v>5317</v>
      </c>
      <c r="D226" t="s">
        <v>272</v>
      </c>
      <c r="E226" t="s">
        <v>304</v>
      </c>
      <c r="F226" t="s">
        <v>117</v>
      </c>
      <c r="G226" t="s">
        <v>311</v>
      </c>
      <c r="H226" s="9">
        <v>44657</v>
      </c>
      <c r="I226" t="s">
        <v>306</v>
      </c>
      <c r="J226" t="s">
        <v>0</v>
      </c>
      <c r="K226" s="9">
        <v>44711</v>
      </c>
      <c r="L226" t="s">
        <v>29</v>
      </c>
      <c r="M226"/>
      <c r="N226" s="9">
        <v>44686</v>
      </c>
      <c r="O226"/>
      <c r="P226"/>
      <c r="Q226" s="9">
        <v>44711</v>
      </c>
      <c r="R226"/>
      <c r="S226"/>
      <c r="T226"/>
      <c r="U226"/>
    </row>
    <row r="227" spans="1:21" hidden="1">
      <c r="A227" s="7" t="s">
        <v>8740</v>
      </c>
      <c r="B227" s="7" t="s">
        <v>6627</v>
      </c>
      <c r="C227" s="8" t="s">
        <v>5317</v>
      </c>
      <c r="D227" t="s">
        <v>272</v>
      </c>
      <c r="E227" t="s">
        <v>304</v>
      </c>
      <c r="F227" t="s">
        <v>117</v>
      </c>
      <c r="G227" t="s">
        <v>312</v>
      </c>
      <c r="H227" s="9">
        <v>44657</v>
      </c>
      <c r="I227" t="s">
        <v>306</v>
      </c>
      <c r="J227" t="s">
        <v>0</v>
      </c>
      <c r="K227" s="9">
        <v>44711</v>
      </c>
      <c r="L227" t="s">
        <v>29</v>
      </c>
      <c r="M227"/>
      <c r="N227" s="9">
        <v>44686</v>
      </c>
      <c r="O227"/>
      <c r="P227"/>
      <c r="Q227" s="9">
        <v>44711</v>
      </c>
      <c r="R227"/>
      <c r="S227"/>
      <c r="T227"/>
      <c r="U227"/>
    </row>
    <row r="228" spans="1:21" hidden="1">
      <c r="A228" s="7" t="s">
        <v>8740</v>
      </c>
      <c r="B228" s="7" t="s">
        <v>6627</v>
      </c>
      <c r="C228" s="8" t="s">
        <v>5317</v>
      </c>
      <c r="D228" t="s">
        <v>272</v>
      </c>
      <c r="E228" t="s">
        <v>304</v>
      </c>
      <c r="F228" t="s">
        <v>117</v>
      </c>
      <c r="G228" t="s">
        <v>313</v>
      </c>
      <c r="H228" s="9">
        <v>44657</v>
      </c>
      <c r="I228" t="s">
        <v>306</v>
      </c>
      <c r="J228" t="s">
        <v>0</v>
      </c>
      <c r="K228" s="9">
        <v>44711</v>
      </c>
      <c r="L228" t="s">
        <v>29</v>
      </c>
      <c r="M228"/>
      <c r="N228" s="9">
        <v>44686</v>
      </c>
      <c r="O228"/>
      <c r="P228"/>
      <c r="Q228" s="9">
        <v>44711</v>
      </c>
      <c r="R228"/>
      <c r="S228"/>
      <c r="T228"/>
      <c r="U228"/>
    </row>
    <row r="229" spans="1:21" hidden="1">
      <c r="A229" s="7" t="s">
        <v>8740</v>
      </c>
      <c r="B229" s="7" t="s">
        <v>6627</v>
      </c>
      <c r="C229" s="8" t="s">
        <v>5317</v>
      </c>
      <c r="D229" t="s">
        <v>272</v>
      </c>
      <c r="E229" t="s">
        <v>304</v>
      </c>
      <c r="F229" t="s">
        <v>117</v>
      </c>
      <c r="G229" t="s">
        <v>314</v>
      </c>
      <c r="H229" s="9">
        <v>44657</v>
      </c>
      <c r="I229" t="s">
        <v>306</v>
      </c>
      <c r="J229" t="s">
        <v>0</v>
      </c>
      <c r="K229" s="9">
        <v>44711</v>
      </c>
      <c r="L229" t="s">
        <v>29</v>
      </c>
      <c r="M229"/>
      <c r="N229" s="9">
        <v>44686</v>
      </c>
      <c r="O229"/>
      <c r="P229"/>
      <c r="Q229" s="9">
        <v>44711</v>
      </c>
      <c r="R229"/>
      <c r="S229"/>
      <c r="T229"/>
      <c r="U229"/>
    </row>
    <row r="230" spans="1:21" hidden="1">
      <c r="A230" s="7" t="s">
        <v>8740</v>
      </c>
      <c r="B230" s="7" t="s">
        <v>6627</v>
      </c>
      <c r="C230" s="8" t="s">
        <v>5317</v>
      </c>
      <c r="D230" t="s">
        <v>272</v>
      </c>
      <c r="E230" t="s">
        <v>304</v>
      </c>
      <c r="F230" t="s">
        <v>117</v>
      </c>
      <c r="G230" t="s">
        <v>315</v>
      </c>
      <c r="H230" s="9">
        <v>44657</v>
      </c>
      <c r="I230" t="s">
        <v>306</v>
      </c>
      <c r="J230" t="s">
        <v>0</v>
      </c>
      <c r="K230" s="9">
        <v>44711</v>
      </c>
      <c r="L230" t="s">
        <v>29</v>
      </c>
      <c r="M230"/>
      <c r="N230" s="9">
        <v>44686</v>
      </c>
      <c r="O230"/>
      <c r="P230"/>
      <c r="Q230" s="9">
        <v>44711</v>
      </c>
      <c r="R230"/>
      <c r="S230"/>
      <c r="T230"/>
      <c r="U230"/>
    </row>
    <row r="231" spans="1:21" hidden="1">
      <c r="A231" s="7" t="s">
        <v>8740</v>
      </c>
      <c r="B231" s="7" t="s">
        <v>6627</v>
      </c>
      <c r="C231" s="8" t="s">
        <v>5317</v>
      </c>
      <c r="D231" t="s">
        <v>272</v>
      </c>
      <c r="E231" t="s">
        <v>304</v>
      </c>
      <c r="F231" t="s">
        <v>117</v>
      </c>
      <c r="G231" t="s">
        <v>316</v>
      </c>
      <c r="H231" s="9">
        <v>44657</v>
      </c>
      <c r="I231" t="s">
        <v>306</v>
      </c>
      <c r="J231" t="s">
        <v>0</v>
      </c>
      <c r="K231" s="9">
        <v>44711</v>
      </c>
      <c r="L231" t="s">
        <v>29</v>
      </c>
      <c r="M231"/>
      <c r="N231" s="9">
        <v>44686</v>
      </c>
      <c r="O231"/>
      <c r="P231"/>
      <c r="Q231" s="9">
        <v>44711</v>
      </c>
      <c r="R231"/>
      <c r="S231"/>
      <c r="T231"/>
      <c r="U231"/>
    </row>
    <row r="232" spans="1:21" hidden="1">
      <c r="A232" s="7" t="s">
        <v>8740</v>
      </c>
      <c r="B232" s="7" t="s">
        <v>6627</v>
      </c>
      <c r="C232" s="8" t="s">
        <v>5317</v>
      </c>
      <c r="D232" t="s">
        <v>272</v>
      </c>
      <c r="E232" t="s">
        <v>304</v>
      </c>
      <c r="F232" t="s">
        <v>117</v>
      </c>
      <c r="G232" t="s">
        <v>317</v>
      </c>
      <c r="H232" s="9">
        <v>44657</v>
      </c>
      <c r="I232" t="s">
        <v>306</v>
      </c>
      <c r="J232" t="s">
        <v>0</v>
      </c>
      <c r="K232" s="9">
        <v>44711</v>
      </c>
      <c r="L232" t="s">
        <v>29</v>
      </c>
      <c r="M232"/>
      <c r="N232" s="9">
        <v>44686</v>
      </c>
      <c r="O232"/>
      <c r="P232"/>
      <c r="Q232" s="9">
        <v>44711</v>
      </c>
      <c r="R232"/>
      <c r="S232"/>
      <c r="T232"/>
      <c r="U232"/>
    </row>
    <row r="233" spans="1:21" hidden="1">
      <c r="A233" s="7" t="s">
        <v>8740</v>
      </c>
      <c r="B233" s="7" t="s">
        <v>6627</v>
      </c>
      <c r="C233" s="8" t="s">
        <v>5317</v>
      </c>
      <c r="D233" t="s">
        <v>272</v>
      </c>
      <c r="E233" t="s">
        <v>304</v>
      </c>
      <c r="F233" t="s">
        <v>117</v>
      </c>
      <c r="G233" t="s">
        <v>318</v>
      </c>
      <c r="H233" s="9">
        <v>44657</v>
      </c>
      <c r="I233" t="s">
        <v>306</v>
      </c>
      <c r="J233" t="s">
        <v>0</v>
      </c>
      <c r="K233" s="9">
        <v>44711</v>
      </c>
      <c r="L233" t="s">
        <v>29</v>
      </c>
      <c r="M233"/>
      <c r="N233" s="9">
        <v>44686</v>
      </c>
      <c r="O233"/>
      <c r="P233"/>
      <c r="Q233" s="9">
        <v>44711</v>
      </c>
      <c r="R233"/>
      <c r="S233"/>
      <c r="T233"/>
      <c r="U233"/>
    </row>
    <row r="234" spans="1:21" hidden="1">
      <c r="A234" s="7" t="s">
        <v>8740</v>
      </c>
      <c r="B234" s="7" t="s">
        <v>6627</v>
      </c>
      <c r="C234" s="8" t="s">
        <v>5317</v>
      </c>
      <c r="D234" t="s">
        <v>272</v>
      </c>
      <c r="E234" t="s">
        <v>304</v>
      </c>
      <c r="F234" t="s">
        <v>117</v>
      </c>
      <c r="G234" t="s">
        <v>319</v>
      </c>
      <c r="H234" s="9">
        <v>44657</v>
      </c>
      <c r="I234" t="s">
        <v>306</v>
      </c>
      <c r="J234" t="s">
        <v>0</v>
      </c>
      <c r="K234" s="9">
        <v>44711</v>
      </c>
      <c r="L234" t="s">
        <v>29</v>
      </c>
      <c r="M234"/>
      <c r="N234" s="9">
        <v>44686</v>
      </c>
      <c r="O234"/>
      <c r="P234"/>
      <c r="Q234" s="9">
        <v>44711</v>
      </c>
      <c r="R234"/>
      <c r="S234"/>
      <c r="T234"/>
      <c r="U234"/>
    </row>
    <row r="235" spans="1:21" hidden="1">
      <c r="A235" s="7" t="s">
        <v>8741</v>
      </c>
      <c r="B235" s="7" t="s">
        <v>6723</v>
      </c>
      <c r="C235" s="8" t="s">
        <v>5317</v>
      </c>
      <c r="D235" t="s">
        <v>272</v>
      </c>
      <c r="E235" t="s">
        <v>320</v>
      </c>
      <c r="F235" t="s">
        <v>231</v>
      </c>
      <c r="G235" t="s">
        <v>321</v>
      </c>
      <c r="H235" s="9">
        <v>44657</v>
      </c>
      <c r="I235" t="s">
        <v>322</v>
      </c>
      <c r="J235" t="s">
        <v>163</v>
      </c>
      <c r="K235" s="9">
        <v>44693</v>
      </c>
      <c r="L235" t="s">
        <v>29</v>
      </c>
      <c r="M235"/>
      <c r="N235" s="9">
        <v>44686</v>
      </c>
      <c r="O235" s="9">
        <v>44693</v>
      </c>
      <c r="P235" s="9">
        <v>44693</v>
      </c>
      <c r="Q235"/>
      <c r="R235"/>
      <c r="S235"/>
      <c r="T235"/>
      <c r="U235"/>
    </row>
    <row r="236" spans="1:21" hidden="1">
      <c r="A236" s="7" t="s">
        <v>8741</v>
      </c>
      <c r="B236" s="7" t="s">
        <v>6723</v>
      </c>
      <c r="C236" s="8" t="s">
        <v>5317</v>
      </c>
      <c r="D236" t="s">
        <v>272</v>
      </c>
      <c r="E236" t="s">
        <v>320</v>
      </c>
      <c r="F236" t="s">
        <v>231</v>
      </c>
      <c r="G236" t="s">
        <v>323</v>
      </c>
      <c r="H236" s="9">
        <v>44657</v>
      </c>
      <c r="I236" t="s">
        <v>322</v>
      </c>
      <c r="J236" t="s">
        <v>163</v>
      </c>
      <c r="K236" s="9">
        <v>44693</v>
      </c>
      <c r="L236" t="s">
        <v>29</v>
      </c>
      <c r="M236"/>
      <c r="N236" s="9">
        <v>44686</v>
      </c>
      <c r="O236" s="9">
        <v>44693</v>
      </c>
      <c r="P236" s="9">
        <v>44693</v>
      </c>
      <c r="Q236"/>
      <c r="R236"/>
      <c r="S236"/>
      <c r="T236"/>
      <c r="U236"/>
    </row>
    <row r="237" spans="1:21" hidden="1">
      <c r="A237" s="7" t="s">
        <v>8742</v>
      </c>
      <c r="B237" s="7" t="s">
        <v>6943</v>
      </c>
      <c r="C237" s="8" t="s">
        <v>5317</v>
      </c>
      <c r="D237" t="s">
        <v>272</v>
      </c>
      <c r="E237" t="s">
        <v>324</v>
      </c>
      <c r="F237" t="s">
        <v>75</v>
      </c>
      <c r="G237" t="s">
        <v>325</v>
      </c>
      <c r="H237" s="9">
        <v>44657</v>
      </c>
      <c r="I237" t="s">
        <v>282</v>
      </c>
      <c r="J237" t="s">
        <v>0</v>
      </c>
      <c r="K237" s="9">
        <v>44693</v>
      </c>
      <c r="L237" t="s">
        <v>29</v>
      </c>
      <c r="M237"/>
      <c r="N237" s="9">
        <v>44686</v>
      </c>
      <c r="O237"/>
      <c r="P237"/>
      <c r="Q237" s="9">
        <v>44693</v>
      </c>
      <c r="R237"/>
      <c r="S237"/>
      <c r="T237"/>
      <c r="U237"/>
    </row>
    <row r="238" spans="1:21" hidden="1">
      <c r="A238" s="7" t="s">
        <v>8742</v>
      </c>
      <c r="B238" s="7" t="s">
        <v>6943</v>
      </c>
      <c r="C238" s="8" t="s">
        <v>5317</v>
      </c>
      <c r="D238" t="s">
        <v>272</v>
      </c>
      <c r="E238" t="s">
        <v>324</v>
      </c>
      <c r="F238" t="s">
        <v>75</v>
      </c>
      <c r="G238" t="s">
        <v>326</v>
      </c>
      <c r="H238" s="9">
        <v>44657</v>
      </c>
      <c r="I238" t="s">
        <v>282</v>
      </c>
      <c r="J238" t="s">
        <v>0</v>
      </c>
      <c r="K238" s="9">
        <v>44693</v>
      </c>
      <c r="L238" t="s">
        <v>29</v>
      </c>
      <c r="M238"/>
      <c r="N238" s="9">
        <v>44686</v>
      </c>
      <c r="O238"/>
      <c r="P238"/>
      <c r="Q238" s="9">
        <v>44693</v>
      </c>
      <c r="R238"/>
      <c r="S238"/>
      <c r="T238"/>
      <c r="U238"/>
    </row>
    <row r="239" spans="1:21" hidden="1">
      <c r="A239" s="7" t="s">
        <v>8742</v>
      </c>
      <c r="B239" s="7" t="s">
        <v>6943</v>
      </c>
      <c r="C239" s="8" t="s">
        <v>5317</v>
      </c>
      <c r="D239" t="s">
        <v>272</v>
      </c>
      <c r="E239" t="s">
        <v>324</v>
      </c>
      <c r="F239" t="s">
        <v>75</v>
      </c>
      <c r="G239" t="s">
        <v>327</v>
      </c>
      <c r="H239" s="9">
        <v>44657</v>
      </c>
      <c r="I239" t="s">
        <v>282</v>
      </c>
      <c r="J239" t="s">
        <v>0</v>
      </c>
      <c r="K239" s="9">
        <v>44693</v>
      </c>
      <c r="L239" t="s">
        <v>29</v>
      </c>
      <c r="M239"/>
      <c r="N239" s="9">
        <v>44686</v>
      </c>
      <c r="O239"/>
      <c r="P239"/>
      <c r="Q239" s="9">
        <v>44693</v>
      </c>
      <c r="R239"/>
      <c r="S239"/>
      <c r="T239"/>
      <c r="U239"/>
    </row>
    <row r="240" spans="1:21" hidden="1">
      <c r="A240" s="7" t="s">
        <v>8743</v>
      </c>
      <c r="B240" s="7" t="s">
        <v>7376</v>
      </c>
      <c r="C240" s="8" t="s">
        <v>5317</v>
      </c>
      <c r="D240" t="s">
        <v>272</v>
      </c>
      <c r="E240" t="s">
        <v>328</v>
      </c>
      <c r="F240" t="s">
        <v>117</v>
      </c>
      <c r="G240" t="s">
        <v>329</v>
      </c>
      <c r="H240" s="9">
        <v>44657</v>
      </c>
      <c r="I240" t="s">
        <v>330</v>
      </c>
      <c r="J240" t="s">
        <v>2</v>
      </c>
      <c r="K240" s="9">
        <v>44726</v>
      </c>
      <c r="L240" t="s">
        <v>29</v>
      </c>
      <c r="M240" t="s">
        <v>331</v>
      </c>
      <c r="N240" s="9">
        <v>44686</v>
      </c>
      <c r="O240" s="9">
        <v>44693</v>
      </c>
      <c r="P240" s="9">
        <v>44693</v>
      </c>
      <c r="Q240"/>
      <c r="R240"/>
      <c r="S240"/>
      <c r="T240"/>
      <c r="U240"/>
    </row>
    <row r="241" spans="1:21" hidden="1">
      <c r="A241" s="7" t="s">
        <v>8743</v>
      </c>
      <c r="B241" s="7" t="s">
        <v>7376</v>
      </c>
      <c r="C241" s="8" t="s">
        <v>5317</v>
      </c>
      <c r="D241" t="s">
        <v>272</v>
      </c>
      <c r="E241" t="s">
        <v>328</v>
      </c>
      <c r="F241" t="s">
        <v>117</v>
      </c>
      <c r="G241" t="s">
        <v>332</v>
      </c>
      <c r="H241" s="9">
        <v>44657</v>
      </c>
      <c r="I241" t="s">
        <v>330</v>
      </c>
      <c r="J241" t="s">
        <v>2</v>
      </c>
      <c r="K241" s="9">
        <v>44726</v>
      </c>
      <c r="L241" t="s">
        <v>29</v>
      </c>
      <c r="M241" t="s">
        <v>331</v>
      </c>
      <c r="N241" s="9">
        <v>44686</v>
      </c>
      <c r="O241" s="9">
        <v>44693</v>
      </c>
      <c r="P241" s="9">
        <v>44693</v>
      </c>
      <c r="Q241"/>
      <c r="R241"/>
      <c r="S241"/>
      <c r="T241"/>
      <c r="U241"/>
    </row>
    <row r="242" spans="1:21" hidden="1">
      <c r="A242" s="7" t="s">
        <v>8743</v>
      </c>
      <c r="B242" s="7" t="s">
        <v>7376</v>
      </c>
      <c r="C242" s="8" t="s">
        <v>5317</v>
      </c>
      <c r="D242" t="s">
        <v>272</v>
      </c>
      <c r="E242" t="s">
        <v>328</v>
      </c>
      <c r="F242" t="s">
        <v>117</v>
      </c>
      <c r="G242" t="s">
        <v>333</v>
      </c>
      <c r="H242" s="9">
        <v>44657</v>
      </c>
      <c r="I242" t="s">
        <v>330</v>
      </c>
      <c r="J242" t="s">
        <v>2</v>
      </c>
      <c r="K242" s="9">
        <v>44726</v>
      </c>
      <c r="L242" t="s">
        <v>29</v>
      </c>
      <c r="M242" t="s">
        <v>331</v>
      </c>
      <c r="N242" s="9">
        <v>44686</v>
      </c>
      <c r="O242" s="9">
        <v>44693</v>
      </c>
      <c r="P242" s="9">
        <v>44693</v>
      </c>
      <c r="Q242"/>
      <c r="R242"/>
      <c r="S242"/>
      <c r="T242"/>
      <c r="U242"/>
    </row>
    <row r="243" spans="1:21" hidden="1">
      <c r="A243" s="7" t="s">
        <v>8743</v>
      </c>
      <c r="B243" s="7" t="s">
        <v>7376</v>
      </c>
      <c r="C243" s="8" t="s">
        <v>5317</v>
      </c>
      <c r="D243" t="s">
        <v>272</v>
      </c>
      <c r="E243" t="s">
        <v>328</v>
      </c>
      <c r="F243" t="s">
        <v>117</v>
      </c>
      <c r="G243" t="s">
        <v>334</v>
      </c>
      <c r="H243" s="9">
        <v>44657</v>
      </c>
      <c r="I243" t="s">
        <v>330</v>
      </c>
      <c r="J243" t="s">
        <v>2</v>
      </c>
      <c r="K243" s="9">
        <v>44726</v>
      </c>
      <c r="L243" t="s">
        <v>29</v>
      </c>
      <c r="M243" t="s">
        <v>331</v>
      </c>
      <c r="N243" s="9">
        <v>44686</v>
      </c>
      <c r="O243" s="9">
        <v>44693</v>
      </c>
      <c r="P243" s="9">
        <v>44693</v>
      </c>
      <c r="Q243"/>
      <c r="R243"/>
      <c r="S243"/>
      <c r="T243"/>
      <c r="U243"/>
    </row>
    <row r="244" spans="1:21" hidden="1">
      <c r="A244" s="7" t="s">
        <v>8743</v>
      </c>
      <c r="B244" s="7" t="s">
        <v>7376</v>
      </c>
      <c r="C244" s="8" t="s">
        <v>5317</v>
      </c>
      <c r="D244" t="s">
        <v>272</v>
      </c>
      <c r="E244" t="s">
        <v>328</v>
      </c>
      <c r="F244" t="s">
        <v>117</v>
      </c>
      <c r="G244" t="s">
        <v>335</v>
      </c>
      <c r="H244" s="9">
        <v>44657</v>
      </c>
      <c r="I244" t="s">
        <v>330</v>
      </c>
      <c r="J244" t="s">
        <v>2</v>
      </c>
      <c r="K244" s="9">
        <v>44726</v>
      </c>
      <c r="L244" t="s">
        <v>29</v>
      </c>
      <c r="M244" t="s">
        <v>331</v>
      </c>
      <c r="N244" s="9">
        <v>44686</v>
      </c>
      <c r="O244" s="9">
        <v>44693</v>
      </c>
      <c r="P244" s="9">
        <v>44693</v>
      </c>
      <c r="Q244"/>
      <c r="R244"/>
      <c r="S244"/>
      <c r="T244"/>
      <c r="U244"/>
    </row>
    <row r="245" spans="1:21" hidden="1">
      <c r="A245" s="7" t="s">
        <v>8743</v>
      </c>
      <c r="B245" s="7" t="s">
        <v>7376</v>
      </c>
      <c r="C245" s="8" t="s">
        <v>5317</v>
      </c>
      <c r="D245" t="s">
        <v>272</v>
      </c>
      <c r="E245" t="s">
        <v>328</v>
      </c>
      <c r="F245" t="s">
        <v>117</v>
      </c>
      <c r="G245" t="s">
        <v>336</v>
      </c>
      <c r="H245" s="9">
        <v>44657</v>
      </c>
      <c r="I245" t="s">
        <v>330</v>
      </c>
      <c r="J245" t="s">
        <v>2</v>
      </c>
      <c r="K245" s="9">
        <v>44726</v>
      </c>
      <c r="L245" t="s">
        <v>29</v>
      </c>
      <c r="M245" t="s">
        <v>331</v>
      </c>
      <c r="N245" s="9">
        <v>44686</v>
      </c>
      <c r="O245" s="9">
        <v>44693</v>
      </c>
      <c r="P245" s="9">
        <v>44693</v>
      </c>
      <c r="Q245"/>
      <c r="R245"/>
      <c r="S245"/>
      <c r="T245"/>
      <c r="U245"/>
    </row>
    <row r="246" spans="1:21" hidden="1">
      <c r="A246" s="7" t="s">
        <v>8743</v>
      </c>
      <c r="B246" s="7" t="s">
        <v>7376</v>
      </c>
      <c r="C246" s="8" t="s">
        <v>5317</v>
      </c>
      <c r="D246" t="s">
        <v>272</v>
      </c>
      <c r="E246" t="s">
        <v>328</v>
      </c>
      <c r="F246" t="s">
        <v>117</v>
      </c>
      <c r="G246" t="s">
        <v>337</v>
      </c>
      <c r="H246" s="9">
        <v>44657</v>
      </c>
      <c r="I246" t="s">
        <v>330</v>
      </c>
      <c r="J246" t="s">
        <v>2</v>
      </c>
      <c r="K246" s="9">
        <v>44726</v>
      </c>
      <c r="L246" t="s">
        <v>29</v>
      </c>
      <c r="M246" t="s">
        <v>331</v>
      </c>
      <c r="N246" s="9">
        <v>44686</v>
      </c>
      <c r="O246" s="9">
        <v>44693</v>
      </c>
      <c r="P246" s="9">
        <v>44693</v>
      </c>
      <c r="Q246"/>
      <c r="R246"/>
      <c r="S246"/>
      <c r="T246"/>
      <c r="U246"/>
    </row>
    <row r="247" spans="1:21" hidden="1">
      <c r="A247" s="7" t="s">
        <v>8743</v>
      </c>
      <c r="B247" s="7" t="s">
        <v>7376</v>
      </c>
      <c r="C247" s="8" t="s">
        <v>5317</v>
      </c>
      <c r="D247" t="s">
        <v>272</v>
      </c>
      <c r="E247" t="s">
        <v>328</v>
      </c>
      <c r="F247" t="s">
        <v>117</v>
      </c>
      <c r="G247" t="s">
        <v>338</v>
      </c>
      <c r="H247" s="9">
        <v>44657</v>
      </c>
      <c r="I247" t="s">
        <v>330</v>
      </c>
      <c r="J247" t="s">
        <v>2</v>
      </c>
      <c r="K247" s="9">
        <v>44726</v>
      </c>
      <c r="L247" t="s">
        <v>29</v>
      </c>
      <c r="M247" t="s">
        <v>331</v>
      </c>
      <c r="N247" s="9">
        <v>44686</v>
      </c>
      <c r="O247" s="9">
        <v>44693</v>
      </c>
      <c r="P247" s="9">
        <v>44693</v>
      </c>
      <c r="Q247"/>
      <c r="R247"/>
      <c r="S247"/>
      <c r="T247"/>
      <c r="U247"/>
    </row>
    <row r="248" spans="1:21" hidden="1">
      <c r="A248" s="7" t="s">
        <v>8743</v>
      </c>
      <c r="B248" s="7" t="s">
        <v>7376</v>
      </c>
      <c r="C248" s="8" t="s">
        <v>5317</v>
      </c>
      <c r="D248" t="s">
        <v>272</v>
      </c>
      <c r="E248" t="s">
        <v>328</v>
      </c>
      <c r="F248" t="s">
        <v>117</v>
      </c>
      <c r="G248" t="s">
        <v>339</v>
      </c>
      <c r="H248" s="9">
        <v>44657</v>
      </c>
      <c r="I248" t="s">
        <v>330</v>
      </c>
      <c r="J248" t="s">
        <v>2</v>
      </c>
      <c r="K248" s="9">
        <v>44726</v>
      </c>
      <c r="L248" t="s">
        <v>29</v>
      </c>
      <c r="M248" t="s">
        <v>331</v>
      </c>
      <c r="N248" s="9">
        <v>44686</v>
      </c>
      <c r="O248" s="9">
        <v>44693</v>
      </c>
      <c r="P248" s="9">
        <v>44693</v>
      </c>
      <c r="Q248"/>
      <c r="R248"/>
      <c r="S248"/>
      <c r="T248"/>
      <c r="U248"/>
    </row>
    <row r="249" spans="1:21" hidden="1">
      <c r="A249" s="7" t="s">
        <v>8743</v>
      </c>
      <c r="B249" s="7" t="s">
        <v>7376</v>
      </c>
      <c r="C249" s="8" t="s">
        <v>5317</v>
      </c>
      <c r="D249" t="s">
        <v>272</v>
      </c>
      <c r="E249" t="s">
        <v>328</v>
      </c>
      <c r="F249" t="s">
        <v>117</v>
      </c>
      <c r="G249" t="s">
        <v>340</v>
      </c>
      <c r="H249" s="9">
        <v>44657</v>
      </c>
      <c r="I249" t="s">
        <v>330</v>
      </c>
      <c r="J249" t="s">
        <v>2</v>
      </c>
      <c r="K249" s="9">
        <v>44726</v>
      </c>
      <c r="L249" t="s">
        <v>29</v>
      </c>
      <c r="M249" t="s">
        <v>331</v>
      </c>
      <c r="N249" s="9">
        <v>44686</v>
      </c>
      <c r="O249" s="9">
        <v>44693</v>
      </c>
      <c r="P249" s="9">
        <v>44693</v>
      </c>
      <c r="Q249"/>
      <c r="R249"/>
      <c r="S249"/>
      <c r="T249"/>
      <c r="U249"/>
    </row>
    <row r="250" spans="1:21" hidden="1">
      <c r="A250" s="7" t="s">
        <v>8743</v>
      </c>
      <c r="B250" s="7" t="s">
        <v>7376</v>
      </c>
      <c r="C250" s="8" t="s">
        <v>5317</v>
      </c>
      <c r="D250" t="s">
        <v>272</v>
      </c>
      <c r="E250" t="s">
        <v>328</v>
      </c>
      <c r="F250" t="s">
        <v>117</v>
      </c>
      <c r="G250" t="s">
        <v>341</v>
      </c>
      <c r="H250" s="9">
        <v>44657</v>
      </c>
      <c r="I250" t="s">
        <v>330</v>
      </c>
      <c r="J250" t="s">
        <v>2</v>
      </c>
      <c r="K250" s="9">
        <v>44726</v>
      </c>
      <c r="L250" t="s">
        <v>29</v>
      </c>
      <c r="M250" t="s">
        <v>331</v>
      </c>
      <c r="N250" s="9">
        <v>44686</v>
      </c>
      <c r="O250" s="9">
        <v>44693</v>
      </c>
      <c r="P250" s="9">
        <v>44693</v>
      </c>
      <c r="Q250"/>
      <c r="R250"/>
      <c r="S250"/>
      <c r="T250"/>
      <c r="U250"/>
    </row>
    <row r="251" spans="1:21" hidden="1">
      <c r="A251" s="7" t="s">
        <v>8743</v>
      </c>
      <c r="B251" s="7" t="s">
        <v>7376</v>
      </c>
      <c r="C251" s="8" t="s">
        <v>5317</v>
      </c>
      <c r="D251" t="s">
        <v>272</v>
      </c>
      <c r="E251" t="s">
        <v>328</v>
      </c>
      <c r="F251" t="s">
        <v>117</v>
      </c>
      <c r="G251" t="s">
        <v>342</v>
      </c>
      <c r="H251" s="9">
        <v>44657</v>
      </c>
      <c r="I251" t="s">
        <v>330</v>
      </c>
      <c r="J251" t="s">
        <v>2</v>
      </c>
      <c r="K251" s="9">
        <v>44726</v>
      </c>
      <c r="L251" t="s">
        <v>29</v>
      </c>
      <c r="M251" t="s">
        <v>331</v>
      </c>
      <c r="N251" s="9">
        <v>44686</v>
      </c>
      <c r="O251" s="9">
        <v>44693</v>
      </c>
      <c r="P251" s="9">
        <v>44693</v>
      </c>
      <c r="Q251"/>
      <c r="R251"/>
      <c r="S251"/>
      <c r="T251"/>
      <c r="U251"/>
    </row>
    <row r="252" spans="1:21" hidden="1">
      <c r="A252" s="7" t="s">
        <v>8743</v>
      </c>
      <c r="B252" s="7" t="s">
        <v>7376</v>
      </c>
      <c r="C252" s="8" t="s">
        <v>5317</v>
      </c>
      <c r="D252" t="s">
        <v>272</v>
      </c>
      <c r="E252" t="s">
        <v>328</v>
      </c>
      <c r="F252" t="s">
        <v>117</v>
      </c>
      <c r="G252" t="s">
        <v>343</v>
      </c>
      <c r="H252" s="9">
        <v>44657</v>
      </c>
      <c r="I252" t="s">
        <v>330</v>
      </c>
      <c r="J252" t="s">
        <v>2</v>
      </c>
      <c r="K252" s="9">
        <v>44726</v>
      </c>
      <c r="L252" t="s">
        <v>29</v>
      </c>
      <c r="M252" t="s">
        <v>331</v>
      </c>
      <c r="N252" s="9">
        <v>44686</v>
      </c>
      <c r="O252" s="9">
        <v>44693</v>
      </c>
      <c r="P252" s="9">
        <v>44693</v>
      </c>
      <c r="Q252"/>
      <c r="R252"/>
      <c r="S252"/>
      <c r="T252"/>
      <c r="U252"/>
    </row>
    <row r="253" spans="1:21" hidden="1">
      <c r="A253" s="7" t="s">
        <v>8743</v>
      </c>
      <c r="B253" s="7" t="s">
        <v>7376</v>
      </c>
      <c r="C253" s="8" t="s">
        <v>5317</v>
      </c>
      <c r="D253" t="s">
        <v>272</v>
      </c>
      <c r="E253" t="s">
        <v>328</v>
      </c>
      <c r="F253" t="s">
        <v>117</v>
      </c>
      <c r="G253" t="s">
        <v>344</v>
      </c>
      <c r="H253" s="9">
        <v>44657</v>
      </c>
      <c r="I253" t="s">
        <v>330</v>
      </c>
      <c r="J253" t="s">
        <v>2</v>
      </c>
      <c r="K253" s="9">
        <v>44726</v>
      </c>
      <c r="L253" t="s">
        <v>29</v>
      </c>
      <c r="M253" t="s">
        <v>331</v>
      </c>
      <c r="N253" s="9">
        <v>44686</v>
      </c>
      <c r="O253" s="9">
        <v>44693</v>
      </c>
      <c r="P253" s="9">
        <v>44693</v>
      </c>
      <c r="Q253"/>
      <c r="R253"/>
      <c r="S253"/>
      <c r="T253"/>
      <c r="U253"/>
    </row>
    <row r="254" spans="1:21" hidden="1">
      <c r="A254" s="7" t="s">
        <v>8743</v>
      </c>
      <c r="B254" s="7" t="s">
        <v>7376</v>
      </c>
      <c r="C254" s="8" t="s">
        <v>5317</v>
      </c>
      <c r="D254" t="s">
        <v>272</v>
      </c>
      <c r="E254" t="s">
        <v>328</v>
      </c>
      <c r="F254" t="s">
        <v>117</v>
      </c>
      <c r="G254" t="s">
        <v>345</v>
      </c>
      <c r="H254" s="9">
        <v>44657</v>
      </c>
      <c r="I254" t="s">
        <v>330</v>
      </c>
      <c r="J254" t="s">
        <v>2</v>
      </c>
      <c r="K254" s="9">
        <v>44726</v>
      </c>
      <c r="L254" t="s">
        <v>29</v>
      </c>
      <c r="M254" t="s">
        <v>331</v>
      </c>
      <c r="N254" s="9">
        <v>44686</v>
      </c>
      <c r="O254" s="9">
        <v>44693</v>
      </c>
      <c r="P254" s="9">
        <v>44693</v>
      </c>
      <c r="Q254"/>
      <c r="R254"/>
      <c r="S254"/>
      <c r="T254"/>
      <c r="U254"/>
    </row>
    <row r="255" spans="1:21" hidden="1">
      <c r="A255" s="7" t="s">
        <v>8743</v>
      </c>
      <c r="B255" s="7" t="s">
        <v>7376</v>
      </c>
      <c r="C255" s="8" t="s">
        <v>5317</v>
      </c>
      <c r="D255" t="s">
        <v>272</v>
      </c>
      <c r="E255" t="s">
        <v>328</v>
      </c>
      <c r="F255" t="s">
        <v>117</v>
      </c>
      <c r="G255" t="s">
        <v>346</v>
      </c>
      <c r="H255" s="9">
        <v>44657</v>
      </c>
      <c r="I255" t="s">
        <v>330</v>
      </c>
      <c r="J255" t="s">
        <v>2</v>
      </c>
      <c r="K255" s="9">
        <v>44726</v>
      </c>
      <c r="L255" t="s">
        <v>29</v>
      </c>
      <c r="M255" t="s">
        <v>331</v>
      </c>
      <c r="N255" s="9">
        <v>44686</v>
      </c>
      <c r="O255" s="9">
        <v>44693</v>
      </c>
      <c r="P255" s="9">
        <v>44693</v>
      </c>
      <c r="Q255"/>
      <c r="R255"/>
      <c r="S255"/>
      <c r="T255"/>
      <c r="U255"/>
    </row>
    <row r="256" spans="1:21" hidden="1">
      <c r="A256" s="7" t="s">
        <v>8743</v>
      </c>
      <c r="B256" s="7" t="s">
        <v>7376</v>
      </c>
      <c r="C256" s="8" t="s">
        <v>5317</v>
      </c>
      <c r="D256" t="s">
        <v>272</v>
      </c>
      <c r="E256" t="s">
        <v>328</v>
      </c>
      <c r="F256" t="s">
        <v>117</v>
      </c>
      <c r="G256" t="s">
        <v>347</v>
      </c>
      <c r="H256" s="9">
        <v>44657</v>
      </c>
      <c r="I256" t="s">
        <v>330</v>
      </c>
      <c r="J256" t="s">
        <v>2</v>
      </c>
      <c r="K256" s="9">
        <v>44726</v>
      </c>
      <c r="L256" t="s">
        <v>29</v>
      </c>
      <c r="M256" t="s">
        <v>331</v>
      </c>
      <c r="N256" s="9">
        <v>44686</v>
      </c>
      <c r="O256" s="9">
        <v>44693</v>
      </c>
      <c r="P256" s="9">
        <v>44693</v>
      </c>
      <c r="Q256"/>
      <c r="R256"/>
      <c r="S256"/>
      <c r="T256"/>
      <c r="U256"/>
    </row>
    <row r="257" spans="1:21" hidden="1">
      <c r="A257" s="7" t="s">
        <v>8743</v>
      </c>
      <c r="B257" s="7" t="s">
        <v>7376</v>
      </c>
      <c r="C257" s="8" t="s">
        <v>5317</v>
      </c>
      <c r="D257" t="s">
        <v>272</v>
      </c>
      <c r="E257" t="s">
        <v>328</v>
      </c>
      <c r="F257" t="s">
        <v>117</v>
      </c>
      <c r="G257" t="s">
        <v>348</v>
      </c>
      <c r="H257" s="9">
        <v>44657</v>
      </c>
      <c r="I257" t="s">
        <v>330</v>
      </c>
      <c r="J257" t="s">
        <v>2</v>
      </c>
      <c r="K257" s="9">
        <v>44726</v>
      </c>
      <c r="L257" t="s">
        <v>29</v>
      </c>
      <c r="M257" t="s">
        <v>331</v>
      </c>
      <c r="N257" s="9">
        <v>44686</v>
      </c>
      <c r="O257" s="9">
        <v>44693</v>
      </c>
      <c r="P257" s="9">
        <v>44693</v>
      </c>
      <c r="Q257"/>
      <c r="R257"/>
      <c r="S257"/>
      <c r="T257"/>
      <c r="U257"/>
    </row>
    <row r="258" spans="1:21" hidden="1">
      <c r="A258" s="7" t="s">
        <v>8743</v>
      </c>
      <c r="B258" s="7" t="s">
        <v>7376</v>
      </c>
      <c r="C258" s="8" t="s">
        <v>5317</v>
      </c>
      <c r="D258" t="s">
        <v>272</v>
      </c>
      <c r="E258" t="s">
        <v>328</v>
      </c>
      <c r="F258" t="s">
        <v>117</v>
      </c>
      <c r="G258" t="s">
        <v>349</v>
      </c>
      <c r="H258" s="9">
        <v>44657</v>
      </c>
      <c r="I258" t="s">
        <v>330</v>
      </c>
      <c r="J258" t="s">
        <v>2</v>
      </c>
      <c r="K258" s="9">
        <v>44726</v>
      </c>
      <c r="L258" t="s">
        <v>29</v>
      </c>
      <c r="M258" t="s">
        <v>331</v>
      </c>
      <c r="N258" s="9">
        <v>44686</v>
      </c>
      <c r="O258" s="9">
        <v>44693</v>
      </c>
      <c r="P258" s="9">
        <v>44693</v>
      </c>
      <c r="Q258"/>
      <c r="R258"/>
      <c r="S258"/>
      <c r="T258"/>
      <c r="U258"/>
    </row>
    <row r="259" spans="1:21" hidden="1">
      <c r="A259" s="7" t="s">
        <v>8743</v>
      </c>
      <c r="B259" s="7" t="s">
        <v>7376</v>
      </c>
      <c r="C259" s="8" t="s">
        <v>5317</v>
      </c>
      <c r="D259" t="s">
        <v>272</v>
      </c>
      <c r="E259" t="s">
        <v>328</v>
      </c>
      <c r="F259" t="s">
        <v>117</v>
      </c>
      <c r="G259" t="s">
        <v>350</v>
      </c>
      <c r="H259" s="9">
        <v>44657</v>
      </c>
      <c r="I259" t="s">
        <v>330</v>
      </c>
      <c r="J259" t="s">
        <v>2</v>
      </c>
      <c r="K259" s="9">
        <v>44726</v>
      </c>
      <c r="L259" t="s">
        <v>29</v>
      </c>
      <c r="M259" t="s">
        <v>331</v>
      </c>
      <c r="N259" s="9">
        <v>44686</v>
      </c>
      <c r="O259" s="9">
        <v>44693</v>
      </c>
      <c r="P259" s="9">
        <v>44693</v>
      </c>
      <c r="Q259"/>
      <c r="R259"/>
      <c r="S259"/>
      <c r="T259"/>
      <c r="U259"/>
    </row>
    <row r="260" spans="1:21" hidden="1">
      <c r="A260" s="7" t="s">
        <v>8743</v>
      </c>
      <c r="B260" s="7" t="s">
        <v>7376</v>
      </c>
      <c r="C260" s="8" t="s">
        <v>5317</v>
      </c>
      <c r="D260" t="s">
        <v>272</v>
      </c>
      <c r="E260" t="s">
        <v>328</v>
      </c>
      <c r="F260" t="s">
        <v>117</v>
      </c>
      <c r="G260" t="s">
        <v>351</v>
      </c>
      <c r="H260" s="9">
        <v>44657</v>
      </c>
      <c r="I260" t="s">
        <v>330</v>
      </c>
      <c r="J260" t="s">
        <v>2</v>
      </c>
      <c r="K260" s="9">
        <v>44726</v>
      </c>
      <c r="L260" t="s">
        <v>29</v>
      </c>
      <c r="M260" t="s">
        <v>331</v>
      </c>
      <c r="N260" s="9">
        <v>44686</v>
      </c>
      <c r="O260" s="9">
        <v>44693</v>
      </c>
      <c r="P260" s="9">
        <v>44693</v>
      </c>
      <c r="Q260"/>
      <c r="R260"/>
      <c r="S260"/>
      <c r="T260"/>
      <c r="U260"/>
    </row>
    <row r="261" spans="1:21" hidden="1">
      <c r="A261" s="7" t="s">
        <v>8744</v>
      </c>
      <c r="B261" s="7" t="s">
        <v>7386</v>
      </c>
      <c r="C261" s="8" t="s">
        <v>5317</v>
      </c>
      <c r="D261" t="s">
        <v>272</v>
      </c>
      <c r="E261" t="s">
        <v>352</v>
      </c>
      <c r="F261" t="s">
        <v>117</v>
      </c>
      <c r="G261" t="s">
        <v>353</v>
      </c>
      <c r="H261" s="9">
        <v>44657</v>
      </c>
      <c r="I261" t="s">
        <v>282</v>
      </c>
      <c r="J261" t="s">
        <v>163</v>
      </c>
      <c r="K261" s="9">
        <v>44693</v>
      </c>
      <c r="L261" t="s">
        <v>29</v>
      </c>
      <c r="M261"/>
      <c r="N261" s="9">
        <v>44686</v>
      </c>
      <c r="O261" s="9">
        <v>44693</v>
      </c>
      <c r="P261" s="9">
        <v>44693</v>
      </c>
      <c r="Q261"/>
      <c r="R261"/>
      <c r="S261"/>
      <c r="T261"/>
      <c r="U261"/>
    </row>
    <row r="262" spans="1:21" hidden="1">
      <c r="A262" s="7" t="s">
        <v>8744</v>
      </c>
      <c r="B262" s="7" t="s">
        <v>7386</v>
      </c>
      <c r="C262" s="8" t="s">
        <v>5317</v>
      </c>
      <c r="D262" t="s">
        <v>272</v>
      </c>
      <c r="E262" t="s">
        <v>352</v>
      </c>
      <c r="F262" t="s">
        <v>117</v>
      </c>
      <c r="G262" t="s">
        <v>354</v>
      </c>
      <c r="H262" s="9">
        <v>44657</v>
      </c>
      <c r="I262" t="s">
        <v>282</v>
      </c>
      <c r="J262" t="s">
        <v>163</v>
      </c>
      <c r="K262" s="9">
        <v>44693</v>
      </c>
      <c r="L262" t="s">
        <v>29</v>
      </c>
      <c r="M262"/>
      <c r="N262" s="9">
        <v>44686</v>
      </c>
      <c r="O262" s="9">
        <v>44693</v>
      </c>
      <c r="P262" s="9">
        <v>44693</v>
      </c>
      <c r="Q262"/>
      <c r="R262"/>
      <c r="S262"/>
      <c r="T262"/>
      <c r="U262"/>
    </row>
    <row r="263" spans="1:21" hidden="1">
      <c r="A263" s="7" t="s">
        <v>8726</v>
      </c>
      <c r="B263" s="7" t="s">
        <v>7519</v>
      </c>
      <c r="C263" s="8" t="s">
        <v>5317</v>
      </c>
      <c r="D263" t="s">
        <v>272</v>
      </c>
      <c r="E263" t="s">
        <v>179</v>
      </c>
      <c r="F263" t="s">
        <v>117</v>
      </c>
      <c r="G263" t="s">
        <v>355</v>
      </c>
      <c r="H263" s="9">
        <v>44657</v>
      </c>
      <c r="I263" t="s">
        <v>181</v>
      </c>
      <c r="J263" t="s">
        <v>163</v>
      </c>
      <c r="K263" s="9">
        <v>44693</v>
      </c>
      <c r="L263" t="s">
        <v>29</v>
      </c>
      <c r="M263"/>
      <c r="N263" s="9">
        <v>44686</v>
      </c>
      <c r="O263" s="9">
        <v>44693</v>
      </c>
      <c r="P263" s="9">
        <v>44693</v>
      </c>
      <c r="Q263"/>
      <c r="R263"/>
      <c r="S263"/>
      <c r="T263"/>
      <c r="U263"/>
    </row>
    <row r="264" spans="1:21" hidden="1">
      <c r="A264" s="7" t="s">
        <v>8745</v>
      </c>
      <c r="B264" s="7" t="s">
        <v>7545</v>
      </c>
      <c r="C264" s="8" t="s">
        <v>5317</v>
      </c>
      <c r="D264" t="s">
        <v>272</v>
      </c>
      <c r="E264" t="s">
        <v>356</v>
      </c>
      <c r="F264" t="s">
        <v>117</v>
      </c>
      <c r="G264" t="s">
        <v>357</v>
      </c>
      <c r="H264" s="9">
        <v>44657</v>
      </c>
      <c r="I264" t="s">
        <v>171</v>
      </c>
      <c r="J264" t="s">
        <v>0</v>
      </c>
      <c r="K264" s="9">
        <v>44680</v>
      </c>
      <c r="L264" t="s">
        <v>29</v>
      </c>
      <c r="M264"/>
      <c r="N264"/>
      <c r="O264"/>
      <c r="P264"/>
      <c r="Q264" s="9">
        <v>44680</v>
      </c>
      <c r="R264" s="9">
        <v>44678.3976273148</v>
      </c>
      <c r="S264"/>
      <c r="T264"/>
      <c r="U264"/>
    </row>
    <row r="265" spans="1:21" hidden="1">
      <c r="A265" s="7" t="s">
        <v>8745</v>
      </c>
      <c r="B265" s="7" t="s">
        <v>7545</v>
      </c>
      <c r="C265" s="8" t="s">
        <v>5317</v>
      </c>
      <c r="D265" t="s">
        <v>272</v>
      </c>
      <c r="E265" t="s">
        <v>356</v>
      </c>
      <c r="F265" t="s">
        <v>117</v>
      </c>
      <c r="G265" t="s">
        <v>358</v>
      </c>
      <c r="H265" s="9">
        <v>44657</v>
      </c>
      <c r="I265" t="s">
        <v>171</v>
      </c>
      <c r="J265" t="s">
        <v>0</v>
      </c>
      <c r="K265" s="9">
        <v>44680</v>
      </c>
      <c r="L265" t="s">
        <v>29</v>
      </c>
      <c r="M265"/>
      <c r="N265"/>
      <c r="O265"/>
      <c r="P265"/>
      <c r="Q265" s="9">
        <v>44680</v>
      </c>
      <c r="R265" s="9">
        <v>44678.3976273148</v>
      </c>
      <c r="S265"/>
      <c r="T265"/>
      <c r="U265"/>
    </row>
    <row r="266" spans="1:21" hidden="1">
      <c r="A266" s="7" t="s">
        <v>8745</v>
      </c>
      <c r="B266" s="7" t="s">
        <v>7545</v>
      </c>
      <c r="C266" s="8" t="s">
        <v>5317</v>
      </c>
      <c r="D266" t="s">
        <v>272</v>
      </c>
      <c r="E266" t="s">
        <v>356</v>
      </c>
      <c r="F266" t="s">
        <v>117</v>
      </c>
      <c r="G266" t="s">
        <v>359</v>
      </c>
      <c r="H266" s="9">
        <v>44657</v>
      </c>
      <c r="I266" t="s">
        <v>171</v>
      </c>
      <c r="J266" t="s">
        <v>0</v>
      </c>
      <c r="K266" s="9">
        <v>44680</v>
      </c>
      <c r="L266" t="s">
        <v>29</v>
      </c>
      <c r="M266"/>
      <c r="N266"/>
      <c r="O266"/>
      <c r="P266"/>
      <c r="Q266" s="9">
        <v>44680</v>
      </c>
      <c r="R266" s="9">
        <v>44678.3976273148</v>
      </c>
      <c r="S266"/>
      <c r="T266"/>
      <c r="U266"/>
    </row>
    <row r="267" spans="1:21" hidden="1">
      <c r="A267" s="7" t="s">
        <v>8745</v>
      </c>
      <c r="B267" s="7" t="s">
        <v>7545</v>
      </c>
      <c r="C267" s="8" t="s">
        <v>5317</v>
      </c>
      <c r="D267" t="s">
        <v>272</v>
      </c>
      <c r="E267" t="s">
        <v>356</v>
      </c>
      <c r="F267" t="s">
        <v>117</v>
      </c>
      <c r="G267" t="s">
        <v>360</v>
      </c>
      <c r="H267" s="9">
        <v>44657</v>
      </c>
      <c r="I267" t="s">
        <v>171</v>
      </c>
      <c r="J267" t="s">
        <v>0</v>
      </c>
      <c r="K267" s="9">
        <v>44680</v>
      </c>
      <c r="L267" t="s">
        <v>29</v>
      </c>
      <c r="M267"/>
      <c r="N267"/>
      <c r="O267"/>
      <c r="P267"/>
      <c r="Q267" s="9">
        <v>44680</v>
      </c>
      <c r="R267" s="9">
        <v>44678.3976273148</v>
      </c>
      <c r="S267"/>
      <c r="T267"/>
      <c r="U267"/>
    </row>
    <row r="268" spans="1:21" hidden="1">
      <c r="A268" s="7" t="s">
        <v>8745</v>
      </c>
      <c r="B268" s="7" t="s">
        <v>7545</v>
      </c>
      <c r="C268" s="8" t="s">
        <v>5317</v>
      </c>
      <c r="D268" t="s">
        <v>272</v>
      </c>
      <c r="E268" t="s">
        <v>356</v>
      </c>
      <c r="F268" t="s">
        <v>117</v>
      </c>
      <c r="G268" t="s">
        <v>361</v>
      </c>
      <c r="H268" s="9">
        <v>44657</v>
      </c>
      <c r="I268" t="s">
        <v>171</v>
      </c>
      <c r="J268" t="s">
        <v>0</v>
      </c>
      <c r="K268" s="9">
        <v>44680</v>
      </c>
      <c r="L268" t="s">
        <v>29</v>
      </c>
      <c r="M268"/>
      <c r="N268"/>
      <c r="O268"/>
      <c r="P268"/>
      <c r="Q268" s="9">
        <v>44680</v>
      </c>
      <c r="R268" s="9">
        <v>44678.3976273148</v>
      </c>
      <c r="S268"/>
      <c r="T268"/>
      <c r="U268"/>
    </row>
    <row r="269" spans="1:21" hidden="1">
      <c r="A269" s="7" t="s">
        <v>8745</v>
      </c>
      <c r="B269" s="7" t="s">
        <v>7545</v>
      </c>
      <c r="C269" s="8" t="s">
        <v>5317</v>
      </c>
      <c r="D269" t="s">
        <v>272</v>
      </c>
      <c r="E269" t="s">
        <v>356</v>
      </c>
      <c r="F269" t="s">
        <v>117</v>
      </c>
      <c r="G269" t="s">
        <v>362</v>
      </c>
      <c r="H269" s="9">
        <v>44657</v>
      </c>
      <c r="I269" t="s">
        <v>171</v>
      </c>
      <c r="J269" t="s">
        <v>0</v>
      </c>
      <c r="K269" s="9">
        <v>44678</v>
      </c>
      <c r="L269" t="s">
        <v>29</v>
      </c>
      <c r="M269"/>
      <c r="N269"/>
      <c r="O269"/>
      <c r="P269"/>
      <c r="Q269" s="9">
        <v>44678</v>
      </c>
      <c r="R269"/>
      <c r="S269"/>
      <c r="T269"/>
      <c r="U269"/>
    </row>
    <row r="270" spans="1:21" hidden="1">
      <c r="A270" s="7" t="s">
        <v>8745</v>
      </c>
      <c r="B270" s="7" t="s">
        <v>7545</v>
      </c>
      <c r="C270" s="8" t="s">
        <v>5317</v>
      </c>
      <c r="D270" t="s">
        <v>272</v>
      </c>
      <c r="E270" t="s">
        <v>356</v>
      </c>
      <c r="F270" t="s">
        <v>117</v>
      </c>
      <c r="G270" t="s">
        <v>363</v>
      </c>
      <c r="H270" s="9">
        <v>44657</v>
      </c>
      <c r="I270" t="s">
        <v>171</v>
      </c>
      <c r="J270" t="s">
        <v>0</v>
      </c>
      <c r="K270" s="9">
        <v>44678</v>
      </c>
      <c r="L270" t="s">
        <v>29</v>
      </c>
      <c r="M270"/>
      <c r="N270"/>
      <c r="O270"/>
      <c r="P270"/>
      <c r="Q270" s="9">
        <v>44678</v>
      </c>
      <c r="R270"/>
      <c r="S270"/>
      <c r="T270"/>
      <c r="U270"/>
    </row>
    <row r="271" spans="1:21" hidden="1">
      <c r="A271" s="7" t="s">
        <v>8745</v>
      </c>
      <c r="B271" s="7" t="s">
        <v>7545</v>
      </c>
      <c r="C271" s="8" t="s">
        <v>5317</v>
      </c>
      <c r="D271" t="s">
        <v>272</v>
      </c>
      <c r="E271" t="s">
        <v>356</v>
      </c>
      <c r="F271" t="s">
        <v>117</v>
      </c>
      <c r="G271" t="s">
        <v>364</v>
      </c>
      <c r="H271" s="9">
        <v>44657</v>
      </c>
      <c r="I271" t="s">
        <v>171</v>
      </c>
      <c r="J271" t="s">
        <v>0</v>
      </c>
      <c r="K271" s="9">
        <v>44678</v>
      </c>
      <c r="L271" t="s">
        <v>29</v>
      </c>
      <c r="M271"/>
      <c r="N271"/>
      <c r="O271"/>
      <c r="P271"/>
      <c r="Q271" s="9">
        <v>44678</v>
      </c>
      <c r="R271"/>
      <c r="S271"/>
      <c r="T271"/>
      <c r="U271"/>
    </row>
    <row r="272" spans="1:21" hidden="1">
      <c r="A272" s="7" t="s">
        <v>8745</v>
      </c>
      <c r="B272" s="7" t="s">
        <v>7545</v>
      </c>
      <c r="C272" s="8" t="s">
        <v>5317</v>
      </c>
      <c r="D272" t="s">
        <v>272</v>
      </c>
      <c r="E272" t="s">
        <v>356</v>
      </c>
      <c r="F272" t="s">
        <v>117</v>
      </c>
      <c r="G272" t="s">
        <v>365</v>
      </c>
      <c r="H272" s="9">
        <v>44657</v>
      </c>
      <c r="I272" t="s">
        <v>171</v>
      </c>
      <c r="J272" t="s">
        <v>0</v>
      </c>
      <c r="K272" s="9">
        <v>44678</v>
      </c>
      <c r="L272" t="s">
        <v>29</v>
      </c>
      <c r="M272"/>
      <c r="N272"/>
      <c r="O272"/>
      <c r="P272"/>
      <c r="Q272" s="9">
        <v>44678</v>
      </c>
      <c r="R272"/>
      <c r="S272"/>
      <c r="T272"/>
      <c r="U272"/>
    </row>
    <row r="273" spans="1:21" hidden="1">
      <c r="A273" s="7" t="s">
        <v>8745</v>
      </c>
      <c r="B273" s="7" t="s">
        <v>7545</v>
      </c>
      <c r="C273" s="8" t="s">
        <v>5317</v>
      </c>
      <c r="D273" t="s">
        <v>272</v>
      </c>
      <c r="E273" t="s">
        <v>356</v>
      </c>
      <c r="F273" t="s">
        <v>117</v>
      </c>
      <c r="G273" t="s">
        <v>366</v>
      </c>
      <c r="H273" s="9">
        <v>44657</v>
      </c>
      <c r="I273" t="s">
        <v>171</v>
      </c>
      <c r="J273" t="s">
        <v>0</v>
      </c>
      <c r="K273" s="9">
        <v>44678</v>
      </c>
      <c r="L273" t="s">
        <v>29</v>
      </c>
      <c r="M273"/>
      <c r="N273"/>
      <c r="O273"/>
      <c r="P273"/>
      <c r="Q273" s="9">
        <v>44678</v>
      </c>
      <c r="R273"/>
      <c r="S273"/>
      <c r="T273"/>
      <c r="U273"/>
    </row>
    <row r="274" spans="1:21" hidden="1">
      <c r="A274" s="7" t="s">
        <v>8745</v>
      </c>
      <c r="B274" s="7" t="s">
        <v>7545</v>
      </c>
      <c r="C274" s="8" t="s">
        <v>5317</v>
      </c>
      <c r="D274" t="s">
        <v>272</v>
      </c>
      <c r="E274" t="s">
        <v>356</v>
      </c>
      <c r="F274" t="s">
        <v>117</v>
      </c>
      <c r="G274" t="s">
        <v>367</v>
      </c>
      <c r="H274" s="9">
        <v>44657</v>
      </c>
      <c r="I274" t="s">
        <v>171</v>
      </c>
      <c r="J274" t="s">
        <v>0</v>
      </c>
      <c r="K274" s="9">
        <v>44678</v>
      </c>
      <c r="L274" t="s">
        <v>29</v>
      </c>
      <c r="M274"/>
      <c r="N274"/>
      <c r="O274"/>
      <c r="P274"/>
      <c r="Q274" s="9">
        <v>44678</v>
      </c>
      <c r="R274"/>
      <c r="S274"/>
      <c r="T274"/>
      <c r="U274"/>
    </row>
    <row r="275" spans="1:21" hidden="1">
      <c r="A275" s="7" t="s">
        <v>8745</v>
      </c>
      <c r="B275" s="7" t="s">
        <v>7545</v>
      </c>
      <c r="C275" s="8" t="s">
        <v>5317</v>
      </c>
      <c r="D275" t="s">
        <v>272</v>
      </c>
      <c r="E275" t="s">
        <v>356</v>
      </c>
      <c r="F275" t="s">
        <v>117</v>
      </c>
      <c r="G275" t="s">
        <v>368</v>
      </c>
      <c r="H275" s="9">
        <v>44657</v>
      </c>
      <c r="I275" t="s">
        <v>171</v>
      </c>
      <c r="J275" t="s">
        <v>0</v>
      </c>
      <c r="K275" s="9">
        <v>44678</v>
      </c>
      <c r="L275" t="s">
        <v>29</v>
      </c>
      <c r="M275"/>
      <c r="N275"/>
      <c r="O275"/>
      <c r="P275"/>
      <c r="Q275" s="9">
        <v>44678</v>
      </c>
      <c r="R275"/>
      <c r="S275"/>
      <c r="T275"/>
      <c r="U275"/>
    </row>
    <row r="276" spans="1:21" hidden="1">
      <c r="A276" s="7" t="s">
        <v>8745</v>
      </c>
      <c r="B276" s="7" t="s">
        <v>7545</v>
      </c>
      <c r="C276" s="8" t="s">
        <v>5317</v>
      </c>
      <c r="D276" t="s">
        <v>272</v>
      </c>
      <c r="E276" t="s">
        <v>356</v>
      </c>
      <c r="F276" t="s">
        <v>117</v>
      </c>
      <c r="G276" t="s">
        <v>369</v>
      </c>
      <c r="H276" s="9">
        <v>44657</v>
      </c>
      <c r="I276" t="s">
        <v>171</v>
      </c>
      <c r="J276" t="s">
        <v>0</v>
      </c>
      <c r="K276" s="9">
        <v>44678</v>
      </c>
      <c r="L276" t="s">
        <v>29</v>
      </c>
      <c r="M276"/>
      <c r="N276"/>
      <c r="O276"/>
      <c r="P276"/>
      <c r="Q276" s="9">
        <v>44678</v>
      </c>
      <c r="R276"/>
      <c r="S276"/>
      <c r="T276"/>
      <c r="U276"/>
    </row>
    <row r="277" spans="1:21" hidden="1">
      <c r="A277" s="7" t="s">
        <v>8745</v>
      </c>
      <c r="B277" s="7" t="s">
        <v>7545</v>
      </c>
      <c r="C277" s="8" t="s">
        <v>5317</v>
      </c>
      <c r="D277" t="s">
        <v>272</v>
      </c>
      <c r="E277" t="s">
        <v>356</v>
      </c>
      <c r="F277" t="s">
        <v>117</v>
      </c>
      <c r="G277" t="s">
        <v>370</v>
      </c>
      <c r="H277" s="9">
        <v>44657</v>
      </c>
      <c r="I277" t="s">
        <v>171</v>
      </c>
      <c r="J277" t="s">
        <v>0</v>
      </c>
      <c r="K277" s="9">
        <v>44678</v>
      </c>
      <c r="L277" t="s">
        <v>29</v>
      </c>
      <c r="M277"/>
      <c r="N277"/>
      <c r="O277"/>
      <c r="P277"/>
      <c r="Q277" s="9">
        <v>44678</v>
      </c>
      <c r="R277"/>
      <c r="S277"/>
      <c r="T277"/>
      <c r="U277"/>
    </row>
    <row r="278" spans="1:21" hidden="1">
      <c r="A278" s="7" t="s">
        <v>8745</v>
      </c>
      <c r="B278" s="7" t="s">
        <v>7545</v>
      </c>
      <c r="C278" s="8" t="s">
        <v>5317</v>
      </c>
      <c r="D278" t="s">
        <v>272</v>
      </c>
      <c r="E278" t="s">
        <v>356</v>
      </c>
      <c r="F278" t="s">
        <v>117</v>
      </c>
      <c r="G278" t="s">
        <v>371</v>
      </c>
      <c r="H278" s="9">
        <v>44657</v>
      </c>
      <c r="I278" t="s">
        <v>171</v>
      </c>
      <c r="J278" t="s">
        <v>0</v>
      </c>
      <c r="K278" s="9">
        <v>44678</v>
      </c>
      <c r="L278" t="s">
        <v>29</v>
      </c>
      <c r="M278"/>
      <c r="N278"/>
      <c r="O278"/>
      <c r="P278"/>
      <c r="Q278" s="9">
        <v>44678</v>
      </c>
      <c r="R278"/>
      <c r="S278"/>
      <c r="T278"/>
      <c r="U278"/>
    </row>
    <row r="279" spans="1:21" hidden="1">
      <c r="A279" s="7" t="s">
        <v>8745</v>
      </c>
      <c r="B279" s="7" t="s">
        <v>7545</v>
      </c>
      <c r="C279" s="8" t="s">
        <v>5317</v>
      </c>
      <c r="D279" t="s">
        <v>272</v>
      </c>
      <c r="E279" t="s">
        <v>356</v>
      </c>
      <c r="F279" t="s">
        <v>117</v>
      </c>
      <c r="G279" t="s">
        <v>372</v>
      </c>
      <c r="H279" s="9">
        <v>44657</v>
      </c>
      <c r="I279" t="s">
        <v>171</v>
      </c>
      <c r="J279" t="s">
        <v>0</v>
      </c>
      <c r="K279" s="9">
        <v>44678</v>
      </c>
      <c r="L279" t="s">
        <v>29</v>
      </c>
      <c r="M279"/>
      <c r="N279"/>
      <c r="O279"/>
      <c r="P279"/>
      <c r="Q279" s="9">
        <v>44678</v>
      </c>
      <c r="R279"/>
      <c r="S279"/>
      <c r="T279"/>
      <c r="U279"/>
    </row>
    <row r="280" spans="1:21" hidden="1">
      <c r="A280" s="7" t="s">
        <v>8745</v>
      </c>
      <c r="B280" s="7" t="s">
        <v>7545</v>
      </c>
      <c r="C280" s="8" t="s">
        <v>5317</v>
      </c>
      <c r="D280" t="s">
        <v>272</v>
      </c>
      <c r="E280" t="s">
        <v>356</v>
      </c>
      <c r="F280" t="s">
        <v>117</v>
      </c>
      <c r="G280" t="s">
        <v>373</v>
      </c>
      <c r="H280" s="9">
        <v>44657</v>
      </c>
      <c r="I280" t="s">
        <v>171</v>
      </c>
      <c r="J280" t="s">
        <v>0</v>
      </c>
      <c r="K280" s="9">
        <v>44678</v>
      </c>
      <c r="L280" t="s">
        <v>29</v>
      </c>
      <c r="M280"/>
      <c r="N280"/>
      <c r="O280"/>
      <c r="P280"/>
      <c r="Q280" s="9">
        <v>44678</v>
      </c>
      <c r="R280"/>
      <c r="S280"/>
      <c r="T280"/>
      <c r="U280"/>
    </row>
    <row r="281" spans="1:21" hidden="1">
      <c r="A281" s="7" t="s">
        <v>8745</v>
      </c>
      <c r="B281" s="7" t="s">
        <v>7545</v>
      </c>
      <c r="C281" s="8" t="s">
        <v>5317</v>
      </c>
      <c r="D281" t="s">
        <v>272</v>
      </c>
      <c r="E281" t="s">
        <v>356</v>
      </c>
      <c r="F281" t="s">
        <v>117</v>
      </c>
      <c r="G281" t="s">
        <v>374</v>
      </c>
      <c r="H281" s="9">
        <v>44657</v>
      </c>
      <c r="I281" t="s">
        <v>171</v>
      </c>
      <c r="J281" t="s">
        <v>0</v>
      </c>
      <c r="K281" s="9">
        <v>44678</v>
      </c>
      <c r="L281" t="s">
        <v>29</v>
      </c>
      <c r="M281"/>
      <c r="N281"/>
      <c r="O281"/>
      <c r="P281"/>
      <c r="Q281" s="9">
        <v>44678</v>
      </c>
      <c r="R281"/>
      <c r="S281"/>
      <c r="T281"/>
      <c r="U281"/>
    </row>
    <row r="282" spans="1:21" hidden="1">
      <c r="A282" s="7" t="s">
        <v>8745</v>
      </c>
      <c r="B282" s="7" t="s">
        <v>7545</v>
      </c>
      <c r="C282" s="8" t="s">
        <v>5317</v>
      </c>
      <c r="D282" t="s">
        <v>272</v>
      </c>
      <c r="E282" t="s">
        <v>356</v>
      </c>
      <c r="F282" t="s">
        <v>117</v>
      </c>
      <c r="G282" t="s">
        <v>375</v>
      </c>
      <c r="H282" s="9">
        <v>44657</v>
      </c>
      <c r="I282" t="s">
        <v>171</v>
      </c>
      <c r="J282" t="s">
        <v>0</v>
      </c>
      <c r="K282" s="9">
        <v>44678</v>
      </c>
      <c r="L282" t="s">
        <v>29</v>
      </c>
      <c r="M282"/>
      <c r="N282"/>
      <c r="O282"/>
      <c r="P282"/>
      <c r="Q282" s="9">
        <v>44678</v>
      </c>
      <c r="R282"/>
      <c r="S282"/>
      <c r="T282"/>
      <c r="U282"/>
    </row>
    <row r="283" spans="1:21" hidden="1">
      <c r="A283" s="7" t="s">
        <v>8745</v>
      </c>
      <c r="B283" s="7" t="s">
        <v>7545</v>
      </c>
      <c r="C283" s="8" t="s">
        <v>5317</v>
      </c>
      <c r="D283" t="s">
        <v>272</v>
      </c>
      <c r="E283" t="s">
        <v>356</v>
      </c>
      <c r="F283" t="s">
        <v>117</v>
      </c>
      <c r="G283" t="s">
        <v>376</v>
      </c>
      <c r="H283" s="9">
        <v>44657</v>
      </c>
      <c r="I283" t="s">
        <v>171</v>
      </c>
      <c r="J283" t="s">
        <v>0</v>
      </c>
      <c r="K283" s="9">
        <v>44678</v>
      </c>
      <c r="L283" t="s">
        <v>29</v>
      </c>
      <c r="M283"/>
      <c r="N283"/>
      <c r="O283"/>
      <c r="P283"/>
      <c r="Q283" s="9">
        <v>44678</v>
      </c>
      <c r="R283"/>
      <c r="S283"/>
      <c r="T283"/>
      <c r="U283"/>
    </row>
    <row r="284" spans="1:21" hidden="1">
      <c r="A284" s="7" t="s">
        <v>8745</v>
      </c>
      <c r="B284" s="7" t="s">
        <v>7545</v>
      </c>
      <c r="C284" s="8" t="s">
        <v>5317</v>
      </c>
      <c r="D284" t="s">
        <v>272</v>
      </c>
      <c r="E284" t="s">
        <v>356</v>
      </c>
      <c r="F284" t="s">
        <v>117</v>
      </c>
      <c r="G284" t="s">
        <v>377</v>
      </c>
      <c r="H284" s="9">
        <v>44657</v>
      </c>
      <c r="I284" t="s">
        <v>171</v>
      </c>
      <c r="J284" t="s">
        <v>0</v>
      </c>
      <c r="K284" s="9">
        <v>44678</v>
      </c>
      <c r="L284" t="s">
        <v>29</v>
      </c>
      <c r="M284"/>
      <c r="N284"/>
      <c r="O284"/>
      <c r="P284"/>
      <c r="Q284" s="9">
        <v>44678</v>
      </c>
      <c r="R284"/>
      <c r="S284"/>
      <c r="T284"/>
      <c r="U284"/>
    </row>
    <row r="285" spans="1:21" hidden="1">
      <c r="A285" s="7" t="s">
        <v>8745</v>
      </c>
      <c r="B285" s="7" t="s">
        <v>7545</v>
      </c>
      <c r="C285" s="8" t="s">
        <v>5317</v>
      </c>
      <c r="D285" t="s">
        <v>272</v>
      </c>
      <c r="E285" t="s">
        <v>356</v>
      </c>
      <c r="F285" t="s">
        <v>117</v>
      </c>
      <c r="G285" t="s">
        <v>378</v>
      </c>
      <c r="H285" s="9">
        <v>44657</v>
      </c>
      <c r="I285" t="s">
        <v>171</v>
      </c>
      <c r="J285" t="s">
        <v>0</v>
      </c>
      <c r="K285" s="9">
        <v>44678</v>
      </c>
      <c r="L285" t="s">
        <v>29</v>
      </c>
      <c r="M285"/>
      <c r="N285"/>
      <c r="O285"/>
      <c r="P285"/>
      <c r="Q285" s="9">
        <v>44678</v>
      </c>
      <c r="R285"/>
      <c r="S285"/>
      <c r="T285"/>
      <c r="U285"/>
    </row>
    <row r="286" spans="1:21" hidden="1">
      <c r="A286" s="7" t="s">
        <v>8745</v>
      </c>
      <c r="B286" s="7" t="s">
        <v>7545</v>
      </c>
      <c r="C286" s="8" t="s">
        <v>5317</v>
      </c>
      <c r="D286" t="s">
        <v>272</v>
      </c>
      <c r="E286" t="s">
        <v>356</v>
      </c>
      <c r="F286" t="s">
        <v>117</v>
      </c>
      <c r="G286" t="s">
        <v>379</v>
      </c>
      <c r="H286" s="9">
        <v>44657</v>
      </c>
      <c r="I286" t="s">
        <v>171</v>
      </c>
      <c r="J286" t="s">
        <v>0</v>
      </c>
      <c r="K286" s="9">
        <v>44678</v>
      </c>
      <c r="L286" t="s">
        <v>29</v>
      </c>
      <c r="M286"/>
      <c r="N286"/>
      <c r="O286"/>
      <c r="P286"/>
      <c r="Q286" s="9">
        <v>44678</v>
      </c>
      <c r="R286"/>
      <c r="S286"/>
      <c r="T286"/>
      <c r="U286"/>
    </row>
    <row r="287" spans="1:21" hidden="1">
      <c r="A287" s="7" t="s">
        <v>8745</v>
      </c>
      <c r="B287" s="7" t="s">
        <v>7545</v>
      </c>
      <c r="C287" s="8" t="s">
        <v>5317</v>
      </c>
      <c r="D287" t="s">
        <v>272</v>
      </c>
      <c r="E287" t="s">
        <v>356</v>
      </c>
      <c r="F287" t="s">
        <v>117</v>
      </c>
      <c r="G287" t="s">
        <v>380</v>
      </c>
      <c r="H287" s="9">
        <v>44657</v>
      </c>
      <c r="I287" t="s">
        <v>171</v>
      </c>
      <c r="J287" t="s">
        <v>0</v>
      </c>
      <c r="K287" s="9">
        <v>44678</v>
      </c>
      <c r="L287" t="s">
        <v>29</v>
      </c>
      <c r="M287"/>
      <c r="N287"/>
      <c r="O287"/>
      <c r="P287"/>
      <c r="Q287" s="9">
        <v>44678</v>
      </c>
      <c r="R287"/>
      <c r="S287"/>
      <c r="T287"/>
      <c r="U287"/>
    </row>
    <row r="288" spans="1:21" hidden="1">
      <c r="A288" s="7" t="s">
        <v>8745</v>
      </c>
      <c r="B288" s="7" t="s">
        <v>7545</v>
      </c>
      <c r="C288" s="8" t="s">
        <v>5317</v>
      </c>
      <c r="D288" t="s">
        <v>272</v>
      </c>
      <c r="E288" t="s">
        <v>356</v>
      </c>
      <c r="F288" t="s">
        <v>117</v>
      </c>
      <c r="G288" t="s">
        <v>381</v>
      </c>
      <c r="H288" s="9">
        <v>44657</v>
      </c>
      <c r="I288" t="s">
        <v>171</v>
      </c>
      <c r="J288" t="s">
        <v>0</v>
      </c>
      <c r="K288" s="9">
        <v>44678</v>
      </c>
      <c r="L288" t="s">
        <v>29</v>
      </c>
      <c r="M288"/>
      <c r="N288"/>
      <c r="O288"/>
      <c r="P288"/>
      <c r="Q288" s="9">
        <v>44678</v>
      </c>
      <c r="R288"/>
      <c r="S288"/>
      <c r="T288"/>
      <c r="U288"/>
    </row>
    <row r="289" spans="1:21" hidden="1">
      <c r="A289" s="7" t="s">
        <v>8745</v>
      </c>
      <c r="B289" s="7" t="s">
        <v>7545</v>
      </c>
      <c r="C289" s="8" t="s">
        <v>5317</v>
      </c>
      <c r="D289" t="s">
        <v>272</v>
      </c>
      <c r="E289" t="s">
        <v>356</v>
      </c>
      <c r="F289" t="s">
        <v>117</v>
      </c>
      <c r="G289" t="s">
        <v>382</v>
      </c>
      <c r="H289" s="9">
        <v>44657</v>
      </c>
      <c r="I289" t="s">
        <v>171</v>
      </c>
      <c r="J289" t="s">
        <v>0</v>
      </c>
      <c r="K289" s="9">
        <v>44678</v>
      </c>
      <c r="L289" t="s">
        <v>29</v>
      </c>
      <c r="M289"/>
      <c r="N289"/>
      <c r="O289"/>
      <c r="P289"/>
      <c r="Q289" s="9">
        <v>44678</v>
      </c>
      <c r="R289"/>
      <c r="S289"/>
      <c r="T289"/>
      <c r="U289"/>
    </row>
    <row r="290" spans="1:21" hidden="1">
      <c r="A290" s="7" t="s">
        <v>8745</v>
      </c>
      <c r="B290" s="7" t="s">
        <v>7545</v>
      </c>
      <c r="C290" s="8" t="s">
        <v>5317</v>
      </c>
      <c r="D290" t="s">
        <v>272</v>
      </c>
      <c r="E290" t="s">
        <v>356</v>
      </c>
      <c r="F290" t="s">
        <v>117</v>
      </c>
      <c r="G290" t="s">
        <v>383</v>
      </c>
      <c r="H290" s="9">
        <v>44657</v>
      </c>
      <c r="I290" t="s">
        <v>171</v>
      </c>
      <c r="J290" t="s">
        <v>0</v>
      </c>
      <c r="K290" s="9">
        <v>44678</v>
      </c>
      <c r="L290" t="s">
        <v>29</v>
      </c>
      <c r="M290"/>
      <c r="N290"/>
      <c r="O290"/>
      <c r="P290"/>
      <c r="Q290" s="9">
        <v>44678</v>
      </c>
      <c r="R290"/>
      <c r="S290"/>
      <c r="T290"/>
      <c r="U290"/>
    </row>
    <row r="291" spans="1:21" hidden="1">
      <c r="A291" s="7" t="s">
        <v>8745</v>
      </c>
      <c r="B291" s="7" t="s">
        <v>7545</v>
      </c>
      <c r="C291" s="8" t="s">
        <v>5317</v>
      </c>
      <c r="D291" t="s">
        <v>272</v>
      </c>
      <c r="E291" t="s">
        <v>356</v>
      </c>
      <c r="F291" t="s">
        <v>117</v>
      </c>
      <c r="G291" t="s">
        <v>384</v>
      </c>
      <c r="H291" s="9">
        <v>44657</v>
      </c>
      <c r="I291" t="s">
        <v>171</v>
      </c>
      <c r="J291" t="s">
        <v>0</v>
      </c>
      <c r="K291" s="9">
        <v>44678</v>
      </c>
      <c r="L291" t="s">
        <v>29</v>
      </c>
      <c r="M291"/>
      <c r="N291"/>
      <c r="O291"/>
      <c r="P291"/>
      <c r="Q291" s="9">
        <v>44678</v>
      </c>
      <c r="R291"/>
      <c r="S291"/>
      <c r="T291"/>
      <c r="U291"/>
    </row>
    <row r="292" spans="1:21" hidden="1">
      <c r="A292" s="7" t="s">
        <v>8745</v>
      </c>
      <c r="B292" s="7" t="s">
        <v>7545</v>
      </c>
      <c r="C292" s="8" t="s">
        <v>5317</v>
      </c>
      <c r="D292" t="s">
        <v>272</v>
      </c>
      <c r="E292" t="s">
        <v>356</v>
      </c>
      <c r="F292" t="s">
        <v>117</v>
      </c>
      <c r="G292" t="s">
        <v>385</v>
      </c>
      <c r="H292" s="9">
        <v>44657</v>
      </c>
      <c r="I292" t="s">
        <v>171</v>
      </c>
      <c r="J292" t="s">
        <v>0</v>
      </c>
      <c r="K292" s="9">
        <v>44678</v>
      </c>
      <c r="L292" t="s">
        <v>29</v>
      </c>
      <c r="M292"/>
      <c r="N292"/>
      <c r="O292"/>
      <c r="P292"/>
      <c r="Q292" s="9">
        <v>44678</v>
      </c>
      <c r="R292"/>
      <c r="S292"/>
      <c r="T292"/>
      <c r="U292"/>
    </row>
    <row r="293" spans="1:21" hidden="1">
      <c r="A293" s="7" t="s">
        <v>8745</v>
      </c>
      <c r="B293" s="7" t="s">
        <v>7545</v>
      </c>
      <c r="C293" s="8" t="s">
        <v>5317</v>
      </c>
      <c r="D293" t="s">
        <v>272</v>
      </c>
      <c r="E293" t="s">
        <v>356</v>
      </c>
      <c r="F293" t="s">
        <v>117</v>
      </c>
      <c r="G293" t="s">
        <v>386</v>
      </c>
      <c r="H293" s="9">
        <v>44657</v>
      </c>
      <c r="I293" t="s">
        <v>171</v>
      </c>
      <c r="J293" t="s">
        <v>0</v>
      </c>
      <c r="K293" s="9">
        <v>44678</v>
      </c>
      <c r="L293" t="s">
        <v>29</v>
      </c>
      <c r="M293"/>
      <c r="N293"/>
      <c r="O293"/>
      <c r="P293"/>
      <c r="Q293" s="9">
        <v>44678</v>
      </c>
      <c r="R293"/>
      <c r="S293"/>
      <c r="T293"/>
      <c r="U293"/>
    </row>
    <row r="294" spans="1:21" hidden="1">
      <c r="A294" s="7" t="s">
        <v>8745</v>
      </c>
      <c r="B294" s="7" t="s">
        <v>7545</v>
      </c>
      <c r="C294" s="8" t="s">
        <v>5317</v>
      </c>
      <c r="D294" t="s">
        <v>272</v>
      </c>
      <c r="E294" t="s">
        <v>356</v>
      </c>
      <c r="F294" t="s">
        <v>117</v>
      </c>
      <c r="G294" t="s">
        <v>387</v>
      </c>
      <c r="H294" s="9">
        <v>44657</v>
      </c>
      <c r="I294" t="s">
        <v>171</v>
      </c>
      <c r="J294" t="s">
        <v>0</v>
      </c>
      <c r="K294" s="9">
        <v>44678</v>
      </c>
      <c r="L294" t="s">
        <v>29</v>
      </c>
      <c r="M294"/>
      <c r="N294"/>
      <c r="O294"/>
      <c r="P294"/>
      <c r="Q294" s="9">
        <v>44678</v>
      </c>
      <c r="R294"/>
      <c r="S294"/>
      <c r="T294"/>
      <c r="U294"/>
    </row>
    <row r="295" spans="1:21" hidden="1">
      <c r="A295" s="7" t="s">
        <v>8745</v>
      </c>
      <c r="B295" s="7" t="s">
        <v>7545</v>
      </c>
      <c r="C295" s="8" t="s">
        <v>5317</v>
      </c>
      <c r="D295" t="s">
        <v>272</v>
      </c>
      <c r="E295" t="s">
        <v>356</v>
      </c>
      <c r="F295" t="s">
        <v>117</v>
      </c>
      <c r="G295" t="s">
        <v>388</v>
      </c>
      <c r="H295" s="9">
        <v>44657</v>
      </c>
      <c r="I295" t="s">
        <v>171</v>
      </c>
      <c r="J295" t="s">
        <v>0</v>
      </c>
      <c r="K295" s="9">
        <v>44678</v>
      </c>
      <c r="L295" t="s">
        <v>29</v>
      </c>
      <c r="M295"/>
      <c r="N295"/>
      <c r="O295"/>
      <c r="P295"/>
      <c r="Q295" s="9">
        <v>44678</v>
      </c>
      <c r="R295"/>
      <c r="S295"/>
      <c r="T295"/>
      <c r="U295"/>
    </row>
    <row r="296" spans="1:21" hidden="1">
      <c r="A296" s="7" t="s">
        <v>8745</v>
      </c>
      <c r="B296" s="7" t="s">
        <v>7545</v>
      </c>
      <c r="C296" s="8" t="s">
        <v>5317</v>
      </c>
      <c r="D296" t="s">
        <v>272</v>
      </c>
      <c r="E296" t="s">
        <v>356</v>
      </c>
      <c r="F296" t="s">
        <v>117</v>
      </c>
      <c r="G296" t="s">
        <v>389</v>
      </c>
      <c r="H296" s="9">
        <v>44657</v>
      </c>
      <c r="I296" t="s">
        <v>171</v>
      </c>
      <c r="J296" t="s">
        <v>0</v>
      </c>
      <c r="K296" s="9">
        <v>44678</v>
      </c>
      <c r="L296" t="s">
        <v>29</v>
      </c>
      <c r="M296"/>
      <c r="N296"/>
      <c r="O296"/>
      <c r="P296"/>
      <c r="Q296" s="9">
        <v>44678</v>
      </c>
      <c r="R296"/>
      <c r="S296"/>
      <c r="T296"/>
      <c r="U296"/>
    </row>
    <row r="297" spans="1:21" hidden="1">
      <c r="A297" s="7" t="s">
        <v>8745</v>
      </c>
      <c r="B297" s="7" t="s">
        <v>7545</v>
      </c>
      <c r="C297" s="8" t="s">
        <v>5317</v>
      </c>
      <c r="D297" t="s">
        <v>272</v>
      </c>
      <c r="E297" t="s">
        <v>356</v>
      </c>
      <c r="F297" t="s">
        <v>117</v>
      </c>
      <c r="G297" t="s">
        <v>390</v>
      </c>
      <c r="H297" s="9">
        <v>44657</v>
      </c>
      <c r="I297" t="s">
        <v>171</v>
      </c>
      <c r="J297" t="s">
        <v>0</v>
      </c>
      <c r="K297" s="9">
        <v>44678</v>
      </c>
      <c r="L297" t="s">
        <v>29</v>
      </c>
      <c r="M297"/>
      <c r="N297"/>
      <c r="O297"/>
      <c r="P297"/>
      <c r="Q297" s="9">
        <v>44678</v>
      </c>
      <c r="R297"/>
      <c r="S297"/>
      <c r="T297"/>
      <c r="U297"/>
    </row>
    <row r="298" spans="1:21" hidden="1">
      <c r="A298" s="7" t="s">
        <v>8745</v>
      </c>
      <c r="B298" s="7" t="s">
        <v>7545</v>
      </c>
      <c r="C298" s="8" t="s">
        <v>5317</v>
      </c>
      <c r="D298" t="s">
        <v>272</v>
      </c>
      <c r="E298" t="s">
        <v>356</v>
      </c>
      <c r="F298" t="s">
        <v>117</v>
      </c>
      <c r="G298" t="s">
        <v>391</v>
      </c>
      <c r="H298" s="9">
        <v>44657</v>
      </c>
      <c r="I298" t="s">
        <v>171</v>
      </c>
      <c r="J298" t="s">
        <v>0</v>
      </c>
      <c r="K298" s="9">
        <v>44678</v>
      </c>
      <c r="L298" t="s">
        <v>29</v>
      </c>
      <c r="M298"/>
      <c r="N298"/>
      <c r="O298"/>
      <c r="P298"/>
      <c r="Q298" s="9">
        <v>44678</v>
      </c>
      <c r="R298"/>
      <c r="S298"/>
      <c r="T298"/>
      <c r="U298"/>
    </row>
    <row r="299" spans="1:21" hidden="1">
      <c r="A299" s="7" t="s">
        <v>8745</v>
      </c>
      <c r="B299" s="7" t="s">
        <v>7545</v>
      </c>
      <c r="C299" s="8" t="s">
        <v>5317</v>
      </c>
      <c r="D299" t="s">
        <v>272</v>
      </c>
      <c r="E299" t="s">
        <v>356</v>
      </c>
      <c r="F299" t="s">
        <v>117</v>
      </c>
      <c r="G299" t="s">
        <v>392</v>
      </c>
      <c r="H299" s="9">
        <v>44657</v>
      </c>
      <c r="I299" t="s">
        <v>171</v>
      </c>
      <c r="J299" t="s">
        <v>0</v>
      </c>
      <c r="K299" s="9">
        <v>44678</v>
      </c>
      <c r="L299" t="s">
        <v>29</v>
      </c>
      <c r="M299"/>
      <c r="N299"/>
      <c r="O299"/>
      <c r="P299"/>
      <c r="Q299" s="9">
        <v>44678</v>
      </c>
      <c r="R299"/>
      <c r="S299"/>
      <c r="T299"/>
      <c r="U299"/>
    </row>
    <row r="300" spans="1:21" hidden="1">
      <c r="A300" s="7" t="s">
        <v>8745</v>
      </c>
      <c r="B300" s="7" t="s">
        <v>7545</v>
      </c>
      <c r="C300" s="8" t="s">
        <v>5317</v>
      </c>
      <c r="D300" t="s">
        <v>272</v>
      </c>
      <c r="E300" t="s">
        <v>356</v>
      </c>
      <c r="F300" t="s">
        <v>117</v>
      </c>
      <c r="G300" t="s">
        <v>393</v>
      </c>
      <c r="H300" s="9">
        <v>44657</v>
      </c>
      <c r="I300" t="s">
        <v>171</v>
      </c>
      <c r="J300" t="s">
        <v>0</v>
      </c>
      <c r="K300" s="9">
        <v>44678</v>
      </c>
      <c r="L300" t="s">
        <v>29</v>
      </c>
      <c r="M300"/>
      <c r="N300"/>
      <c r="O300"/>
      <c r="P300"/>
      <c r="Q300" s="9">
        <v>44678</v>
      </c>
      <c r="R300"/>
      <c r="S300"/>
      <c r="T300"/>
      <c r="U300"/>
    </row>
    <row r="301" spans="1:21" hidden="1">
      <c r="A301" s="7" t="s">
        <v>8745</v>
      </c>
      <c r="B301" s="7" t="s">
        <v>7545</v>
      </c>
      <c r="C301" s="8" t="s">
        <v>5317</v>
      </c>
      <c r="D301" t="s">
        <v>272</v>
      </c>
      <c r="E301" t="s">
        <v>356</v>
      </c>
      <c r="F301" t="s">
        <v>117</v>
      </c>
      <c r="G301" t="s">
        <v>394</v>
      </c>
      <c r="H301" s="9">
        <v>44657</v>
      </c>
      <c r="I301" t="s">
        <v>171</v>
      </c>
      <c r="J301" t="s">
        <v>0</v>
      </c>
      <c r="K301" s="9">
        <v>44678</v>
      </c>
      <c r="L301" t="s">
        <v>29</v>
      </c>
      <c r="M301"/>
      <c r="N301"/>
      <c r="O301"/>
      <c r="P301"/>
      <c r="Q301" s="9">
        <v>44678</v>
      </c>
      <c r="R301"/>
      <c r="S301"/>
      <c r="T301"/>
      <c r="U301"/>
    </row>
    <row r="302" spans="1:21" hidden="1">
      <c r="A302" s="7" t="s">
        <v>8745</v>
      </c>
      <c r="B302" s="7" t="s">
        <v>7545</v>
      </c>
      <c r="C302" s="8" t="s">
        <v>5317</v>
      </c>
      <c r="D302" t="s">
        <v>272</v>
      </c>
      <c r="E302" t="s">
        <v>356</v>
      </c>
      <c r="F302" t="s">
        <v>117</v>
      </c>
      <c r="G302" t="s">
        <v>395</v>
      </c>
      <c r="H302" s="9">
        <v>44657</v>
      </c>
      <c r="I302" t="s">
        <v>171</v>
      </c>
      <c r="J302" t="s">
        <v>0</v>
      </c>
      <c r="K302" s="9">
        <v>44678</v>
      </c>
      <c r="L302" t="s">
        <v>29</v>
      </c>
      <c r="M302"/>
      <c r="N302"/>
      <c r="O302"/>
      <c r="P302"/>
      <c r="Q302" s="9">
        <v>44678</v>
      </c>
      <c r="R302"/>
      <c r="S302"/>
      <c r="T302"/>
      <c r="U302"/>
    </row>
    <row r="303" spans="1:21" hidden="1">
      <c r="A303" s="7" t="s">
        <v>8745</v>
      </c>
      <c r="B303" s="7" t="s">
        <v>7545</v>
      </c>
      <c r="C303" s="8" t="s">
        <v>5317</v>
      </c>
      <c r="D303" t="s">
        <v>272</v>
      </c>
      <c r="E303" t="s">
        <v>356</v>
      </c>
      <c r="F303" t="s">
        <v>117</v>
      </c>
      <c r="G303" t="s">
        <v>396</v>
      </c>
      <c r="H303" s="9">
        <v>44657</v>
      </c>
      <c r="I303" t="s">
        <v>171</v>
      </c>
      <c r="J303" t="s">
        <v>0</v>
      </c>
      <c r="K303" s="9">
        <v>44678</v>
      </c>
      <c r="L303" t="s">
        <v>29</v>
      </c>
      <c r="M303"/>
      <c r="N303"/>
      <c r="O303"/>
      <c r="P303"/>
      <c r="Q303" s="9">
        <v>44678</v>
      </c>
      <c r="R303"/>
      <c r="S303"/>
      <c r="T303"/>
      <c r="U303"/>
    </row>
    <row r="304" spans="1:21" hidden="1">
      <c r="A304" s="7" t="s">
        <v>8745</v>
      </c>
      <c r="B304" s="7" t="s">
        <v>7545</v>
      </c>
      <c r="C304" s="8" t="s">
        <v>5317</v>
      </c>
      <c r="D304" t="s">
        <v>272</v>
      </c>
      <c r="E304" t="s">
        <v>356</v>
      </c>
      <c r="F304" t="s">
        <v>117</v>
      </c>
      <c r="G304" t="s">
        <v>397</v>
      </c>
      <c r="H304" s="9">
        <v>44657</v>
      </c>
      <c r="I304" t="s">
        <v>171</v>
      </c>
      <c r="J304" t="s">
        <v>0</v>
      </c>
      <c r="K304" s="9">
        <v>44678</v>
      </c>
      <c r="L304" t="s">
        <v>29</v>
      </c>
      <c r="M304"/>
      <c r="N304"/>
      <c r="O304"/>
      <c r="P304"/>
      <c r="Q304" s="9">
        <v>44678</v>
      </c>
      <c r="R304"/>
      <c r="S304"/>
      <c r="T304"/>
      <c r="U304"/>
    </row>
    <row r="305" spans="1:21" hidden="1">
      <c r="A305" s="7" t="s">
        <v>8745</v>
      </c>
      <c r="B305" s="7" t="s">
        <v>7545</v>
      </c>
      <c r="C305" s="8" t="s">
        <v>5317</v>
      </c>
      <c r="D305" t="s">
        <v>272</v>
      </c>
      <c r="E305" t="s">
        <v>356</v>
      </c>
      <c r="F305" t="s">
        <v>117</v>
      </c>
      <c r="G305" t="s">
        <v>398</v>
      </c>
      <c r="H305" s="9">
        <v>44657</v>
      </c>
      <c r="I305" t="s">
        <v>171</v>
      </c>
      <c r="J305" t="s">
        <v>0</v>
      </c>
      <c r="K305" s="9">
        <v>44678</v>
      </c>
      <c r="L305" t="s">
        <v>29</v>
      </c>
      <c r="M305"/>
      <c r="N305"/>
      <c r="O305"/>
      <c r="P305"/>
      <c r="Q305" s="9">
        <v>44678</v>
      </c>
      <c r="R305"/>
      <c r="S305"/>
      <c r="T305"/>
      <c r="U305"/>
    </row>
    <row r="306" spans="1:21" hidden="1">
      <c r="A306" s="7" t="s">
        <v>8745</v>
      </c>
      <c r="B306" s="7" t="s">
        <v>7545</v>
      </c>
      <c r="C306" s="8" t="s">
        <v>5317</v>
      </c>
      <c r="D306" t="s">
        <v>272</v>
      </c>
      <c r="E306" t="s">
        <v>356</v>
      </c>
      <c r="F306" t="s">
        <v>117</v>
      </c>
      <c r="G306" t="s">
        <v>399</v>
      </c>
      <c r="H306" s="9">
        <v>44657</v>
      </c>
      <c r="I306" t="s">
        <v>171</v>
      </c>
      <c r="J306" t="s">
        <v>0</v>
      </c>
      <c r="K306" s="9">
        <v>44678</v>
      </c>
      <c r="L306" t="s">
        <v>29</v>
      </c>
      <c r="M306"/>
      <c r="N306"/>
      <c r="O306"/>
      <c r="P306"/>
      <c r="Q306" s="9">
        <v>44678</v>
      </c>
      <c r="R306"/>
      <c r="S306"/>
      <c r="T306"/>
      <c r="U306"/>
    </row>
    <row r="307" spans="1:21" hidden="1">
      <c r="A307" s="7" t="s">
        <v>8745</v>
      </c>
      <c r="B307" s="7" t="s">
        <v>7545</v>
      </c>
      <c r="C307" s="8" t="s">
        <v>5317</v>
      </c>
      <c r="D307" t="s">
        <v>272</v>
      </c>
      <c r="E307" t="s">
        <v>356</v>
      </c>
      <c r="F307" t="s">
        <v>117</v>
      </c>
      <c r="G307" t="s">
        <v>400</v>
      </c>
      <c r="H307" s="9">
        <v>44657</v>
      </c>
      <c r="I307" t="s">
        <v>171</v>
      </c>
      <c r="J307" t="s">
        <v>0</v>
      </c>
      <c r="K307" s="9">
        <v>44678</v>
      </c>
      <c r="L307" t="s">
        <v>29</v>
      </c>
      <c r="M307"/>
      <c r="N307"/>
      <c r="O307"/>
      <c r="P307"/>
      <c r="Q307" s="9">
        <v>44678</v>
      </c>
      <c r="R307"/>
      <c r="S307"/>
      <c r="T307"/>
      <c r="U307"/>
    </row>
    <row r="308" spans="1:21" hidden="1">
      <c r="A308" s="7" t="s">
        <v>8745</v>
      </c>
      <c r="B308" s="7" t="s">
        <v>7545</v>
      </c>
      <c r="C308" s="8" t="s">
        <v>5317</v>
      </c>
      <c r="D308" t="s">
        <v>272</v>
      </c>
      <c r="E308" t="s">
        <v>356</v>
      </c>
      <c r="F308" t="s">
        <v>117</v>
      </c>
      <c r="G308" t="s">
        <v>401</v>
      </c>
      <c r="H308" s="9">
        <v>44657</v>
      </c>
      <c r="I308" t="s">
        <v>171</v>
      </c>
      <c r="J308" t="s">
        <v>0</v>
      </c>
      <c r="K308" s="9">
        <v>44678</v>
      </c>
      <c r="L308" t="s">
        <v>29</v>
      </c>
      <c r="M308"/>
      <c r="N308"/>
      <c r="O308"/>
      <c r="P308"/>
      <c r="Q308" s="9">
        <v>44678</v>
      </c>
      <c r="R308"/>
      <c r="S308"/>
      <c r="T308"/>
      <c r="U308"/>
    </row>
    <row r="309" spans="1:21" hidden="1">
      <c r="A309" s="7" t="s">
        <v>8745</v>
      </c>
      <c r="B309" s="7" t="s">
        <v>7545</v>
      </c>
      <c r="C309" s="8" t="s">
        <v>5317</v>
      </c>
      <c r="D309" t="s">
        <v>272</v>
      </c>
      <c r="E309" t="s">
        <v>356</v>
      </c>
      <c r="F309" t="s">
        <v>117</v>
      </c>
      <c r="G309" t="s">
        <v>402</v>
      </c>
      <c r="H309" s="9">
        <v>44657</v>
      </c>
      <c r="I309" t="s">
        <v>171</v>
      </c>
      <c r="J309" t="s">
        <v>0</v>
      </c>
      <c r="K309" s="9">
        <v>44678</v>
      </c>
      <c r="L309" t="s">
        <v>29</v>
      </c>
      <c r="M309"/>
      <c r="N309"/>
      <c r="O309"/>
      <c r="P309"/>
      <c r="Q309" s="9">
        <v>44678</v>
      </c>
      <c r="R309"/>
      <c r="S309"/>
      <c r="T309"/>
      <c r="U309"/>
    </row>
    <row r="310" spans="1:21" hidden="1">
      <c r="A310" s="7" t="s">
        <v>8745</v>
      </c>
      <c r="B310" s="7" t="s">
        <v>7545</v>
      </c>
      <c r="C310" s="8" t="s">
        <v>5317</v>
      </c>
      <c r="D310" t="s">
        <v>272</v>
      </c>
      <c r="E310" t="s">
        <v>356</v>
      </c>
      <c r="F310" t="s">
        <v>117</v>
      </c>
      <c r="G310" t="s">
        <v>403</v>
      </c>
      <c r="H310" s="9">
        <v>44657</v>
      </c>
      <c r="I310" t="s">
        <v>171</v>
      </c>
      <c r="J310" t="s">
        <v>0</v>
      </c>
      <c r="K310" s="9">
        <v>44678</v>
      </c>
      <c r="L310" t="s">
        <v>29</v>
      </c>
      <c r="M310"/>
      <c r="N310"/>
      <c r="O310"/>
      <c r="P310"/>
      <c r="Q310" s="9">
        <v>44678</v>
      </c>
      <c r="R310"/>
      <c r="S310"/>
      <c r="T310"/>
      <c r="U310"/>
    </row>
    <row r="311" spans="1:21" hidden="1">
      <c r="A311" s="7" t="s">
        <v>8745</v>
      </c>
      <c r="B311" s="7" t="s">
        <v>7545</v>
      </c>
      <c r="C311" s="8" t="s">
        <v>5317</v>
      </c>
      <c r="D311" t="s">
        <v>272</v>
      </c>
      <c r="E311" t="s">
        <v>356</v>
      </c>
      <c r="F311" t="s">
        <v>117</v>
      </c>
      <c r="G311" t="s">
        <v>404</v>
      </c>
      <c r="H311" s="9">
        <v>44657</v>
      </c>
      <c r="I311" t="s">
        <v>171</v>
      </c>
      <c r="J311" t="s">
        <v>0</v>
      </c>
      <c r="K311" s="9">
        <v>44678</v>
      </c>
      <c r="L311" t="s">
        <v>29</v>
      </c>
      <c r="M311"/>
      <c r="N311"/>
      <c r="O311"/>
      <c r="P311"/>
      <c r="Q311" s="9">
        <v>44678</v>
      </c>
      <c r="R311"/>
      <c r="S311"/>
      <c r="T311"/>
      <c r="U311"/>
    </row>
    <row r="312" spans="1:21" hidden="1">
      <c r="A312" s="7" t="s">
        <v>8745</v>
      </c>
      <c r="B312" s="7" t="s">
        <v>7545</v>
      </c>
      <c r="C312" s="8" t="s">
        <v>5317</v>
      </c>
      <c r="D312" t="s">
        <v>272</v>
      </c>
      <c r="E312" t="s">
        <v>356</v>
      </c>
      <c r="F312" t="s">
        <v>117</v>
      </c>
      <c r="G312" t="s">
        <v>405</v>
      </c>
      <c r="H312" s="9">
        <v>44657</v>
      </c>
      <c r="I312" t="s">
        <v>171</v>
      </c>
      <c r="J312" t="s">
        <v>0</v>
      </c>
      <c r="K312" s="9">
        <v>44678</v>
      </c>
      <c r="L312" t="s">
        <v>29</v>
      </c>
      <c r="M312"/>
      <c r="N312"/>
      <c r="O312"/>
      <c r="P312"/>
      <c r="Q312" s="9">
        <v>44678</v>
      </c>
      <c r="R312"/>
      <c r="S312"/>
      <c r="T312"/>
      <c r="U312"/>
    </row>
    <row r="313" spans="1:21" hidden="1">
      <c r="A313" s="7" t="s">
        <v>8746</v>
      </c>
      <c r="B313" s="7" t="s">
        <v>7556</v>
      </c>
      <c r="C313" s="8" t="s">
        <v>5317</v>
      </c>
      <c r="D313" t="s">
        <v>272</v>
      </c>
      <c r="E313" t="s">
        <v>406</v>
      </c>
      <c r="F313" t="s">
        <v>117</v>
      </c>
      <c r="G313" t="s">
        <v>407</v>
      </c>
      <c r="H313" s="9">
        <v>44657</v>
      </c>
      <c r="I313" t="s">
        <v>408</v>
      </c>
      <c r="J313" t="s">
        <v>0</v>
      </c>
      <c r="K313" s="9">
        <v>44867</v>
      </c>
      <c r="L313" t="s">
        <v>29</v>
      </c>
      <c r="M313"/>
      <c r="N313" s="9">
        <v>44686</v>
      </c>
      <c r="O313" s="9">
        <v>44693</v>
      </c>
      <c r="P313" s="9">
        <v>44693</v>
      </c>
      <c r="Q313" s="9">
        <v>44867</v>
      </c>
      <c r="R313" s="9">
        <v>44781.583460648202</v>
      </c>
      <c r="S313"/>
      <c r="T313"/>
      <c r="U313"/>
    </row>
    <row r="314" spans="1:21" hidden="1">
      <c r="A314" s="7" t="s">
        <v>8747</v>
      </c>
      <c r="B314" s="7" t="s">
        <v>7750</v>
      </c>
      <c r="C314" s="8" t="s">
        <v>5317</v>
      </c>
      <c r="D314" t="s">
        <v>272</v>
      </c>
      <c r="E314" t="s">
        <v>409</v>
      </c>
      <c r="F314" t="s">
        <v>117</v>
      </c>
      <c r="G314" t="s">
        <v>410</v>
      </c>
      <c r="H314" s="9">
        <v>44657</v>
      </c>
      <c r="I314" t="s">
        <v>411</v>
      </c>
      <c r="J314" t="s">
        <v>0</v>
      </c>
      <c r="K314" s="9">
        <v>44767</v>
      </c>
      <c r="L314" t="s">
        <v>29</v>
      </c>
      <c r="M314"/>
      <c r="N314" s="9">
        <v>44686</v>
      </c>
      <c r="O314" s="9">
        <v>44693</v>
      </c>
      <c r="P314" s="9">
        <v>44693</v>
      </c>
      <c r="Q314" s="9">
        <v>44767</v>
      </c>
      <c r="R314"/>
      <c r="S314"/>
      <c r="T314"/>
      <c r="U314"/>
    </row>
    <row r="315" spans="1:21" hidden="1">
      <c r="A315" s="7" t="s">
        <v>8747</v>
      </c>
      <c r="B315" s="7" t="s">
        <v>7750</v>
      </c>
      <c r="C315" s="8" t="s">
        <v>5317</v>
      </c>
      <c r="D315" t="s">
        <v>272</v>
      </c>
      <c r="E315" t="s">
        <v>409</v>
      </c>
      <c r="F315" t="s">
        <v>117</v>
      </c>
      <c r="G315" t="s">
        <v>412</v>
      </c>
      <c r="H315" s="9">
        <v>44657</v>
      </c>
      <c r="I315" t="s">
        <v>411</v>
      </c>
      <c r="J315" t="s">
        <v>0</v>
      </c>
      <c r="K315" s="9">
        <v>44767</v>
      </c>
      <c r="L315" t="s">
        <v>29</v>
      </c>
      <c r="M315"/>
      <c r="N315" s="9">
        <v>44686</v>
      </c>
      <c r="O315" s="9">
        <v>44693</v>
      </c>
      <c r="P315" s="9">
        <v>44693</v>
      </c>
      <c r="Q315" s="9">
        <v>44767</v>
      </c>
      <c r="R315"/>
      <c r="S315"/>
      <c r="T315"/>
      <c r="U315"/>
    </row>
    <row r="316" spans="1:21" hidden="1">
      <c r="A316" s="7" t="s">
        <v>8747</v>
      </c>
      <c r="B316" s="7" t="s">
        <v>7750</v>
      </c>
      <c r="C316" s="8" t="s">
        <v>5317</v>
      </c>
      <c r="D316" t="s">
        <v>272</v>
      </c>
      <c r="E316" t="s">
        <v>409</v>
      </c>
      <c r="F316" t="s">
        <v>117</v>
      </c>
      <c r="G316" t="s">
        <v>413</v>
      </c>
      <c r="H316" s="9">
        <v>44657</v>
      </c>
      <c r="I316" t="s">
        <v>411</v>
      </c>
      <c r="J316" t="s">
        <v>0</v>
      </c>
      <c r="K316" s="9">
        <v>44767</v>
      </c>
      <c r="L316" t="s">
        <v>29</v>
      </c>
      <c r="M316"/>
      <c r="N316" s="9">
        <v>44686</v>
      </c>
      <c r="O316" s="9">
        <v>44693</v>
      </c>
      <c r="P316" s="9">
        <v>44693</v>
      </c>
      <c r="Q316" s="9">
        <v>44767</v>
      </c>
      <c r="R316"/>
      <c r="S316"/>
      <c r="T316"/>
      <c r="U316"/>
    </row>
    <row r="317" spans="1:21" hidden="1">
      <c r="A317" s="7" t="s">
        <v>8748</v>
      </c>
      <c r="B317" s="7" t="s">
        <v>7750</v>
      </c>
      <c r="C317" s="8" t="s">
        <v>5317</v>
      </c>
      <c r="D317" t="s">
        <v>272</v>
      </c>
      <c r="E317" t="s">
        <v>409</v>
      </c>
      <c r="F317" t="s">
        <v>231</v>
      </c>
      <c r="G317" t="s">
        <v>414</v>
      </c>
      <c r="H317" s="9">
        <v>44657</v>
      </c>
      <c r="I317" t="s">
        <v>411</v>
      </c>
      <c r="J317" t="s">
        <v>0</v>
      </c>
      <c r="K317" s="9">
        <v>44881</v>
      </c>
      <c r="L317" t="s">
        <v>29</v>
      </c>
      <c r="M317"/>
      <c r="N317" s="9">
        <v>44686</v>
      </c>
      <c r="O317"/>
      <c r="P317"/>
      <c r="Q317" s="9">
        <v>44881</v>
      </c>
      <c r="R317"/>
      <c r="S317"/>
      <c r="T317"/>
      <c r="U317"/>
    </row>
    <row r="318" spans="1:21" hidden="1">
      <c r="A318" s="7" t="s">
        <v>8748</v>
      </c>
      <c r="B318" s="7" t="s">
        <v>7750</v>
      </c>
      <c r="C318" s="8" t="s">
        <v>5317</v>
      </c>
      <c r="D318" t="s">
        <v>272</v>
      </c>
      <c r="E318" t="s">
        <v>409</v>
      </c>
      <c r="F318" t="s">
        <v>231</v>
      </c>
      <c r="G318" t="s">
        <v>415</v>
      </c>
      <c r="H318" s="9">
        <v>44657</v>
      </c>
      <c r="I318" t="s">
        <v>411</v>
      </c>
      <c r="J318" t="s">
        <v>0</v>
      </c>
      <c r="K318" s="9">
        <v>44881</v>
      </c>
      <c r="L318" t="s">
        <v>29</v>
      </c>
      <c r="M318"/>
      <c r="N318" s="9">
        <v>44686</v>
      </c>
      <c r="O318"/>
      <c r="P318"/>
      <c r="Q318" s="9">
        <v>44881</v>
      </c>
      <c r="R318"/>
      <c r="S318"/>
      <c r="T318"/>
      <c r="U318"/>
    </row>
    <row r="319" spans="1:21" hidden="1">
      <c r="A319" s="7" t="s">
        <v>8729</v>
      </c>
      <c r="B319" s="7" t="s">
        <v>7796</v>
      </c>
      <c r="C319" s="8" t="s">
        <v>5317</v>
      </c>
      <c r="D319" t="s">
        <v>272</v>
      </c>
      <c r="E319" t="s">
        <v>206</v>
      </c>
      <c r="F319" t="s">
        <v>117</v>
      </c>
      <c r="G319" t="s">
        <v>416</v>
      </c>
      <c r="H319" s="9">
        <v>44657</v>
      </c>
      <c r="I319" t="s">
        <v>171</v>
      </c>
      <c r="J319" t="s">
        <v>0</v>
      </c>
      <c r="K319" s="9">
        <v>44662</v>
      </c>
      <c r="L319" t="s">
        <v>29</v>
      </c>
      <c r="M319"/>
      <c r="N319"/>
      <c r="O319"/>
      <c r="P319"/>
      <c r="Q319" s="9">
        <v>44662</v>
      </c>
      <c r="R319"/>
      <c r="S319"/>
      <c r="T319"/>
      <c r="U319"/>
    </row>
    <row r="320" spans="1:21" hidden="1">
      <c r="A320" s="7" t="s">
        <v>8729</v>
      </c>
      <c r="B320" s="7" t="s">
        <v>7796</v>
      </c>
      <c r="C320" s="8" t="s">
        <v>5317</v>
      </c>
      <c r="D320" t="s">
        <v>272</v>
      </c>
      <c r="E320" t="s">
        <v>206</v>
      </c>
      <c r="F320" t="s">
        <v>117</v>
      </c>
      <c r="G320" t="s">
        <v>417</v>
      </c>
      <c r="H320" s="9">
        <v>44657</v>
      </c>
      <c r="I320" t="s">
        <v>171</v>
      </c>
      <c r="J320" t="s">
        <v>0</v>
      </c>
      <c r="K320" s="9">
        <v>44662</v>
      </c>
      <c r="L320" t="s">
        <v>29</v>
      </c>
      <c r="M320"/>
      <c r="N320"/>
      <c r="O320"/>
      <c r="P320"/>
      <c r="Q320" s="9">
        <v>44662</v>
      </c>
      <c r="R320"/>
      <c r="S320"/>
      <c r="T320"/>
      <c r="U320"/>
    </row>
    <row r="321" spans="1:21" hidden="1">
      <c r="A321" s="7" t="s">
        <v>8729</v>
      </c>
      <c r="B321" s="7" t="s">
        <v>7796</v>
      </c>
      <c r="C321" s="8" t="s">
        <v>5317</v>
      </c>
      <c r="D321" t="s">
        <v>272</v>
      </c>
      <c r="E321" t="s">
        <v>206</v>
      </c>
      <c r="F321" t="s">
        <v>117</v>
      </c>
      <c r="G321" t="s">
        <v>418</v>
      </c>
      <c r="H321" s="9">
        <v>44657</v>
      </c>
      <c r="I321" t="s">
        <v>171</v>
      </c>
      <c r="J321" t="s">
        <v>0</v>
      </c>
      <c r="K321" s="9">
        <v>44662</v>
      </c>
      <c r="L321" t="s">
        <v>29</v>
      </c>
      <c r="M321"/>
      <c r="N321"/>
      <c r="O321"/>
      <c r="P321"/>
      <c r="Q321" s="9">
        <v>44662</v>
      </c>
      <c r="R321"/>
      <c r="S321"/>
      <c r="T321"/>
      <c r="U321"/>
    </row>
    <row r="322" spans="1:21" hidden="1">
      <c r="A322" s="7" t="s">
        <v>8729</v>
      </c>
      <c r="B322" s="7" t="s">
        <v>7796</v>
      </c>
      <c r="C322" s="8" t="s">
        <v>5317</v>
      </c>
      <c r="D322" t="s">
        <v>272</v>
      </c>
      <c r="E322" t="s">
        <v>206</v>
      </c>
      <c r="F322" t="s">
        <v>117</v>
      </c>
      <c r="G322" t="s">
        <v>419</v>
      </c>
      <c r="H322" s="9">
        <v>44657</v>
      </c>
      <c r="I322" t="s">
        <v>171</v>
      </c>
      <c r="J322" t="s">
        <v>0</v>
      </c>
      <c r="K322" s="9">
        <v>44662</v>
      </c>
      <c r="L322" t="s">
        <v>29</v>
      </c>
      <c r="M322"/>
      <c r="N322"/>
      <c r="O322"/>
      <c r="P322"/>
      <c r="Q322" s="9">
        <v>44662</v>
      </c>
      <c r="R322"/>
      <c r="S322"/>
      <c r="T322"/>
      <c r="U322"/>
    </row>
    <row r="323" spans="1:21" hidden="1">
      <c r="A323" s="7" t="s">
        <v>8729</v>
      </c>
      <c r="B323" s="7" t="s">
        <v>7796</v>
      </c>
      <c r="C323" s="8" t="s">
        <v>5317</v>
      </c>
      <c r="D323" t="s">
        <v>272</v>
      </c>
      <c r="E323" t="s">
        <v>206</v>
      </c>
      <c r="F323" t="s">
        <v>117</v>
      </c>
      <c r="G323" t="s">
        <v>207</v>
      </c>
      <c r="H323" s="9">
        <v>44657</v>
      </c>
      <c r="I323" t="s">
        <v>171</v>
      </c>
      <c r="J323" t="s">
        <v>0</v>
      </c>
      <c r="K323" s="9">
        <v>44662</v>
      </c>
      <c r="L323" t="s">
        <v>29</v>
      </c>
      <c r="M323"/>
      <c r="N323"/>
      <c r="O323"/>
      <c r="P323"/>
      <c r="Q323" s="9">
        <v>44662</v>
      </c>
      <c r="R323"/>
      <c r="S323"/>
      <c r="T323"/>
      <c r="U323"/>
    </row>
    <row r="324" spans="1:21" hidden="1">
      <c r="A324" s="7" t="s">
        <v>8729</v>
      </c>
      <c r="B324" s="7" t="s">
        <v>7796</v>
      </c>
      <c r="C324" s="8" t="s">
        <v>5317</v>
      </c>
      <c r="D324" t="s">
        <v>272</v>
      </c>
      <c r="E324" t="s">
        <v>206</v>
      </c>
      <c r="F324" t="s">
        <v>117</v>
      </c>
      <c r="G324" t="s">
        <v>420</v>
      </c>
      <c r="H324" s="9">
        <v>44657</v>
      </c>
      <c r="I324" t="s">
        <v>171</v>
      </c>
      <c r="J324" t="s">
        <v>0</v>
      </c>
      <c r="K324" s="9">
        <v>44662</v>
      </c>
      <c r="L324" t="s">
        <v>29</v>
      </c>
      <c r="M324"/>
      <c r="N324"/>
      <c r="O324"/>
      <c r="P324"/>
      <c r="Q324" s="9">
        <v>44662</v>
      </c>
      <c r="R324"/>
      <c r="S324"/>
      <c r="T324"/>
      <c r="U324"/>
    </row>
    <row r="325" spans="1:21" hidden="1">
      <c r="A325" s="7" t="s">
        <v>8729</v>
      </c>
      <c r="B325" s="7" t="s">
        <v>7796</v>
      </c>
      <c r="C325" s="8" t="s">
        <v>5317</v>
      </c>
      <c r="D325" t="s">
        <v>272</v>
      </c>
      <c r="E325" t="s">
        <v>206</v>
      </c>
      <c r="F325" t="s">
        <v>117</v>
      </c>
      <c r="G325" t="s">
        <v>421</v>
      </c>
      <c r="H325" s="9">
        <v>44657</v>
      </c>
      <c r="I325" t="s">
        <v>171</v>
      </c>
      <c r="J325" t="s">
        <v>0</v>
      </c>
      <c r="K325" s="9">
        <v>44662</v>
      </c>
      <c r="L325" t="s">
        <v>29</v>
      </c>
      <c r="M325"/>
      <c r="N325"/>
      <c r="O325"/>
      <c r="P325"/>
      <c r="Q325" s="9">
        <v>44662</v>
      </c>
      <c r="R325"/>
      <c r="S325"/>
      <c r="T325"/>
      <c r="U325"/>
    </row>
    <row r="326" spans="1:21" hidden="1">
      <c r="A326" s="7" t="s">
        <v>8729</v>
      </c>
      <c r="B326" s="7" t="s">
        <v>7796</v>
      </c>
      <c r="C326" s="8" t="s">
        <v>5317</v>
      </c>
      <c r="D326" t="s">
        <v>272</v>
      </c>
      <c r="E326" t="s">
        <v>206</v>
      </c>
      <c r="F326" t="s">
        <v>117</v>
      </c>
      <c r="G326" t="s">
        <v>422</v>
      </c>
      <c r="H326" s="9">
        <v>44657</v>
      </c>
      <c r="I326" t="s">
        <v>171</v>
      </c>
      <c r="J326" t="s">
        <v>0</v>
      </c>
      <c r="K326" s="9">
        <v>44662</v>
      </c>
      <c r="L326" t="s">
        <v>29</v>
      </c>
      <c r="M326"/>
      <c r="N326"/>
      <c r="O326"/>
      <c r="P326"/>
      <c r="Q326" s="9">
        <v>44662</v>
      </c>
      <c r="R326"/>
      <c r="S326"/>
      <c r="T326"/>
      <c r="U326"/>
    </row>
    <row r="327" spans="1:21" hidden="1">
      <c r="A327" s="7" t="s">
        <v>8729</v>
      </c>
      <c r="B327" s="7" t="s">
        <v>7796</v>
      </c>
      <c r="C327" s="8" t="s">
        <v>5317</v>
      </c>
      <c r="D327" t="s">
        <v>272</v>
      </c>
      <c r="E327" t="s">
        <v>206</v>
      </c>
      <c r="F327" t="s">
        <v>117</v>
      </c>
      <c r="G327" t="s">
        <v>423</v>
      </c>
      <c r="H327" s="9">
        <v>44657</v>
      </c>
      <c r="I327" t="s">
        <v>171</v>
      </c>
      <c r="J327" t="s">
        <v>0</v>
      </c>
      <c r="K327" s="9">
        <v>44662</v>
      </c>
      <c r="L327" t="s">
        <v>29</v>
      </c>
      <c r="M327"/>
      <c r="N327"/>
      <c r="O327"/>
      <c r="P327"/>
      <c r="Q327" s="9">
        <v>44662</v>
      </c>
      <c r="R327"/>
      <c r="S327"/>
      <c r="T327"/>
      <c r="U327"/>
    </row>
    <row r="328" spans="1:21" hidden="1">
      <c r="A328" s="7" t="s">
        <v>8729</v>
      </c>
      <c r="B328" s="7" t="s">
        <v>7796</v>
      </c>
      <c r="C328" s="8" t="s">
        <v>5317</v>
      </c>
      <c r="D328" t="s">
        <v>272</v>
      </c>
      <c r="E328" t="s">
        <v>206</v>
      </c>
      <c r="F328" t="s">
        <v>117</v>
      </c>
      <c r="G328" t="s">
        <v>424</v>
      </c>
      <c r="H328" s="9">
        <v>44657</v>
      </c>
      <c r="I328" t="s">
        <v>171</v>
      </c>
      <c r="J328" t="s">
        <v>0</v>
      </c>
      <c r="K328" s="9">
        <v>44662</v>
      </c>
      <c r="L328" t="s">
        <v>29</v>
      </c>
      <c r="M328"/>
      <c r="N328"/>
      <c r="O328"/>
      <c r="P328"/>
      <c r="Q328" s="9">
        <v>44662</v>
      </c>
      <c r="R328"/>
      <c r="S328"/>
      <c r="T328"/>
      <c r="U328"/>
    </row>
    <row r="329" spans="1:21" hidden="1">
      <c r="A329" s="7" t="s">
        <v>8729</v>
      </c>
      <c r="B329" s="7" t="s">
        <v>7796</v>
      </c>
      <c r="C329" s="8" t="s">
        <v>5317</v>
      </c>
      <c r="D329" t="s">
        <v>272</v>
      </c>
      <c r="E329" t="s">
        <v>206</v>
      </c>
      <c r="F329" t="s">
        <v>117</v>
      </c>
      <c r="G329" t="s">
        <v>425</v>
      </c>
      <c r="H329" s="9">
        <v>44657</v>
      </c>
      <c r="I329" t="s">
        <v>171</v>
      </c>
      <c r="J329" t="s">
        <v>0</v>
      </c>
      <c r="K329" s="9">
        <v>44662</v>
      </c>
      <c r="L329" t="s">
        <v>29</v>
      </c>
      <c r="M329"/>
      <c r="N329"/>
      <c r="O329"/>
      <c r="P329"/>
      <c r="Q329" s="9">
        <v>44662</v>
      </c>
      <c r="R329"/>
      <c r="S329"/>
      <c r="T329"/>
      <c r="U329"/>
    </row>
    <row r="330" spans="1:21" hidden="1">
      <c r="A330" s="7" t="s">
        <v>8729</v>
      </c>
      <c r="B330" s="7" t="s">
        <v>7796</v>
      </c>
      <c r="C330" s="8" t="s">
        <v>5317</v>
      </c>
      <c r="D330" t="s">
        <v>272</v>
      </c>
      <c r="E330" t="s">
        <v>206</v>
      </c>
      <c r="F330" t="s">
        <v>117</v>
      </c>
      <c r="G330" t="s">
        <v>426</v>
      </c>
      <c r="H330" s="9">
        <v>44657</v>
      </c>
      <c r="I330" t="s">
        <v>171</v>
      </c>
      <c r="J330" t="s">
        <v>0</v>
      </c>
      <c r="K330" s="9">
        <v>44662</v>
      </c>
      <c r="L330" t="s">
        <v>29</v>
      </c>
      <c r="M330"/>
      <c r="N330"/>
      <c r="O330"/>
      <c r="P330"/>
      <c r="Q330" s="9">
        <v>44662</v>
      </c>
      <c r="R330"/>
      <c r="S330"/>
      <c r="T330"/>
      <c r="U330"/>
    </row>
    <row r="331" spans="1:21" hidden="1">
      <c r="A331" s="7" t="s">
        <v>8729</v>
      </c>
      <c r="B331" s="7" t="s">
        <v>7796</v>
      </c>
      <c r="C331" s="8" t="s">
        <v>5317</v>
      </c>
      <c r="D331" t="s">
        <v>272</v>
      </c>
      <c r="E331" t="s">
        <v>206</v>
      </c>
      <c r="F331" t="s">
        <v>117</v>
      </c>
      <c r="G331" t="s">
        <v>427</v>
      </c>
      <c r="H331" s="9">
        <v>44657</v>
      </c>
      <c r="I331" t="s">
        <v>171</v>
      </c>
      <c r="J331" t="s">
        <v>0</v>
      </c>
      <c r="K331" s="9">
        <v>44662</v>
      </c>
      <c r="L331" t="s">
        <v>29</v>
      </c>
      <c r="M331"/>
      <c r="N331"/>
      <c r="O331"/>
      <c r="P331"/>
      <c r="Q331" s="9">
        <v>44662</v>
      </c>
      <c r="R331"/>
      <c r="S331"/>
      <c r="T331"/>
      <c r="U331"/>
    </row>
    <row r="332" spans="1:21" hidden="1">
      <c r="A332" s="7" t="s">
        <v>8729</v>
      </c>
      <c r="B332" s="7" t="s">
        <v>7796</v>
      </c>
      <c r="C332" s="8" t="s">
        <v>5317</v>
      </c>
      <c r="D332" t="s">
        <v>272</v>
      </c>
      <c r="E332" t="s">
        <v>206</v>
      </c>
      <c r="F332" t="s">
        <v>117</v>
      </c>
      <c r="G332" t="s">
        <v>428</v>
      </c>
      <c r="H332" s="9">
        <v>44657</v>
      </c>
      <c r="I332" t="s">
        <v>171</v>
      </c>
      <c r="J332" t="s">
        <v>0</v>
      </c>
      <c r="K332" s="9">
        <v>44662</v>
      </c>
      <c r="L332" t="s">
        <v>29</v>
      </c>
      <c r="M332"/>
      <c r="N332"/>
      <c r="O332"/>
      <c r="P332"/>
      <c r="Q332" s="9">
        <v>44662</v>
      </c>
      <c r="R332"/>
      <c r="S332"/>
      <c r="T332"/>
      <c r="U332"/>
    </row>
    <row r="333" spans="1:21" hidden="1">
      <c r="A333" s="7" t="s">
        <v>8749</v>
      </c>
      <c r="B333" s="7" t="s">
        <v>7304</v>
      </c>
      <c r="C333" s="8" t="s">
        <v>5317</v>
      </c>
      <c r="D333" t="s">
        <v>168</v>
      </c>
      <c r="E333" t="s">
        <v>429</v>
      </c>
      <c r="F333" t="s">
        <v>79</v>
      </c>
      <c r="G333" t="s">
        <v>430</v>
      </c>
      <c r="H333" s="9">
        <v>44657</v>
      </c>
      <c r="I333" t="s">
        <v>431</v>
      </c>
      <c r="J333" t="s">
        <v>0</v>
      </c>
      <c r="K333" s="9">
        <v>44676</v>
      </c>
      <c r="L333" t="s">
        <v>29</v>
      </c>
      <c r="M333"/>
      <c r="N333"/>
      <c r="O333"/>
      <c r="P333"/>
      <c r="Q333" s="9">
        <v>44676</v>
      </c>
      <c r="R333"/>
      <c r="S333"/>
      <c r="T333"/>
      <c r="U333"/>
    </row>
    <row r="334" spans="1:21" hidden="1">
      <c r="A334" s="7" t="s">
        <v>8750</v>
      </c>
      <c r="B334" s="7" t="s">
        <v>5970</v>
      </c>
      <c r="C334" s="8" t="s">
        <v>5317</v>
      </c>
      <c r="D334" t="s">
        <v>168</v>
      </c>
      <c r="E334" t="s">
        <v>432</v>
      </c>
      <c r="F334" t="s">
        <v>433</v>
      </c>
      <c r="G334" t="s">
        <v>434</v>
      </c>
      <c r="H334" s="9">
        <v>44657</v>
      </c>
      <c r="I334" t="s">
        <v>85</v>
      </c>
      <c r="J334" t="s">
        <v>163</v>
      </c>
      <c r="K334" s="9">
        <v>44693</v>
      </c>
      <c r="L334" t="s">
        <v>29</v>
      </c>
      <c r="M334"/>
      <c r="N334" s="9">
        <v>44686</v>
      </c>
      <c r="O334" s="9">
        <v>44693</v>
      </c>
      <c r="P334" s="9">
        <v>44693</v>
      </c>
      <c r="Q334"/>
      <c r="R334"/>
      <c r="S334"/>
      <c r="T334"/>
      <c r="U334"/>
    </row>
    <row r="335" spans="1:21" hidden="1">
      <c r="A335" s="7" t="s">
        <v>8751</v>
      </c>
      <c r="B335" s="7" t="s">
        <v>5405</v>
      </c>
      <c r="C335" s="8" t="s">
        <v>5317</v>
      </c>
      <c r="D335" t="s">
        <v>168</v>
      </c>
      <c r="E335" t="s">
        <v>25</v>
      </c>
      <c r="F335" t="s">
        <v>435</v>
      </c>
      <c r="G335" t="s">
        <v>436</v>
      </c>
      <c r="H335" s="9">
        <v>44657</v>
      </c>
      <c r="I335" t="s">
        <v>8634</v>
      </c>
      <c r="J335" t="s">
        <v>163</v>
      </c>
      <c r="K335" s="9">
        <v>44693</v>
      </c>
      <c r="L335" t="s">
        <v>29</v>
      </c>
      <c r="M335"/>
      <c r="N335" s="9">
        <v>44686</v>
      </c>
      <c r="O335" s="9">
        <v>44693</v>
      </c>
      <c r="P335" s="9">
        <v>44693</v>
      </c>
      <c r="Q335"/>
      <c r="R335"/>
      <c r="S335"/>
      <c r="T335"/>
      <c r="U335"/>
    </row>
    <row r="336" spans="1:21" hidden="1">
      <c r="A336" s="7" t="s">
        <v>8751</v>
      </c>
      <c r="B336" s="7" t="s">
        <v>5405</v>
      </c>
      <c r="C336" s="8" t="s">
        <v>5317</v>
      </c>
      <c r="D336" t="s">
        <v>168</v>
      </c>
      <c r="E336" t="s">
        <v>25</v>
      </c>
      <c r="F336" t="s">
        <v>435</v>
      </c>
      <c r="G336" t="s">
        <v>437</v>
      </c>
      <c r="H336" s="9">
        <v>44657</v>
      </c>
      <c r="I336" t="s">
        <v>8634</v>
      </c>
      <c r="J336" t="s">
        <v>163</v>
      </c>
      <c r="K336" s="9">
        <v>44693</v>
      </c>
      <c r="L336" t="s">
        <v>29</v>
      </c>
      <c r="M336"/>
      <c r="N336" s="9">
        <v>44686</v>
      </c>
      <c r="O336" s="9">
        <v>44693</v>
      </c>
      <c r="P336" s="9">
        <v>44693</v>
      </c>
      <c r="Q336"/>
      <c r="R336"/>
      <c r="S336"/>
      <c r="T336"/>
      <c r="U336"/>
    </row>
    <row r="337" spans="1:21" hidden="1">
      <c r="A337" s="7" t="s">
        <v>8751</v>
      </c>
      <c r="B337" s="7" t="s">
        <v>5405</v>
      </c>
      <c r="C337" s="8" t="s">
        <v>5317</v>
      </c>
      <c r="D337" t="s">
        <v>168</v>
      </c>
      <c r="E337" t="s">
        <v>25</v>
      </c>
      <c r="F337" t="s">
        <v>435</v>
      </c>
      <c r="G337" t="s">
        <v>438</v>
      </c>
      <c r="H337" s="9">
        <v>44657</v>
      </c>
      <c r="I337" t="s">
        <v>8634</v>
      </c>
      <c r="J337" t="s">
        <v>163</v>
      </c>
      <c r="K337" s="9">
        <v>44693</v>
      </c>
      <c r="L337" t="s">
        <v>29</v>
      </c>
      <c r="M337"/>
      <c r="N337" s="9">
        <v>44686</v>
      </c>
      <c r="O337" s="9">
        <v>44693</v>
      </c>
      <c r="P337" s="9">
        <v>44693</v>
      </c>
      <c r="Q337"/>
      <c r="R337"/>
      <c r="S337"/>
      <c r="T337"/>
      <c r="U337"/>
    </row>
    <row r="338" spans="1:21" hidden="1">
      <c r="A338" s="7" t="s">
        <v>8752</v>
      </c>
      <c r="B338" s="7" t="s">
        <v>6707</v>
      </c>
      <c r="C338" s="8" t="s">
        <v>5317</v>
      </c>
      <c r="D338" t="s">
        <v>168</v>
      </c>
      <c r="E338" t="s">
        <v>439</v>
      </c>
      <c r="F338" t="s">
        <v>117</v>
      </c>
      <c r="G338" t="s">
        <v>440</v>
      </c>
      <c r="H338" s="9">
        <v>44657</v>
      </c>
      <c r="I338" t="s">
        <v>181</v>
      </c>
      <c r="J338" t="s">
        <v>0</v>
      </c>
      <c r="K338" s="9">
        <v>44881</v>
      </c>
      <c r="L338" t="s">
        <v>29</v>
      </c>
      <c r="M338"/>
      <c r="N338" s="9">
        <v>44686</v>
      </c>
      <c r="O338" s="9">
        <v>44693</v>
      </c>
      <c r="P338" s="9">
        <v>44693</v>
      </c>
      <c r="Q338" s="9">
        <v>44881</v>
      </c>
      <c r="R338"/>
      <c r="S338"/>
      <c r="T338"/>
      <c r="U338"/>
    </row>
    <row r="339" spans="1:21" hidden="1">
      <c r="A339" s="7" t="s">
        <v>8737</v>
      </c>
      <c r="B339" s="7" t="s">
        <v>6549</v>
      </c>
      <c r="C339" s="8" t="s">
        <v>5317</v>
      </c>
      <c r="D339" t="s">
        <v>168</v>
      </c>
      <c r="E339" t="s">
        <v>273</v>
      </c>
      <c r="F339" t="s">
        <v>280</v>
      </c>
      <c r="G339" t="s">
        <v>441</v>
      </c>
      <c r="H339" s="9">
        <v>44657</v>
      </c>
      <c r="I339" t="s">
        <v>282</v>
      </c>
      <c r="J339" t="s">
        <v>0</v>
      </c>
      <c r="K339" s="9">
        <v>44887</v>
      </c>
      <c r="L339" t="s">
        <v>29</v>
      </c>
      <c r="M339"/>
      <c r="N339" s="9">
        <v>44686</v>
      </c>
      <c r="O339" s="9">
        <v>44693</v>
      </c>
      <c r="P339" s="9">
        <v>44693</v>
      </c>
      <c r="Q339" s="9">
        <v>44887</v>
      </c>
      <c r="R339" s="9">
        <v>44883.785358796304</v>
      </c>
      <c r="S339"/>
      <c r="T339"/>
      <c r="U339"/>
    </row>
    <row r="340" spans="1:21" hidden="1">
      <c r="A340" s="7" t="s">
        <v>8740</v>
      </c>
      <c r="B340" s="7" t="s">
        <v>6627</v>
      </c>
      <c r="C340" s="8" t="s">
        <v>5317</v>
      </c>
      <c r="D340" t="s">
        <v>168</v>
      </c>
      <c r="E340" t="s">
        <v>304</v>
      </c>
      <c r="F340" t="s">
        <v>117</v>
      </c>
      <c r="G340" t="s">
        <v>442</v>
      </c>
      <c r="H340" s="9">
        <v>44657</v>
      </c>
      <c r="I340" t="s">
        <v>306</v>
      </c>
      <c r="J340" t="s">
        <v>0</v>
      </c>
      <c r="K340" s="9">
        <v>44711</v>
      </c>
      <c r="L340" t="s">
        <v>29</v>
      </c>
      <c r="M340"/>
      <c r="N340" s="9">
        <v>44686</v>
      </c>
      <c r="O340"/>
      <c r="P340"/>
      <c r="Q340" s="9">
        <v>44711</v>
      </c>
      <c r="R340"/>
      <c r="S340"/>
      <c r="T340"/>
      <c r="U340"/>
    </row>
    <row r="341" spans="1:21" hidden="1">
      <c r="A341" s="7" t="s">
        <v>8751</v>
      </c>
      <c r="B341" s="7" t="s">
        <v>5405</v>
      </c>
      <c r="C341" s="8" t="s">
        <v>5317</v>
      </c>
      <c r="D341" t="s">
        <v>168</v>
      </c>
      <c r="E341" t="s">
        <v>25</v>
      </c>
      <c r="F341" t="s">
        <v>435</v>
      </c>
      <c r="G341" t="s">
        <v>443</v>
      </c>
      <c r="H341" s="9">
        <v>44657</v>
      </c>
      <c r="I341" t="s">
        <v>8634</v>
      </c>
      <c r="J341" t="s">
        <v>0</v>
      </c>
      <c r="K341" s="9">
        <v>44881</v>
      </c>
      <c r="L341" t="s">
        <v>29</v>
      </c>
      <c r="M341"/>
      <c r="N341" s="9">
        <v>44686</v>
      </c>
      <c r="O341" s="9">
        <v>44693</v>
      </c>
      <c r="P341" s="9">
        <v>44693</v>
      </c>
      <c r="Q341" s="9">
        <v>44881</v>
      </c>
      <c r="R341"/>
      <c r="S341"/>
      <c r="T341"/>
      <c r="U341"/>
    </row>
    <row r="342" spans="1:21" hidden="1">
      <c r="A342" s="7" t="s">
        <v>8751</v>
      </c>
      <c r="B342" s="7" t="s">
        <v>5405</v>
      </c>
      <c r="C342" s="8" t="s">
        <v>5317</v>
      </c>
      <c r="D342" t="s">
        <v>168</v>
      </c>
      <c r="E342" t="s">
        <v>25</v>
      </c>
      <c r="F342" t="s">
        <v>435</v>
      </c>
      <c r="G342" t="s">
        <v>444</v>
      </c>
      <c r="H342" s="9">
        <v>44657</v>
      </c>
      <c r="I342" t="s">
        <v>8634</v>
      </c>
      <c r="J342" t="s">
        <v>0</v>
      </c>
      <c r="K342" s="9">
        <v>44881</v>
      </c>
      <c r="L342" t="s">
        <v>29</v>
      </c>
      <c r="M342"/>
      <c r="N342" s="9">
        <v>44686</v>
      </c>
      <c r="O342" s="9">
        <v>44693</v>
      </c>
      <c r="P342" s="9">
        <v>44693</v>
      </c>
      <c r="Q342" s="9">
        <v>44881</v>
      </c>
      <c r="R342"/>
      <c r="S342"/>
      <c r="T342"/>
      <c r="U342"/>
    </row>
    <row r="343" spans="1:21" hidden="1">
      <c r="A343" s="7" t="s">
        <v>8752</v>
      </c>
      <c r="B343" s="7" t="s">
        <v>6707</v>
      </c>
      <c r="C343" s="8" t="s">
        <v>5317</v>
      </c>
      <c r="D343" t="s">
        <v>168</v>
      </c>
      <c r="E343" t="s">
        <v>439</v>
      </c>
      <c r="F343" t="s">
        <v>117</v>
      </c>
      <c r="G343" t="s">
        <v>445</v>
      </c>
      <c r="H343" s="9">
        <v>44657</v>
      </c>
      <c r="I343" t="s">
        <v>181</v>
      </c>
      <c r="J343" t="s">
        <v>0</v>
      </c>
      <c r="K343" s="9">
        <v>44881</v>
      </c>
      <c r="L343" t="s">
        <v>29</v>
      </c>
      <c r="M343"/>
      <c r="N343" s="9">
        <v>44686</v>
      </c>
      <c r="O343" s="9">
        <v>44693</v>
      </c>
      <c r="P343" s="9">
        <v>44693</v>
      </c>
      <c r="Q343" s="9">
        <v>44881</v>
      </c>
      <c r="R343"/>
      <c r="S343"/>
      <c r="T343"/>
      <c r="U343"/>
    </row>
    <row r="344" spans="1:21" hidden="1">
      <c r="A344" s="7" t="s">
        <v>8752</v>
      </c>
      <c r="B344" s="7" t="s">
        <v>6707</v>
      </c>
      <c r="C344" s="8" t="s">
        <v>5317</v>
      </c>
      <c r="D344" t="s">
        <v>168</v>
      </c>
      <c r="E344" t="s">
        <v>439</v>
      </c>
      <c r="F344" t="s">
        <v>117</v>
      </c>
      <c r="G344" t="s">
        <v>446</v>
      </c>
      <c r="H344" s="9">
        <v>44657</v>
      </c>
      <c r="I344" t="s">
        <v>181</v>
      </c>
      <c r="J344" t="s">
        <v>0</v>
      </c>
      <c r="K344" s="9">
        <v>44881</v>
      </c>
      <c r="L344" t="s">
        <v>29</v>
      </c>
      <c r="M344"/>
      <c r="N344" s="9">
        <v>44686</v>
      </c>
      <c r="O344" s="9">
        <v>44693</v>
      </c>
      <c r="P344" s="9">
        <v>44693</v>
      </c>
      <c r="Q344" s="9">
        <v>44881</v>
      </c>
      <c r="R344"/>
      <c r="S344"/>
      <c r="T344"/>
      <c r="U344"/>
    </row>
    <row r="345" spans="1:21" hidden="1">
      <c r="A345" s="7" t="s">
        <v>8752</v>
      </c>
      <c r="B345" s="7" t="s">
        <v>6707</v>
      </c>
      <c r="C345" s="8" t="s">
        <v>5317</v>
      </c>
      <c r="D345" t="s">
        <v>168</v>
      </c>
      <c r="E345" t="s">
        <v>439</v>
      </c>
      <c r="F345" t="s">
        <v>117</v>
      </c>
      <c r="G345" t="s">
        <v>447</v>
      </c>
      <c r="H345" s="9">
        <v>44657</v>
      </c>
      <c r="I345" t="s">
        <v>181</v>
      </c>
      <c r="J345" t="s">
        <v>0</v>
      </c>
      <c r="K345" s="9">
        <v>44881</v>
      </c>
      <c r="L345" t="s">
        <v>29</v>
      </c>
      <c r="M345"/>
      <c r="N345" s="9">
        <v>44686</v>
      </c>
      <c r="O345" s="9">
        <v>44693</v>
      </c>
      <c r="P345" s="9">
        <v>44693</v>
      </c>
      <c r="Q345" s="9">
        <v>44881</v>
      </c>
      <c r="R345"/>
      <c r="S345"/>
      <c r="T345"/>
      <c r="U345"/>
    </row>
    <row r="346" spans="1:21" hidden="1">
      <c r="A346" s="7" t="s">
        <v>8753</v>
      </c>
      <c r="B346" s="7" t="s">
        <v>7428</v>
      </c>
      <c r="C346" s="8" t="s">
        <v>5317</v>
      </c>
      <c r="D346" t="s">
        <v>168</v>
      </c>
      <c r="E346" t="s">
        <v>448</v>
      </c>
      <c r="F346" t="s">
        <v>83</v>
      </c>
      <c r="G346" t="s">
        <v>449</v>
      </c>
      <c r="H346" s="9">
        <v>44657</v>
      </c>
      <c r="I346" t="s">
        <v>171</v>
      </c>
      <c r="J346" t="s">
        <v>0</v>
      </c>
      <c r="K346" s="9">
        <v>44676</v>
      </c>
      <c r="L346" t="s">
        <v>29</v>
      </c>
      <c r="M346"/>
      <c r="N346"/>
      <c r="O346"/>
      <c r="P346"/>
      <c r="Q346" s="9">
        <v>44676</v>
      </c>
      <c r="R346"/>
      <c r="S346"/>
      <c r="T346"/>
      <c r="U346"/>
    </row>
    <row r="347" spans="1:21" hidden="1">
      <c r="A347" s="7" t="s">
        <v>8753</v>
      </c>
      <c r="B347" s="7" t="s">
        <v>7428</v>
      </c>
      <c r="C347" s="8" t="s">
        <v>5317</v>
      </c>
      <c r="D347" t="s">
        <v>168</v>
      </c>
      <c r="E347" t="s">
        <v>448</v>
      </c>
      <c r="F347" t="s">
        <v>83</v>
      </c>
      <c r="G347" t="s">
        <v>450</v>
      </c>
      <c r="H347" s="9">
        <v>44657</v>
      </c>
      <c r="I347" t="s">
        <v>171</v>
      </c>
      <c r="J347" t="s">
        <v>0</v>
      </c>
      <c r="K347" s="9">
        <v>44676</v>
      </c>
      <c r="L347" t="s">
        <v>29</v>
      </c>
      <c r="M347"/>
      <c r="N347"/>
      <c r="O347"/>
      <c r="P347"/>
      <c r="Q347" s="9">
        <v>44676</v>
      </c>
      <c r="R347"/>
      <c r="S347"/>
      <c r="T347"/>
      <c r="U347"/>
    </row>
    <row r="348" spans="1:21" hidden="1">
      <c r="A348" s="7" t="s">
        <v>8753</v>
      </c>
      <c r="B348" s="7" t="s">
        <v>7428</v>
      </c>
      <c r="C348" s="8" t="s">
        <v>5317</v>
      </c>
      <c r="D348" t="s">
        <v>168</v>
      </c>
      <c r="E348" t="s">
        <v>448</v>
      </c>
      <c r="F348" t="s">
        <v>83</v>
      </c>
      <c r="G348" t="s">
        <v>451</v>
      </c>
      <c r="H348" s="9">
        <v>44657</v>
      </c>
      <c r="I348" t="s">
        <v>171</v>
      </c>
      <c r="J348" t="s">
        <v>0</v>
      </c>
      <c r="K348" s="9">
        <v>44676</v>
      </c>
      <c r="L348" t="s">
        <v>29</v>
      </c>
      <c r="M348"/>
      <c r="N348"/>
      <c r="O348"/>
      <c r="P348"/>
      <c r="Q348" s="9">
        <v>44676</v>
      </c>
      <c r="R348"/>
      <c r="S348"/>
      <c r="T348"/>
      <c r="U348"/>
    </row>
    <row r="349" spans="1:21" hidden="1">
      <c r="A349" s="7" t="s">
        <v>8753</v>
      </c>
      <c r="B349" s="7" t="s">
        <v>7428</v>
      </c>
      <c r="C349" s="8" t="s">
        <v>5317</v>
      </c>
      <c r="D349" t="s">
        <v>168</v>
      </c>
      <c r="E349" t="s">
        <v>448</v>
      </c>
      <c r="F349" t="s">
        <v>83</v>
      </c>
      <c r="G349" t="s">
        <v>452</v>
      </c>
      <c r="H349" s="9">
        <v>44657</v>
      </c>
      <c r="I349" t="s">
        <v>171</v>
      </c>
      <c r="J349" t="s">
        <v>0</v>
      </c>
      <c r="K349" s="9">
        <v>44676</v>
      </c>
      <c r="L349" t="s">
        <v>29</v>
      </c>
      <c r="M349"/>
      <c r="N349"/>
      <c r="O349"/>
      <c r="P349"/>
      <c r="Q349" s="9">
        <v>44676</v>
      </c>
      <c r="R349"/>
      <c r="S349"/>
      <c r="T349"/>
      <c r="U349"/>
    </row>
    <row r="350" spans="1:21" hidden="1">
      <c r="A350" s="7" t="s">
        <v>8753</v>
      </c>
      <c r="B350" s="7" t="s">
        <v>7428</v>
      </c>
      <c r="C350" s="8" t="s">
        <v>5317</v>
      </c>
      <c r="D350" t="s">
        <v>168</v>
      </c>
      <c r="E350" t="s">
        <v>448</v>
      </c>
      <c r="F350" t="s">
        <v>83</v>
      </c>
      <c r="G350" t="s">
        <v>453</v>
      </c>
      <c r="H350" s="9">
        <v>44657</v>
      </c>
      <c r="I350" t="s">
        <v>171</v>
      </c>
      <c r="J350" t="s">
        <v>0</v>
      </c>
      <c r="K350" s="9">
        <v>44676</v>
      </c>
      <c r="L350" t="s">
        <v>29</v>
      </c>
      <c r="M350"/>
      <c r="N350"/>
      <c r="O350"/>
      <c r="P350"/>
      <c r="Q350" s="9">
        <v>44676</v>
      </c>
      <c r="R350"/>
      <c r="S350"/>
      <c r="T350"/>
      <c r="U350"/>
    </row>
    <row r="351" spans="1:21" hidden="1">
      <c r="A351" s="7" t="s">
        <v>8753</v>
      </c>
      <c r="B351" s="7" t="s">
        <v>7428</v>
      </c>
      <c r="C351" s="8" t="s">
        <v>5317</v>
      </c>
      <c r="D351" t="s">
        <v>168</v>
      </c>
      <c r="E351" t="s">
        <v>448</v>
      </c>
      <c r="F351" t="s">
        <v>83</v>
      </c>
      <c r="G351" t="s">
        <v>454</v>
      </c>
      <c r="H351" s="9">
        <v>44657</v>
      </c>
      <c r="I351" t="s">
        <v>171</v>
      </c>
      <c r="J351" t="s">
        <v>0</v>
      </c>
      <c r="K351" s="9">
        <v>44676</v>
      </c>
      <c r="L351" t="s">
        <v>29</v>
      </c>
      <c r="M351"/>
      <c r="N351"/>
      <c r="O351"/>
      <c r="P351"/>
      <c r="Q351" s="9">
        <v>44676</v>
      </c>
      <c r="R351"/>
      <c r="S351"/>
      <c r="T351"/>
      <c r="U351"/>
    </row>
    <row r="352" spans="1:21" hidden="1">
      <c r="A352" s="7" t="s">
        <v>8752</v>
      </c>
      <c r="B352" s="7" t="s">
        <v>6707</v>
      </c>
      <c r="C352" s="8" t="s">
        <v>5317</v>
      </c>
      <c r="D352" t="s">
        <v>168</v>
      </c>
      <c r="E352" t="s">
        <v>439</v>
      </c>
      <c r="F352" t="s">
        <v>117</v>
      </c>
      <c r="G352" t="s">
        <v>455</v>
      </c>
      <c r="H352" s="9">
        <v>44657</v>
      </c>
      <c r="I352" t="s">
        <v>181</v>
      </c>
      <c r="J352" t="s">
        <v>0</v>
      </c>
      <c r="K352" s="9">
        <v>44881</v>
      </c>
      <c r="L352" t="s">
        <v>29</v>
      </c>
      <c r="M352"/>
      <c r="N352" s="9">
        <v>44686</v>
      </c>
      <c r="O352" s="9">
        <v>44693</v>
      </c>
      <c r="P352" s="9">
        <v>44693</v>
      </c>
      <c r="Q352" s="9">
        <v>44881</v>
      </c>
      <c r="R352"/>
      <c r="S352"/>
      <c r="T352"/>
      <c r="U352"/>
    </row>
    <row r="353" spans="1:21" hidden="1">
      <c r="A353" s="7" t="s">
        <v>8753</v>
      </c>
      <c r="B353" s="7" t="s">
        <v>7428</v>
      </c>
      <c r="C353" s="8" t="s">
        <v>5317</v>
      </c>
      <c r="D353" t="s">
        <v>168</v>
      </c>
      <c r="E353" t="s">
        <v>448</v>
      </c>
      <c r="F353" t="s">
        <v>83</v>
      </c>
      <c r="G353" t="s">
        <v>456</v>
      </c>
      <c r="H353" s="9">
        <v>44657</v>
      </c>
      <c r="I353" t="s">
        <v>171</v>
      </c>
      <c r="J353" t="s">
        <v>0</v>
      </c>
      <c r="K353" s="9">
        <v>44676</v>
      </c>
      <c r="L353" t="s">
        <v>29</v>
      </c>
      <c r="M353"/>
      <c r="N353"/>
      <c r="O353"/>
      <c r="P353"/>
      <c r="Q353" s="9">
        <v>44676</v>
      </c>
      <c r="R353"/>
      <c r="S353"/>
      <c r="T353"/>
      <c r="U353"/>
    </row>
    <row r="354" spans="1:21" hidden="1">
      <c r="A354" s="7" t="s">
        <v>8753</v>
      </c>
      <c r="B354" s="7" t="s">
        <v>7428</v>
      </c>
      <c r="C354" s="8" t="s">
        <v>5317</v>
      </c>
      <c r="D354" t="s">
        <v>168</v>
      </c>
      <c r="E354" t="s">
        <v>448</v>
      </c>
      <c r="F354" t="s">
        <v>83</v>
      </c>
      <c r="G354" t="s">
        <v>457</v>
      </c>
      <c r="H354" s="9">
        <v>44657</v>
      </c>
      <c r="I354" t="s">
        <v>171</v>
      </c>
      <c r="J354" t="s">
        <v>0</v>
      </c>
      <c r="K354" s="9">
        <v>44676</v>
      </c>
      <c r="L354" t="s">
        <v>29</v>
      </c>
      <c r="M354"/>
      <c r="N354"/>
      <c r="O354"/>
      <c r="P354"/>
      <c r="Q354" s="9">
        <v>44676</v>
      </c>
      <c r="R354"/>
      <c r="S354"/>
      <c r="T354"/>
      <c r="U354"/>
    </row>
    <row r="355" spans="1:21" hidden="1">
      <c r="A355" s="7" t="s">
        <v>8753</v>
      </c>
      <c r="B355" s="7" t="s">
        <v>7428</v>
      </c>
      <c r="C355" s="8" t="s">
        <v>5317</v>
      </c>
      <c r="D355" t="s">
        <v>168</v>
      </c>
      <c r="E355" t="s">
        <v>448</v>
      </c>
      <c r="F355" t="s">
        <v>83</v>
      </c>
      <c r="G355" t="s">
        <v>458</v>
      </c>
      <c r="H355" s="9">
        <v>44657</v>
      </c>
      <c r="I355" t="s">
        <v>171</v>
      </c>
      <c r="J355" t="s">
        <v>0</v>
      </c>
      <c r="K355" s="9">
        <v>44676</v>
      </c>
      <c r="L355" t="s">
        <v>29</v>
      </c>
      <c r="M355"/>
      <c r="N355"/>
      <c r="O355"/>
      <c r="P355"/>
      <c r="Q355" s="9">
        <v>44676</v>
      </c>
      <c r="R355"/>
      <c r="S355"/>
      <c r="T355"/>
      <c r="U355"/>
    </row>
    <row r="356" spans="1:21" hidden="1">
      <c r="A356" s="7" t="s">
        <v>8753</v>
      </c>
      <c r="B356" s="7" t="s">
        <v>7428</v>
      </c>
      <c r="C356" s="8" t="s">
        <v>5317</v>
      </c>
      <c r="D356" t="s">
        <v>168</v>
      </c>
      <c r="E356" t="s">
        <v>448</v>
      </c>
      <c r="F356" t="s">
        <v>83</v>
      </c>
      <c r="G356" t="s">
        <v>459</v>
      </c>
      <c r="H356" s="9">
        <v>44657</v>
      </c>
      <c r="I356" t="s">
        <v>171</v>
      </c>
      <c r="J356" t="s">
        <v>0</v>
      </c>
      <c r="K356" s="9">
        <v>44676</v>
      </c>
      <c r="L356" t="s">
        <v>29</v>
      </c>
      <c r="M356"/>
      <c r="N356"/>
      <c r="O356"/>
      <c r="P356"/>
      <c r="Q356" s="9">
        <v>44676</v>
      </c>
      <c r="R356"/>
      <c r="S356"/>
      <c r="T356"/>
      <c r="U356"/>
    </row>
    <row r="357" spans="1:21" hidden="1">
      <c r="A357" s="7" t="s">
        <v>8753</v>
      </c>
      <c r="B357" s="7" t="s">
        <v>7428</v>
      </c>
      <c r="C357" s="8" t="s">
        <v>5317</v>
      </c>
      <c r="D357" t="s">
        <v>168</v>
      </c>
      <c r="E357" t="s">
        <v>448</v>
      </c>
      <c r="F357" t="s">
        <v>83</v>
      </c>
      <c r="G357" t="s">
        <v>460</v>
      </c>
      <c r="H357" s="9">
        <v>44657</v>
      </c>
      <c r="I357" t="s">
        <v>171</v>
      </c>
      <c r="J357" t="s">
        <v>0</v>
      </c>
      <c r="K357" s="9">
        <v>44676</v>
      </c>
      <c r="L357" t="s">
        <v>29</v>
      </c>
      <c r="M357"/>
      <c r="N357"/>
      <c r="O357"/>
      <c r="P357"/>
      <c r="Q357" s="9">
        <v>44676</v>
      </c>
      <c r="R357"/>
      <c r="S357"/>
      <c r="T357"/>
      <c r="U357"/>
    </row>
    <row r="358" spans="1:21" hidden="1">
      <c r="A358" s="7" t="s">
        <v>8752</v>
      </c>
      <c r="B358" s="7" t="s">
        <v>6707</v>
      </c>
      <c r="C358" s="8" t="s">
        <v>5317</v>
      </c>
      <c r="D358" t="s">
        <v>168</v>
      </c>
      <c r="E358" t="s">
        <v>439</v>
      </c>
      <c r="F358" t="s">
        <v>117</v>
      </c>
      <c r="G358" t="s">
        <v>461</v>
      </c>
      <c r="H358" s="9">
        <v>44657</v>
      </c>
      <c r="I358" t="s">
        <v>181</v>
      </c>
      <c r="J358" t="s">
        <v>0</v>
      </c>
      <c r="K358" s="9">
        <v>44881</v>
      </c>
      <c r="L358" t="s">
        <v>29</v>
      </c>
      <c r="M358"/>
      <c r="N358" s="9">
        <v>44686</v>
      </c>
      <c r="O358" s="9">
        <v>44693</v>
      </c>
      <c r="P358" s="9">
        <v>44693</v>
      </c>
      <c r="Q358" s="9">
        <v>44881</v>
      </c>
      <c r="R358"/>
      <c r="S358"/>
      <c r="T358"/>
      <c r="U358"/>
    </row>
    <row r="359" spans="1:21" hidden="1">
      <c r="A359" s="7" t="s">
        <v>8752</v>
      </c>
      <c r="B359" s="7" t="s">
        <v>6707</v>
      </c>
      <c r="C359" s="8" t="s">
        <v>5317</v>
      </c>
      <c r="D359" t="s">
        <v>168</v>
      </c>
      <c r="E359" t="s">
        <v>439</v>
      </c>
      <c r="F359" t="s">
        <v>117</v>
      </c>
      <c r="G359" t="s">
        <v>462</v>
      </c>
      <c r="H359" s="9">
        <v>44657</v>
      </c>
      <c r="I359" t="s">
        <v>181</v>
      </c>
      <c r="J359" t="s">
        <v>0</v>
      </c>
      <c r="K359" s="9">
        <v>44881</v>
      </c>
      <c r="L359" t="s">
        <v>29</v>
      </c>
      <c r="M359"/>
      <c r="N359" s="9">
        <v>44686</v>
      </c>
      <c r="O359" s="9">
        <v>44693</v>
      </c>
      <c r="P359" s="9">
        <v>44693</v>
      </c>
      <c r="Q359" s="9">
        <v>44881</v>
      </c>
      <c r="R359"/>
      <c r="S359"/>
      <c r="T359"/>
      <c r="U359"/>
    </row>
    <row r="360" spans="1:21" hidden="1">
      <c r="A360" s="7" t="s">
        <v>8752</v>
      </c>
      <c r="B360" s="7" t="s">
        <v>6707</v>
      </c>
      <c r="C360" s="8" t="s">
        <v>5317</v>
      </c>
      <c r="D360" t="s">
        <v>168</v>
      </c>
      <c r="E360" t="s">
        <v>439</v>
      </c>
      <c r="F360" t="s">
        <v>117</v>
      </c>
      <c r="G360" t="s">
        <v>463</v>
      </c>
      <c r="H360" s="9">
        <v>44657</v>
      </c>
      <c r="I360" t="s">
        <v>181</v>
      </c>
      <c r="J360" t="s">
        <v>0</v>
      </c>
      <c r="K360" s="9">
        <v>44881</v>
      </c>
      <c r="L360" t="s">
        <v>29</v>
      </c>
      <c r="M360"/>
      <c r="N360" s="9">
        <v>44686</v>
      </c>
      <c r="O360" s="9">
        <v>44693</v>
      </c>
      <c r="P360" s="9">
        <v>44693</v>
      </c>
      <c r="Q360" s="9">
        <v>44881</v>
      </c>
      <c r="R360"/>
      <c r="S360"/>
      <c r="T360"/>
      <c r="U360"/>
    </row>
    <row r="361" spans="1:21" hidden="1">
      <c r="A361" s="7" t="s">
        <v>8752</v>
      </c>
      <c r="B361" s="7" t="s">
        <v>6707</v>
      </c>
      <c r="C361" s="8" t="s">
        <v>5317</v>
      </c>
      <c r="D361" t="s">
        <v>168</v>
      </c>
      <c r="E361" t="s">
        <v>439</v>
      </c>
      <c r="F361" t="s">
        <v>117</v>
      </c>
      <c r="G361" t="s">
        <v>464</v>
      </c>
      <c r="H361" s="9">
        <v>44657</v>
      </c>
      <c r="I361" t="s">
        <v>181</v>
      </c>
      <c r="J361" t="s">
        <v>0</v>
      </c>
      <c r="K361" s="9">
        <v>44881</v>
      </c>
      <c r="L361" t="s">
        <v>29</v>
      </c>
      <c r="M361"/>
      <c r="N361" s="9">
        <v>44686</v>
      </c>
      <c r="O361" s="9">
        <v>44693</v>
      </c>
      <c r="P361" s="9">
        <v>44693</v>
      </c>
      <c r="Q361" s="9">
        <v>44881</v>
      </c>
      <c r="R361"/>
      <c r="S361"/>
      <c r="T361"/>
      <c r="U361"/>
    </row>
    <row r="362" spans="1:21" hidden="1">
      <c r="A362" s="7" t="s">
        <v>8752</v>
      </c>
      <c r="B362" s="7" t="s">
        <v>6707</v>
      </c>
      <c r="C362" s="8" t="s">
        <v>5317</v>
      </c>
      <c r="D362" t="s">
        <v>168</v>
      </c>
      <c r="E362" t="s">
        <v>439</v>
      </c>
      <c r="F362" t="s">
        <v>117</v>
      </c>
      <c r="G362" t="s">
        <v>465</v>
      </c>
      <c r="H362" s="9">
        <v>44657</v>
      </c>
      <c r="I362" t="s">
        <v>181</v>
      </c>
      <c r="J362" t="s">
        <v>0</v>
      </c>
      <c r="K362" s="9">
        <v>44881</v>
      </c>
      <c r="L362" t="s">
        <v>29</v>
      </c>
      <c r="M362"/>
      <c r="N362" s="9">
        <v>44686</v>
      </c>
      <c r="O362" s="9">
        <v>44693</v>
      </c>
      <c r="P362" s="9">
        <v>44693</v>
      </c>
      <c r="Q362" s="9">
        <v>44881</v>
      </c>
      <c r="R362"/>
      <c r="S362"/>
      <c r="T362"/>
      <c r="U362"/>
    </row>
    <row r="363" spans="1:21" hidden="1">
      <c r="A363" s="7" t="s">
        <v>8752</v>
      </c>
      <c r="B363" s="7" t="s">
        <v>6707</v>
      </c>
      <c r="C363" s="8" t="s">
        <v>5317</v>
      </c>
      <c r="D363" t="s">
        <v>168</v>
      </c>
      <c r="E363" t="s">
        <v>439</v>
      </c>
      <c r="F363" t="s">
        <v>117</v>
      </c>
      <c r="G363" t="s">
        <v>466</v>
      </c>
      <c r="H363" s="9">
        <v>44657</v>
      </c>
      <c r="I363" t="s">
        <v>181</v>
      </c>
      <c r="J363" t="s">
        <v>0</v>
      </c>
      <c r="K363" s="9">
        <v>44881</v>
      </c>
      <c r="L363" t="s">
        <v>29</v>
      </c>
      <c r="M363"/>
      <c r="N363" s="9">
        <v>44686</v>
      </c>
      <c r="O363" s="9">
        <v>44693</v>
      </c>
      <c r="P363" s="9">
        <v>44693</v>
      </c>
      <c r="Q363" s="9">
        <v>44881</v>
      </c>
      <c r="R363"/>
      <c r="S363"/>
      <c r="T363"/>
      <c r="U363"/>
    </row>
    <row r="364" spans="1:21" hidden="1">
      <c r="A364" s="7" t="s">
        <v>8752</v>
      </c>
      <c r="B364" s="7" t="s">
        <v>6707</v>
      </c>
      <c r="C364" s="8" t="s">
        <v>5317</v>
      </c>
      <c r="D364" t="s">
        <v>168</v>
      </c>
      <c r="E364" t="s">
        <v>439</v>
      </c>
      <c r="F364" t="s">
        <v>117</v>
      </c>
      <c r="G364" t="s">
        <v>467</v>
      </c>
      <c r="H364" s="9">
        <v>44657</v>
      </c>
      <c r="I364" t="s">
        <v>181</v>
      </c>
      <c r="J364" t="s">
        <v>0</v>
      </c>
      <c r="K364" s="9">
        <v>44881</v>
      </c>
      <c r="L364" t="s">
        <v>29</v>
      </c>
      <c r="M364"/>
      <c r="N364" s="9">
        <v>44686</v>
      </c>
      <c r="O364" s="9">
        <v>44693</v>
      </c>
      <c r="P364" s="9">
        <v>44693</v>
      </c>
      <c r="Q364" s="9">
        <v>44881</v>
      </c>
      <c r="R364"/>
      <c r="S364"/>
      <c r="T364"/>
      <c r="U364"/>
    </row>
    <row r="365" spans="1:21" hidden="1">
      <c r="A365" s="7" t="s">
        <v>8752</v>
      </c>
      <c r="B365" s="7" t="s">
        <v>6707</v>
      </c>
      <c r="C365" s="8" t="s">
        <v>5317</v>
      </c>
      <c r="D365" t="s">
        <v>168</v>
      </c>
      <c r="E365" t="s">
        <v>439</v>
      </c>
      <c r="F365" t="s">
        <v>117</v>
      </c>
      <c r="G365" t="s">
        <v>468</v>
      </c>
      <c r="H365" s="9">
        <v>44657</v>
      </c>
      <c r="I365" t="s">
        <v>181</v>
      </c>
      <c r="J365" t="s">
        <v>0</v>
      </c>
      <c r="K365" s="9">
        <v>44881</v>
      </c>
      <c r="L365" t="s">
        <v>29</v>
      </c>
      <c r="M365"/>
      <c r="N365" s="9">
        <v>44686</v>
      </c>
      <c r="O365" s="9">
        <v>44693</v>
      </c>
      <c r="P365" s="9">
        <v>44693</v>
      </c>
      <c r="Q365" s="9">
        <v>44881</v>
      </c>
      <c r="R365"/>
      <c r="S365"/>
      <c r="T365"/>
      <c r="U365"/>
    </row>
    <row r="366" spans="1:21" hidden="1">
      <c r="A366" s="7" t="s">
        <v>8752</v>
      </c>
      <c r="B366" s="7" t="s">
        <v>6707</v>
      </c>
      <c r="C366" s="8" t="s">
        <v>5317</v>
      </c>
      <c r="D366" t="s">
        <v>168</v>
      </c>
      <c r="E366" t="s">
        <v>439</v>
      </c>
      <c r="F366" t="s">
        <v>117</v>
      </c>
      <c r="G366" t="s">
        <v>469</v>
      </c>
      <c r="H366" s="9">
        <v>44657</v>
      </c>
      <c r="I366" t="s">
        <v>181</v>
      </c>
      <c r="J366" t="s">
        <v>0</v>
      </c>
      <c r="K366" s="9">
        <v>44881</v>
      </c>
      <c r="L366" t="s">
        <v>29</v>
      </c>
      <c r="M366"/>
      <c r="N366" s="9">
        <v>44686</v>
      </c>
      <c r="O366" s="9">
        <v>44693</v>
      </c>
      <c r="P366" s="9">
        <v>44693</v>
      </c>
      <c r="Q366" s="9">
        <v>44881</v>
      </c>
      <c r="R366"/>
      <c r="S366"/>
      <c r="T366"/>
      <c r="U366"/>
    </row>
    <row r="367" spans="1:21" hidden="1">
      <c r="A367" s="7" t="s">
        <v>8752</v>
      </c>
      <c r="B367" s="7" t="s">
        <v>6707</v>
      </c>
      <c r="C367" s="8" t="s">
        <v>5317</v>
      </c>
      <c r="D367" t="s">
        <v>168</v>
      </c>
      <c r="E367" t="s">
        <v>439</v>
      </c>
      <c r="F367" t="s">
        <v>117</v>
      </c>
      <c r="G367" t="s">
        <v>470</v>
      </c>
      <c r="H367" s="9">
        <v>44657</v>
      </c>
      <c r="I367" t="s">
        <v>181</v>
      </c>
      <c r="J367" t="s">
        <v>0</v>
      </c>
      <c r="K367" s="9">
        <v>44881</v>
      </c>
      <c r="L367" t="s">
        <v>29</v>
      </c>
      <c r="M367"/>
      <c r="N367" s="9">
        <v>44686</v>
      </c>
      <c r="O367" s="9">
        <v>44693</v>
      </c>
      <c r="P367" s="9">
        <v>44693</v>
      </c>
      <c r="Q367" s="9">
        <v>44881</v>
      </c>
      <c r="R367"/>
      <c r="S367"/>
      <c r="T367"/>
      <c r="U367"/>
    </row>
    <row r="368" spans="1:21" hidden="1">
      <c r="A368" s="7" t="s">
        <v>8752</v>
      </c>
      <c r="B368" s="7" t="s">
        <v>6707</v>
      </c>
      <c r="C368" s="8" t="s">
        <v>5317</v>
      </c>
      <c r="D368" t="s">
        <v>168</v>
      </c>
      <c r="E368" t="s">
        <v>439</v>
      </c>
      <c r="F368" t="s">
        <v>117</v>
      </c>
      <c r="G368" t="s">
        <v>471</v>
      </c>
      <c r="H368" s="9">
        <v>44657</v>
      </c>
      <c r="I368" t="s">
        <v>181</v>
      </c>
      <c r="J368" t="s">
        <v>0</v>
      </c>
      <c r="K368" s="9">
        <v>44881</v>
      </c>
      <c r="L368" t="s">
        <v>29</v>
      </c>
      <c r="M368"/>
      <c r="N368" s="9">
        <v>44686</v>
      </c>
      <c r="O368" s="9">
        <v>44693</v>
      </c>
      <c r="P368" s="9">
        <v>44693</v>
      </c>
      <c r="Q368" s="9">
        <v>44881</v>
      </c>
      <c r="R368"/>
      <c r="S368"/>
      <c r="T368"/>
      <c r="U368"/>
    </row>
    <row r="369" spans="1:21" hidden="1">
      <c r="A369" s="7" t="s">
        <v>8754</v>
      </c>
      <c r="B369" s="7" t="s">
        <v>8066</v>
      </c>
      <c r="C369" s="8" t="s">
        <v>5317</v>
      </c>
      <c r="D369" t="s">
        <v>168</v>
      </c>
      <c r="E369" t="s">
        <v>472</v>
      </c>
      <c r="F369" t="s">
        <v>117</v>
      </c>
      <c r="G369" t="s">
        <v>473</v>
      </c>
      <c r="H369" s="9">
        <v>44657</v>
      </c>
      <c r="I369" t="s">
        <v>171</v>
      </c>
      <c r="J369" t="s">
        <v>0</v>
      </c>
      <c r="K369" s="9">
        <v>44679</v>
      </c>
      <c r="L369" t="s">
        <v>29</v>
      </c>
      <c r="M369"/>
      <c r="N369"/>
      <c r="O369"/>
      <c r="P369"/>
      <c r="Q369" s="9">
        <v>44679</v>
      </c>
      <c r="R369"/>
      <c r="S369"/>
      <c r="T369"/>
      <c r="U369"/>
    </row>
    <row r="370" spans="1:21" hidden="1">
      <c r="A370" s="7" t="s">
        <v>8754</v>
      </c>
      <c r="B370" s="7" t="s">
        <v>8066</v>
      </c>
      <c r="C370" s="8" t="s">
        <v>5317</v>
      </c>
      <c r="D370" t="s">
        <v>168</v>
      </c>
      <c r="E370" t="s">
        <v>472</v>
      </c>
      <c r="F370" t="s">
        <v>117</v>
      </c>
      <c r="G370" t="s">
        <v>474</v>
      </c>
      <c r="H370" s="9">
        <v>44657</v>
      </c>
      <c r="I370" t="s">
        <v>171</v>
      </c>
      <c r="J370" t="s">
        <v>0</v>
      </c>
      <c r="K370" s="9">
        <v>44679</v>
      </c>
      <c r="L370" t="s">
        <v>29</v>
      </c>
      <c r="M370"/>
      <c r="N370"/>
      <c r="O370"/>
      <c r="P370"/>
      <c r="Q370" s="9">
        <v>44679</v>
      </c>
      <c r="R370"/>
      <c r="S370"/>
      <c r="T370"/>
      <c r="U370"/>
    </row>
    <row r="371" spans="1:21" hidden="1">
      <c r="A371" s="7" t="s">
        <v>8754</v>
      </c>
      <c r="B371" s="7" t="s">
        <v>8066</v>
      </c>
      <c r="C371" s="8" t="s">
        <v>5317</v>
      </c>
      <c r="D371" t="s">
        <v>168</v>
      </c>
      <c r="E371" t="s">
        <v>472</v>
      </c>
      <c r="F371" t="s">
        <v>117</v>
      </c>
      <c r="G371" t="s">
        <v>475</v>
      </c>
      <c r="H371" s="9">
        <v>44657</v>
      </c>
      <c r="I371" t="s">
        <v>171</v>
      </c>
      <c r="J371" t="s">
        <v>0</v>
      </c>
      <c r="K371" s="9">
        <v>44679</v>
      </c>
      <c r="L371" t="s">
        <v>29</v>
      </c>
      <c r="M371"/>
      <c r="N371"/>
      <c r="O371"/>
      <c r="P371"/>
      <c r="Q371" s="9">
        <v>44679</v>
      </c>
      <c r="R371"/>
      <c r="S371"/>
      <c r="T371"/>
      <c r="U371"/>
    </row>
    <row r="372" spans="1:21" hidden="1">
      <c r="A372" s="7" t="s">
        <v>8754</v>
      </c>
      <c r="B372" s="7" t="s">
        <v>8066</v>
      </c>
      <c r="C372" s="8" t="s">
        <v>5317</v>
      </c>
      <c r="D372" t="s">
        <v>168</v>
      </c>
      <c r="E372" t="s">
        <v>472</v>
      </c>
      <c r="F372" t="s">
        <v>117</v>
      </c>
      <c r="G372" t="s">
        <v>476</v>
      </c>
      <c r="H372" s="9">
        <v>44657</v>
      </c>
      <c r="I372" t="s">
        <v>171</v>
      </c>
      <c r="J372" t="s">
        <v>0</v>
      </c>
      <c r="K372" s="9">
        <v>44679</v>
      </c>
      <c r="L372" t="s">
        <v>29</v>
      </c>
      <c r="M372"/>
      <c r="N372"/>
      <c r="O372"/>
      <c r="P372"/>
      <c r="Q372" s="9">
        <v>44679</v>
      </c>
      <c r="R372"/>
      <c r="S372"/>
      <c r="T372"/>
      <c r="U372"/>
    </row>
    <row r="373" spans="1:21" hidden="1">
      <c r="A373" s="7" t="s">
        <v>8754</v>
      </c>
      <c r="B373" s="7" t="s">
        <v>8066</v>
      </c>
      <c r="C373" s="8" t="s">
        <v>5317</v>
      </c>
      <c r="D373" t="s">
        <v>168</v>
      </c>
      <c r="E373" t="s">
        <v>472</v>
      </c>
      <c r="F373" t="s">
        <v>117</v>
      </c>
      <c r="G373" t="s">
        <v>477</v>
      </c>
      <c r="H373" s="9">
        <v>44657</v>
      </c>
      <c r="I373" t="s">
        <v>171</v>
      </c>
      <c r="J373" t="s">
        <v>0</v>
      </c>
      <c r="K373" s="9">
        <v>44679</v>
      </c>
      <c r="L373" t="s">
        <v>29</v>
      </c>
      <c r="M373"/>
      <c r="N373"/>
      <c r="O373"/>
      <c r="P373"/>
      <c r="Q373" s="9">
        <v>44679</v>
      </c>
      <c r="R373"/>
      <c r="S373"/>
      <c r="T373"/>
      <c r="U373"/>
    </row>
    <row r="374" spans="1:21" hidden="1">
      <c r="A374" s="7" t="s">
        <v>8754</v>
      </c>
      <c r="B374" s="7" t="s">
        <v>8066</v>
      </c>
      <c r="C374" s="8" t="s">
        <v>5317</v>
      </c>
      <c r="D374" t="s">
        <v>168</v>
      </c>
      <c r="E374" t="s">
        <v>472</v>
      </c>
      <c r="F374" t="s">
        <v>117</v>
      </c>
      <c r="G374" t="s">
        <v>478</v>
      </c>
      <c r="H374" s="9">
        <v>44657</v>
      </c>
      <c r="I374" t="s">
        <v>171</v>
      </c>
      <c r="J374" t="s">
        <v>0</v>
      </c>
      <c r="K374" s="9">
        <v>44679</v>
      </c>
      <c r="L374" t="s">
        <v>29</v>
      </c>
      <c r="M374"/>
      <c r="N374"/>
      <c r="O374"/>
      <c r="P374"/>
      <c r="Q374" s="9">
        <v>44679</v>
      </c>
      <c r="R374"/>
      <c r="S374"/>
      <c r="T374"/>
      <c r="U374"/>
    </row>
    <row r="375" spans="1:21" hidden="1">
      <c r="A375" s="7" t="s">
        <v>8752</v>
      </c>
      <c r="B375" s="7" t="s">
        <v>6707</v>
      </c>
      <c r="C375" s="8" t="s">
        <v>5317</v>
      </c>
      <c r="D375" t="s">
        <v>168</v>
      </c>
      <c r="E375" t="s">
        <v>439</v>
      </c>
      <c r="F375" t="s">
        <v>117</v>
      </c>
      <c r="G375" t="s">
        <v>479</v>
      </c>
      <c r="H375" s="9">
        <v>44657</v>
      </c>
      <c r="I375" t="s">
        <v>181</v>
      </c>
      <c r="J375" t="s">
        <v>0</v>
      </c>
      <c r="K375" s="9">
        <v>44881</v>
      </c>
      <c r="L375" t="s">
        <v>29</v>
      </c>
      <c r="M375"/>
      <c r="N375" s="9">
        <v>44686</v>
      </c>
      <c r="O375" s="9">
        <v>44693</v>
      </c>
      <c r="P375" s="9">
        <v>44693</v>
      </c>
      <c r="Q375" s="9">
        <v>44881</v>
      </c>
      <c r="R375"/>
      <c r="S375"/>
      <c r="T375"/>
      <c r="U375"/>
    </row>
    <row r="376" spans="1:21" hidden="1">
      <c r="A376" s="7" t="s">
        <v>8752</v>
      </c>
      <c r="B376" s="7" t="s">
        <v>6707</v>
      </c>
      <c r="C376" s="8" t="s">
        <v>5317</v>
      </c>
      <c r="D376" t="s">
        <v>168</v>
      </c>
      <c r="E376" t="s">
        <v>439</v>
      </c>
      <c r="F376" t="s">
        <v>117</v>
      </c>
      <c r="G376" t="s">
        <v>480</v>
      </c>
      <c r="H376" s="9">
        <v>44657</v>
      </c>
      <c r="I376" t="s">
        <v>181</v>
      </c>
      <c r="J376" t="s">
        <v>0</v>
      </c>
      <c r="K376" s="9">
        <v>44881</v>
      </c>
      <c r="L376" t="s">
        <v>29</v>
      </c>
      <c r="M376"/>
      <c r="N376" s="9">
        <v>44686</v>
      </c>
      <c r="O376" s="9">
        <v>44693</v>
      </c>
      <c r="P376" s="9">
        <v>44693</v>
      </c>
      <c r="Q376" s="9">
        <v>44881</v>
      </c>
      <c r="R376"/>
      <c r="S376"/>
      <c r="T376"/>
      <c r="U376"/>
    </row>
    <row r="377" spans="1:21" hidden="1">
      <c r="A377" s="7" t="s">
        <v>8755</v>
      </c>
      <c r="B377" s="7" t="s">
        <v>7764</v>
      </c>
      <c r="C377" s="8" t="s">
        <v>5317</v>
      </c>
      <c r="D377" t="s">
        <v>168</v>
      </c>
      <c r="E377" t="s">
        <v>481</v>
      </c>
      <c r="F377" t="s">
        <v>117</v>
      </c>
      <c r="G377" t="s">
        <v>482</v>
      </c>
      <c r="H377" s="9">
        <v>44657</v>
      </c>
      <c r="I377" t="s">
        <v>483</v>
      </c>
      <c r="J377" t="s">
        <v>163</v>
      </c>
      <c r="K377" s="9">
        <v>44693</v>
      </c>
      <c r="L377" t="s">
        <v>29</v>
      </c>
      <c r="M377"/>
      <c r="N377" s="9">
        <v>44686</v>
      </c>
      <c r="O377" s="9">
        <v>44693</v>
      </c>
      <c r="P377" s="9">
        <v>44693</v>
      </c>
      <c r="Q377"/>
      <c r="R377"/>
      <c r="S377"/>
      <c r="T377"/>
      <c r="U377"/>
    </row>
    <row r="378" spans="1:21" hidden="1">
      <c r="A378" s="7" t="s">
        <v>8755</v>
      </c>
      <c r="B378" s="7" t="s">
        <v>7764</v>
      </c>
      <c r="C378" s="8" t="s">
        <v>5317</v>
      </c>
      <c r="D378" t="s">
        <v>168</v>
      </c>
      <c r="E378" t="s">
        <v>481</v>
      </c>
      <c r="F378" t="s">
        <v>117</v>
      </c>
      <c r="G378" t="s">
        <v>484</v>
      </c>
      <c r="H378" s="9">
        <v>44657</v>
      </c>
      <c r="I378" t="s">
        <v>483</v>
      </c>
      <c r="J378" t="s">
        <v>163</v>
      </c>
      <c r="K378" s="9">
        <v>44693</v>
      </c>
      <c r="L378" t="s">
        <v>29</v>
      </c>
      <c r="M378"/>
      <c r="N378" s="9">
        <v>44686</v>
      </c>
      <c r="O378" s="9">
        <v>44693</v>
      </c>
      <c r="P378" s="9">
        <v>44693</v>
      </c>
      <c r="Q378"/>
      <c r="R378"/>
      <c r="S378"/>
      <c r="T378"/>
      <c r="U378"/>
    </row>
    <row r="379" spans="1:21" hidden="1">
      <c r="A379" s="7" t="s">
        <v>8755</v>
      </c>
      <c r="B379" s="7" t="s">
        <v>7764</v>
      </c>
      <c r="C379" s="8" t="s">
        <v>5317</v>
      </c>
      <c r="D379" t="s">
        <v>168</v>
      </c>
      <c r="E379" t="s">
        <v>481</v>
      </c>
      <c r="F379" t="s">
        <v>117</v>
      </c>
      <c r="G379" t="s">
        <v>485</v>
      </c>
      <c r="H379" s="9">
        <v>44657</v>
      </c>
      <c r="I379" t="s">
        <v>483</v>
      </c>
      <c r="J379" t="s">
        <v>163</v>
      </c>
      <c r="K379" s="9">
        <v>44693</v>
      </c>
      <c r="L379" t="s">
        <v>29</v>
      </c>
      <c r="M379"/>
      <c r="N379" s="9">
        <v>44686</v>
      </c>
      <c r="O379" s="9">
        <v>44693</v>
      </c>
      <c r="P379" s="9">
        <v>44693</v>
      </c>
      <c r="Q379"/>
      <c r="R379"/>
      <c r="S379"/>
      <c r="T379"/>
      <c r="U379"/>
    </row>
    <row r="380" spans="1:21" hidden="1">
      <c r="A380" s="7" t="s">
        <v>8756</v>
      </c>
      <c r="B380" s="7" t="s">
        <v>7672</v>
      </c>
      <c r="C380" s="8" t="s">
        <v>5317</v>
      </c>
      <c r="D380" t="s">
        <v>168</v>
      </c>
      <c r="E380" t="s">
        <v>486</v>
      </c>
      <c r="F380" t="s">
        <v>117</v>
      </c>
      <c r="G380" t="s">
        <v>487</v>
      </c>
      <c r="H380" s="9">
        <v>44657</v>
      </c>
      <c r="I380" t="s">
        <v>488</v>
      </c>
      <c r="J380" t="s">
        <v>0</v>
      </c>
      <c r="K380" s="9">
        <v>44887</v>
      </c>
      <c r="L380" t="s">
        <v>29</v>
      </c>
      <c r="M380"/>
      <c r="N380" s="9">
        <v>44686</v>
      </c>
      <c r="O380" s="9">
        <v>44693</v>
      </c>
      <c r="P380" s="9">
        <v>44693</v>
      </c>
      <c r="Q380" s="9">
        <v>44887</v>
      </c>
      <c r="R380"/>
      <c r="S380"/>
      <c r="T380"/>
      <c r="U380"/>
    </row>
    <row r="381" spans="1:21" hidden="1">
      <c r="A381" s="7" t="s">
        <v>8756</v>
      </c>
      <c r="B381" s="7" t="s">
        <v>7672</v>
      </c>
      <c r="C381" s="8" t="s">
        <v>5317</v>
      </c>
      <c r="D381" t="s">
        <v>168</v>
      </c>
      <c r="E381" t="s">
        <v>486</v>
      </c>
      <c r="F381" t="s">
        <v>117</v>
      </c>
      <c r="G381" t="s">
        <v>489</v>
      </c>
      <c r="H381" s="9">
        <v>44657</v>
      </c>
      <c r="I381" t="s">
        <v>488</v>
      </c>
      <c r="J381" t="s">
        <v>0</v>
      </c>
      <c r="K381" s="9">
        <v>44887</v>
      </c>
      <c r="L381" t="s">
        <v>29</v>
      </c>
      <c r="M381"/>
      <c r="N381" s="9">
        <v>44686</v>
      </c>
      <c r="O381" s="9">
        <v>44693</v>
      </c>
      <c r="P381" s="9">
        <v>44693</v>
      </c>
      <c r="Q381" s="9">
        <v>44887</v>
      </c>
      <c r="R381"/>
      <c r="S381"/>
      <c r="T381"/>
      <c r="U381"/>
    </row>
    <row r="382" spans="1:21" hidden="1">
      <c r="A382" s="7" t="s">
        <v>8756</v>
      </c>
      <c r="B382" s="7" t="s">
        <v>7672</v>
      </c>
      <c r="C382" s="8" t="s">
        <v>5317</v>
      </c>
      <c r="D382" t="s">
        <v>168</v>
      </c>
      <c r="E382" t="s">
        <v>486</v>
      </c>
      <c r="F382" t="s">
        <v>117</v>
      </c>
      <c r="G382" t="s">
        <v>490</v>
      </c>
      <c r="H382" s="9">
        <v>44657</v>
      </c>
      <c r="I382" t="s">
        <v>488</v>
      </c>
      <c r="J382" t="s">
        <v>0</v>
      </c>
      <c r="K382" s="9">
        <v>44887</v>
      </c>
      <c r="L382" t="s">
        <v>29</v>
      </c>
      <c r="M382"/>
      <c r="N382" s="9">
        <v>44686</v>
      </c>
      <c r="O382" s="9">
        <v>44693</v>
      </c>
      <c r="P382" s="9">
        <v>44693</v>
      </c>
      <c r="Q382" s="9">
        <v>44887</v>
      </c>
      <c r="R382"/>
      <c r="S382"/>
      <c r="T382"/>
      <c r="U382"/>
    </row>
    <row r="383" spans="1:21" hidden="1">
      <c r="A383" s="7" t="s">
        <v>8757</v>
      </c>
      <c r="B383" s="7" t="s">
        <v>5405</v>
      </c>
      <c r="C383" s="8" t="s">
        <v>5317</v>
      </c>
      <c r="D383" t="s">
        <v>168</v>
      </c>
      <c r="E383" t="s">
        <v>25</v>
      </c>
      <c r="F383" t="s">
        <v>491</v>
      </c>
      <c r="G383" t="s">
        <v>492</v>
      </c>
      <c r="H383" s="9">
        <v>44657</v>
      </c>
      <c r="I383" t="s">
        <v>8634</v>
      </c>
      <c r="J383" t="s">
        <v>0</v>
      </c>
      <c r="K383" s="9">
        <v>44827</v>
      </c>
      <c r="L383" t="s">
        <v>29</v>
      </c>
      <c r="M383"/>
      <c r="N383" s="9">
        <v>44686</v>
      </c>
      <c r="O383" s="9">
        <v>44693</v>
      </c>
      <c r="P383" s="9">
        <v>44693</v>
      </c>
      <c r="Q383" s="9">
        <v>44827</v>
      </c>
      <c r="R383"/>
      <c r="S383"/>
      <c r="T383"/>
      <c r="U383"/>
    </row>
    <row r="384" spans="1:21" hidden="1">
      <c r="A384" s="7" t="s">
        <v>8758</v>
      </c>
      <c r="B384" s="7" t="s">
        <v>5405</v>
      </c>
      <c r="C384" s="8" t="s">
        <v>5317</v>
      </c>
      <c r="D384" t="s">
        <v>168</v>
      </c>
      <c r="E384" t="s">
        <v>25</v>
      </c>
      <c r="F384" t="s">
        <v>493</v>
      </c>
      <c r="G384" t="s">
        <v>494</v>
      </c>
      <c r="H384" s="9">
        <v>44657</v>
      </c>
      <c r="I384" t="s">
        <v>8634</v>
      </c>
      <c r="J384" t="s">
        <v>0</v>
      </c>
      <c r="K384" s="9">
        <v>44862</v>
      </c>
      <c r="L384" t="s">
        <v>29</v>
      </c>
      <c r="M384"/>
      <c r="N384" s="9">
        <v>44686</v>
      </c>
      <c r="O384" s="9">
        <v>44693</v>
      </c>
      <c r="P384" s="9">
        <v>44693</v>
      </c>
      <c r="Q384" s="9">
        <v>44862</v>
      </c>
      <c r="R384"/>
      <c r="S384"/>
      <c r="T384"/>
      <c r="U384"/>
    </row>
    <row r="385" spans="1:21" hidden="1">
      <c r="A385" s="7" t="s">
        <v>8751</v>
      </c>
      <c r="B385" s="7" t="s">
        <v>5405</v>
      </c>
      <c r="C385" s="8" t="s">
        <v>5317</v>
      </c>
      <c r="D385" t="s">
        <v>168</v>
      </c>
      <c r="E385" t="s">
        <v>25</v>
      </c>
      <c r="F385" t="s">
        <v>435</v>
      </c>
      <c r="G385" t="s">
        <v>495</v>
      </c>
      <c r="H385" s="9">
        <v>44657</v>
      </c>
      <c r="I385" t="s">
        <v>8634</v>
      </c>
      <c r="J385" t="s">
        <v>0</v>
      </c>
      <c r="K385" s="9">
        <v>44881</v>
      </c>
      <c r="L385" t="s">
        <v>29</v>
      </c>
      <c r="M385"/>
      <c r="N385" s="9">
        <v>44686</v>
      </c>
      <c r="O385" s="9">
        <v>44693</v>
      </c>
      <c r="P385" s="9">
        <v>44693</v>
      </c>
      <c r="Q385" s="9">
        <v>44881</v>
      </c>
      <c r="R385"/>
      <c r="S385"/>
      <c r="T385"/>
      <c r="U385"/>
    </row>
    <row r="386" spans="1:21" hidden="1">
      <c r="A386" s="7" t="s">
        <v>8751</v>
      </c>
      <c r="B386" s="7" t="s">
        <v>5405</v>
      </c>
      <c r="C386" s="8" t="s">
        <v>5317</v>
      </c>
      <c r="D386" t="s">
        <v>168</v>
      </c>
      <c r="E386" t="s">
        <v>25</v>
      </c>
      <c r="F386" t="s">
        <v>435</v>
      </c>
      <c r="G386" t="s">
        <v>496</v>
      </c>
      <c r="H386" s="9">
        <v>44657</v>
      </c>
      <c r="I386" t="s">
        <v>8634</v>
      </c>
      <c r="J386" t="s">
        <v>0</v>
      </c>
      <c r="K386" s="9">
        <v>44881</v>
      </c>
      <c r="L386" t="s">
        <v>29</v>
      </c>
      <c r="M386"/>
      <c r="N386" s="9">
        <v>44686</v>
      </c>
      <c r="O386" s="9">
        <v>44693</v>
      </c>
      <c r="P386" s="9">
        <v>44693</v>
      </c>
      <c r="Q386" s="9">
        <v>44881</v>
      </c>
      <c r="R386"/>
      <c r="S386"/>
      <c r="T386"/>
      <c r="U386"/>
    </row>
    <row r="387" spans="1:21" hidden="1">
      <c r="A387" s="7" t="s">
        <v>8727</v>
      </c>
      <c r="B387" s="7" t="s">
        <v>5405</v>
      </c>
      <c r="C387" s="8" t="s">
        <v>5317</v>
      </c>
      <c r="D387" t="s">
        <v>168</v>
      </c>
      <c r="E387" t="s">
        <v>25</v>
      </c>
      <c r="F387" t="s">
        <v>193</v>
      </c>
      <c r="G387" t="s">
        <v>497</v>
      </c>
      <c r="H387" s="9">
        <v>44657</v>
      </c>
      <c r="I387" t="s">
        <v>8634</v>
      </c>
      <c r="J387" t="s">
        <v>0</v>
      </c>
      <c r="K387" s="9">
        <v>44862</v>
      </c>
      <c r="L387" t="s">
        <v>29</v>
      </c>
      <c r="M387"/>
      <c r="N387" s="9">
        <v>44686</v>
      </c>
      <c r="O387" s="9">
        <v>44693</v>
      </c>
      <c r="P387" s="9">
        <v>44693</v>
      </c>
      <c r="Q387" s="9">
        <v>44862</v>
      </c>
      <c r="R387"/>
      <c r="S387"/>
      <c r="T387"/>
      <c r="U387"/>
    </row>
    <row r="388" spans="1:21" hidden="1">
      <c r="A388" s="7" t="s">
        <v>8757</v>
      </c>
      <c r="B388" s="7" t="s">
        <v>5405</v>
      </c>
      <c r="C388" s="8" t="s">
        <v>5317</v>
      </c>
      <c r="D388" t="s">
        <v>168</v>
      </c>
      <c r="E388" t="s">
        <v>25</v>
      </c>
      <c r="F388" t="s">
        <v>491</v>
      </c>
      <c r="G388" t="s">
        <v>498</v>
      </c>
      <c r="H388" s="9">
        <v>44657</v>
      </c>
      <c r="I388" t="s">
        <v>8634</v>
      </c>
      <c r="J388" t="s">
        <v>0</v>
      </c>
      <c r="K388" s="9">
        <v>44827</v>
      </c>
      <c r="L388" t="s">
        <v>29</v>
      </c>
      <c r="M388"/>
      <c r="N388" s="9">
        <v>44686</v>
      </c>
      <c r="O388" s="9">
        <v>44693</v>
      </c>
      <c r="P388" s="9">
        <v>44693</v>
      </c>
      <c r="Q388" s="9">
        <v>44827</v>
      </c>
      <c r="R388"/>
      <c r="S388"/>
      <c r="T388"/>
      <c r="U388"/>
    </row>
    <row r="389" spans="1:21" hidden="1">
      <c r="A389" s="7" t="s">
        <v>8751</v>
      </c>
      <c r="B389" s="7" t="s">
        <v>5405</v>
      </c>
      <c r="C389" s="8" t="s">
        <v>5317</v>
      </c>
      <c r="D389" t="s">
        <v>168</v>
      </c>
      <c r="E389" t="s">
        <v>25</v>
      </c>
      <c r="F389" t="s">
        <v>435</v>
      </c>
      <c r="G389" t="s">
        <v>499</v>
      </c>
      <c r="H389" s="9">
        <v>44657</v>
      </c>
      <c r="I389" t="s">
        <v>8634</v>
      </c>
      <c r="J389" t="s">
        <v>0</v>
      </c>
      <c r="K389" s="9">
        <v>44881</v>
      </c>
      <c r="L389" t="s">
        <v>29</v>
      </c>
      <c r="M389"/>
      <c r="N389" s="9">
        <v>44686</v>
      </c>
      <c r="O389" s="9">
        <v>44693</v>
      </c>
      <c r="P389" s="9">
        <v>44693</v>
      </c>
      <c r="Q389" s="9">
        <v>44881</v>
      </c>
      <c r="R389"/>
      <c r="S389"/>
      <c r="T389"/>
      <c r="U389"/>
    </row>
    <row r="390" spans="1:21" hidden="1">
      <c r="A390" s="7" t="s">
        <v>8751</v>
      </c>
      <c r="B390" s="7" t="s">
        <v>5405</v>
      </c>
      <c r="C390" s="8" t="s">
        <v>5317</v>
      </c>
      <c r="D390" t="s">
        <v>168</v>
      </c>
      <c r="E390" t="s">
        <v>25</v>
      </c>
      <c r="F390" t="s">
        <v>435</v>
      </c>
      <c r="G390" t="s">
        <v>500</v>
      </c>
      <c r="H390" s="9">
        <v>44657</v>
      </c>
      <c r="I390" t="s">
        <v>8634</v>
      </c>
      <c r="J390" t="s">
        <v>0</v>
      </c>
      <c r="K390" s="9">
        <v>44881</v>
      </c>
      <c r="L390" t="s">
        <v>29</v>
      </c>
      <c r="M390"/>
      <c r="N390" s="9">
        <v>44686</v>
      </c>
      <c r="O390" s="9">
        <v>44693</v>
      </c>
      <c r="P390" s="9">
        <v>44693</v>
      </c>
      <c r="Q390" s="9">
        <v>44881</v>
      </c>
      <c r="R390"/>
      <c r="S390"/>
      <c r="T390"/>
      <c r="U390"/>
    </row>
    <row r="391" spans="1:21" hidden="1">
      <c r="A391" s="7" t="s">
        <v>8751</v>
      </c>
      <c r="B391" s="7" t="s">
        <v>5405</v>
      </c>
      <c r="C391" s="8" t="s">
        <v>5317</v>
      </c>
      <c r="D391" t="s">
        <v>168</v>
      </c>
      <c r="E391" t="s">
        <v>25</v>
      </c>
      <c r="F391" t="s">
        <v>435</v>
      </c>
      <c r="G391" t="s">
        <v>501</v>
      </c>
      <c r="H391" s="9">
        <v>44657</v>
      </c>
      <c r="I391" t="s">
        <v>8634</v>
      </c>
      <c r="J391" t="s">
        <v>0</v>
      </c>
      <c r="K391" s="9">
        <v>44881</v>
      </c>
      <c r="L391" t="s">
        <v>29</v>
      </c>
      <c r="M391"/>
      <c r="N391" s="9">
        <v>44686</v>
      </c>
      <c r="O391" s="9">
        <v>44693</v>
      </c>
      <c r="P391" s="9">
        <v>44693</v>
      </c>
      <c r="Q391" s="9">
        <v>44881</v>
      </c>
      <c r="R391"/>
      <c r="S391"/>
      <c r="T391"/>
      <c r="U391"/>
    </row>
    <row r="392" spans="1:21" hidden="1">
      <c r="A392" s="7" t="s">
        <v>8751</v>
      </c>
      <c r="B392" s="7" t="s">
        <v>5405</v>
      </c>
      <c r="C392" s="8" t="s">
        <v>5317</v>
      </c>
      <c r="D392" t="s">
        <v>168</v>
      </c>
      <c r="E392" t="s">
        <v>25</v>
      </c>
      <c r="F392" t="s">
        <v>435</v>
      </c>
      <c r="G392" t="s">
        <v>502</v>
      </c>
      <c r="H392" s="9">
        <v>44657</v>
      </c>
      <c r="I392" t="s">
        <v>8634</v>
      </c>
      <c r="J392" t="s">
        <v>0</v>
      </c>
      <c r="K392" s="9">
        <v>44881</v>
      </c>
      <c r="L392" t="s">
        <v>29</v>
      </c>
      <c r="M392"/>
      <c r="N392" s="9">
        <v>44686</v>
      </c>
      <c r="O392" s="9">
        <v>44693</v>
      </c>
      <c r="P392" s="9">
        <v>44693</v>
      </c>
      <c r="Q392" s="9">
        <v>44881</v>
      </c>
      <c r="R392"/>
      <c r="S392"/>
      <c r="T392"/>
      <c r="U392"/>
    </row>
    <row r="393" spans="1:21" hidden="1">
      <c r="A393" s="7" t="s">
        <v>8751</v>
      </c>
      <c r="B393" s="7" t="s">
        <v>5405</v>
      </c>
      <c r="C393" s="8" t="s">
        <v>5317</v>
      </c>
      <c r="D393" t="s">
        <v>168</v>
      </c>
      <c r="E393" t="s">
        <v>25</v>
      </c>
      <c r="F393" t="s">
        <v>435</v>
      </c>
      <c r="G393" t="s">
        <v>503</v>
      </c>
      <c r="H393" s="9">
        <v>44657</v>
      </c>
      <c r="I393" t="s">
        <v>8634</v>
      </c>
      <c r="J393" t="s">
        <v>0</v>
      </c>
      <c r="K393" s="9">
        <v>44881</v>
      </c>
      <c r="L393" t="s">
        <v>29</v>
      </c>
      <c r="M393"/>
      <c r="N393" s="9">
        <v>44686</v>
      </c>
      <c r="O393" s="9">
        <v>44693</v>
      </c>
      <c r="P393" s="9">
        <v>44693</v>
      </c>
      <c r="Q393" s="9">
        <v>44881</v>
      </c>
      <c r="R393"/>
      <c r="S393"/>
      <c r="T393"/>
      <c r="U393"/>
    </row>
    <row r="394" spans="1:21" hidden="1">
      <c r="A394" s="7" t="s">
        <v>8757</v>
      </c>
      <c r="B394" s="7" t="s">
        <v>5405</v>
      </c>
      <c r="C394" s="8" t="s">
        <v>5317</v>
      </c>
      <c r="D394" t="s">
        <v>168</v>
      </c>
      <c r="E394" t="s">
        <v>25</v>
      </c>
      <c r="F394" t="s">
        <v>491</v>
      </c>
      <c r="G394" t="s">
        <v>504</v>
      </c>
      <c r="H394" s="9">
        <v>44657</v>
      </c>
      <c r="I394" t="s">
        <v>8634</v>
      </c>
      <c r="J394" t="s">
        <v>0</v>
      </c>
      <c r="K394" s="9">
        <v>44827</v>
      </c>
      <c r="L394" t="s">
        <v>29</v>
      </c>
      <c r="M394"/>
      <c r="N394" s="9">
        <v>44686</v>
      </c>
      <c r="O394" s="9">
        <v>44693</v>
      </c>
      <c r="P394" s="9">
        <v>44693</v>
      </c>
      <c r="Q394" s="9">
        <v>44827</v>
      </c>
      <c r="R394"/>
      <c r="S394"/>
      <c r="T394"/>
      <c r="U394"/>
    </row>
    <row r="395" spans="1:21" hidden="1">
      <c r="A395" s="7" t="s">
        <v>8758</v>
      </c>
      <c r="B395" s="7" t="s">
        <v>5405</v>
      </c>
      <c r="C395" s="8" t="s">
        <v>5317</v>
      </c>
      <c r="D395" t="s">
        <v>168</v>
      </c>
      <c r="E395" t="s">
        <v>25</v>
      </c>
      <c r="F395" t="s">
        <v>493</v>
      </c>
      <c r="G395" t="s">
        <v>505</v>
      </c>
      <c r="H395" s="9">
        <v>44657</v>
      </c>
      <c r="I395" t="s">
        <v>8634</v>
      </c>
      <c r="J395" t="s">
        <v>163</v>
      </c>
      <c r="K395" s="9">
        <v>44693</v>
      </c>
      <c r="L395" t="s">
        <v>29</v>
      </c>
      <c r="M395"/>
      <c r="N395" s="9">
        <v>44686</v>
      </c>
      <c r="O395" s="9">
        <v>44693</v>
      </c>
      <c r="P395" s="9">
        <v>44693</v>
      </c>
      <c r="Q395"/>
      <c r="R395"/>
      <c r="S395"/>
      <c r="T395"/>
      <c r="U395"/>
    </row>
    <row r="396" spans="1:21" hidden="1">
      <c r="A396" s="7" t="s">
        <v>8751</v>
      </c>
      <c r="B396" s="7" t="s">
        <v>5405</v>
      </c>
      <c r="C396" s="8" t="s">
        <v>5317</v>
      </c>
      <c r="D396" t="s">
        <v>168</v>
      </c>
      <c r="E396" t="s">
        <v>25</v>
      </c>
      <c r="F396" t="s">
        <v>435</v>
      </c>
      <c r="G396" t="s">
        <v>506</v>
      </c>
      <c r="H396" s="9">
        <v>44657</v>
      </c>
      <c r="I396" t="s">
        <v>8634</v>
      </c>
      <c r="J396" t="s">
        <v>0</v>
      </c>
      <c r="K396" s="9">
        <v>44881</v>
      </c>
      <c r="L396" t="s">
        <v>29</v>
      </c>
      <c r="M396"/>
      <c r="N396" s="9">
        <v>44686</v>
      </c>
      <c r="O396" s="9">
        <v>44693</v>
      </c>
      <c r="P396" s="9">
        <v>44693</v>
      </c>
      <c r="Q396" s="9">
        <v>44881</v>
      </c>
      <c r="R396"/>
      <c r="S396"/>
      <c r="T396"/>
      <c r="U396"/>
    </row>
    <row r="397" spans="1:21" hidden="1">
      <c r="A397" s="7" t="s">
        <v>8759</v>
      </c>
      <c r="B397" s="7" t="s">
        <v>7777</v>
      </c>
      <c r="C397" s="8" t="s">
        <v>5317</v>
      </c>
      <c r="D397" t="s">
        <v>168</v>
      </c>
      <c r="E397" t="s">
        <v>507</v>
      </c>
      <c r="F397" t="s">
        <v>117</v>
      </c>
      <c r="G397" t="s">
        <v>508</v>
      </c>
      <c r="H397" s="9">
        <v>44657</v>
      </c>
      <c r="I397" t="s">
        <v>509</v>
      </c>
      <c r="J397" t="s">
        <v>0</v>
      </c>
      <c r="K397" s="9">
        <v>44678</v>
      </c>
      <c r="L397" t="s">
        <v>29</v>
      </c>
      <c r="M397"/>
      <c r="N397"/>
      <c r="O397"/>
      <c r="P397"/>
      <c r="Q397" s="9">
        <v>44678</v>
      </c>
      <c r="R397"/>
      <c r="S397"/>
      <c r="T397"/>
      <c r="U397"/>
    </row>
    <row r="398" spans="1:21" hidden="1">
      <c r="A398" s="7" t="s">
        <v>8751</v>
      </c>
      <c r="B398" s="7" t="s">
        <v>5405</v>
      </c>
      <c r="C398" s="8" t="s">
        <v>5317</v>
      </c>
      <c r="D398" t="s">
        <v>168</v>
      </c>
      <c r="E398" t="s">
        <v>25</v>
      </c>
      <c r="F398" t="s">
        <v>435</v>
      </c>
      <c r="G398" t="s">
        <v>510</v>
      </c>
      <c r="H398" s="9">
        <v>44657</v>
      </c>
      <c r="I398" t="s">
        <v>8634</v>
      </c>
      <c r="J398" t="s">
        <v>0</v>
      </c>
      <c r="K398" s="9">
        <v>44881</v>
      </c>
      <c r="L398" t="s">
        <v>29</v>
      </c>
      <c r="M398"/>
      <c r="N398" s="9">
        <v>44686</v>
      </c>
      <c r="O398" s="9">
        <v>44693</v>
      </c>
      <c r="P398" s="9">
        <v>44693</v>
      </c>
      <c r="Q398" s="9">
        <v>44881</v>
      </c>
      <c r="R398"/>
      <c r="S398"/>
      <c r="T398"/>
      <c r="U398"/>
    </row>
    <row r="399" spans="1:21" hidden="1">
      <c r="A399" s="7" t="s">
        <v>8758</v>
      </c>
      <c r="B399" s="7" t="s">
        <v>5405</v>
      </c>
      <c r="C399" s="8" t="s">
        <v>5317</v>
      </c>
      <c r="D399" t="s">
        <v>168</v>
      </c>
      <c r="E399" t="s">
        <v>25</v>
      </c>
      <c r="F399" t="s">
        <v>493</v>
      </c>
      <c r="G399" t="s">
        <v>511</v>
      </c>
      <c r="H399" s="9">
        <v>44657</v>
      </c>
      <c r="I399" t="s">
        <v>8634</v>
      </c>
      <c r="J399" t="s">
        <v>0</v>
      </c>
      <c r="K399" s="9">
        <v>44862</v>
      </c>
      <c r="L399" t="s">
        <v>29</v>
      </c>
      <c r="M399"/>
      <c r="N399" s="9">
        <v>44686</v>
      </c>
      <c r="O399" s="9">
        <v>44693</v>
      </c>
      <c r="P399" s="9">
        <v>44693</v>
      </c>
      <c r="Q399" s="9">
        <v>44862</v>
      </c>
      <c r="R399"/>
      <c r="S399"/>
      <c r="T399"/>
      <c r="U399"/>
    </row>
    <row r="400" spans="1:21" hidden="1">
      <c r="A400" s="7" t="s">
        <v>8760</v>
      </c>
      <c r="B400" s="7" t="s">
        <v>8350</v>
      </c>
      <c r="C400" s="8" t="s">
        <v>5317</v>
      </c>
      <c r="D400" t="s">
        <v>168</v>
      </c>
      <c r="E400" t="s">
        <v>512</v>
      </c>
      <c r="F400" t="s">
        <v>117</v>
      </c>
      <c r="G400" t="s">
        <v>513</v>
      </c>
      <c r="H400" s="9">
        <v>44657</v>
      </c>
      <c r="I400" t="s">
        <v>171</v>
      </c>
      <c r="J400" t="s">
        <v>0</v>
      </c>
      <c r="K400" s="9">
        <v>44664</v>
      </c>
      <c r="L400" t="s">
        <v>29</v>
      </c>
      <c r="M400"/>
      <c r="N400"/>
      <c r="O400"/>
      <c r="P400"/>
      <c r="Q400" s="9">
        <v>44664</v>
      </c>
      <c r="R400"/>
      <c r="S400"/>
      <c r="T400"/>
      <c r="U400"/>
    </row>
    <row r="401" spans="1:21" hidden="1">
      <c r="A401" s="7" t="s">
        <v>8760</v>
      </c>
      <c r="B401" s="7" t="s">
        <v>8350</v>
      </c>
      <c r="C401" s="8" t="s">
        <v>5317</v>
      </c>
      <c r="D401" t="s">
        <v>168</v>
      </c>
      <c r="E401" t="s">
        <v>512</v>
      </c>
      <c r="F401" t="s">
        <v>117</v>
      </c>
      <c r="G401" t="s">
        <v>514</v>
      </c>
      <c r="H401" s="9">
        <v>44657</v>
      </c>
      <c r="I401" t="s">
        <v>171</v>
      </c>
      <c r="J401" t="s">
        <v>0</v>
      </c>
      <c r="K401" s="9">
        <v>44664</v>
      </c>
      <c r="L401" t="s">
        <v>29</v>
      </c>
      <c r="M401"/>
      <c r="N401"/>
      <c r="O401"/>
      <c r="P401"/>
      <c r="Q401" s="9">
        <v>44664</v>
      </c>
      <c r="R401"/>
      <c r="S401"/>
      <c r="T401"/>
      <c r="U401"/>
    </row>
    <row r="402" spans="1:21" hidden="1">
      <c r="A402" s="7" t="s">
        <v>8761</v>
      </c>
      <c r="B402" s="7" t="s">
        <v>7715</v>
      </c>
      <c r="C402" s="8" t="s">
        <v>5317</v>
      </c>
      <c r="D402" t="s">
        <v>168</v>
      </c>
      <c r="E402" t="s">
        <v>515</v>
      </c>
      <c r="F402" t="s">
        <v>117</v>
      </c>
      <c r="G402" t="s">
        <v>516</v>
      </c>
      <c r="H402" s="9">
        <v>44657</v>
      </c>
      <c r="I402" t="s">
        <v>181</v>
      </c>
      <c r="J402" t="s">
        <v>0</v>
      </c>
      <c r="K402" s="9">
        <v>44803</v>
      </c>
      <c r="L402" t="s">
        <v>29</v>
      </c>
      <c r="M402"/>
      <c r="N402" s="9">
        <v>44686</v>
      </c>
      <c r="O402" s="9">
        <v>44693</v>
      </c>
      <c r="P402" s="9">
        <v>44693</v>
      </c>
      <c r="Q402" s="9">
        <v>44803</v>
      </c>
      <c r="R402"/>
      <c r="S402"/>
      <c r="T402"/>
      <c r="U402"/>
    </row>
    <row r="403" spans="1:21" hidden="1">
      <c r="A403" s="7" t="s">
        <v>8761</v>
      </c>
      <c r="B403" s="7" t="s">
        <v>7715</v>
      </c>
      <c r="C403" s="8" t="s">
        <v>5317</v>
      </c>
      <c r="D403" t="s">
        <v>168</v>
      </c>
      <c r="E403" t="s">
        <v>515</v>
      </c>
      <c r="F403" t="s">
        <v>117</v>
      </c>
      <c r="G403" t="s">
        <v>517</v>
      </c>
      <c r="H403" s="9">
        <v>44657</v>
      </c>
      <c r="I403" t="s">
        <v>181</v>
      </c>
      <c r="J403" t="s">
        <v>0</v>
      </c>
      <c r="K403" s="9">
        <v>44803</v>
      </c>
      <c r="L403" t="s">
        <v>29</v>
      </c>
      <c r="M403"/>
      <c r="N403" s="9">
        <v>44686</v>
      </c>
      <c r="O403" s="9">
        <v>44693</v>
      </c>
      <c r="P403" s="9">
        <v>44693</v>
      </c>
      <c r="Q403" s="9">
        <v>44803</v>
      </c>
      <c r="R403"/>
      <c r="S403"/>
      <c r="T403"/>
      <c r="U403"/>
    </row>
    <row r="404" spans="1:21" hidden="1">
      <c r="A404" s="7" t="s">
        <v>8761</v>
      </c>
      <c r="B404" s="7" t="s">
        <v>7715</v>
      </c>
      <c r="C404" s="8" t="s">
        <v>5317</v>
      </c>
      <c r="D404" t="s">
        <v>168</v>
      </c>
      <c r="E404" t="s">
        <v>515</v>
      </c>
      <c r="F404" t="s">
        <v>117</v>
      </c>
      <c r="G404" t="s">
        <v>518</v>
      </c>
      <c r="H404" s="9">
        <v>44657</v>
      </c>
      <c r="I404" t="s">
        <v>181</v>
      </c>
      <c r="J404" t="s">
        <v>0</v>
      </c>
      <c r="K404" s="9">
        <v>44803</v>
      </c>
      <c r="L404" t="s">
        <v>29</v>
      </c>
      <c r="M404"/>
      <c r="N404" s="9">
        <v>44686</v>
      </c>
      <c r="O404" s="9">
        <v>44693</v>
      </c>
      <c r="P404" s="9">
        <v>44693</v>
      </c>
      <c r="Q404" s="9">
        <v>44803</v>
      </c>
      <c r="R404"/>
      <c r="S404"/>
      <c r="T404"/>
      <c r="U404"/>
    </row>
    <row r="405" spans="1:21" hidden="1">
      <c r="A405" s="7" t="s">
        <v>8761</v>
      </c>
      <c r="B405" s="7" t="s">
        <v>7715</v>
      </c>
      <c r="C405" s="8" t="s">
        <v>5317</v>
      </c>
      <c r="D405" t="s">
        <v>168</v>
      </c>
      <c r="E405" t="s">
        <v>515</v>
      </c>
      <c r="F405" t="s">
        <v>117</v>
      </c>
      <c r="G405" t="s">
        <v>519</v>
      </c>
      <c r="H405" s="9">
        <v>44657</v>
      </c>
      <c r="I405" t="s">
        <v>181</v>
      </c>
      <c r="J405" t="s">
        <v>0</v>
      </c>
      <c r="K405" s="9">
        <v>44803</v>
      </c>
      <c r="L405" t="s">
        <v>29</v>
      </c>
      <c r="M405"/>
      <c r="N405" s="9">
        <v>44686</v>
      </c>
      <c r="O405" s="9">
        <v>44693</v>
      </c>
      <c r="P405" s="9">
        <v>44693</v>
      </c>
      <c r="Q405" s="9">
        <v>44803</v>
      </c>
      <c r="R405"/>
      <c r="S405"/>
      <c r="T405"/>
      <c r="U405"/>
    </row>
    <row r="406" spans="1:21" hidden="1">
      <c r="A406" s="7" t="s">
        <v>8761</v>
      </c>
      <c r="B406" s="7" t="s">
        <v>7715</v>
      </c>
      <c r="C406" s="8" t="s">
        <v>5317</v>
      </c>
      <c r="D406" t="s">
        <v>168</v>
      </c>
      <c r="E406" t="s">
        <v>515</v>
      </c>
      <c r="F406" t="s">
        <v>117</v>
      </c>
      <c r="G406" t="s">
        <v>520</v>
      </c>
      <c r="H406" s="9">
        <v>44657</v>
      </c>
      <c r="I406" t="s">
        <v>181</v>
      </c>
      <c r="J406" t="s">
        <v>0</v>
      </c>
      <c r="K406" s="9">
        <v>44803</v>
      </c>
      <c r="L406" t="s">
        <v>29</v>
      </c>
      <c r="M406"/>
      <c r="N406" s="9">
        <v>44686</v>
      </c>
      <c r="O406" s="9">
        <v>44693</v>
      </c>
      <c r="P406" s="9">
        <v>44693</v>
      </c>
      <c r="Q406" s="9">
        <v>44803</v>
      </c>
      <c r="R406"/>
      <c r="S406"/>
      <c r="T406"/>
      <c r="U406"/>
    </row>
    <row r="407" spans="1:21" hidden="1">
      <c r="A407" s="7" t="s">
        <v>8761</v>
      </c>
      <c r="B407" s="7" t="s">
        <v>7715</v>
      </c>
      <c r="C407" s="8" t="s">
        <v>5317</v>
      </c>
      <c r="D407" t="s">
        <v>168</v>
      </c>
      <c r="E407" t="s">
        <v>515</v>
      </c>
      <c r="F407" t="s">
        <v>117</v>
      </c>
      <c r="G407" t="s">
        <v>521</v>
      </c>
      <c r="H407" s="9">
        <v>44657</v>
      </c>
      <c r="I407" t="s">
        <v>181</v>
      </c>
      <c r="J407" t="s">
        <v>0</v>
      </c>
      <c r="K407" s="9">
        <v>44803</v>
      </c>
      <c r="L407" t="s">
        <v>29</v>
      </c>
      <c r="M407"/>
      <c r="N407" s="9">
        <v>44686</v>
      </c>
      <c r="O407" s="9">
        <v>44693</v>
      </c>
      <c r="P407" s="9">
        <v>44693</v>
      </c>
      <c r="Q407" s="9">
        <v>44803</v>
      </c>
      <c r="R407"/>
      <c r="S407"/>
      <c r="T407"/>
      <c r="U407"/>
    </row>
    <row r="408" spans="1:21" hidden="1">
      <c r="A408" s="7" t="s">
        <v>8761</v>
      </c>
      <c r="B408" s="7" t="s">
        <v>7715</v>
      </c>
      <c r="C408" s="8" t="s">
        <v>5317</v>
      </c>
      <c r="D408" t="s">
        <v>168</v>
      </c>
      <c r="E408" t="s">
        <v>515</v>
      </c>
      <c r="F408" t="s">
        <v>117</v>
      </c>
      <c r="G408" t="s">
        <v>522</v>
      </c>
      <c r="H408" s="9">
        <v>44657</v>
      </c>
      <c r="I408" t="s">
        <v>181</v>
      </c>
      <c r="J408" t="s">
        <v>0</v>
      </c>
      <c r="K408" s="9">
        <v>44803</v>
      </c>
      <c r="L408" t="s">
        <v>29</v>
      </c>
      <c r="M408"/>
      <c r="N408" s="9">
        <v>44686</v>
      </c>
      <c r="O408" s="9">
        <v>44693</v>
      </c>
      <c r="P408" s="9">
        <v>44693</v>
      </c>
      <c r="Q408" s="9">
        <v>44803</v>
      </c>
      <c r="R408"/>
      <c r="S408"/>
      <c r="T408"/>
      <c r="U408"/>
    </row>
    <row r="409" spans="1:21" hidden="1">
      <c r="A409" s="7" t="s">
        <v>8761</v>
      </c>
      <c r="B409" s="7" t="s">
        <v>7715</v>
      </c>
      <c r="C409" s="8" t="s">
        <v>5317</v>
      </c>
      <c r="D409" t="s">
        <v>168</v>
      </c>
      <c r="E409" t="s">
        <v>515</v>
      </c>
      <c r="F409" t="s">
        <v>117</v>
      </c>
      <c r="G409" t="s">
        <v>523</v>
      </c>
      <c r="H409" s="9">
        <v>44657</v>
      </c>
      <c r="I409" t="s">
        <v>181</v>
      </c>
      <c r="J409" t="s">
        <v>0</v>
      </c>
      <c r="K409" s="9">
        <v>44803</v>
      </c>
      <c r="L409" t="s">
        <v>29</v>
      </c>
      <c r="M409"/>
      <c r="N409" s="9">
        <v>44686</v>
      </c>
      <c r="O409" s="9">
        <v>44693</v>
      </c>
      <c r="P409" s="9">
        <v>44693</v>
      </c>
      <c r="Q409" s="9">
        <v>44803</v>
      </c>
      <c r="R409"/>
      <c r="S409"/>
      <c r="T409"/>
      <c r="U409"/>
    </row>
    <row r="410" spans="1:21" hidden="1">
      <c r="A410" s="7" t="s">
        <v>8761</v>
      </c>
      <c r="B410" s="7" t="s">
        <v>7715</v>
      </c>
      <c r="C410" s="8" t="s">
        <v>5317</v>
      </c>
      <c r="D410" t="s">
        <v>168</v>
      </c>
      <c r="E410" t="s">
        <v>515</v>
      </c>
      <c r="F410" t="s">
        <v>117</v>
      </c>
      <c r="G410" t="s">
        <v>524</v>
      </c>
      <c r="H410" s="9">
        <v>44657</v>
      </c>
      <c r="I410" t="s">
        <v>181</v>
      </c>
      <c r="J410" t="s">
        <v>0</v>
      </c>
      <c r="K410" s="9">
        <v>44803</v>
      </c>
      <c r="L410" t="s">
        <v>29</v>
      </c>
      <c r="M410"/>
      <c r="N410" s="9">
        <v>44686</v>
      </c>
      <c r="O410" s="9">
        <v>44693</v>
      </c>
      <c r="P410" s="9">
        <v>44693</v>
      </c>
      <c r="Q410" s="9">
        <v>44803</v>
      </c>
      <c r="R410"/>
      <c r="S410"/>
      <c r="T410"/>
      <c r="U410"/>
    </row>
    <row r="411" spans="1:21" hidden="1">
      <c r="A411" s="7" t="s">
        <v>8761</v>
      </c>
      <c r="B411" s="7" t="s">
        <v>7715</v>
      </c>
      <c r="C411" s="8" t="s">
        <v>5317</v>
      </c>
      <c r="D411" t="s">
        <v>168</v>
      </c>
      <c r="E411" t="s">
        <v>515</v>
      </c>
      <c r="F411" t="s">
        <v>117</v>
      </c>
      <c r="G411" t="s">
        <v>525</v>
      </c>
      <c r="H411" s="9">
        <v>44657</v>
      </c>
      <c r="I411" t="s">
        <v>181</v>
      </c>
      <c r="J411" t="s">
        <v>0</v>
      </c>
      <c r="K411" s="9">
        <v>44803</v>
      </c>
      <c r="L411" t="s">
        <v>29</v>
      </c>
      <c r="M411"/>
      <c r="N411" s="9">
        <v>44686</v>
      </c>
      <c r="O411" s="9">
        <v>44693</v>
      </c>
      <c r="P411" s="9">
        <v>44693</v>
      </c>
      <c r="Q411" s="9">
        <v>44803</v>
      </c>
      <c r="R411"/>
      <c r="S411"/>
      <c r="T411"/>
      <c r="U411"/>
    </row>
    <row r="412" spans="1:21" hidden="1">
      <c r="A412" s="7" t="s">
        <v>8761</v>
      </c>
      <c r="B412" s="7" t="s">
        <v>7715</v>
      </c>
      <c r="C412" s="8" t="s">
        <v>5317</v>
      </c>
      <c r="D412" t="s">
        <v>168</v>
      </c>
      <c r="E412" t="s">
        <v>515</v>
      </c>
      <c r="F412" t="s">
        <v>117</v>
      </c>
      <c r="G412" t="s">
        <v>526</v>
      </c>
      <c r="H412" s="9">
        <v>44657</v>
      </c>
      <c r="I412" t="s">
        <v>181</v>
      </c>
      <c r="J412" t="s">
        <v>0</v>
      </c>
      <c r="K412" s="9">
        <v>44803</v>
      </c>
      <c r="L412" t="s">
        <v>29</v>
      </c>
      <c r="M412"/>
      <c r="N412" s="9">
        <v>44686</v>
      </c>
      <c r="O412" s="9">
        <v>44693</v>
      </c>
      <c r="P412" s="9">
        <v>44693</v>
      </c>
      <c r="Q412" s="9">
        <v>44803</v>
      </c>
      <c r="R412"/>
      <c r="S412"/>
      <c r="T412"/>
      <c r="U412"/>
    </row>
    <row r="413" spans="1:21" hidden="1">
      <c r="A413" s="7" t="s">
        <v>8761</v>
      </c>
      <c r="B413" s="7" t="s">
        <v>7715</v>
      </c>
      <c r="C413" s="8" t="s">
        <v>5317</v>
      </c>
      <c r="D413" t="s">
        <v>168</v>
      </c>
      <c r="E413" t="s">
        <v>515</v>
      </c>
      <c r="F413" t="s">
        <v>117</v>
      </c>
      <c r="G413" t="s">
        <v>527</v>
      </c>
      <c r="H413" s="9">
        <v>44657</v>
      </c>
      <c r="I413" t="s">
        <v>181</v>
      </c>
      <c r="J413" t="s">
        <v>0</v>
      </c>
      <c r="K413" s="9">
        <v>44803</v>
      </c>
      <c r="L413" t="s">
        <v>29</v>
      </c>
      <c r="M413"/>
      <c r="N413" s="9">
        <v>44686</v>
      </c>
      <c r="O413" s="9">
        <v>44693</v>
      </c>
      <c r="P413" s="9">
        <v>44693</v>
      </c>
      <c r="Q413" s="9">
        <v>44803</v>
      </c>
      <c r="R413"/>
      <c r="S413"/>
      <c r="T413"/>
      <c r="U413"/>
    </row>
    <row r="414" spans="1:21" hidden="1">
      <c r="A414" s="7" t="s">
        <v>8761</v>
      </c>
      <c r="B414" s="7" t="s">
        <v>7715</v>
      </c>
      <c r="C414" s="8" t="s">
        <v>5317</v>
      </c>
      <c r="D414" t="s">
        <v>168</v>
      </c>
      <c r="E414" t="s">
        <v>515</v>
      </c>
      <c r="F414" t="s">
        <v>117</v>
      </c>
      <c r="G414" t="s">
        <v>528</v>
      </c>
      <c r="H414" s="9">
        <v>44657</v>
      </c>
      <c r="I414" t="s">
        <v>181</v>
      </c>
      <c r="J414" t="s">
        <v>0</v>
      </c>
      <c r="K414" s="9">
        <v>44803</v>
      </c>
      <c r="L414" t="s">
        <v>29</v>
      </c>
      <c r="M414"/>
      <c r="N414" s="9">
        <v>44686</v>
      </c>
      <c r="O414" s="9">
        <v>44693</v>
      </c>
      <c r="P414" s="9">
        <v>44693</v>
      </c>
      <c r="Q414" s="9">
        <v>44803</v>
      </c>
      <c r="R414"/>
      <c r="S414"/>
      <c r="T414"/>
      <c r="U414"/>
    </row>
    <row r="415" spans="1:21" hidden="1">
      <c r="A415" s="7" t="s">
        <v>8761</v>
      </c>
      <c r="B415" s="7" t="s">
        <v>7715</v>
      </c>
      <c r="C415" s="8" t="s">
        <v>5317</v>
      </c>
      <c r="D415" t="s">
        <v>168</v>
      </c>
      <c r="E415" t="s">
        <v>515</v>
      </c>
      <c r="F415" t="s">
        <v>117</v>
      </c>
      <c r="G415" t="s">
        <v>529</v>
      </c>
      <c r="H415" s="9">
        <v>44657</v>
      </c>
      <c r="I415" t="s">
        <v>181</v>
      </c>
      <c r="J415" t="s">
        <v>0</v>
      </c>
      <c r="K415" s="9">
        <v>44803</v>
      </c>
      <c r="L415" t="s">
        <v>29</v>
      </c>
      <c r="M415"/>
      <c r="N415" s="9">
        <v>44686</v>
      </c>
      <c r="O415" s="9">
        <v>44693</v>
      </c>
      <c r="P415" s="9">
        <v>44693</v>
      </c>
      <c r="Q415" s="9">
        <v>44803</v>
      </c>
      <c r="R415"/>
      <c r="S415"/>
      <c r="T415"/>
      <c r="U415"/>
    </row>
    <row r="416" spans="1:21" hidden="1">
      <c r="A416" s="7" t="s">
        <v>8761</v>
      </c>
      <c r="B416" s="7" t="s">
        <v>7715</v>
      </c>
      <c r="C416" s="8" t="s">
        <v>5317</v>
      </c>
      <c r="D416" t="s">
        <v>168</v>
      </c>
      <c r="E416" t="s">
        <v>515</v>
      </c>
      <c r="F416" t="s">
        <v>117</v>
      </c>
      <c r="G416" t="s">
        <v>530</v>
      </c>
      <c r="H416" s="9">
        <v>44657</v>
      </c>
      <c r="I416" t="s">
        <v>181</v>
      </c>
      <c r="J416" t="s">
        <v>0</v>
      </c>
      <c r="K416" s="9">
        <v>44803</v>
      </c>
      <c r="L416" t="s">
        <v>29</v>
      </c>
      <c r="M416"/>
      <c r="N416" s="9">
        <v>44686</v>
      </c>
      <c r="O416" s="9">
        <v>44693</v>
      </c>
      <c r="P416" s="9">
        <v>44693</v>
      </c>
      <c r="Q416" s="9">
        <v>44803</v>
      </c>
      <c r="R416"/>
      <c r="S416"/>
      <c r="T416"/>
      <c r="U416"/>
    </row>
    <row r="417" spans="1:21" hidden="1">
      <c r="A417" s="7" t="s">
        <v>8761</v>
      </c>
      <c r="B417" s="7" t="s">
        <v>7715</v>
      </c>
      <c r="C417" s="8" t="s">
        <v>5317</v>
      </c>
      <c r="D417" t="s">
        <v>168</v>
      </c>
      <c r="E417" t="s">
        <v>515</v>
      </c>
      <c r="F417" t="s">
        <v>117</v>
      </c>
      <c r="G417" t="s">
        <v>531</v>
      </c>
      <c r="H417" s="9">
        <v>44657</v>
      </c>
      <c r="I417" t="s">
        <v>181</v>
      </c>
      <c r="J417" t="s">
        <v>0</v>
      </c>
      <c r="K417" s="9">
        <v>44803</v>
      </c>
      <c r="L417" t="s">
        <v>29</v>
      </c>
      <c r="M417"/>
      <c r="N417" s="9">
        <v>44686</v>
      </c>
      <c r="O417" s="9">
        <v>44693</v>
      </c>
      <c r="P417" s="9">
        <v>44693</v>
      </c>
      <c r="Q417" s="9">
        <v>44803</v>
      </c>
      <c r="R417"/>
      <c r="S417"/>
      <c r="T417"/>
      <c r="U417"/>
    </row>
    <row r="418" spans="1:21" hidden="1">
      <c r="A418" s="7" t="s">
        <v>8761</v>
      </c>
      <c r="B418" s="7" t="s">
        <v>7715</v>
      </c>
      <c r="C418" s="8" t="s">
        <v>5317</v>
      </c>
      <c r="D418" t="s">
        <v>168</v>
      </c>
      <c r="E418" t="s">
        <v>515</v>
      </c>
      <c r="F418" t="s">
        <v>117</v>
      </c>
      <c r="G418" t="s">
        <v>532</v>
      </c>
      <c r="H418" s="9">
        <v>44657</v>
      </c>
      <c r="I418" t="s">
        <v>181</v>
      </c>
      <c r="J418" t="s">
        <v>0</v>
      </c>
      <c r="K418" s="9">
        <v>44803</v>
      </c>
      <c r="L418" t="s">
        <v>29</v>
      </c>
      <c r="M418"/>
      <c r="N418" s="9">
        <v>44686</v>
      </c>
      <c r="O418" s="9">
        <v>44693</v>
      </c>
      <c r="P418" s="9">
        <v>44693</v>
      </c>
      <c r="Q418" s="9">
        <v>44803</v>
      </c>
      <c r="R418"/>
      <c r="S418"/>
      <c r="T418"/>
      <c r="U418"/>
    </row>
    <row r="419" spans="1:21" hidden="1">
      <c r="A419" s="7" t="s">
        <v>8744</v>
      </c>
      <c r="B419" s="7" t="s">
        <v>7386</v>
      </c>
      <c r="C419" s="8" t="s">
        <v>5317</v>
      </c>
      <c r="D419" t="s">
        <v>168</v>
      </c>
      <c r="E419" t="s">
        <v>352</v>
      </c>
      <c r="F419" t="s">
        <v>117</v>
      </c>
      <c r="G419" t="s">
        <v>533</v>
      </c>
      <c r="H419" s="9">
        <v>44657</v>
      </c>
      <c r="I419" t="s">
        <v>282</v>
      </c>
      <c r="J419" t="s">
        <v>163</v>
      </c>
      <c r="K419" s="9">
        <v>44693</v>
      </c>
      <c r="L419" t="s">
        <v>29</v>
      </c>
      <c r="M419"/>
      <c r="N419" s="9">
        <v>44686</v>
      </c>
      <c r="O419" s="9">
        <v>44693</v>
      </c>
      <c r="P419" s="9">
        <v>44693</v>
      </c>
      <c r="Q419"/>
      <c r="R419"/>
      <c r="S419"/>
      <c r="T419"/>
      <c r="U419"/>
    </row>
    <row r="420" spans="1:21" hidden="1">
      <c r="A420" s="7" t="s">
        <v>8744</v>
      </c>
      <c r="B420" s="7" t="s">
        <v>7386</v>
      </c>
      <c r="C420" s="8" t="s">
        <v>5317</v>
      </c>
      <c r="D420" t="s">
        <v>168</v>
      </c>
      <c r="E420" t="s">
        <v>352</v>
      </c>
      <c r="F420" t="s">
        <v>117</v>
      </c>
      <c r="G420" t="s">
        <v>534</v>
      </c>
      <c r="H420" s="9">
        <v>44657</v>
      </c>
      <c r="I420" t="s">
        <v>282</v>
      </c>
      <c r="J420" t="s">
        <v>163</v>
      </c>
      <c r="K420" s="9">
        <v>44693</v>
      </c>
      <c r="L420" t="s">
        <v>29</v>
      </c>
      <c r="M420"/>
      <c r="N420" s="9">
        <v>44686</v>
      </c>
      <c r="O420" s="9">
        <v>44693</v>
      </c>
      <c r="P420" s="9">
        <v>44693</v>
      </c>
      <c r="Q420"/>
      <c r="R420"/>
      <c r="S420"/>
      <c r="T420"/>
      <c r="U420"/>
    </row>
    <row r="421" spans="1:21" hidden="1">
      <c r="A421" s="7" t="s">
        <v>8744</v>
      </c>
      <c r="B421" s="7" t="s">
        <v>7386</v>
      </c>
      <c r="C421" s="8" t="s">
        <v>5317</v>
      </c>
      <c r="D421" t="s">
        <v>168</v>
      </c>
      <c r="E421" t="s">
        <v>352</v>
      </c>
      <c r="F421" t="s">
        <v>117</v>
      </c>
      <c r="G421" t="s">
        <v>535</v>
      </c>
      <c r="H421" s="9">
        <v>44657</v>
      </c>
      <c r="I421" t="s">
        <v>282</v>
      </c>
      <c r="J421" t="s">
        <v>163</v>
      </c>
      <c r="K421" s="9">
        <v>44693</v>
      </c>
      <c r="L421" t="s">
        <v>29</v>
      </c>
      <c r="M421"/>
      <c r="N421" s="9">
        <v>44686</v>
      </c>
      <c r="O421" s="9">
        <v>44693</v>
      </c>
      <c r="P421" s="9">
        <v>44693</v>
      </c>
      <c r="Q421"/>
      <c r="R421"/>
      <c r="S421"/>
      <c r="T421"/>
      <c r="U421"/>
    </row>
    <row r="422" spans="1:21" hidden="1">
      <c r="A422" s="7" t="s">
        <v>8744</v>
      </c>
      <c r="B422" s="7" t="s">
        <v>7386</v>
      </c>
      <c r="C422" s="8" t="s">
        <v>5317</v>
      </c>
      <c r="D422" t="s">
        <v>168</v>
      </c>
      <c r="E422" t="s">
        <v>352</v>
      </c>
      <c r="F422" t="s">
        <v>117</v>
      </c>
      <c r="G422" t="s">
        <v>536</v>
      </c>
      <c r="H422" s="9">
        <v>44657</v>
      </c>
      <c r="I422" t="s">
        <v>282</v>
      </c>
      <c r="J422" t="s">
        <v>163</v>
      </c>
      <c r="K422" s="9">
        <v>44693</v>
      </c>
      <c r="L422" t="s">
        <v>29</v>
      </c>
      <c r="M422"/>
      <c r="N422" s="9">
        <v>44686</v>
      </c>
      <c r="O422" s="9">
        <v>44693</v>
      </c>
      <c r="P422" s="9">
        <v>44693</v>
      </c>
      <c r="Q422"/>
      <c r="R422"/>
      <c r="S422"/>
      <c r="T422"/>
      <c r="U422"/>
    </row>
    <row r="423" spans="1:21" hidden="1">
      <c r="A423" s="7" t="s">
        <v>8744</v>
      </c>
      <c r="B423" s="7" t="s">
        <v>7386</v>
      </c>
      <c r="C423" s="8" t="s">
        <v>5317</v>
      </c>
      <c r="D423" t="s">
        <v>168</v>
      </c>
      <c r="E423" t="s">
        <v>352</v>
      </c>
      <c r="F423" t="s">
        <v>117</v>
      </c>
      <c r="G423" t="s">
        <v>537</v>
      </c>
      <c r="H423" s="9">
        <v>44657</v>
      </c>
      <c r="I423" t="s">
        <v>282</v>
      </c>
      <c r="J423" t="s">
        <v>163</v>
      </c>
      <c r="K423" s="9">
        <v>44693</v>
      </c>
      <c r="L423" t="s">
        <v>29</v>
      </c>
      <c r="M423"/>
      <c r="N423" s="9">
        <v>44686</v>
      </c>
      <c r="O423" s="9">
        <v>44693</v>
      </c>
      <c r="P423" s="9">
        <v>44693</v>
      </c>
      <c r="Q423"/>
      <c r="R423"/>
      <c r="S423"/>
      <c r="T423"/>
      <c r="U423"/>
    </row>
    <row r="424" spans="1:21" hidden="1">
      <c r="A424" s="7" t="s">
        <v>8744</v>
      </c>
      <c r="B424" s="7" t="s">
        <v>7386</v>
      </c>
      <c r="C424" s="8" t="s">
        <v>5317</v>
      </c>
      <c r="D424" t="s">
        <v>168</v>
      </c>
      <c r="E424" t="s">
        <v>352</v>
      </c>
      <c r="F424" t="s">
        <v>117</v>
      </c>
      <c r="G424" t="s">
        <v>538</v>
      </c>
      <c r="H424" s="9">
        <v>44657</v>
      </c>
      <c r="I424" t="s">
        <v>282</v>
      </c>
      <c r="J424" t="s">
        <v>163</v>
      </c>
      <c r="K424" s="9">
        <v>44693</v>
      </c>
      <c r="L424" t="s">
        <v>29</v>
      </c>
      <c r="M424"/>
      <c r="N424" s="9">
        <v>44686</v>
      </c>
      <c r="O424" s="9">
        <v>44693</v>
      </c>
      <c r="P424" s="9">
        <v>44693</v>
      </c>
      <c r="Q424"/>
      <c r="R424"/>
      <c r="S424"/>
      <c r="T424"/>
      <c r="U424"/>
    </row>
    <row r="425" spans="1:21" hidden="1">
      <c r="A425" s="7" t="s">
        <v>8744</v>
      </c>
      <c r="B425" s="7" t="s">
        <v>7386</v>
      </c>
      <c r="C425" s="8" t="s">
        <v>5317</v>
      </c>
      <c r="D425" t="s">
        <v>168</v>
      </c>
      <c r="E425" t="s">
        <v>352</v>
      </c>
      <c r="F425" t="s">
        <v>117</v>
      </c>
      <c r="G425" t="s">
        <v>539</v>
      </c>
      <c r="H425" s="9">
        <v>44657</v>
      </c>
      <c r="I425" t="s">
        <v>282</v>
      </c>
      <c r="J425" t="s">
        <v>163</v>
      </c>
      <c r="K425" s="9">
        <v>44693</v>
      </c>
      <c r="L425" t="s">
        <v>29</v>
      </c>
      <c r="M425"/>
      <c r="N425" s="9">
        <v>44686</v>
      </c>
      <c r="O425" s="9">
        <v>44693</v>
      </c>
      <c r="P425" s="9">
        <v>44693</v>
      </c>
      <c r="Q425"/>
      <c r="R425"/>
      <c r="S425"/>
      <c r="T425"/>
      <c r="U425"/>
    </row>
    <row r="426" spans="1:21" hidden="1">
      <c r="A426" s="7" t="s">
        <v>8744</v>
      </c>
      <c r="B426" s="7" t="s">
        <v>7386</v>
      </c>
      <c r="C426" s="8" t="s">
        <v>5317</v>
      </c>
      <c r="D426" t="s">
        <v>168</v>
      </c>
      <c r="E426" t="s">
        <v>352</v>
      </c>
      <c r="F426" t="s">
        <v>117</v>
      </c>
      <c r="G426" t="s">
        <v>540</v>
      </c>
      <c r="H426" s="9">
        <v>44657</v>
      </c>
      <c r="I426" t="s">
        <v>282</v>
      </c>
      <c r="J426" t="s">
        <v>163</v>
      </c>
      <c r="K426" s="9">
        <v>44693</v>
      </c>
      <c r="L426" t="s">
        <v>29</v>
      </c>
      <c r="M426"/>
      <c r="N426" s="9">
        <v>44686</v>
      </c>
      <c r="O426" s="9">
        <v>44693</v>
      </c>
      <c r="P426" s="9">
        <v>44693</v>
      </c>
      <c r="Q426"/>
      <c r="R426"/>
      <c r="S426"/>
      <c r="T426"/>
      <c r="U426"/>
    </row>
    <row r="427" spans="1:21" hidden="1">
      <c r="A427" s="7" t="s">
        <v>8727</v>
      </c>
      <c r="B427" s="7" t="s">
        <v>5405</v>
      </c>
      <c r="C427" s="8" t="s">
        <v>5317</v>
      </c>
      <c r="D427" t="s">
        <v>168</v>
      </c>
      <c r="E427" t="s">
        <v>25</v>
      </c>
      <c r="F427" t="s">
        <v>193</v>
      </c>
      <c r="G427" t="s">
        <v>541</v>
      </c>
      <c r="H427" s="9">
        <v>44657</v>
      </c>
      <c r="I427" t="s">
        <v>8634</v>
      </c>
      <c r="J427" t="s">
        <v>0</v>
      </c>
      <c r="K427" s="9">
        <v>44862</v>
      </c>
      <c r="L427" t="s">
        <v>29</v>
      </c>
      <c r="M427"/>
      <c r="N427" s="9">
        <v>44686</v>
      </c>
      <c r="O427" s="9">
        <v>44693</v>
      </c>
      <c r="P427" s="9">
        <v>44693</v>
      </c>
      <c r="Q427" s="9">
        <v>44862</v>
      </c>
      <c r="R427"/>
      <c r="S427"/>
      <c r="T427"/>
      <c r="U427"/>
    </row>
    <row r="428" spans="1:21" hidden="1">
      <c r="A428" s="7" t="s">
        <v>8757</v>
      </c>
      <c r="B428" s="7" t="s">
        <v>5405</v>
      </c>
      <c r="C428" s="8" t="s">
        <v>5317</v>
      </c>
      <c r="D428" t="s">
        <v>168</v>
      </c>
      <c r="E428" t="s">
        <v>25</v>
      </c>
      <c r="F428" t="s">
        <v>491</v>
      </c>
      <c r="G428" t="s">
        <v>542</v>
      </c>
      <c r="H428" s="9">
        <v>44657</v>
      </c>
      <c r="I428" t="s">
        <v>8634</v>
      </c>
      <c r="J428" t="s">
        <v>0</v>
      </c>
      <c r="K428" s="9">
        <v>44827</v>
      </c>
      <c r="L428" t="s">
        <v>29</v>
      </c>
      <c r="M428"/>
      <c r="N428" s="9">
        <v>44686</v>
      </c>
      <c r="O428" s="9">
        <v>44693</v>
      </c>
      <c r="P428" s="9">
        <v>44693</v>
      </c>
      <c r="Q428" s="9">
        <v>44827</v>
      </c>
      <c r="R428"/>
      <c r="S428"/>
      <c r="T428"/>
      <c r="U428"/>
    </row>
    <row r="429" spans="1:21" hidden="1">
      <c r="A429" s="7" t="s">
        <v>8751</v>
      </c>
      <c r="B429" s="7" t="s">
        <v>5405</v>
      </c>
      <c r="C429" s="8" t="s">
        <v>5317</v>
      </c>
      <c r="D429" t="s">
        <v>168</v>
      </c>
      <c r="E429" t="s">
        <v>25</v>
      </c>
      <c r="F429" t="s">
        <v>435</v>
      </c>
      <c r="G429" t="s">
        <v>543</v>
      </c>
      <c r="H429" s="9">
        <v>44657</v>
      </c>
      <c r="I429" t="s">
        <v>8634</v>
      </c>
      <c r="J429" t="s">
        <v>0</v>
      </c>
      <c r="K429" s="9">
        <v>44881</v>
      </c>
      <c r="L429" t="s">
        <v>29</v>
      </c>
      <c r="M429"/>
      <c r="N429" s="9">
        <v>44686</v>
      </c>
      <c r="O429" s="9">
        <v>44693</v>
      </c>
      <c r="P429" s="9">
        <v>44693</v>
      </c>
      <c r="Q429" s="9">
        <v>44881</v>
      </c>
      <c r="R429"/>
      <c r="S429"/>
      <c r="T429"/>
      <c r="U429"/>
    </row>
    <row r="430" spans="1:21" hidden="1">
      <c r="A430" s="7" t="s">
        <v>8762</v>
      </c>
      <c r="B430" s="7" t="s">
        <v>5405</v>
      </c>
      <c r="C430" s="8" t="s">
        <v>5317</v>
      </c>
      <c r="D430" t="s">
        <v>168</v>
      </c>
      <c r="E430" t="s">
        <v>25</v>
      </c>
      <c r="F430" t="s">
        <v>433</v>
      </c>
      <c r="G430" t="s">
        <v>544</v>
      </c>
      <c r="H430" s="9">
        <v>44657</v>
      </c>
      <c r="I430" t="s">
        <v>8634</v>
      </c>
      <c r="J430" t="s">
        <v>163</v>
      </c>
      <c r="K430" s="9">
        <v>44693</v>
      </c>
      <c r="L430" t="s">
        <v>29</v>
      </c>
      <c r="M430"/>
      <c r="N430" s="9">
        <v>44686</v>
      </c>
      <c r="O430" s="9">
        <v>44693</v>
      </c>
      <c r="P430" s="9">
        <v>44693</v>
      </c>
      <c r="Q430"/>
      <c r="R430"/>
      <c r="S430"/>
      <c r="T430"/>
      <c r="U430"/>
    </row>
    <row r="431" spans="1:21" hidden="1">
      <c r="A431" s="7" t="s">
        <v>8762</v>
      </c>
      <c r="B431" s="7" t="s">
        <v>5405</v>
      </c>
      <c r="C431" s="8" t="s">
        <v>5317</v>
      </c>
      <c r="D431" t="s">
        <v>168</v>
      </c>
      <c r="E431" t="s">
        <v>25</v>
      </c>
      <c r="F431" t="s">
        <v>433</v>
      </c>
      <c r="G431" t="s">
        <v>545</v>
      </c>
      <c r="H431" s="9">
        <v>44657</v>
      </c>
      <c r="I431" t="s">
        <v>8634</v>
      </c>
      <c r="J431" t="s">
        <v>0</v>
      </c>
      <c r="K431" s="9">
        <v>44844</v>
      </c>
      <c r="L431" t="s">
        <v>29</v>
      </c>
      <c r="M431"/>
      <c r="N431" s="9">
        <v>44686</v>
      </c>
      <c r="O431" s="9">
        <v>44693</v>
      </c>
      <c r="P431" s="9">
        <v>44693</v>
      </c>
      <c r="Q431" s="9">
        <v>44844</v>
      </c>
      <c r="R431"/>
      <c r="S431"/>
      <c r="T431"/>
      <c r="U431"/>
    </row>
    <row r="432" spans="1:21" hidden="1">
      <c r="A432" s="7" t="s">
        <v>8763</v>
      </c>
      <c r="B432" s="7" t="s">
        <v>5405</v>
      </c>
      <c r="C432" s="8" t="s">
        <v>5317</v>
      </c>
      <c r="D432" t="s">
        <v>168</v>
      </c>
      <c r="E432" t="s">
        <v>25</v>
      </c>
      <c r="F432" t="s">
        <v>280</v>
      </c>
      <c r="G432" t="s">
        <v>546</v>
      </c>
      <c r="H432" s="9">
        <v>44657</v>
      </c>
      <c r="I432" t="s">
        <v>8634</v>
      </c>
      <c r="J432" t="s">
        <v>163</v>
      </c>
      <c r="K432" s="9">
        <v>44693</v>
      </c>
      <c r="L432" t="s">
        <v>29</v>
      </c>
      <c r="M432"/>
      <c r="N432" s="9">
        <v>44686</v>
      </c>
      <c r="O432" s="9">
        <v>44693</v>
      </c>
      <c r="P432" s="9">
        <v>44693</v>
      </c>
      <c r="Q432"/>
      <c r="R432"/>
      <c r="S432"/>
      <c r="T432"/>
      <c r="U432"/>
    </row>
    <row r="433" spans="1:21" hidden="1">
      <c r="A433" s="7" t="s">
        <v>8757</v>
      </c>
      <c r="B433" s="7" t="s">
        <v>5405</v>
      </c>
      <c r="C433" s="8" t="s">
        <v>5317</v>
      </c>
      <c r="D433" t="s">
        <v>168</v>
      </c>
      <c r="E433" t="s">
        <v>25</v>
      </c>
      <c r="F433" t="s">
        <v>491</v>
      </c>
      <c r="G433" t="s">
        <v>547</v>
      </c>
      <c r="H433" s="9">
        <v>44657</v>
      </c>
      <c r="I433" t="s">
        <v>8634</v>
      </c>
      <c r="J433" t="s">
        <v>0</v>
      </c>
      <c r="K433" s="9">
        <v>44827</v>
      </c>
      <c r="L433" t="s">
        <v>29</v>
      </c>
      <c r="M433"/>
      <c r="N433" s="9">
        <v>44686</v>
      </c>
      <c r="O433" s="9">
        <v>44693</v>
      </c>
      <c r="P433" s="9">
        <v>44693</v>
      </c>
      <c r="Q433" s="9">
        <v>44827</v>
      </c>
      <c r="R433"/>
      <c r="S433"/>
      <c r="T433"/>
      <c r="U433"/>
    </row>
    <row r="434" spans="1:21" hidden="1">
      <c r="A434" s="7" t="s">
        <v>8751</v>
      </c>
      <c r="B434" s="7" t="s">
        <v>5405</v>
      </c>
      <c r="C434" s="8" t="s">
        <v>5317</v>
      </c>
      <c r="D434" t="s">
        <v>168</v>
      </c>
      <c r="E434" t="s">
        <v>25</v>
      </c>
      <c r="F434" t="s">
        <v>435</v>
      </c>
      <c r="G434" t="s">
        <v>548</v>
      </c>
      <c r="H434" s="9">
        <v>44657</v>
      </c>
      <c r="I434" t="s">
        <v>8634</v>
      </c>
      <c r="J434" t="s">
        <v>0</v>
      </c>
      <c r="K434" s="9">
        <v>44881</v>
      </c>
      <c r="L434" t="s">
        <v>29</v>
      </c>
      <c r="M434"/>
      <c r="N434" s="9">
        <v>44686</v>
      </c>
      <c r="O434" s="9">
        <v>44693</v>
      </c>
      <c r="P434" s="9">
        <v>44693</v>
      </c>
      <c r="Q434" s="9">
        <v>44881</v>
      </c>
      <c r="R434"/>
      <c r="S434"/>
      <c r="T434"/>
      <c r="U434"/>
    </row>
    <row r="435" spans="1:21" hidden="1">
      <c r="A435" s="7" t="s">
        <v>8751</v>
      </c>
      <c r="B435" s="7" t="s">
        <v>5405</v>
      </c>
      <c r="C435" s="8" t="s">
        <v>5317</v>
      </c>
      <c r="D435" t="s">
        <v>168</v>
      </c>
      <c r="E435" t="s">
        <v>25</v>
      </c>
      <c r="F435" t="s">
        <v>435</v>
      </c>
      <c r="G435" t="s">
        <v>549</v>
      </c>
      <c r="H435" s="9">
        <v>44657</v>
      </c>
      <c r="I435" t="s">
        <v>8634</v>
      </c>
      <c r="J435" t="s">
        <v>0</v>
      </c>
      <c r="K435" s="9">
        <v>44881</v>
      </c>
      <c r="L435" t="s">
        <v>29</v>
      </c>
      <c r="M435"/>
      <c r="N435" s="9">
        <v>44686</v>
      </c>
      <c r="O435" s="9">
        <v>44693</v>
      </c>
      <c r="P435" s="9">
        <v>44693</v>
      </c>
      <c r="Q435" s="9">
        <v>44881</v>
      </c>
      <c r="R435"/>
      <c r="S435"/>
      <c r="T435"/>
      <c r="U435"/>
    </row>
    <row r="436" spans="1:21" hidden="1">
      <c r="A436" s="7" t="s">
        <v>8757</v>
      </c>
      <c r="B436" s="7" t="s">
        <v>5405</v>
      </c>
      <c r="C436" s="8" t="s">
        <v>5317</v>
      </c>
      <c r="D436" t="s">
        <v>168</v>
      </c>
      <c r="E436" t="s">
        <v>25</v>
      </c>
      <c r="F436" t="s">
        <v>491</v>
      </c>
      <c r="G436" t="s">
        <v>550</v>
      </c>
      <c r="H436" s="9">
        <v>44657</v>
      </c>
      <c r="I436" t="s">
        <v>8634</v>
      </c>
      <c r="J436" t="s">
        <v>0</v>
      </c>
      <c r="K436" s="9">
        <v>44827</v>
      </c>
      <c r="L436" t="s">
        <v>29</v>
      </c>
      <c r="M436"/>
      <c r="N436" s="9">
        <v>44686</v>
      </c>
      <c r="O436" s="9">
        <v>44693</v>
      </c>
      <c r="P436" s="9">
        <v>44693</v>
      </c>
      <c r="Q436" s="9">
        <v>44827</v>
      </c>
      <c r="R436"/>
      <c r="S436"/>
      <c r="T436"/>
      <c r="U436"/>
    </row>
    <row r="437" spans="1:21" hidden="1">
      <c r="A437" s="7" t="s">
        <v>8758</v>
      </c>
      <c r="B437" s="7" t="s">
        <v>5405</v>
      </c>
      <c r="C437" s="8" t="s">
        <v>5317</v>
      </c>
      <c r="D437" t="s">
        <v>168</v>
      </c>
      <c r="E437" t="s">
        <v>25</v>
      </c>
      <c r="F437" t="s">
        <v>493</v>
      </c>
      <c r="G437" t="s">
        <v>551</v>
      </c>
      <c r="H437" s="9">
        <v>44657</v>
      </c>
      <c r="I437" t="s">
        <v>8634</v>
      </c>
      <c r="J437" t="s">
        <v>0</v>
      </c>
      <c r="K437" s="9">
        <v>44862</v>
      </c>
      <c r="L437" t="s">
        <v>29</v>
      </c>
      <c r="M437"/>
      <c r="N437" s="9">
        <v>44686</v>
      </c>
      <c r="O437" s="9">
        <v>44693</v>
      </c>
      <c r="P437" s="9">
        <v>44693</v>
      </c>
      <c r="Q437" s="9">
        <v>44862</v>
      </c>
      <c r="R437"/>
      <c r="S437"/>
      <c r="T437"/>
      <c r="U437"/>
    </row>
    <row r="438" spans="1:21" hidden="1">
      <c r="A438" s="7" t="s">
        <v>8751</v>
      </c>
      <c r="B438" s="7" t="s">
        <v>5405</v>
      </c>
      <c r="C438" s="8" t="s">
        <v>5317</v>
      </c>
      <c r="D438" t="s">
        <v>168</v>
      </c>
      <c r="E438" t="s">
        <v>25</v>
      </c>
      <c r="F438" t="s">
        <v>435</v>
      </c>
      <c r="G438" t="s">
        <v>552</v>
      </c>
      <c r="H438" s="9">
        <v>44657</v>
      </c>
      <c r="I438" t="s">
        <v>8634</v>
      </c>
      <c r="J438" t="s">
        <v>0</v>
      </c>
      <c r="K438" s="9">
        <v>44881</v>
      </c>
      <c r="L438" t="s">
        <v>29</v>
      </c>
      <c r="M438"/>
      <c r="N438" s="9">
        <v>44686</v>
      </c>
      <c r="O438" s="9">
        <v>44693</v>
      </c>
      <c r="P438" s="9">
        <v>44693</v>
      </c>
      <c r="Q438" s="9">
        <v>44881</v>
      </c>
      <c r="R438"/>
      <c r="S438"/>
      <c r="T438"/>
      <c r="U438"/>
    </row>
    <row r="439" spans="1:21" hidden="1">
      <c r="A439" s="7" t="s">
        <v>8757</v>
      </c>
      <c r="B439" s="7" t="s">
        <v>5405</v>
      </c>
      <c r="C439" s="8" t="s">
        <v>5317</v>
      </c>
      <c r="D439" t="s">
        <v>168</v>
      </c>
      <c r="E439" t="s">
        <v>25</v>
      </c>
      <c r="F439" t="s">
        <v>491</v>
      </c>
      <c r="G439" t="s">
        <v>553</v>
      </c>
      <c r="H439" s="9">
        <v>44657</v>
      </c>
      <c r="I439" t="s">
        <v>8634</v>
      </c>
      <c r="J439" t="s">
        <v>0</v>
      </c>
      <c r="K439" s="9">
        <v>44827</v>
      </c>
      <c r="L439" t="s">
        <v>29</v>
      </c>
      <c r="M439"/>
      <c r="N439" s="9">
        <v>44686</v>
      </c>
      <c r="O439" s="9">
        <v>44693</v>
      </c>
      <c r="P439" s="9">
        <v>44693</v>
      </c>
      <c r="Q439" s="9">
        <v>44827</v>
      </c>
      <c r="R439"/>
      <c r="S439"/>
      <c r="T439"/>
      <c r="U439"/>
    </row>
    <row r="440" spans="1:21" hidden="1">
      <c r="A440" s="7" t="s">
        <v>8758</v>
      </c>
      <c r="B440" s="7" t="s">
        <v>5405</v>
      </c>
      <c r="C440" s="8" t="s">
        <v>5317</v>
      </c>
      <c r="D440" t="s">
        <v>168</v>
      </c>
      <c r="E440" t="s">
        <v>25</v>
      </c>
      <c r="F440" t="s">
        <v>493</v>
      </c>
      <c r="G440" t="s">
        <v>554</v>
      </c>
      <c r="H440" s="9">
        <v>44657</v>
      </c>
      <c r="I440" t="s">
        <v>8634</v>
      </c>
      <c r="J440" t="s">
        <v>0</v>
      </c>
      <c r="K440" s="9">
        <v>44862</v>
      </c>
      <c r="L440" t="s">
        <v>29</v>
      </c>
      <c r="M440"/>
      <c r="N440" s="9">
        <v>44686</v>
      </c>
      <c r="O440" s="9">
        <v>44693</v>
      </c>
      <c r="P440" s="9">
        <v>44693</v>
      </c>
      <c r="Q440" s="9">
        <v>44862</v>
      </c>
      <c r="R440"/>
      <c r="S440"/>
      <c r="T440"/>
      <c r="U440"/>
    </row>
    <row r="441" spans="1:21" hidden="1">
      <c r="A441" s="7" t="s">
        <v>8763</v>
      </c>
      <c r="B441" s="7" t="s">
        <v>5405</v>
      </c>
      <c r="C441" s="8" t="s">
        <v>5317</v>
      </c>
      <c r="D441" t="s">
        <v>168</v>
      </c>
      <c r="E441" t="s">
        <v>25</v>
      </c>
      <c r="F441" t="s">
        <v>280</v>
      </c>
      <c r="G441" t="s">
        <v>555</v>
      </c>
      <c r="H441" s="9">
        <v>44657</v>
      </c>
      <c r="I441" t="s">
        <v>8634</v>
      </c>
      <c r="J441" t="s">
        <v>0</v>
      </c>
      <c r="K441" s="9">
        <v>44858</v>
      </c>
      <c r="L441" t="s">
        <v>29</v>
      </c>
      <c r="M441"/>
      <c r="N441" s="9">
        <v>44686</v>
      </c>
      <c r="O441" s="9">
        <v>44693</v>
      </c>
      <c r="P441" s="9">
        <v>44693</v>
      </c>
      <c r="Q441" s="9">
        <v>44858</v>
      </c>
      <c r="R441"/>
      <c r="S441"/>
      <c r="T441"/>
      <c r="U441"/>
    </row>
    <row r="442" spans="1:21" hidden="1">
      <c r="A442" s="7" t="s">
        <v>8758</v>
      </c>
      <c r="B442" s="7" t="s">
        <v>5405</v>
      </c>
      <c r="C442" s="8" t="s">
        <v>5317</v>
      </c>
      <c r="D442" t="s">
        <v>168</v>
      </c>
      <c r="E442" t="s">
        <v>25</v>
      </c>
      <c r="F442" t="s">
        <v>493</v>
      </c>
      <c r="G442" t="s">
        <v>556</v>
      </c>
      <c r="H442" s="9">
        <v>44657</v>
      </c>
      <c r="I442" t="s">
        <v>8634</v>
      </c>
      <c r="J442" t="s">
        <v>0</v>
      </c>
      <c r="K442" s="9">
        <v>44862</v>
      </c>
      <c r="L442" t="s">
        <v>29</v>
      </c>
      <c r="M442"/>
      <c r="N442" s="9">
        <v>44686</v>
      </c>
      <c r="O442" s="9">
        <v>44693</v>
      </c>
      <c r="P442" s="9">
        <v>44693</v>
      </c>
      <c r="Q442" s="9">
        <v>44862</v>
      </c>
      <c r="R442"/>
      <c r="S442"/>
      <c r="T442"/>
      <c r="U442"/>
    </row>
    <row r="443" spans="1:21" hidden="1">
      <c r="A443" s="7" t="s">
        <v>8763</v>
      </c>
      <c r="B443" s="7" t="s">
        <v>5405</v>
      </c>
      <c r="C443" s="8" t="s">
        <v>5317</v>
      </c>
      <c r="D443" t="s">
        <v>168</v>
      </c>
      <c r="E443" t="s">
        <v>25</v>
      </c>
      <c r="F443" t="s">
        <v>280</v>
      </c>
      <c r="G443" t="s">
        <v>557</v>
      </c>
      <c r="H443" s="9">
        <v>44657</v>
      </c>
      <c r="I443" t="s">
        <v>8634</v>
      </c>
      <c r="J443" t="s">
        <v>0</v>
      </c>
      <c r="K443" s="9">
        <v>44858</v>
      </c>
      <c r="L443" t="s">
        <v>29</v>
      </c>
      <c r="M443"/>
      <c r="N443" s="9">
        <v>44686</v>
      </c>
      <c r="O443" s="9">
        <v>44693</v>
      </c>
      <c r="P443" s="9">
        <v>44693</v>
      </c>
      <c r="Q443" s="9">
        <v>44858</v>
      </c>
      <c r="R443"/>
      <c r="S443"/>
      <c r="T443"/>
      <c r="U443"/>
    </row>
    <row r="444" spans="1:21" hidden="1">
      <c r="A444" s="7" t="s">
        <v>8758</v>
      </c>
      <c r="B444" s="7" t="s">
        <v>5405</v>
      </c>
      <c r="C444" s="8" t="s">
        <v>5317</v>
      </c>
      <c r="D444" t="s">
        <v>168</v>
      </c>
      <c r="E444" t="s">
        <v>25</v>
      </c>
      <c r="F444" t="s">
        <v>493</v>
      </c>
      <c r="G444" t="s">
        <v>558</v>
      </c>
      <c r="H444" s="9">
        <v>44657</v>
      </c>
      <c r="I444" t="s">
        <v>8634</v>
      </c>
      <c r="J444" t="s">
        <v>0</v>
      </c>
      <c r="K444" s="9">
        <v>44862</v>
      </c>
      <c r="L444" t="s">
        <v>29</v>
      </c>
      <c r="M444"/>
      <c r="N444" s="9">
        <v>44686</v>
      </c>
      <c r="O444" s="9">
        <v>44693</v>
      </c>
      <c r="P444" s="9">
        <v>44693</v>
      </c>
      <c r="Q444" s="9">
        <v>44862</v>
      </c>
      <c r="R444"/>
      <c r="S444"/>
      <c r="T444"/>
      <c r="U444"/>
    </row>
    <row r="445" spans="1:21" hidden="1">
      <c r="A445" s="7" t="s">
        <v>8757</v>
      </c>
      <c r="B445" s="7" t="s">
        <v>5405</v>
      </c>
      <c r="C445" s="8" t="s">
        <v>5317</v>
      </c>
      <c r="D445" t="s">
        <v>168</v>
      </c>
      <c r="E445" t="s">
        <v>25</v>
      </c>
      <c r="F445" t="s">
        <v>491</v>
      </c>
      <c r="G445" t="s">
        <v>559</v>
      </c>
      <c r="H445" s="9">
        <v>44657</v>
      </c>
      <c r="I445" t="s">
        <v>8634</v>
      </c>
      <c r="J445" t="s">
        <v>0</v>
      </c>
      <c r="K445" s="9">
        <v>44827</v>
      </c>
      <c r="L445" t="s">
        <v>29</v>
      </c>
      <c r="M445"/>
      <c r="N445" s="9">
        <v>44686</v>
      </c>
      <c r="O445" s="9">
        <v>44693</v>
      </c>
      <c r="P445" s="9">
        <v>44693</v>
      </c>
      <c r="Q445" s="9">
        <v>44827</v>
      </c>
      <c r="R445"/>
      <c r="S445"/>
      <c r="T445"/>
      <c r="U445"/>
    </row>
    <row r="446" spans="1:21" hidden="1">
      <c r="A446" s="7" t="s">
        <v>8763</v>
      </c>
      <c r="B446" s="7" t="s">
        <v>5405</v>
      </c>
      <c r="C446" s="8" t="s">
        <v>5317</v>
      </c>
      <c r="D446" t="s">
        <v>168</v>
      </c>
      <c r="E446" t="s">
        <v>25</v>
      </c>
      <c r="F446" t="s">
        <v>280</v>
      </c>
      <c r="G446" t="s">
        <v>560</v>
      </c>
      <c r="H446" s="9">
        <v>44657</v>
      </c>
      <c r="I446" t="s">
        <v>8634</v>
      </c>
      <c r="J446" t="s">
        <v>0</v>
      </c>
      <c r="K446" s="9">
        <v>44858</v>
      </c>
      <c r="L446" t="s">
        <v>29</v>
      </c>
      <c r="M446"/>
      <c r="N446" s="9">
        <v>44686</v>
      </c>
      <c r="O446" s="9">
        <v>44693</v>
      </c>
      <c r="P446" s="9">
        <v>44693</v>
      </c>
      <c r="Q446" s="9">
        <v>44858</v>
      </c>
      <c r="R446"/>
      <c r="S446"/>
      <c r="T446"/>
      <c r="U446"/>
    </row>
    <row r="447" spans="1:21" hidden="1">
      <c r="A447" s="7" t="s">
        <v>8751</v>
      </c>
      <c r="B447" s="7" t="s">
        <v>5405</v>
      </c>
      <c r="C447" s="8" t="s">
        <v>5317</v>
      </c>
      <c r="D447" t="s">
        <v>168</v>
      </c>
      <c r="E447" t="s">
        <v>25</v>
      </c>
      <c r="F447" t="s">
        <v>435</v>
      </c>
      <c r="G447" t="s">
        <v>561</v>
      </c>
      <c r="H447" s="9">
        <v>44657</v>
      </c>
      <c r="I447" t="s">
        <v>8634</v>
      </c>
      <c r="J447" t="s">
        <v>0</v>
      </c>
      <c r="K447" s="9">
        <v>44881</v>
      </c>
      <c r="L447" t="s">
        <v>29</v>
      </c>
      <c r="M447"/>
      <c r="N447" s="9">
        <v>44686</v>
      </c>
      <c r="O447" s="9">
        <v>44693</v>
      </c>
      <c r="P447" s="9">
        <v>44693</v>
      </c>
      <c r="Q447" s="9">
        <v>44881</v>
      </c>
      <c r="R447"/>
      <c r="S447"/>
      <c r="T447"/>
      <c r="U447"/>
    </row>
    <row r="448" spans="1:21" hidden="1">
      <c r="A448" s="7" t="s">
        <v>8758</v>
      </c>
      <c r="B448" s="7" t="s">
        <v>5405</v>
      </c>
      <c r="C448" s="8" t="s">
        <v>5317</v>
      </c>
      <c r="D448" t="s">
        <v>168</v>
      </c>
      <c r="E448" t="s">
        <v>25</v>
      </c>
      <c r="F448" t="s">
        <v>493</v>
      </c>
      <c r="G448" t="s">
        <v>562</v>
      </c>
      <c r="H448" s="9">
        <v>44657</v>
      </c>
      <c r="I448" t="s">
        <v>8634</v>
      </c>
      <c r="J448" t="s">
        <v>163</v>
      </c>
      <c r="K448" s="9">
        <v>44693</v>
      </c>
      <c r="L448" t="s">
        <v>29</v>
      </c>
      <c r="M448"/>
      <c r="N448" s="9">
        <v>44686</v>
      </c>
      <c r="O448" s="9">
        <v>44693</v>
      </c>
      <c r="P448" s="9">
        <v>44693</v>
      </c>
      <c r="Q448"/>
      <c r="R448"/>
      <c r="S448"/>
      <c r="T448"/>
      <c r="U448"/>
    </row>
    <row r="449" spans="1:21" hidden="1">
      <c r="A449" s="7" t="s">
        <v>8757</v>
      </c>
      <c r="B449" s="7" t="s">
        <v>5405</v>
      </c>
      <c r="C449" s="8" t="s">
        <v>5317</v>
      </c>
      <c r="D449" t="s">
        <v>168</v>
      </c>
      <c r="E449" t="s">
        <v>25</v>
      </c>
      <c r="F449" t="s">
        <v>491</v>
      </c>
      <c r="G449" t="s">
        <v>563</v>
      </c>
      <c r="H449" s="9">
        <v>44657</v>
      </c>
      <c r="I449" t="s">
        <v>8634</v>
      </c>
      <c r="J449" t="s">
        <v>0</v>
      </c>
      <c r="K449" s="9">
        <v>44827</v>
      </c>
      <c r="L449" t="s">
        <v>29</v>
      </c>
      <c r="M449"/>
      <c r="N449" s="9">
        <v>44686</v>
      </c>
      <c r="O449" s="9">
        <v>44693</v>
      </c>
      <c r="P449" s="9">
        <v>44693</v>
      </c>
      <c r="Q449" s="9">
        <v>44827</v>
      </c>
      <c r="R449"/>
      <c r="S449"/>
      <c r="T449"/>
      <c r="U449"/>
    </row>
    <row r="450" spans="1:21" hidden="1">
      <c r="A450" s="7" t="s">
        <v>8758</v>
      </c>
      <c r="B450" s="7" t="s">
        <v>5405</v>
      </c>
      <c r="C450" s="8" t="s">
        <v>5317</v>
      </c>
      <c r="D450" t="s">
        <v>168</v>
      </c>
      <c r="E450" t="s">
        <v>25</v>
      </c>
      <c r="F450" t="s">
        <v>493</v>
      </c>
      <c r="G450" t="s">
        <v>564</v>
      </c>
      <c r="H450" s="9">
        <v>44657</v>
      </c>
      <c r="I450" t="s">
        <v>8634</v>
      </c>
      <c r="J450" t="s">
        <v>0</v>
      </c>
      <c r="K450" s="9">
        <v>44862</v>
      </c>
      <c r="L450" t="s">
        <v>29</v>
      </c>
      <c r="M450"/>
      <c r="N450" s="9">
        <v>44686</v>
      </c>
      <c r="O450" s="9">
        <v>44693</v>
      </c>
      <c r="P450" s="9">
        <v>44693</v>
      </c>
      <c r="Q450" s="9">
        <v>44862</v>
      </c>
      <c r="R450"/>
      <c r="S450"/>
      <c r="T450"/>
      <c r="U450"/>
    </row>
    <row r="451" spans="1:21" hidden="1">
      <c r="A451" s="7" t="s">
        <v>8758</v>
      </c>
      <c r="B451" s="7" t="s">
        <v>5405</v>
      </c>
      <c r="C451" s="8" t="s">
        <v>5317</v>
      </c>
      <c r="D451" t="s">
        <v>168</v>
      </c>
      <c r="E451" t="s">
        <v>25</v>
      </c>
      <c r="F451" t="s">
        <v>493</v>
      </c>
      <c r="G451" t="s">
        <v>565</v>
      </c>
      <c r="H451" s="9">
        <v>44657</v>
      </c>
      <c r="I451" t="s">
        <v>8634</v>
      </c>
      <c r="J451" t="s">
        <v>0</v>
      </c>
      <c r="K451" s="9">
        <v>44862</v>
      </c>
      <c r="L451" t="s">
        <v>29</v>
      </c>
      <c r="M451"/>
      <c r="N451" s="9">
        <v>44686</v>
      </c>
      <c r="O451" s="9">
        <v>44693</v>
      </c>
      <c r="P451" s="9">
        <v>44693</v>
      </c>
      <c r="Q451" s="9">
        <v>44862</v>
      </c>
      <c r="R451"/>
      <c r="S451"/>
      <c r="T451"/>
      <c r="U451"/>
    </row>
    <row r="452" spans="1:21" hidden="1">
      <c r="A452" s="7" t="s">
        <v>8758</v>
      </c>
      <c r="B452" s="7" t="s">
        <v>5405</v>
      </c>
      <c r="C452" s="8" t="s">
        <v>5317</v>
      </c>
      <c r="D452" t="s">
        <v>168</v>
      </c>
      <c r="E452" t="s">
        <v>25</v>
      </c>
      <c r="F452" t="s">
        <v>493</v>
      </c>
      <c r="G452" t="s">
        <v>566</v>
      </c>
      <c r="H452" s="9">
        <v>44657</v>
      </c>
      <c r="I452" t="s">
        <v>8634</v>
      </c>
      <c r="J452" t="s">
        <v>0</v>
      </c>
      <c r="K452" s="9">
        <v>44862</v>
      </c>
      <c r="L452" t="s">
        <v>29</v>
      </c>
      <c r="M452"/>
      <c r="N452" s="9">
        <v>44686</v>
      </c>
      <c r="O452" s="9">
        <v>44693</v>
      </c>
      <c r="P452" s="9">
        <v>44693</v>
      </c>
      <c r="Q452" s="9">
        <v>44862</v>
      </c>
      <c r="R452"/>
      <c r="S452"/>
      <c r="T452"/>
      <c r="U452"/>
    </row>
    <row r="453" spans="1:21" hidden="1">
      <c r="A453" s="7" t="s">
        <v>8758</v>
      </c>
      <c r="B453" s="7" t="s">
        <v>5405</v>
      </c>
      <c r="C453" s="8" t="s">
        <v>5317</v>
      </c>
      <c r="D453" t="s">
        <v>168</v>
      </c>
      <c r="E453" t="s">
        <v>25</v>
      </c>
      <c r="F453" t="s">
        <v>493</v>
      </c>
      <c r="G453" t="s">
        <v>567</v>
      </c>
      <c r="H453" s="9">
        <v>44657</v>
      </c>
      <c r="I453" t="s">
        <v>8634</v>
      </c>
      <c r="J453" t="s">
        <v>0</v>
      </c>
      <c r="K453" s="9">
        <v>44862</v>
      </c>
      <c r="L453" t="s">
        <v>29</v>
      </c>
      <c r="M453"/>
      <c r="N453" s="9">
        <v>44686</v>
      </c>
      <c r="O453" s="9">
        <v>44693</v>
      </c>
      <c r="P453" s="9">
        <v>44693</v>
      </c>
      <c r="Q453" s="9">
        <v>44862</v>
      </c>
      <c r="R453"/>
      <c r="S453"/>
      <c r="T453"/>
      <c r="U453"/>
    </row>
    <row r="454" spans="1:21" hidden="1">
      <c r="A454" s="7" t="s">
        <v>8758</v>
      </c>
      <c r="B454" s="7" t="s">
        <v>5405</v>
      </c>
      <c r="C454" s="8" t="s">
        <v>5317</v>
      </c>
      <c r="D454" t="s">
        <v>168</v>
      </c>
      <c r="E454" t="s">
        <v>25</v>
      </c>
      <c r="F454" t="s">
        <v>493</v>
      </c>
      <c r="G454" t="s">
        <v>568</v>
      </c>
      <c r="H454" s="9">
        <v>44657</v>
      </c>
      <c r="I454" t="s">
        <v>8634</v>
      </c>
      <c r="J454" t="s">
        <v>0</v>
      </c>
      <c r="K454" s="9">
        <v>44862</v>
      </c>
      <c r="L454" t="s">
        <v>29</v>
      </c>
      <c r="M454"/>
      <c r="N454" s="9">
        <v>44686</v>
      </c>
      <c r="O454" s="9">
        <v>44693</v>
      </c>
      <c r="P454" s="9">
        <v>44693</v>
      </c>
      <c r="Q454" s="9">
        <v>44862</v>
      </c>
      <c r="R454"/>
      <c r="S454"/>
      <c r="T454"/>
      <c r="U454"/>
    </row>
    <row r="455" spans="1:21" hidden="1">
      <c r="A455" s="7" t="s">
        <v>8758</v>
      </c>
      <c r="B455" s="7" t="s">
        <v>5405</v>
      </c>
      <c r="C455" s="8" t="s">
        <v>5317</v>
      </c>
      <c r="D455" t="s">
        <v>168</v>
      </c>
      <c r="E455" t="s">
        <v>25</v>
      </c>
      <c r="F455" t="s">
        <v>493</v>
      </c>
      <c r="G455" t="s">
        <v>569</v>
      </c>
      <c r="H455" s="9">
        <v>44657</v>
      </c>
      <c r="I455" t="s">
        <v>8634</v>
      </c>
      <c r="J455" t="s">
        <v>0</v>
      </c>
      <c r="K455" s="9">
        <v>44862</v>
      </c>
      <c r="L455" t="s">
        <v>29</v>
      </c>
      <c r="M455"/>
      <c r="N455" s="9">
        <v>44686</v>
      </c>
      <c r="O455" s="9">
        <v>44693</v>
      </c>
      <c r="P455" s="9">
        <v>44693</v>
      </c>
      <c r="Q455" s="9">
        <v>44862</v>
      </c>
      <c r="R455"/>
      <c r="S455"/>
      <c r="T455"/>
      <c r="U455"/>
    </row>
    <row r="456" spans="1:21" hidden="1">
      <c r="A456" s="7" t="s">
        <v>8751</v>
      </c>
      <c r="B456" s="7" t="s">
        <v>5405</v>
      </c>
      <c r="C456" s="8" t="s">
        <v>5317</v>
      </c>
      <c r="D456" t="s">
        <v>168</v>
      </c>
      <c r="E456" t="s">
        <v>25</v>
      </c>
      <c r="F456" t="s">
        <v>435</v>
      </c>
      <c r="G456" t="s">
        <v>570</v>
      </c>
      <c r="H456" s="9">
        <v>44657</v>
      </c>
      <c r="I456" t="s">
        <v>8634</v>
      </c>
      <c r="J456" t="s">
        <v>0</v>
      </c>
      <c r="K456" s="9">
        <v>44881</v>
      </c>
      <c r="L456" t="s">
        <v>29</v>
      </c>
      <c r="M456"/>
      <c r="N456" s="9">
        <v>44686</v>
      </c>
      <c r="O456" s="9">
        <v>44693</v>
      </c>
      <c r="P456" s="9">
        <v>44693</v>
      </c>
      <c r="Q456" s="9">
        <v>44881</v>
      </c>
      <c r="R456"/>
      <c r="S456"/>
      <c r="T456"/>
      <c r="U456"/>
    </row>
    <row r="457" spans="1:21" hidden="1">
      <c r="A457" s="7" t="s">
        <v>8757</v>
      </c>
      <c r="B457" s="7" t="s">
        <v>5405</v>
      </c>
      <c r="C457" s="8" t="s">
        <v>5317</v>
      </c>
      <c r="D457" t="s">
        <v>168</v>
      </c>
      <c r="E457" t="s">
        <v>25</v>
      </c>
      <c r="F457" t="s">
        <v>491</v>
      </c>
      <c r="G457" t="s">
        <v>571</v>
      </c>
      <c r="H457" s="9">
        <v>44657</v>
      </c>
      <c r="I457" t="s">
        <v>8634</v>
      </c>
      <c r="J457" t="s">
        <v>0</v>
      </c>
      <c r="K457" s="9">
        <v>44827</v>
      </c>
      <c r="L457" t="s">
        <v>29</v>
      </c>
      <c r="M457"/>
      <c r="N457" s="9">
        <v>44686</v>
      </c>
      <c r="O457" s="9">
        <v>44693</v>
      </c>
      <c r="P457" s="9">
        <v>44693</v>
      </c>
      <c r="Q457" s="9">
        <v>44827</v>
      </c>
      <c r="R457"/>
      <c r="S457"/>
      <c r="T457"/>
      <c r="U457"/>
    </row>
    <row r="458" spans="1:21" hidden="1">
      <c r="A458" s="7" t="s">
        <v>8758</v>
      </c>
      <c r="B458" s="7" t="s">
        <v>5405</v>
      </c>
      <c r="C458" s="8" t="s">
        <v>5317</v>
      </c>
      <c r="D458" t="s">
        <v>168</v>
      </c>
      <c r="E458" t="s">
        <v>25</v>
      </c>
      <c r="F458" t="s">
        <v>493</v>
      </c>
      <c r="G458" t="s">
        <v>572</v>
      </c>
      <c r="H458" s="9">
        <v>44657</v>
      </c>
      <c r="I458" t="s">
        <v>8634</v>
      </c>
      <c r="J458" t="s">
        <v>0</v>
      </c>
      <c r="K458" s="9">
        <v>44862</v>
      </c>
      <c r="L458" t="s">
        <v>29</v>
      </c>
      <c r="M458"/>
      <c r="N458" s="9">
        <v>44686</v>
      </c>
      <c r="O458" s="9">
        <v>44693</v>
      </c>
      <c r="P458" s="9">
        <v>44693</v>
      </c>
      <c r="Q458" s="9">
        <v>44862</v>
      </c>
      <c r="R458"/>
      <c r="S458"/>
      <c r="T458"/>
      <c r="U458"/>
    </row>
    <row r="459" spans="1:21" hidden="1">
      <c r="A459" s="7" t="s">
        <v>8758</v>
      </c>
      <c r="B459" s="7" t="s">
        <v>5405</v>
      </c>
      <c r="C459" s="8" t="s">
        <v>5317</v>
      </c>
      <c r="D459" t="s">
        <v>168</v>
      </c>
      <c r="E459" t="s">
        <v>25</v>
      </c>
      <c r="F459" t="s">
        <v>493</v>
      </c>
      <c r="G459" t="s">
        <v>573</v>
      </c>
      <c r="H459" s="9">
        <v>44657</v>
      </c>
      <c r="I459" t="s">
        <v>8634</v>
      </c>
      <c r="J459" t="s">
        <v>0</v>
      </c>
      <c r="K459" s="9">
        <v>44862</v>
      </c>
      <c r="L459" t="s">
        <v>29</v>
      </c>
      <c r="M459"/>
      <c r="N459" s="9">
        <v>44686</v>
      </c>
      <c r="O459" s="9">
        <v>44693</v>
      </c>
      <c r="P459" s="9">
        <v>44693</v>
      </c>
      <c r="Q459" s="9">
        <v>44862</v>
      </c>
      <c r="R459"/>
      <c r="S459"/>
      <c r="T459"/>
      <c r="U459"/>
    </row>
    <row r="460" spans="1:21" hidden="1">
      <c r="A460" s="7" t="s">
        <v>8758</v>
      </c>
      <c r="B460" s="7" t="s">
        <v>5405</v>
      </c>
      <c r="C460" s="8" t="s">
        <v>5317</v>
      </c>
      <c r="D460" t="s">
        <v>168</v>
      </c>
      <c r="E460" t="s">
        <v>25</v>
      </c>
      <c r="F460" t="s">
        <v>493</v>
      </c>
      <c r="G460" t="s">
        <v>574</v>
      </c>
      <c r="H460" s="9">
        <v>44657</v>
      </c>
      <c r="I460" t="s">
        <v>8634</v>
      </c>
      <c r="J460" t="s">
        <v>0</v>
      </c>
      <c r="K460" s="9">
        <v>44862</v>
      </c>
      <c r="L460" t="s">
        <v>29</v>
      </c>
      <c r="M460"/>
      <c r="N460" s="9">
        <v>44686</v>
      </c>
      <c r="O460" s="9">
        <v>44693</v>
      </c>
      <c r="P460" s="9">
        <v>44693</v>
      </c>
      <c r="Q460" s="9">
        <v>44862</v>
      </c>
      <c r="R460"/>
      <c r="S460"/>
      <c r="T460"/>
      <c r="U460"/>
    </row>
    <row r="461" spans="1:21" hidden="1">
      <c r="A461" s="7" t="s">
        <v>8763</v>
      </c>
      <c r="B461" s="7" t="s">
        <v>5405</v>
      </c>
      <c r="C461" s="8" t="s">
        <v>5317</v>
      </c>
      <c r="D461" t="s">
        <v>168</v>
      </c>
      <c r="E461" t="s">
        <v>25</v>
      </c>
      <c r="F461" t="s">
        <v>280</v>
      </c>
      <c r="G461" t="s">
        <v>575</v>
      </c>
      <c r="H461" s="9">
        <v>44657</v>
      </c>
      <c r="I461" t="s">
        <v>8634</v>
      </c>
      <c r="J461" t="s">
        <v>163</v>
      </c>
      <c r="K461" s="9">
        <v>44693</v>
      </c>
      <c r="L461" t="s">
        <v>29</v>
      </c>
      <c r="M461"/>
      <c r="N461" s="9">
        <v>44686</v>
      </c>
      <c r="O461" s="9">
        <v>44693</v>
      </c>
      <c r="P461" s="9">
        <v>44693</v>
      </c>
      <c r="Q461"/>
      <c r="R461"/>
      <c r="S461"/>
      <c r="T461"/>
      <c r="U461"/>
    </row>
    <row r="462" spans="1:21" hidden="1">
      <c r="A462" s="7" t="s">
        <v>8763</v>
      </c>
      <c r="B462" s="7" t="s">
        <v>5405</v>
      </c>
      <c r="C462" s="8" t="s">
        <v>5317</v>
      </c>
      <c r="D462" t="s">
        <v>168</v>
      </c>
      <c r="E462" t="s">
        <v>25</v>
      </c>
      <c r="F462" t="s">
        <v>280</v>
      </c>
      <c r="G462" t="s">
        <v>576</v>
      </c>
      <c r="H462" s="9">
        <v>44657</v>
      </c>
      <c r="I462" t="s">
        <v>8634</v>
      </c>
      <c r="J462" t="s">
        <v>0</v>
      </c>
      <c r="K462" s="9">
        <v>44858</v>
      </c>
      <c r="L462" t="s">
        <v>29</v>
      </c>
      <c r="M462"/>
      <c r="N462" s="9">
        <v>44686</v>
      </c>
      <c r="O462" s="9">
        <v>44693</v>
      </c>
      <c r="P462" s="9">
        <v>44693</v>
      </c>
      <c r="Q462" s="9">
        <v>44858</v>
      </c>
      <c r="R462"/>
      <c r="S462"/>
      <c r="T462"/>
      <c r="U462"/>
    </row>
    <row r="463" spans="1:21" hidden="1">
      <c r="A463" s="7" t="s">
        <v>8757</v>
      </c>
      <c r="B463" s="7" t="s">
        <v>5405</v>
      </c>
      <c r="C463" s="8" t="s">
        <v>5317</v>
      </c>
      <c r="D463" t="s">
        <v>168</v>
      </c>
      <c r="E463" t="s">
        <v>25</v>
      </c>
      <c r="F463" t="s">
        <v>491</v>
      </c>
      <c r="G463" t="s">
        <v>577</v>
      </c>
      <c r="H463" s="9">
        <v>44657</v>
      </c>
      <c r="I463" t="s">
        <v>8634</v>
      </c>
      <c r="J463" t="s">
        <v>0</v>
      </c>
      <c r="K463" s="9">
        <v>44827</v>
      </c>
      <c r="L463" t="s">
        <v>29</v>
      </c>
      <c r="M463"/>
      <c r="N463" s="9">
        <v>44686</v>
      </c>
      <c r="O463" s="9">
        <v>44693</v>
      </c>
      <c r="P463" s="9">
        <v>44693</v>
      </c>
      <c r="Q463" s="9">
        <v>44827</v>
      </c>
      <c r="R463"/>
      <c r="S463"/>
      <c r="T463"/>
      <c r="U463"/>
    </row>
    <row r="464" spans="1:21" hidden="1">
      <c r="A464" s="7" t="s">
        <v>8758</v>
      </c>
      <c r="B464" s="7" t="s">
        <v>5405</v>
      </c>
      <c r="C464" s="8" t="s">
        <v>5317</v>
      </c>
      <c r="D464" t="s">
        <v>168</v>
      </c>
      <c r="E464" t="s">
        <v>25</v>
      </c>
      <c r="F464" t="s">
        <v>493</v>
      </c>
      <c r="G464" t="s">
        <v>577</v>
      </c>
      <c r="H464" s="9">
        <v>44657</v>
      </c>
      <c r="I464" t="s">
        <v>8634</v>
      </c>
      <c r="J464" t="s">
        <v>163</v>
      </c>
      <c r="K464" s="9">
        <v>44693</v>
      </c>
      <c r="L464" t="s">
        <v>29</v>
      </c>
      <c r="M464"/>
      <c r="N464" s="9">
        <v>44686</v>
      </c>
      <c r="O464" s="9">
        <v>44693</v>
      </c>
      <c r="P464" s="9">
        <v>44693</v>
      </c>
      <c r="Q464"/>
      <c r="R464"/>
      <c r="S464"/>
      <c r="T464"/>
      <c r="U464"/>
    </row>
    <row r="465" spans="1:21" hidden="1">
      <c r="A465" s="7" t="s">
        <v>8757</v>
      </c>
      <c r="B465" s="7" t="s">
        <v>5405</v>
      </c>
      <c r="C465" s="8" t="s">
        <v>5317</v>
      </c>
      <c r="D465" t="s">
        <v>168</v>
      </c>
      <c r="E465" t="s">
        <v>25</v>
      </c>
      <c r="F465" t="s">
        <v>491</v>
      </c>
      <c r="G465" t="s">
        <v>578</v>
      </c>
      <c r="H465" s="9">
        <v>44657</v>
      </c>
      <c r="I465" t="s">
        <v>8634</v>
      </c>
      <c r="J465" t="s">
        <v>0</v>
      </c>
      <c r="K465" s="9">
        <v>44827</v>
      </c>
      <c r="L465" t="s">
        <v>29</v>
      </c>
      <c r="M465"/>
      <c r="N465" s="9">
        <v>44686</v>
      </c>
      <c r="O465" s="9">
        <v>44693</v>
      </c>
      <c r="P465" s="9">
        <v>44693</v>
      </c>
      <c r="Q465" s="9">
        <v>44827</v>
      </c>
      <c r="R465"/>
      <c r="S465"/>
      <c r="T465"/>
      <c r="U465"/>
    </row>
    <row r="466" spans="1:21" hidden="1">
      <c r="A466" s="7" t="s">
        <v>8757</v>
      </c>
      <c r="B466" s="7" t="s">
        <v>5405</v>
      </c>
      <c r="C466" s="8" t="s">
        <v>5317</v>
      </c>
      <c r="D466" t="s">
        <v>168</v>
      </c>
      <c r="E466" t="s">
        <v>25</v>
      </c>
      <c r="F466" t="s">
        <v>491</v>
      </c>
      <c r="G466" t="s">
        <v>579</v>
      </c>
      <c r="H466" s="9">
        <v>44657</v>
      </c>
      <c r="I466" t="s">
        <v>8634</v>
      </c>
      <c r="J466" t="s">
        <v>0</v>
      </c>
      <c r="K466" s="9">
        <v>44827</v>
      </c>
      <c r="L466" t="s">
        <v>29</v>
      </c>
      <c r="M466"/>
      <c r="N466" s="9">
        <v>44686</v>
      </c>
      <c r="O466" s="9">
        <v>44693</v>
      </c>
      <c r="P466" s="9">
        <v>44693</v>
      </c>
      <c r="Q466" s="9">
        <v>44827</v>
      </c>
      <c r="R466"/>
      <c r="S466"/>
      <c r="T466"/>
      <c r="U466"/>
    </row>
    <row r="467" spans="1:21" hidden="1">
      <c r="A467" s="7" t="s">
        <v>8758</v>
      </c>
      <c r="B467" s="7" t="s">
        <v>5405</v>
      </c>
      <c r="C467" s="8" t="s">
        <v>5317</v>
      </c>
      <c r="D467" t="s">
        <v>168</v>
      </c>
      <c r="E467" t="s">
        <v>25</v>
      </c>
      <c r="F467" t="s">
        <v>493</v>
      </c>
      <c r="G467" t="s">
        <v>579</v>
      </c>
      <c r="H467" s="9">
        <v>44657</v>
      </c>
      <c r="I467" t="s">
        <v>8634</v>
      </c>
      <c r="J467" t="s">
        <v>163</v>
      </c>
      <c r="K467" s="9">
        <v>44693</v>
      </c>
      <c r="L467" t="s">
        <v>29</v>
      </c>
      <c r="M467"/>
      <c r="N467" s="9">
        <v>44686</v>
      </c>
      <c r="O467" s="9">
        <v>44693</v>
      </c>
      <c r="P467" s="9">
        <v>44693</v>
      </c>
      <c r="Q467"/>
      <c r="R467"/>
      <c r="S467"/>
      <c r="T467"/>
      <c r="U467"/>
    </row>
    <row r="468" spans="1:21" hidden="1">
      <c r="A468" s="7" t="s">
        <v>8757</v>
      </c>
      <c r="B468" s="7" t="s">
        <v>5405</v>
      </c>
      <c r="C468" s="8" t="s">
        <v>5317</v>
      </c>
      <c r="D468" t="s">
        <v>168</v>
      </c>
      <c r="E468" t="s">
        <v>25</v>
      </c>
      <c r="F468" t="s">
        <v>491</v>
      </c>
      <c r="G468" t="s">
        <v>580</v>
      </c>
      <c r="H468" s="9">
        <v>44657</v>
      </c>
      <c r="I468" t="s">
        <v>8634</v>
      </c>
      <c r="J468" t="s">
        <v>0</v>
      </c>
      <c r="K468" s="9">
        <v>44827</v>
      </c>
      <c r="L468" t="s">
        <v>29</v>
      </c>
      <c r="M468"/>
      <c r="N468" s="9">
        <v>44686</v>
      </c>
      <c r="O468" s="9">
        <v>44693</v>
      </c>
      <c r="P468" s="9">
        <v>44693</v>
      </c>
      <c r="Q468" s="9">
        <v>44827</v>
      </c>
      <c r="R468"/>
      <c r="S468"/>
      <c r="T468"/>
      <c r="U468"/>
    </row>
    <row r="469" spans="1:21" hidden="1">
      <c r="A469" s="7" t="s">
        <v>8757</v>
      </c>
      <c r="B469" s="7" t="s">
        <v>5405</v>
      </c>
      <c r="C469" s="8" t="s">
        <v>5317</v>
      </c>
      <c r="D469" t="s">
        <v>168</v>
      </c>
      <c r="E469" t="s">
        <v>25</v>
      </c>
      <c r="F469" t="s">
        <v>491</v>
      </c>
      <c r="G469" t="s">
        <v>581</v>
      </c>
      <c r="H469" s="9">
        <v>44657</v>
      </c>
      <c r="I469" t="s">
        <v>8634</v>
      </c>
      <c r="J469" t="s">
        <v>0</v>
      </c>
      <c r="K469" s="9">
        <v>44827</v>
      </c>
      <c r="L469" t="s">
        <v>29</v>
      </c>
      <c r="M469"/>
      <c r="N469" s="9">
        <v>44686</v>
      </c>
      <c r="O469" s="9">
        <v>44693</v>
      </c>
      <c r="P469" s="9">
        <v>44693</v>
      </c>
      <c r="Q469" s="9">
        <v>44827</v>
      </c>
      <c r="R469"/>
      <c r="S469"/>
      <c r="T469"/>
      <c r="U469"/>
    </row>
    <row r="470" spans="1:21" hidden="1">
      <c r="A470" s="7" t="s">
        <v>8757</v>
      </c>
      <c r="B470" s="7" t="s">
        <v>5405</v>
      </c>
      <c r="C470" s="8" t="s">
        <v>5317</v>
      </c>
      <c r="D470" t="s">
        <v>168</v>
      </c>
      <c r="E470" t="s">
        <v>25</v>
      </c>
      <c r="F470" t="s">
        <v>491</v>
      </c>
      <c r="G470" t="s">
        <v>582</v>
      </c>
      <c r="H470" s="9">
        <v>44657</v>
      </c>
      <c r="I470" t="s">
        <v>8634</v>
      </c>
      <c r="J470" t="s">
        <v>0</v>
      </c>
      <c r="K470" s="9">
        <v>44827</v>
      </c>
      <c r="L470" t="s">
        <v>29</v>
      </c>
      <c r="M470"/>
      <c r="N470" s="9">
        <v>44686</v>
      </c>
      <c r="O470" s="9">
        <v>44693</v>
      </c>
      <c r="P470" s="9">
        <v>44693</v>
      </c>
      <c r="Q470" s="9">
        <v>44827</v>
      </c>
      <c r="R470"/>
      <c r="S470"/>
      <c r="T470"/>
      <c r="U470"/>
    </row>
    <row r="471" spans="1:21" hidden="1">
      <c r="A471" s="7" t="s">
        <v>8758</v>
      </c>
      <c r="B471" s="7" t="s">
        <v>5405</v>
      </c>
      <c r="C471" s="8" t="s">
        <v>5317</v>
      </c>
      <c r="D471" t="s">
        <v>168</v>
      </c>
      <c r="E471" t="s">
        <v>25</v>
      </c>
      <c r="F471" t="s">
        <v>493</v>
      </c>
      <c r="G471" t="s">
        <v>583</v>
      </c>
      <c r="H471" s="9">
        <v>44657</v>
      </c>
      <c r="I471" t="s">
        <v>8634</v>
      </c>
      <c r="J471" t="s">
        <v>0</v>
      </c>
      <c r="K471" s="9">
        <v>44862</v>
      </c>
      <c r="L471" t="s">
        <v>29</v>
      </c>
      <c r="M471"/>
      <c r="N471" s="9">
        <v>44686</v>
      </c>
      <c r="O471" s="9">
        <v>44693</v>
      </c>
      <c r="P471" s="9">
        <v>44693</v>
      </c>
      <c r="Q471" s="9">
        <v>44862</v>
      </c>
      <c r="R471"/>
      <c r="S471"/>
      <c r="T471"/>
      <c r="U471"/>
    </row>
    <row r="472" spans="1:21" hidden="1">
      <c r="A472" s="7" t="s">
        <v>8751</v>
      </c>
      <c r="B472" s="7" t="s">
        <v>5405</v>
      </c>
      <c r="C472" s="8" t="s">
        <v>5317</v>
      </c>
      <c r="D472" t="s">
        <v>168</v>
      </c>
      <c r="E472" t="s">
        <v>25</v>
      </c>
      <c r="F472" t="s">
        <v>435</v>
      </c>
      <c r="G472" t="s">
        <v>584</v>
      </c>
      <c r="H472" s="9">
        <v>44657</v>
      </c>
      <c r="I472" t="s">
        <v>8634</v>
      </c>
      <c r="J472" t="s">
        <v>0</v>
      </c>
      <c r="K472" s="9">
        <v>44881</v>
      </c>
      <c r="L472" t="s">
        <v>29</v>
      </c>
      <c r="M472"/>
      <c r="N472" s="9">
        <v>44686</v>
      </c>
      <c r="O472" s="9">
        <v>44693</v>
      </c>
      <c r="P472" s="9">
        <v>44693</v>
      </c>
      <c r="Q472" s="9">
        <v>44881</v>
      </c>
      <c r="R472"/>
      <c r="S472"/>
      <c r="T472"/>
      <c r="U472"/>
    </row>
    <row r="473" spans="1:21" hidden="1">
      <c r="A473" s="7" t="s">
        <v>8763</v>
      </c>
      <c r="B473" s="7" t="s">
        <v>5405</v>
      </c>
      <c r="C473" s="8" t="s">
        <v>5317</v>
      </c>
      <c r="D473" t="s">
        <v>168</v>
      </c>
      <c r="E473" t="s">
        <v>25</v>
      </c>
      <c r="F473" t="s">
        <v>280</v>
      </c>
      <c r="G473" t="s">
        <v>585</v>
      </c>
      <c r="H473" s="9">
        <v>44657</v>
      </c>
      <c r="I473" t="s">
        <v>8634</v>
      </c>
      <c r="J473" t="s">
        <v>0</v>
      </c>
      <c r="K473" s="9">
        <v>44858</v>
      </c>
      <c r="L473" t="s">
        <v>29</v>
      </c>
      <c r="M473"/>
      <c r="N473" s="9">
        <v>44686</v>
      </c>
      <c r="O473" s="9">
        <v>44693</v>
      </c>
      <c r="P473" s="9">
        <v>44693</v>
      </c>
      <c r="Q473" s="9">
        <v>44858</v>
      </c>
      <c r="R473"/>
      <c r="S473"/>
      <c r="T473"/>
      <c r="U473"/>
    </row>
    <row r="474" spans="1:21" hidden="1">
      <c r="A474" s="7" t="s">
        <v>8751</v>
      </c>
      <c r="B474" s="7" t="s">
        <v>5405</v>
      </c>
      <c r="C474" s="8" t="s">
        <v>5317</v>
      </c>
      <c r="D474" t="s">
        <v>168</v>
      </c>
      <c r="E474" t="s">
        <v>25</v>
      </c>
      <c r="F474" t="s">
        <v>435</v>
      </c>
      <c r="G474" t="s">
        <v>586</v>
      </c>
      <c r="H474" s="9">
        <v>44657</v>
      </c>
      <c r="I474" t="s">
        <v>8634</v>
      </c>
      <c r="J474" t="s">
        <v>0</v>
      </c>
      <c r="K474" s="9">
        <v>44881</v>
      </c>
      <c r="L474" t="s">
        <v>29</v>
      </c>
      <c r="M474"/>
      <c r="N474" s="9">
        <v>44686</v>
      </c>
      <c r="O474" s="9">
        <v>44693</v>
      </c>
      <c r="P474" s="9">
        <v>44693</v>
      </c>
      <c r="Q474" s="9">
        <v>44881</v>
      </c>
      <c r="R474"/>
      <c r="S474"/>
      <c r="T474"/>
      <c r="U474"/>
    </row>
    <row r="475" spans="1:21" hidden="1">
      <c r="A475" s="7" t="s">
        <v>8763</v>
      </c>
      <c r="B475" s="7" t="s">
        <v>5405</v>
      </c>
      <c r="C475" s="8" t="s">
        <v>5317</v>
      </c>
      <c r="D475" t="s">
        <v>168</v>
      </c>
      <c r="E475" t="s">
        <v>25</v>
      </c>
      <c r="F475" t="s">
        <v>280</v>
      </c>
      <c r="G475" t="s">
        <v>587</v>
      </c>
      <c r="H475" s="9">
        <v>44657</v>
      </c>
      <c r="I475" t="s">
        <v>8634</v>
      </c>
      <c r="J475" t="s">
        <v>0</v>
      </c>
      <c r="K475" s="9">
        <v>44858</v>
      </c>
      <c r="L475" t="s">
        <v>29</v>
      </c>
      <c r="M475"/>
      <c r="N475" s="9">
        <v>44686</v>
      </c>
      <c r="O475" s="9">
        <v>44693</v>
      </c>
      <c r="P475" s="9">
        <v>44693</v>
      </c>
      <c r="Q475" s="9">
        <v>44858</v>
      </c>
      <c r="R475"/>
      <c r="S475"/>
      <c r="T475"/>
      <c r="U475"/>
    </row>
    <row r="476" spans="1:21" hidden="1">
      <c r="A476" s="7" t="s">
        <v>8763</v>
      </c>
      <c r="B476" s="7" t="s">
        <v>5405</v>
      </c>
      <c r="C476" s="8" t="s">
        <v>5317</v>
      </c>
      <c r="D476" t="s">
        <v>168</v>
      </c>
      <c r="E476" t="s">
        <v>25</v>
      </c>
      <c r="F476" t="s">
        <v>280</v>
      </c>
      <c r="G476" t="s">
        <v>588</v>
      </c>
      <c r="H476" s="9">
        <v>44657</v>
      </c>
      <c r="I476" t="s">
        <v>8634</v>
      </c>
      <c r="J476" t="s">
        <v>0</v>
      </c>
      <c r="K476" s="9">
        <v>44858</v>
      </c>
      <c r="L476" t="s">
        <v>29</v>
      </c>
      <c r="M476"/>
      <c r="N476" s="9">
        <v>44686</v>
      </c>
      <c r="O476" s="9">
        <v>44693</v>
      </c>
      <c r="P476" s="9">
        <v>44693</v>
      </c>
      <c r="Q476" s="9">
        <v>44858</v>
      </c>
      <c r="R476"/>
      <c r="S476"/>
      <c r="T476"/>
      <c r="U476"/>
    </row>
    <row r="477" spans="1:21" hidden="1">
      <c r="A477" s="7" t="s">
        <v>8763</v>
      </c>
      <c r="B477" s="7" t="s">
        <v>5405</v>
      </c>
      <c r="C477" s="8" t="s">
        <v>5317</v>
      </c>
      <c r="D477" t="s">
        <v>168</v>
      </c>
      <c r="E477" t="s">
        <v>25</v>
      </c>
      <c r="F477" t="s">
        <v>280</v>
      </c>
      <c r="G477" t="s">
        <v>589</v>
      </c>
      <c r="H477" s="9">
        <v>44657</v>
      </c>
      <c r="I477" t="s">
        <v>8634</v>
      </c>
      <c r="J477" t="s">
        <v>0</v>
      </c>
      <c r="K477" s="9">
        <v>44858</v>
      </c>
      <c r="L477" t="s">
        <v>29</v>
      </c>
      <c r="M477"/>
      <c r="N477" s="9">
        <v>44686</v>
      </c>
      <c r="O477" s="9">
        <v>44693</v>
      </c>
      <c r="P477" s="9">
        <v>44693</v>
      </c>
      <c r="Q477" s="9">
        <v>44858</v>
      </c>
      <c r="R477"/>
      <c r="S477"/>
      <c r="T477"/>
      <c r="U477"/>
    </row>
    <row r="478" spans="1:21" hidden="1">
      <c r="A478" s="7" t="s">
        <v>8751</v>
      </c>
      <c r="B478" s="7" t="s">
        <v>5405</v>
      </c>
      <c r="C478" s="8" t="s">
        <v>5317</v>
      </c>
      <c r="D478" t="s">
        <v>168</v>
      </c>
      <c r="E478" t="s">
        <v>25</v>
      </c>
      <c r="F478" t="s">
        <v>435</v>
      </c>
      <c r="G478" t="s">
        <v>590</v>
      </c>
      <c r="H478" s="9">
        <v>44657</v>
      </c>
      <c r="I478" t="s">
        <v>8634</v>
      </c>
      <c r="J478" t="s">
        <v>0</v>
      </c>
      <c r="K478" s="9">
        <v>44881</v>
      </c>
      <c r="L478" t="s">
        <v>29</v>
      </c>
      <c r="M478"/>
      <c r="N478" s="9">
        <v>44686</v>
      </c>
      <c r="O478" s="9">
        <v>44693</v>
      </c>
      <c r="P478" s="9">
        <v>44693</v>
      </c>
      <c r="Q478" s="9">
        <v>44881</v>
      </c>
      <c r="R478"/>
      <c r="S478"/>
      <c r="T478"/>
      <c r="U478"/>
    </row>
    <row r="479" spans="1:21" hidden="1">
      <c r="A479" s="7" t="s">
        <v>8751</v>
      </c>
      <c r="B479" s="7" t="s">
        <v>5405</v>
      </c>
      <c r="C479" s="8" t="s">
        <v>5317</v>
      </c>
      <c r="D479" t="s">
        <v>168</v>
      </c>
      <c r="E479" t="s">
        <v>25</v>
      </c>
      <c r="F479" t="s">
        <v>435</v>
      </c>
      <c r="G479" t="s">
        <v>591</v>
      </c>
      <c r="H479" s="9">
        <v>44657</v>
      </c>
      <c r="I479" t="s">
        <v>8634</v>
      </c>
      <c r="J479" t="s">
        <v>0</v>
      </c>
      <c r="K479" s="9">
        <v>44881</v>
      </c>
      <c r="L479" t="s">
        <v>29</v>
      </c>
      <c r="M479"/>
      <c r="N479" s="9">
        <v>44686</v>
      </c>
      <c r="O479" s="9">
        <v>44693</v>
      </c>
      <c r="P479" s="9">
        <v>44693</v>
      </c>
      <c r="Q479" s="9">
        <v>44881</v>
      </c>
      <c r="R479"/>
      <c r="S479"/>
      <c r="T479"/>
      <c r="U479"/>
    </row>
    <row r="480" spans="1:21" hidden="1">
      <c r="A480" s="7" t="s">
        <v>8763</v>
      </c>
      <c r="B480" s="7" t="s">
        <v>5405</v>
      </c>
      <c r="C480" s="8" t="s">
        <v>5317</v>
      </c>
      <c r="D480" t="s">
        <v>168</v>
      </c>
      <c r="E480" t="s">
        <v>25</v>
      </c>
      <c r="F480" t="s">
        <v>280</v>
      </c>
      <c r="G480" t="s">
        <v>592</v>
      </c>
      <c r="H480" s="9">
        <v>44657</v>
      </c>
      <c r="I480" t="s">
        <v>8634</v>
      </c>
      <c r="J480" t="s">
        <v>0</v>
      </c>
      <c r="K480" s="9">
        <v>44858</v>
      </c>
      <c r="L480" t="s">
        <v>29</v>
      </c>
      <c r="M480"/>
      <c r="N480" s="9">
        <v>44686</v>
      </c>
      <c r="O480" s="9">
        <v>44693</v>
      </c>
      <c r="P480" s="9">
        <v>44693</v>
      </c>
      <c r="Q480" s="9">
        <v>44858</v>
      </c>
      <c r="R480"/>
      <c r="S480"/>
      <c r="T480"/>
      <c r="U480"/>
    </row>
    <row r="481" spans="1:21" hidden="1">
      <c r="A481" s="7" t="s">
        <v>8763</v>
      </c>
      <c r="B481" s="7" t="s">
        <v>5405</v>
      </c>
      <c r="C481" s="8" t="s">
        <v>5317</v>
      </c>
      <c r="D481" t="s">
        <v>168</v>
      </c>
      <c r="E481" t="s">
        <v>25</v>
      </c>
      <c r="F481" t="s">
        <v>280</v>
      </c>
      <c r="G481" t="s">
        <v>593</v>
      </c>
      <c r="H481" s="9">
        <v>44657</v>
      </c>
      <c r="I481" t="s">
        <v>8634</v>
      </c>
      <c r="J481" t="s">
        <v>0</v>
      </c>
      <c r="K481" s="9">
        <v>44858</v>
      </c>
      <c r="L481" t="s">
        <v>29</v>
      </c>
      <c r="M481"/>
      <c r="N481" s="9">
        <v>44686</v>
      </c>
      <c r="O481" s="9">
        <v>44693</v>
      </c>
      <c r="P481" s="9">
        <v>44693</v>
      </c>
      <c r="Q481" s="9">
        <v>44858</v>
      </c>
      <c r="R481"/>
      <c r="S481"/>
      <c r="T481"/>
      <c r="U481"/>
    </row>
    <row r="482" spans="1:21" hidden="1">
      <c r="A482" s="7" t="s">
        <v>8763</v>
      </c>
      <c r="B482" s="7" t="s">
        <v>5405</v>
      </c>
      <c r="C482" s="8" t="s">
        <v>5317</v>
      </c>
      <c r="D482" t="s">
        <v>168</v>
      </c>
      <c r="E482" t="s">
        <v>25</v>
      </c>
      <c r="F482" t="s">
        <v>280</v>
      </c>
      <c r="G482" t="s">
        <v>594</v>
      </c>
      <c r="H482" s="9">
        <v>44657</v>
      </c>
      <c r="I482" t="s">
        <v>8634</v>
      </c>
      <c r="J482" t="s">
        <v>163</v>
      </c>
      <c r="K482" s="9">
        <v>44693</v>
      </c>
      <c r="L482" t="s">
        <v>29</v>
      </c>
      <c r="M482"/>
      <c r="N482" s="9">
        <v>44686</v>
      </c>
      <c r="O482" s="9">
        <v>44693</v>
      </c>
      <c r="P482" s="9">
        <v>44693</v>
      </c>
      <c r="Q482"/>
      <c r="R482"/>
      <c r="S482"/>
      <c r="T482"/>
      <c r="U482"/>
    </row>
    <row r="483" spans="1:21" hidden="1">
      <c r="A483" s="7" t="s">
        <v>8758</v>
      </c>
      <c r="B483" s="7" t="s">
        <v>5405</v>
      </c>
      <c r="C483" s="8" t="s">
        <v>5317</v>
      </c>
      <c r="D483" t="s">
        <v>168</v>
      </c>
      <c r="E483" t="s">
        <v>25</v>
      </c>
      <c r="F483" t="s">
        <v>493</v>
      </c>
      <c r="G483" t="s">
        <v>594</v>
      </c>
      <c r="H483" s="9">
        <v>44657</v>
      </c>
      <c r="I483" t="s">
        <v>8634</v>
      </c>
      <c r="J483" t="s">
        <v>0</v>
      </c>
      <c r="K483" s="9">
        <v>44862</v>
      </c>
      <c r="L483" t="s">
        <v>29</v>
      </c>
      <c r="M483"/>
      <c r="N483" s="9">
        <v>44686</v>
      </c>
      <c r="O483" s="9">
        <v>44693</v>
      </c>
      <c r="P483" s="9">
        <v>44693</v>
      </c>
      <c r="Q483" s="9">
        <v>44862</v>
      </c>
      <c r="R483"/>
      <c r="S483"/>
      <c r="T483"/>
      <c r="U483"/>
    </row>
    <row r="484" spans="1:21" hidden="1">
      <c r="A484" s="7" t="s">
        <v>8763</v>
      </c>
      <c r="B484" s="7" t="s">
        <v>5405</v>
      </c>
      <c r="C484" s="8" t="s">
        <v>5317</v>
      </c>
      <c r="D484" t="s">
        <v>168</v>
      </c>
      <c r="E484" t="s">
        <v>25</v>
      </c>
      <c r="F484" t="s">
        <v>280</v>
      </c>
      <c r="G484" t="s">
        <v>595</v>
      </c>
      <c r="H484" s="9">
        <v>44657</v>
      </c>
      <c r="I484" t="s">
        <v>8634</v>
      </c>
      <c r="J484" t="s">
        <v>0</v>
      </c>
      <c r="K484" s="9">
        <v>44858</v>
      </c>
      <c r="L484" t="s">
        <v>29</v>
      </c>
      <c r="M484"/>
      <c r="N484" s="9">
        <v>44686</v>
      </c>
      <c r="O484" s="9">
        <v>44693</v>
      </c>
      <c r="P484" s="9">
        <v>44693</v>
      </c>
      <c r="Q484" s="9">
        <v>44858</v>
      </c>
      <c r="R484"/>
      <c r="S484"/>
      <c r="T484"/>
      <c r="U484"/>
    </row>
    <row r="485" spans="1:21" hidden="1">
      <c r="A485" s="7" t="s">
        <v>8757</v>
      </c>
      <c r="B485" s="7" t="s">
        <v>5405</v>
      </c>
      <c r="C485" s="8" t="s">
        <v>5317</v>
      </c>
      <c r="D485" t="s">
        <v>168</v>
      </c>
      <c r="E485" t="s">
        <v>25</v>
      </c>
      <c r="F485" t="s">
        <v>491</v>
      </c>
      <c r="G485" t="s">
        <v>596</v>
      </c>
      <c r="H485" s="9">
        <v>44657</v>
      </c>
      <c r="I485" t="s">
        <v>8634</v>
      </c>
      <c r="J485" t="s">
        <v>0</v>
      </c>
      <c r="K485" s="9">
        <v>44827</v>
      </c>
      <c r="L485" t="s">
        <v>29</v>
      </c>
      <c r="M485"/>
      <c r="N485" s="9">
        <v>44686</v>
      </c>
      <c r="O485" s="9">
        <v>44693</v>
      </c>
      <c r="P485" s="9">
        <v>44693</v>
      </c>
      <c r="Q485" s="9">
        <v>44827</v>
      </c>
      <c r="R485"/>
      <c r="S485"/>
      <c r="T485"/>
      <c r="U485"/>
    </row>
    <row r="486" spans="1:21" hidden="1">
      <c r="A486" s="7" t="s">
        <v>8763</v>
      </c>
      <c r="B486" s="7" t="s">
        <v>5405</v>
      </c>
      <c r="C486" s="8" t="s">
        <v>5317</v>
      </c>
      <c r="D486" t="s">
        <v>168</v>
      </c>
      <c r="E486" t="s">
        <v>25</v>
      </c>
      <c r="F486" t="s">
        <v>280</v>
      </c>
      <c r="G486" t="s">
        <v>597</v>
      </c>
      <c r="H486" s="9">
        <v>44657</v>
      </c>
      <c r="I486" t="s">
        <v>8634</v>
      </c>
      <c r="J486" t="s">
        <v>0</v>
      </c>
      <c r="K486" s="9">
        <v>44858</v>
      </c>
      <c r="L486" t="s">
        <v>29</v>
      </c>
      <c r="M486"/>
      <c r="N486" s="9">
        <v>44686</v>
      </c>
      <c r="O486" s="9">
        <v>44693</v>
      </c>
      <c r="P486" s="9">
        <v>44693</v>
      </c>
      <c r="Q486" s="9">
        <v>44858</v>
      </c>
      <c r="R486"/>
      <c r="S486"/>
      <c r="T486"/>
      <c r="U486"/>
    </row>
    <row r="487" spans="1:21" hidden="1">
      <c r="A487" s="7" t="s">
        <v>8762</v>
      </c>
      <c r="B487" s="7" t="s">
        <v>5405</v>
      </c>
      <c r="C487" s="8" t="s">
        <v>5317</v>
      </c>
      <c r="D487" t="s">
        <v>168</v>
      </c>
      <c r="E487" t="s">
        <v>25</v>
      </c>
      <c r="F487" t="s">
        <v>433</v>
      </c>
      <c r="G487" t="s">
        <v>598</v>
      </c>
      <c r="H487" s="9">
        <v>44657</v>
      </c>
      <c r="I487" t="s">
        <v>8634</v>
      </c>
      <c r="J487" t="s">
        <v>163</v>
      </c>
      <c r="K487" s="9">
        <v>44693</v>
      </c>
      <c r="L487" t="s">
        <v>29</v>
      </c>
      <c r="M487"/>
      <c r="N487" s="9">
        <v>44686</v>
      </c>
      <c r="O487" s="9">
        <v>44693</v>
      </c>
      <c r="P487" s="9">
        <v>44693</v>
      </c>
      <c r="Q487"/>
      <c r="R487"/>
      <c r="S487"/>
      <c r="T487"/>
      <c r="U487"/>
    </row>
    <row r="488" spans="1:21" hidden="1">
      <c r="A488" s="7" t="s">
        <v>8758</v>
      </c>
      <c r="B488" s="7" t="s">
        <v>5405</v>
      </c>
      <c r="C488" s="8" t="s">
        <v>5317</v>
      </c>
      <c r="D488" t="s">
        <v>168</v>
      </c>
      <c r="E488" t="s">
        <v>25</v>
      </c>
      <c r="F488" t="s">
        <v>493</v>
      </c>
      <c r="G488" t="s">
        <v>598</v>
      </c>
      <c r="H488" s="9">
        <v>44657</v>
      </c>
      <c r="I488" t="s">
        <v>8634</v>
      </c>
      <c r="J488" t="s">
        <v>0</v>
      </c>
      <c r="K488" s="9">
        <v>44862</v>
      </c>
      <c r="L488" t="s">
        <v>29</v>
      </c>
      <c r="M488"/>
      <c r="N488" s="9">
        <v>44686</v>
      </c>
      <c r="O488" s="9">
        <v>44693</v>
      </c>
      <c r="P488" s="9">
        <v>44693</v>
      </c>
      <c r="Q488" s="9">
        <v>44862</v>
      </c>
      <c r="R488"/>
      <c r="S488"/>
      <c r="T488"/>
      <c r="U488"/>
    </row>
    <row r="489" spans="1:21" hidden="1">
      <c r="A489" s="7" t="s">
        <v>8751</v>
      </c>
      <c r="B489" s="7" t="s">
        <v>5405</v>
      </c>
      <c r="C489" s="8" t="s">
        <v>5317</v>
      </c>
      <c r="D489" t="s">
        <v>168</v>
      </c>
      <c r="E489" t="s">
        <v>25</v>
      </c>
      <c r="F489" t="s">
        <v>435</v>
      </c>
      <c r="G489" t="s">
        <v>599</v>
      </c>
      <c r="H489" s="9">
        <v>44657</v>
      </c>
      <c r="I489" t="s">
        <v>8634</v>
      </c>
      <c r="J489" t="s">
        <v>0</v>
      </c>
      <c r="K489" s="9">
        <v>44881</v>
      </c>
      <c r="L489" t="s">
        <v>29</v>
      </c>
      <c r="M489"/>
      <c r="N489" s="9">
        <v>44686</v>
      </c>
      <c r="O489" s="9">
        <v>44693</v>
      </c>
      <c r="P489" s="9">
        <v>44693</v>
      </c>
      <c r="Q489" s="9">
        <v>44881</v>
      </c>
      <c r="R489"/>
      <c r="S489"/>
      <c r="T489"/>
      <c r="U489"/>
    </row>
    <row r="490" spans="1:21" hidden="1">
      <c r="A490" s="7" t="s">
        <v>8757</v>
      </c>
      <c r="B490" s="7" t="s">
        <v>5405</v>
      </c>
      <c r="C490" s="8" t="s">
        <v>5317</v>
      </c>
      <c r="D490" t="s">
        <v>168</v>
      </c>
      <c r="E490" t="s">
        <v>25</v>
      </c>
      <c r="F490" t="s">
        <v>491</v>
      </c>
      <c r="G490" t="s">
        <v>600</v>
      </c>
      <c r="H490" s="9">
        <v>44657</v>
      </c>
      <c r="I490" t="s">
        <v>8634</v>
      </c>
      <c r="J490" t="s">
        <v>163</v>
      </c>
      <c r="K490" s="9">
        <v>44693</v>
      </c>
      <c r="L490" t="s">
        <v>29</v>
      </c>
      <c r="M490"/>
      <c r="N490" s="9">
        <v>44686</v>
      </c>
      <c r="O490" s="9">
        <v>44693</v>
      </c>
      <c r="P490" s="9">
        <v>44693</v>
      </c>
      <c r="Q490"/>
      <c r="R490"/>
      <c r="S490"/>
      <c r="T490"/>
      <c r="U490"/>
    </row>
    <row r="491" spans="1:21" hidden="1">
      <c r="A491" s="7" t="s">
        <v>8751</v>
      </c>
      <c r="B491" s="7" t="s">
        <v>5405</v>
      </c>
      <c r="C491" s="8" t="s">
        <v>5317</v>
      </c>
      <c r="D491" t="s">
        <v>168</v>
      </c>
      <c r="E491" t="s">
        <v>25</v>
      </c>
      <c r="F491" t="s">
        <v>435</v>
      </c>
      <c r="G491" t="s">
        <v>600</v>
      </c>
      <c r="H491" s="9">
        <v>44657</v>
      </c>
      <c r="I491" t="s">
        <v>8634</v>
      </c>
      <c r="J491" t="s">
        <v>0</v>
      </c>
      <c r="K491" s="9">
        <v>44881</v>
      </c>
      <c r="L491" t="s">
        <v>29</v>
      </c>
      <c r="M491"/>
      <c r="N491" s="9">
        <v>44686</v>
      </c>
      <c r="O491" s="9">
        <v>44693</v>
      </c>
      <c r="P491" s="9">
        <v>44693</v>
      </c>
      <c r="Q491" s="9">
        <v>44881</v>
      </c>
      <c r="R491"/>
      <c r="S491"/>
      <c r="T491"/>
      <c r="U491"/>
    </row>
    <row r="492" spans="1:21" hidden="1">
      <c r="A492" s="7" t="s">
        <v>8762</v>
      </c>
      <c r="B492" s="7" t="s">
        <v>5405</v>
      </c>
      <c r="C492" s="8" t="s">
        <v>5317</v>
      </c>
      <c r="D492" t="s">
        <v>168</v>
      </c>
      <c r="E492" t="s">
        <v>25</v>
      </c>
      <c r="F492" t="s">
        <v>433</v>
      </c>
      <c r="G492" t="s">
        <v>601</v>
      </c>
      <c r="H492" s="9">
        <v>44657</v>
      </c>
      <c r="I492" t="s">
        <v>8634</v>
      </c>
      <c r="J492" t="s">
        <v>0</v>
      </c>
      <c r="K492" s="9">
        <v>44844</v>
      </c>
      <c r="L492" t="s">
        <v>29</v>
      </c>
      <c r="M492"/>
      <c r="N492" s="9">
        <v>44686</v>
      </c>
      <c r="O492" s="9">
        <v>44693</v>
      </c>
      <c r="P492" s="9">
        <v>44693</v>
      </c>
      <c r="Q492" s="9">
        <v>44844</v>
      </c>
      <c r="R492"/>
      <c r="S492"/>
      <c r="T492"/>
      <c r="U492"/>
    </row>
    <row r="493" spans="1:21" hidden="1">
      <c r="A493" s="7" t="s">
        <v>8751</v>
      </c>
      <c r="B493" s="7" t="s">
        <v>5405</v>
      </c>
      <c r="C493" s="8" t="s">
        <v>5317</v>
      </c>
      <c r="D493" t="s">
        <v>168</v>
      </c>
      <c r="E493" t="s">
        <v>25</v>
      </c>
      <c r="F493" t="s">
        <v>435</v>
      </c>
      <c r="G493" t="s">
        <v>602</v>
      </c>
      <c r="H493" s="9">
        <v>44657</v>
      </c>
      <c r="I493" t="s">
        <v>8634</v>
      </c>
      <c r="J493" t="s">
        <v>0</v>
      </c>
      <c r="K493" s="9">
        <v>44881</v>
      </c>
      <c r="L493" t="s">
        <v>29</v>
      </c>
      <c r="M493"/>
      <c r="N493" s="9">
        <v>44686</v>
      </c>
      <c r="O493" s="9">
        <v>44693</v>
      </c>
      <c r="P493" s="9">
        <v>44693</v>
      </c>
      <c r="Q493" s="9">
        <v>44881</v>
      </c>
      <c r="R493"/>
      <c r="S493"/>
      <c r="T493"/>
      <c r="U493"/>
    </row>
    <row r="494" spans="1:21" hidden="1">
      <c r="A494" s="7" t="s">
        <v>8762</v>
      </c>
      <c r="B494" s="7" t="s">
        <v>5405</v>
      </c>
      <c r="C494" s="8" t="s">
        <v>5317</v>
      </c>
      <c r="D494" t="s">
        <v>168</v>
      </c>
      <c r="E494" t="s">
        <v>25</v>
      </c>
      <c r="F494" t="s">
        <v>433</v>
      </c>
      <c r="G494" t="s">
        <v>603</v>
      </c>
      <c r="H494" s="9">
        <v>44657</v>
      </c>
      <c r="I494" t="s">
        <v>8634</v>
      </c>
      <c r="J494" t="s">
        <v>0</v>
      </c>
      <c r="K494" s="9">
        <v>44844</v>
      </c>
      <c r="L494" t="s">
        <v>29</v>
      </c>
      <c r="M494"/>
      <c r="N494" s="9">
        <v>44686</v>
      </c>
      <c r="O494" s="9">
        <v>44693</v>
      </c>
      <c r="P494" s="9">
        <v>44693</v>
      </c>
      <c r="Q494" s="9">
        <v>44844</v>
      </c>
      <c r="R494"/>
      <c r="S494"/>
      <c r="T494"/>
      <c r="U494"/>
    </row>
    <row r="495" spans="1:21" hidden="1">
      <c r="A495" s="7" t="s">
        <v>8751</v>
      </c>
      <c r="B495" s="7" t="s">
        <v>5405</v>
      </c>
      <c r="C495" s="8" t="s">
        <v>5317</v>
      </c>
      <c r="D495" t="s">
        <v>168</v>
      </c>
      <c r="E495" t="s">
        <v>25</v>
      </c>
      <c r="F495" t="s">
        <v>435</v>
      </c>
      <c r="G495" t="s">
        <v>604</v>
      </c>
      <c r="H495" s="9">
        <v>44657</v>
      </c>
      <c r="I495" t="s">
        <v>8634</v>
      </c>
      <c r="J495" t="s">
        <v>0</v>
      </c>
      <c r="K495" s="9">
        <v>44881</v>
      </c>
      <c r="L495" t="s">
        <v>29</v>
      </c>
      <c r="M495"/>
      <c r="N495" s="9">
        <v>44686</v>
      </c>
      <c r="O495" s="9">
        <v>44693</v>
      </c>
      <c r="P495" s="9">
        <v>44693</v>
      </c>
      <c r="Q495" s="9">
        <v>44881</v>
      </c>
      <c r="R495"/>
      <c r="S495"/>
      <c r="T495"/>
      <c r="U495"/>
    </row>
    <row r="496" spans="1:21" hidden="1">
      <c r="A496" s="7" t="s">
        <v>8757</v>
      </c>
      <c r="B496" s="7" t="s">
        <v>5405</v>
      </c>
      <c r="C496" s="8" t="s">
        <v>5317</v>
      </c>
      <c r="D496" t="s">
        <v>168</v>
      </c>
      <c r="E496" t="s">
        <v>25</v>
      </c>
      <c r="F496" t="s">
        <v>491</v>
      </c>
      <c r="G496" t="s">
        <v>605</v>
      </c>
      <c r="H496" s="9">
        <v>44657</v>
      </c>
      <c r="I496" t="s">
        <v>8634</v>
      </c>
      <c r="J496" t="s">
        <v>0</v>
      </c>
      <c r="K496" s="9">
        <v>44827</v>
      </c>
      <c r="L496" t="s">
        <v>29</v>
      </c>
      <c r="M496"/>
      <c r="N496" s="9">
        <v>44686</v>
      </c>
      <c r="O496" s="9">
        <v>44693</v>
      </c>
      <c r="P496" s="9">
        <v>44693</v>
      </c>
      <c r="Q496" s="9">
        <v>44827</v>
      </c>
      <c r="R496"/>
      <c r="S496"/>
      <c r="T496"/>
      <c r="U496"/>
    </row>
    <row r="497" spans="1:21" hidden="1">
      <c r="A497" s="7" t="s">
        <v>8757</v>
      </c>
      <c r="B497" s="7" t="s">
        <v>5405</v>
      </c>
      <c r="C497" s="8" t="s">
        <v>5317</v>
      </c>
      <c r="D497" t="s">
        <v>168</v>
      </c>
      <c r="E497" t="s">
        <v>25</v>
      </c>
      <c r="F497" t="s">
        <v>491</v>
      </c>
      <c r="G497" t="s">
        <v>606</v>
      </c>
      <c r="H497" s="9">
        <v>44657</v>
      </c>
      <c r="I497" t="s">
        <v>8634</v>
      </c>
      <c r="J497" t="s">
        <v>163</v>
      </c>
      <c r="K497" s="9">
        <v>44693</v>
      </c>
      <c r="L497" t="s">
        <v>29</v>
      </c>
      <c r="M497"/>
      <c r="N497" s="9">
        <v>44686</v>
      </c>
      <c r="O497" s="9">
        <v>44693</v>
      </c>
      <c r="P497" s="9">
        <v>44693</v>
      </c>
      <c r="Q497"/>
      <c r="R497"/>
      <c r="S497"/>
      <c r="T497"/>
      <c r="U497"/>
    </row>
    <row r="498" spans="1:21" hidden="1">
      <c r="A498" s="7" t="s">
        <v>8762</v>
      </c>
      <c r="B498" s="7" t="s">
        <v>5405</v>
      </c>
      <c r="C498" s="8" t="s">
        <v>5317</v>
      </c>
      <c r="D498" t="s">
        <v>168</v>
      </c>
      <c r="E498" t="s">
        <v>25</v>
      </c>
      <c r="F498" t="s">
        <v>433</v>
      </c>
      <c r="G498" t="s">
        <v>607</v>
      </c>
      <c r="H498" s="9">
        <v>44657</v>
      </c>
      <c r="I498" t="s">
        <v>8634</v>
      </c>
      <c r="J498" t="s">
        <v>0</v>
      </c>
      <c r="K498" s="9">
        <v>44844</v>
      </c>
      <c r="L498" t="s">
        <v>29</v>
      </c>
      <c r="M498"/>
      <c r="N498" s="9">
        <v>44686</v>
      </c>
      <c r="O498" s="9">
        <v>44693</v>
      </c>
      <c r="P498" s="9">
        <v>44693</v>
      </c>
      <c r="Q498" s="9">
        <v>44844</v>
      </c>
      <c r="R498"/>
      <c r="S498"/>
      <c r="T498"/>
      <c r="U498"/>
    </row>
    <row r="499" spans="1:21" hidden="1">
      <c r="A499" s="7" t="s">
        <v>8763</v>
      </c>
      <c r="B499" s="7" t="s">
        <v>5405</v>
      </c>
      <c r="C499" s="8" t="s">
        <v>5317</v>
      </c>
      <c r="D499" t="s">
        <v>168</v>
      </c>
      <c r="E499" t="s">
        <v>25</v>
      </c>
      <c r="F499" t="s">
        <v>280</v>
      </c>
      <c r="G499" t="s">
        <v>608</v>
      </c>
      <c r="H499" s="9">
        <v>44657</v>
      </c>
      <c r="I499" t="s">
        <v>8634</v>
      </c>
      <c r="J499" t="s">
        <v>0</v>
      </c>
      <c r="K499" s="9">
        <v>44858</v>
      </c>
      <c r="L499" t="s">
        <v>29</v>
      </c>
      <c r="M499"/>
      <c r="N499" s="9">
        <v>44686</v>
      </c>
      <c r="O499" s="9">
        <v>44693</v>
      </c>
      <c r="P499" s="9">
        <v>44693</v>
      </c>
      <c r="Q499" s="9">
        <v>44858</v>
      </c>
      <c r="R499"/>
      <c r="S499"/>
      <c r="T499"/>
      <c r="U499"/>
    </row>
    <row r="500" spans="1:21" hidden="1">
      <c r="A500" s="7" t="s">
        <v>8757</v>
      </c>
      <c r="B500" s="7" t="s">
        <v>5405</v>
      </c>
      <c r="C500" s="8" t="s">
        <v>5317</v>
      </c>
      <c r="D500" t="s">
        <v>168</v>
      </c>
      <c r="E500" t="s">
        <v>25</v>
      </c>
      <c r="F500" t="s">
        <v>491</v>
      </c>
      <c r="G500" t="s">
        <v>609</v>
      </c>
      <c r="H500" s="9">
        <v>44657</v>
      </c>
      <c r="I500" t="s">
        <v>8634</v>
      </c>
      <c r="J500" t="s">
        <v>0</v>
      </c>
      <c r="K500" s="9">
        <v>44827</v>
      </c>
      <c r="L500" t="s">
        <v>29</v>
      </c>
      <c r="M500"/>
      <c r="N500" s="9">
        <v>44686</v>
      </c>
      <c r="O500" s="9">
        <v>44693</v>
      </c>
      <c r="P500" s="9">
        <v>44693</v>
      </c>
      <c r="Q500" s="9">
        <v>44827</v>
      </c>
      <c r="R500"/>
      <c r="S500"/>
      <c r="T500"/>
      <c r="U500"/>
    </row>
    <row r="501" spans="1:21" hidden="1">
      <c r="A501" s="7" t="s">
        <v>8757</v>
      </c>
      <c r="B501" s="7" t="s">
        <v>5405</v>
      </c>
      <c r="C501" s="8" t="s">
        <v>5317</v>
      </c>
      <c r="D501" t="s">
        <v>168</v>
      </c>
      <c r="E501" t="s">
        <v>25</v>
      </c>
      <c r="F501" t="s">
        <v>491</v>
      </c>
      <c r="G501" t="s">
        <v>610</v>
      </c>
      <c r="H501" s="9">
        <v>44657</v>
      </c>
      <c r="I501" t="s">
        <v>8634</v>
      </c>
      <c r="J501" t="s">
        <v>0</v>
      </c>
      <c r="K501" s="9">
        <v>44827</v>
      </c>
      <c r="L501" t="s">
        <v>29</v>
      </c>
      <c r="M501"/>
      <c r="N501" s="9">
        <v>44686</v>
      </c>
      <c r="O501" s="9">
        <v>44693</v>
      </c>
      <c r="P501" s="9">
        <v>44693</v>
      </c>
      <c r="Q501" s="9">
        <v>44827</v>
      </c>
      <c r="R501"/>
      <c r="S501"/>
      <c r="T501"/>
      <c r="U501"/>
    </row>
    <row r="502" spans="1:21" hidden="1">
      <c r="A502" s="7" t="s">
        <v>8751</v>
      </c>
      <c r="B502" s="7" t="s">
        <v>5405</v>
      </c>
      <c r="C502" s="8" t="s">
        <v>5317</v>
      </c>
      <c r="D502" t="s">
        <v>168</v>
      </c>
      <c r="E502" t="s">
        <v>25</v>
      </c>
      <c r="F502" t="s">
        <v>435</v>
      </c>
      <c r="G502" t="s">
        <v>611</v>
      </c>
      <c r="H502" s="9">
        <v>44657</v>
      </c>
      <c r="I502" t="s">
        <v>8634</v>
      </c>
      <c r="J502" t="s">
        <v>0</v>
      </c>
      <c r="K502" s="9">
        <v>44881</v>
      </c>
      <c r="L502" t="s">
        <v>29</v>
      </c>
      <c r="M502"/>
      <c r="N502" s="9">
        <v>44686</v>
      </c>
      <c r="O502" s="9">
        <v>44693</v>
      </c>
      <c r="P502" s="9">
        <v>44693</v>
      </c>
      <c r="Q502" s="9">
        <v>44881</v>
      </c>
      <c r="R502"/>
      <c r="S502"/>
      <c r="T502"/>
      <c r="U502"/>
    </row>
    <row r="503" spans="1:21" hidden="1">
      <c r="A503" s="7" t="s">
        <v>8763</v>
      </c>
      <c r="B503" s="7" t="s">
        <v>5405</v>
      </c>
      <c r="C503" s="8" t="s">
        <v>5317</v>
      </c>
      <c r="D503" t="s">
        <v>168</v>
      </c>
      <c r="E503" t="s">
        <v>25</v>
      </c>
      <c r="F503" t="s">
        <v>280</v>
      </c>
      <c r="G503" t="s">
        <v>612</v>
      </c>
      <c r="H503" s="9">
        <v>44657</v>
      </c>
      <c r="I503" t="s">
        <v>8634</v>
      </c>
      <c r="J503" t="s">
        <v>0</v>
      </c>
      <c r="K503" s="9">
        <v>44858</v>
      </c>
      <c r="L503" t="s">
        <v>29</v>
      </c>
      <c r="M503"/>
      <c r="N503" s="9">
        <v>44686</v>
      </c>
      <c r="O503" s="9">
        <v>44693</v>
      </c>
      <c r="P503" s="9">
        <v>44693</v>
      </c>
      <c r="Q503" s="9">
        <v>44858</v>
      </c>
      <c r="R503"/>
      <c r="S503"/>
      <c r="T503"/>
      <c r="U503"/>
    </row>
    <row r="504" spans="1:21" hidden="1">
      <c r="A504" s="7" t="s">
        <v>8757</v>
      </c>
      <c r="B504" s="7" t="s">
        <v>5405</v>
      </c>
      <c r="C504" s="8" t="s">
        <v>5317</v>
      </c>
      <c r="D504" t="s">
        <v>168</v>
      </c>
      <c r="E504" t="s">
        <v>25</v>
      </c>
      <c r="F504" t="s">
        <v>491</v>
      </c>
      <c r="G504" t="s">
        <v>613</v>
      </c>
      <c r="H504" s="9">
        <v>44657</v>
      </c>
      <c r="I504" t="s">
        <v>8634</v>
      </c>
      <c r="J504" t="s">
        <v>0</v>
      </c>
      <c r="K504" s="9">
        <v>44827</v>
      </c>
      <c r="L504" t="s">
        <v>29</v>
      </c>
      <c r="M504"/>
      <c r="N504" s="9">
        <v>44686</v>
      </c>
      <c r="O504" s="9">
        <v>44693</v>
      </c>
      <c r="P504" s="9">
        <v>44693</v>
      </c>
      <c r="Q504" s="9">
        <v>44827</v>
      </c>
      <c r="R504"/>
      <c r="S504"/>
      <c r="T504"/>
      <c r="U504"/>
    </row>
    <row r="505" spans="1:21" hidden="1">
      <c r="A505" s="7" t="s">
        <v>8757</v>
      </c>
      <c r="B505" s="7" t="s">
        <v>5405</v>
      </c>
      <c r="C505" s="8" t="s">
        <v>5317</v>
      </c>
      <c r="D505" t="s">
        <v>168</v>
      </c>
      <c r="E505" t="s">
        <v>25</v>
      </c>
      <c r="F505" t="s">
        <v>491</v>
      </c>
      <c r="G505" t="s">
        <v>614</v>
      </c>
      <c r="H505" s="9">
        <v>44657</v>
      </c>
      <c r="I505" t="s">
        <v>8634</v>
      </c>
      <c r="J505" t="s">
        <v>0</v>
      </c>
      <c r="K505" s="9">
        <v>44827</v>
      </c>
      <c r="L505" t="s">
        <v>29</v>
      </c>
      <c r="M505"/>
      <c r="N505" s="9">
        <v>44686</v>
      </c>
      <c r="O505" s="9">
        <v>44693</v>
      </c>
      <c r="P505" s="9">
        <v>44693</v>
      </c>
      <c r="Q505" s="9">
        <v>44827</v>
      </c>
      <c r="R505"/>
      <c r="S505"/>
      <c r="T505"/>
      <c r="U505"/>
    </row>
    <row r="506" spans="1:21" hidden="1">
      <c r="A506" s="7" t="s">
        <v>8758</v>
      </c>
      <c r="B506" s="7" t="s">
        <v>5405</v>
      </c>
      <c r="C506" s="8" t="s">
        <v>5317</v>
      </c>
      <c r="D506" t="s">
        <v>168</v>
      </c>
      <c r="E506" t="s">
        <v>25</v>
      </c>
      <c r="F506" t="s">
        <v>493</v>
      </c>
      <c r="G506" t="s">
        <v>614</v>
      </c>
      <c r="H506" s="9">
        <v>44657</v>
      </c>
      <c r="I506" t="s">
        <v>8634</v>
      </c>
      <c r="J506" t="s">
        <v>0</v>
      </c>
      <c r="K506" s="9">
        <v>44862</v>
      </c>
      <c r="L506" t="s">
        <v>29</v>
      </c>
      <c r="M506"/>
      <c r="N506" s="9">
        <v>44686</v>
      </c>
      <c r="O506" s="9">
        <v>44693</v>
      </c>
      <c r="P506" s="9">
        <v>44693</v>
      </c>
      <c r="Q506" s="9">
        <v>44862</v>
      </c>
      <c r="R506"/>
      <c r="S506"/>
      <c r="T506"/>
      <c r="U506"/>
    </row>
    <row r="507" spans="1:21" hidden="1">
      <c r="A507" s="7" t="s">
        <v>8763</v>
      </c>
      <c r="B507" s="7" t="s">
        <v>5405</v>
      </c>
      <c r="C507" s="8" t="s">
        <v>5317</v>
      </c>
      <c r="D507" t="s">
        <v>168</v>
      </c>
      <c r="E507" t="s">
        <v>25</v>
      </c>
      <c r="F507" t="s">
        <v>280</v>
      </c>
      <c r="G507" t="s">
        <v>615</v>
      </c>
      <c r="H507" s="9">
        <v>44657</v>
      </c>
      <c r="I507" t="s">
        <v>8634</v>
      </c>
      <c r="J507" t="s">
        <v>0</v>
      </c>
      <c r="K507" s="9">
        <v>44858</v>
      </c>
      <c r="L507" t="s">
        <v>29</v>
      </c>
      <c r="M507"/>
      <c r="N507" s="9">
        <v>44686</v>
      </c>
      <c r="O507" s="9">
        <v>44693</v>
      </c>
      <c r="P507" s="9">
        <v>44693</v>
      </c>
      <c r="Q507" s="9">
        <v>44858</v>
      </c>
      <c r="R507"/>
      <c r="S507"/>
      <c r="T507"/>
      <c r="U507"/>
    </row>
    <row r="508" spans="1:21" hidden="1">
      <c r="A508" s="7" t="s">
        <v>8762</v>
      </c>
      <c r="B508" s="7" t="s">
        <v>5405</v>
      </c>
      <c r="C508" s="8" t="s">
        <v>5317</v>
      </c>
      <c r="D508" t="s">
        <v>168</v>
      </c>
      <c r="E508" t="s">
        <v>25</v>
      </c>
      <c r="F508" t="s">
        <v>433</v>
      </c>
      <c r="G508" t="s">
        <v>616</v>
      </c>
      <c r="H508" s="9">
        <v>44657</v>
      </c>
      <c r="I508" t="s">
        <v>8634</v>
      </c>
      <c r="J508" t="s">
        <v>0</v>
      </c>
      <c r="K508" s="9">
        <v>44844</v>
      </c>
      <c r="L508" t="s">
        <v>29</v>
      </c>
      <c r="M508"/>
      <c r="N508" s="9">
        <v>44686</v>
      </c>
      <c r="O508" s="9">
        <v>44693</v>
      </c>
      <c r="P508" s="9">
        <v>44693</v>
      </c>
      <c r="Q508" s="9">
        <v>44844</v>
      </c>
      <c r="R508"/>
      <c r="S508"/>
      <c r="T508"/>
      <c r="U508"/>
    </row>
    <row r="509" spans="1:21" hidden="1">
      <c r="A509" s="7" t="s">
        <v>8763</v>
      </c>
      <c r="B509" s="7" t="s">
        <v>5405</v>
      </c>
      <c r="C509" s="8" t="s">
        <v>5317</v>
      </c>
      <c r="D509" t="s">
        <v>168</v>
      </c>
      <c r="E509" t="s">
        <v>25</v>
      </c>
      <c r="F509" t="s">
        <v>280</v>
      </c>
      <c r="G509" t="s">
        <v>617</v>
      </c>
      <c r="H509" s="9">
        <v>44657</v>
      </c>
      <c r="I509" t="s">
        <v>8634</v>
      </c>
      <c r="J509" t="s">
        <v>0</v>
      </c>
      <c r="K509" s="9">
        <v>44858</v>
      </c>
      <c r="L509" t="s">
        <v>29</v>
      </c>
      <c r="M509"/>
      <c r="N509" s="9">
        <v>44686</v>
      </c>
      <c r="O509" s="9">
        <v>44693</v>
      </c>
      <c r="P509" s="9">
        <v>44693</v>
      </c>
      <c r="Q509" s="9">
        <v>44858</v>
      </c>
      <c r="R509"/>
      <c r="S509"/>
      <c r="T509"/>
      <c r="U509"/>
    </row>
    <row r="510" spans="1:21" hidden="1">
      <c r="A510" s="7" t="s">
        <v>8763</v>
      </c>
      <c r="B510" s="7" t="s">
        <v>5405</v>
      </c>
      <c r="C510" s="8" t="s">
        <v>5317</v>
      </c>
      <c r="D510" t="s">
        <v>168</v>
      </c>
      <c r="E510" t="s">
        <v>25</v>
      </c>
      <c r="F510" t="s">
        <v>280</v>
      </c>
      <c r="G510" t="s">
        <v>618</v>
      </c>
      <c r="H510" s="9">
        <v>44657</v>
      </c>
      <c r="I510" t="s">
        <v>8634</v>
      </c>
      <c r="J510" t="s">
        <v>0</v>
      </c>
      <c r="K510" s="9">
        <v>44858</v>
      </c>
      <c r="L510" t="s">
        <v>29</v>
      </c>
      <c r="M510"/>
      <c r="N510" s="9">
        <v>44686</v>
      </c>
      <c r="O510" s="9">
        <v>44693</v>
      </c>
      <c r="P510" s="9">
        <v>44693</v>
      </c>
      <c r="Q510" s="9">
        <v>44858</v>
      </c>
      <c r="R510"/>
      <c r="S510"/>
      <c r="T510"/>
      <c r="U510"/>
    </row>
    <row r="511" spans="1:21" hidden="1">
      <c r="A511" s="7" t="s">
        <v>8751</v>
      </c>
      <c r="B511" s="7" t="s">
        <v>5405</v>
      </c>
      <c r="C511" s="8" t="s">
        <v>5317</v>
      </c>
      <c r="D511" t="s">
        <v>168</v>
      </c>
      <c r="E511" t="s">
        <v>25</v>
      </c>
      <c r="F511" t="s">
        <v>435</v>
      </c>
      <c r="G511" t="s">
        <v>619</v>
      </c>
      <c r="H511" s="9">
        <v>44657</v>
      </c>
      <c r="I511" t="s">
        <v>8634</v>
      </c>
      <c r="J511" t="s">
        <v>0</v>
      </c>
      <c r="K511" s="9">
        <v>44881</v>
      </c>
      <c r="L511" t="s">
        <v>29</v>
      </c>
      <c r="M511"/>
      <c r="N511" s="9">
        <v>44686</v>
      </c>
      <c r="O511" s="9">
        <v>44693</v>
      </c>
      <c r="P511" s="9">
        <v>44693</v>
      </c>
      <c r="Q511" s="9">
        <v>44881</v>
      </c>
      <c r="R511"/>
      <c r="S511"/>
      <c r="T511"/>
      <c r="U511"/>
    </row>
    <row r="512" spans="1:21" hidden="1">
      <c r="A512" s="7" t="s">
        <v>8757</v>
      </c>
      <c r="B512" s="7" t="s">
        <v>5405</v>
      </c>
      <c r="C512" s="8" t="s">
        <v>5317</v>
      </c>
      <c r="D512" t="s">
        <v>168</v>
      </c>
      <c r="E512" t="s">
        <v>25</v>
      </c>
      <c r="F512" t="s">
        <v>491</v>
      </c>
      <c r="G512" t="s">
        <v>620</v>
      </c>
      <c r="H512" s="9">
        <v>44657</v>
      </c>
      <c r="I512" t="s">
        <v>8634</v>
      </c>
      <c r="J512" t="s">
        <v>0</v>
      </c>
      <c r="K512" s="9">
        <v>44827</v>
      </c>
      <c r="L512" t="s">
        <v>29</v>
      </c>
      <c r="M512"/>
      <c r="N512" s="9">
        <v>44686</v>
      </c>
      <c r="O512" s="9">
        <v>44693</v>
      </c>
      <c r="P512" s="9">
        <v>44693</v>
      </c>
      <c r="Q512" s="9">
        <v>44827</v>
      </c>
      <c r="R512"/>
      <c r="S512"/>
      <c r="T512"/>
      <c r="U512"/>
    </row>
    <row r="513" spans="1:21" hidden="1">
      <c r="A513" s="7" t="s">
        <v>8757</v>
      </c>
      <c r="B513" s="7" t="s">
        <v>5405</v>
      </c>
      <c r="C513" s="8" t="s">
        <v>5317</v>
      </c>
      <c r="D513" t="s">
        <v>168</v>
      </c>
      <c r="E513" t="s">
        <v>25</v>
      </c>
      <c r="F513" t="s">
        <v>491</v>
      </c>
      <c r="G513" t="s">
        <v>621</v>
      </c>
      <c r="H513" s="9">
        <v>44657</v>
      </c>
      <c r="I513" t="s">
        <v>8634</v>
      </c>
      <c r="J513" t="s">
        <v>0</v>
      </c>
      <c r="K513" s="9">
        <v>44827</v>
      </c>
      <c r="L513" t="s">
        <v>29</v>
      </c>
      <c r="M513"/>
      <c r="N513" s="9">
        <v>44686</v>
      </c>
      <c r="O513" s="9">
        <v>44693</v>
      </c>
      <c r="P513" s="9">
        <v>44693</v>
      </c>
      <c r="Q513" s="9">
        <v>44827</v>
      </c>
      <c r="R513"/>
      <c r="S513"/>
      <c r="T513"/>
      <c r="U513"/>
    </row>
    <row r="514" spans="1:21" hidden="1">
      <c r="A514" s="7" t="s">
        <v>8763</v>
      </c>
      <c r="B514" s="7" t="s">
        <v>5405</v>
      </c>
      <c r="C514" s="8" t="s">
        <v>5317</v>
      </c>
      <c r="D514" t="s">
        <v>168</v>
      </c>
      <c r="E514" t="s">
        <v>25</v>
      </c>
      <c r="F514" t="s">
        <v>280</v>
      </c>
      <c r="G514" t="s">
        <v>622</v>
      </c>
      <c r="H514" s="9">
        <v>44657</v>
      </c>
      <c r="I514" t="s">
        <v>8634</v>
      </c>
      <c r="J514" t="s">
        <v>0</v>
      </c>
      <c r="K514" s="9">
        <v>44858</v>
      </c>
      <c r="L514" t="s">
        <v>29</v>
      </c>
      <c r="M514"/>
      <c r="N514" s="9">
        <v>44686</v>
      </c>
      <c r="O514" s="9">
        <v>44693</v>
      </c>
      <c r="P514" s="9">
        <v>44693</v>
      </c>
      <c r="Q514" s="9">
        <v>44858</v>
      </c>
      <c r="R514"/>
      <c r="S514"/>
      <c r="T514"/>
      <c r="U514"/>
    </row>
    <row r="515" spans="1:21" hidden="1">
      <c r="A515" s="7" t="s">
        <v>8758</v>
      </c>
      <c r="B515" s="7" t="s">
        <v>5405</v>
      </c>
      <c r="C515" s="8" t="s">
        <v>5317</v>
      </c>
      <c r="D515" t="s">
        <v>168</v>
      </c>
      <c r="E515" t="s">
        <v>25</v>
      </c>
      <c r="F515" t="s">
        <v>493</v>
      </c>
      <c r="G515" t="s">
        <v>622</v>
      </c>
      <c r="H515" s="9">
        <v>44657</v>
      </c>
      <c r="I515" t="s">
        <v>8634</v>
      </c>
      <c r="J515" t="s">
        <v>0</v>
      </c>
      <c r="K515" s="9">
        <v>44862</v>
      </c>
      <c r="L515" t="s">
        <v>29</v>
      </c>
      <c r="M515"/>
      <c r="N515" s="9">
        <v>44686</v>
      </c>
      <c r="O515" s="9">
        <v>44693</v>
      </c>
      <c r="P515" s="9">
        <v>44693</v>
      </c>
      <c r="Q515" s="9">
        <v>44862</v>
      </c>
      <c r="R515"/>
      <c r="S515"/>
      <c r="T515"/>
      <c r="U515"/>
    </row>
    <row r="516" spans="1:21" hidden="1">
      <c r="A516" s="7" t="s">
        <v>8763</v>
      </c>
      <c r="B516" s="7" t="s">
        <v>5405</v>
      </c>
      <c r="C516" s="8" t="s">
        <v>5317</v>
      </c>
      <c r="D516" t="s">
        <v>168</v>
      </c>
      <c r="E516" t="s">
        <v>25</v>
      </c>
      <c r="F516" t="s">
        <v>280</v>
      </c>
      <c r="G516" t="s">
        <v>623</v>
      </c>
      <c r="H516" s="9">
        <v>44657</v>
      </c>
      <c r="I516" t="s">
        <v>8634</v>
      </c>
      <c r="J516" t="s">
        <v>0</v>
      </c>
      <c r="K516" s="9">
        <v>44858</v>
      </c>
      <c r="L516" t="s">
        <v>29</v>
      </c>
      <c r="M516"/>
      <c r="N516" s="9">
        <v>44686</v>
      </c>
      <c r="O516" s="9">
        <v>44693</v>
      </c>
      <c r="P516" s="9">
        <v>44693</v>
      </c>
      <c r="Q516" s="9">
        <v>44858</v>
      </c>
      <c r="R516"/>
      <c r="S516"/>
      <c r="T516"/>
      <c r="U516"/>
    </row>
    <row r="517" spans="1:21" hidden="1">
      <c r="A517" s="7" t="s">
        <v>8757</v>
      </c>
      <c r="B517" s="7" t="s">
        <v>5405</v>
      </c>
      <c r="C517" s="8" t="s">
        <v>5317</v>
      </c>
      <c r="D517" t="s">
        <v>168</v>
      </c>
      <c r="E517" t="s">
        <v>25</v>
      </c>
      <c r="F517" t="s">
        <v>491</v>
      </c>
      <c r="G517" t="s">
        <v>624</v>
      </c>
      <c r="H517" s="9">
        <v>44657</v>
      </c>
      <c r="I517" t="s">
        <v>8634</v>
      </c>
      <c r="J517" t="s">
        <v>0</v>
      </c>
      <c r="K517" s="9">
        <v>44827</v>
      </c>
      <c r="L517" t="s">
        <v>29</v>
      </c>
      <c r="M517"/>
      <c r="N517" s="9">
        <v>44686</v>
      </c>
      <c r="O517" s="9">
        <v>44693</v>
      </c>
      <c r="P517" s="9">
        <v>44693</v>
      </c>
      <c r="Q517" s="9">
        <v>44827</v>
      </c>
      <c r="R517"/>
      <c r="S517"/>
      <c r="T517"/>
      <c r="U517"/>
    </row>
    <row r="518" spans="1:21" hidden="1">
      <c r="A518" s="7" t="s">
        <v>8758</v>
      </c>
      <c r="B518" s="7" t="s">
        <v>5405</v>
      </c>
      <c r="C518" s="8" t="s">
        <v>5317</v>
      </c>
      <c r="D518" t="s">
        <v>168</v>
      </c>
      <c r="E518" t="s">
        <v>25</v>
      </c>
      <c r="F518" t="s">
        <v>493</v>
      </c>
      <c r="G518" t="s">
        <v>625</v>
      </c>
      <c r="H518" s="9">
        <v>44657</v>
      </c>
      <c r="I518" t="s">
        <v>8634</v>
      </c>
      <c r="J518" t="s">
        <v>0</v>
      </c>
      <c r="K518" s="9">
        <v>44862</v>
      </c>
      <c r="L518" t="s">
        <v>29</v>
      </c>
      <c r="M518"/>
      <c r="N518" s="9">
        <v>44686</v>
      </c>
      <c r="O518" s="9">
        <v>44693</v>
      </c>
      <c r="P518" s="9">
        <v>44693</v>
      </c>
      <c r="Q518" s="9">
        <v>44862</v>
      </c>
      <c r="R518"/>
      <c r="S518"/>
      <c r="T518"/>
      <c r="U518"/>
    </row>
    <row r="519" spans="1:21" hidden="1">
      <c r="A519" s="7" t="s">
        <v>8763</v>
      </c>
      <c r="B519" s="7" t="s">
        <v>5405</v>
      </c>
      <c r="C519" s="8" t="s">
        <v>5317</v>
      </c>
      <c r="D519" t="s">
        <v>168</v>
      </c>
      <c r="E519" t="s">
        <v>25</v>
      </c>
      <c r="F519" t="s">
        <v>280</v>
      </c>
      <c r="G519" t="s">
        <v>626</v>
      </c>
      <c r="H519" s="9">
        <v>44657</v>
      </c>
      <c r="I519" t="s">
        <v>8634</v>
      </c>
      <c r="J519" t="s">
        <v>0</v>
      </c>
      <c r="K519" s="9">
        <v>44858</v>
      </c>
      <c r="L519" t="s">
        <v>29</v>
      </c>
      <c r="M519"/>
      <c r="N519" s="9">
        <v>44686</v>
      </c>
      <c r="O519" s="9">
        <v>44693</v>
      </c>
      <c r="P519" s="9">
        <v>44693</v>
      </c>
      <c r="Q519" s="9">
        <v>44858</v>
      </c>
      <c r="R519"/>
      <c r="S519"/>
      <c r="T519"/>
      <c r="U519"/>
    </row>
    <row r="520" spans="1:21" hidden="1">
      <c r="A520" s="7" t="s">
        <v>8757</v>
      </c>
      <c r="B520" s="7" t="s">
        <v>5405</v>
      </c>
      <c r="C520" s="8" t="s">
        <v>5317</v>
      </c>
      <c r="D520" t="s">
        <v>168</v>
      </c>
      <c r="E520" t="s">
        <v>25</v>
      </c>
      <c r="F520" t="s">
        <v>491</v>
      </c>
      <c r="G520" t="s">
        <v>627</v>
      </c>
      <c r="H520" s="9">
        <v>44657</v>
      </c>
      <c r="I520" t="s">
        <v>8634</v>
      </c>
      <c r="J520" t="s">
        <v>0</v>
      </c>
      <c r="K520" s="9">
        <v>44827</v>
      </c>
      <c r="L520" t="s">
        <v>29</v>
      </c>
      <c r="M520"/>
      <c r="N520" s="9">
        <v>44686</v>
      </c>
      <c r="O520" s="9">
        <v>44693</v>
      </c>
      <c r="P520" s="9">
        <v>44693</v>
      </c>
      <c r="Q520" s="9">
        <v>44827</v>
      </c>
      <c r="R520"/>
      <c r="S520"/>
      <c r="T520"/>
      <c r="U520"/>
    </row>
    <row r="521" spans="1:21" hidden="1">
      <c r="A521" s="7" t="s">
        <v>8763</v>
      </c>
      <c r="B521" s="7" t="s">
        <v>5405</v>
      </c>
      <c r="C521" s="8" t="s">
        <v>5317</v>
      </c>
      <c r="D521" t="s">
        <v>168</v>
      </c>
      <c r="E521" t="s">
        <v>25</v>
      </c>
      <c r="F521" t="s">
        <v>280</v>
      </c>
      <c r="G521" t="s">
        <v>628</v>
      </c>
      <c r="H521" s="9">
        <v>44657</v>
      </c>
      <c r="I521" t="s">
        <v>8634</v>
      </c>
      <c r="J521" t="s">
        <v>0</v>
      </c>
      <c r="K521" s="9">
        <v>44858</v>
      </c>
      <c r="L521" t="s">
        <v>29</v>
      </c>
      <c r="M521"/>
      <c r="N521" s="9">
        <v>44686</v>
      </c>
      <c r="O521" s="9">
        <v>44693</v>
      </c>
      <c r="P521" s="9">
        <v>44693</v>
      </c>
      <c r="Q521" s="9">
        <v>44858</v>
      </c>
      <c r="R521"/>
      <c r="S521"/>
      <c r="T521"/>
      <c r="U521"/>
    </row>
    <row r="522" spans="1:21" hidden="1">
      <c r="A522" s="7" t="s">
        <v>8757</v>
      </c>
      <c r="B522" s="7" t="s">
        <v>5405</v>
      </c>
      <c r="C522" s="8" t="s">
        <v>5317</v>
      </c>
      <c r="D522" t="s">
        <v>168</v>
      </c>
      <c r="E522" t="s">
        <v>25</v>
      </c>
      <c r="F522" t="s">
        <v>491</v>
      </c>
      <c r="G522" t="s">
        <v>629</v>
      </c>
      <c r="H522" s="9">
        <v>44657</v>
      </c>
      <c r="I522" t="s">
        <v>8634</v>
      </c>
      <c r="J522" t="s">
        <v>0</v>
      </c>
      <c r="K522" s="9">
        <v>44827</v>
      </c>
      <c r="L522" t="s">
        <v>29</v>
      </c>
      <c r="M522"/>
      <c r="N522" s="9">
        <v>44686</v>
      </c>
      <c r="O522" s="9">
        <v>44693</v>
      </c>
      <c r="P522" s="9">
        <v>44693</v>
      </c>
      <c r="Q522" s="9">
        <v>44827</v>
      </c>
      <c r="R522"/>
      <c r="S522"/>
      <c r="T522"/>
      <c r="U522"/>
    </row>
    <row r="523" spans="1:21" hidden="1">
      <c r="A523" s="7" t="s">
        <v>8757</v>
      </c>
      <c r="B523" s="7" t="s">
        <v>5405</v>
      </c>
      <c r="C523" s="8" t="s">
        <v>5317</v>
      </c>
      <c r="D523" t="s">
        <v>168</v>
      </c>
      <c r="E523" t="s">
        <v>25</v>
      </c>
      <c r="F523" t="s">
        <v>491</v>
      </c>
      <c r="G523" t="s">
        <v>630</v>
      </c>
      <c r="H523" s="9">
        <v>44657</v>
      </c>
      <c r="I523" t="s">
        <v>8634</v>
      </c>
      <c r="J523" t="s">
        <v>0</v>
      </c>
      <c r="K523" s="9">
        <v>44827</v>
      </c>
      <c r="L523" t="s">
        <v>29</v>
      </c>
      <c r="M523"/>
      <c r="N523" s="9">
        <v>44686</v>
      </c>
      <c r="O523" s="9">
        <v>44693</v>
      </c>
      <c r="P523" s="9">
        <v>44693</v>
      </c>
      <c r="Q523" s="9">
        <v>44827</v>
      </c>
      <c r="R523"/>
      <c r="S523"/>
      <c r="T523"/>
      <c r="U523"/>
    </row>
    <row r="524" spans="1:21" hidden="1">
      <c r="A524" s="7" t="s">
        <v>8763</v>
      </c>
      <c r="B524" s="7" t="s">
        <v>5405</v>
      </c>
      <c r="C524" s="8" t="s">
        <v>5317</v>
      </c>
      <c r="D524" t="s">
        <v>168</v>
      </c>
      <c r="E524" t="s">
        <v>25</v>
      </c>
      <c r="F524" t="s">
        <v>280</v>
      </c>
      <c r="G524" t="s">
        <v>631</v>
      </c>
      <c r="H524" s="9">
        <v>44657</v>
      </c>
      <c r="I524" t="s">
        <v>8634</v>
      </c>
      <c r="J524" t="s">
        <v>0</v>
      </c>
      <c r="K524" s="9">
        <v>44858</v>
      </c>
      <c r="L524" t="s">
        <v>29</v>
      </c>
      <c r="M524"/>
      <c r="N524" s="9">
        <v>44686</v>
      </c>
      <c r="O524" s="9">
        <v>44693</v>
      </c>
      <c r="P524" s="9">
        <v>44693</v>
      </c>
      <c r="Q524" s="9">
        <v>44858</v>
      </c>
      <c r="R524"/>
      <c r="S524"/>
      <c r="T524"/>
      <c r="U524"/>
    </row>
    <row r="525" spans="1:21" hidden="1">
      <c r="A525" s="7" t="s">
        <v>8758</v>
      </c>
      <c r="B525" s="7" t="s">
        <v>5405</v>
      </c>
      <c r="C525" s="8" t="s">
        <v>5317</v>
      </c>
      <c r="D525" t="s">
        <v>168</v>
      </c>
      <c r="E525" t="s">
        <v>25</v>
      </c>
      <c r="F525" t="s">
        <v>493</v>
      </c>
      <c r="G525" t="s">
        <v>631</v>
      </c>
      <c r="H525" s="9">
        <v>44657</v>
      </c>
      <c r="I525" t="s">
        <v>8634</v>
      </c>
      <c r="J525" t="s">
        <v>0</v>
      </c>
      <c r="K525" s="9">
        <v>44862</v>
      </c>
      <c r="L525" t="s">
        <v>29</v>
      </c>
      <c r="M525"/>
      <c r="N525" s="9">
        <v>44686</v>
      </c>
      <c r="O525" s="9">
        <v>44693</v>
      </c>
      <c r="P525" s="9">
        <v>44693</v>
      </c>
      <c r="Q525" s="9">
        <v>44862</v>
      </c>
      <c r="R525"/>
      <c r="S525"/>
      <c r="T525"/>
      <c r="U525"/>
    </row>
    <row r="526" spans="1:21" hidden="1">
      <c r="A526" s="7" t="s">
        <v>8751</v>
      </c>
      <c r="B526" s="7" t="s">
        <v>5405</v>
      </c>
      <c r="C526" s="8" t="s">
        <v>5317</v>
      </c>
      <c r="D526" t="s">
        <v>168</v>
      </c>
      <c r="E526" t="s">
        <v>25</v>
      </c>
      <c r="F526" t="s">
        <v>435</v>
      </c>
      <c r="G526" t="s">
        <v>632</v>
      </c>
      <c r="H526" s="9">
        <v>44657</v>
      </c>
      <c r="I526" t="s">
        <v>8634</v>
      </c>
      <c r="J526" t="s">
        <v>0</v>
      </c>
      <c r="K526" s="9">
        <v>44881</v>
      </c>
      <c r="L526" t="s">
        <v>29</v>
      </c>
      <c r="M526"/>
      <c r="N526" s="9">
        <v>44686</v>
      </c>
      <c r="O526" s="9">
        <v>44693</v>
      </c>
      <c r="P526" s="9">
        <v>44693</v>
      </c>
      <c r="Q526" s="9">
        <v>44881</v>
      </c>
      <c r="R526"/>
      <c r="S526"/>
      <c r="T526"/>
      <c r="U526"/>
    </row>
    <row r="527" spans="1:21" hidden="1">
      <c r="A527" s="7" t="s">
        <v>8757</v>
      </c>
      <c r="B527" s="7" t="s">
        <v>5405</v>
      </c>
      <c r="C527" s="8" t="s">
        <v>5317</v>
      </c>
      <c r="D527" t="s">
        <v>168</v>
      </c>
      <c r="E527" t="s">
        <v>25</v>
      </c>
      <c r="F527" t="s">
        <v>491</v>
      </c>
      <c r="G527" t="s">
        <v>633</v>
      </c>
      <c r="H527" s="9">
        <v>44657</v>
      </c>
      <c r="I527" t="s">
        <v>8634</v>
      </c>
      <c r="J527" t="s">
        <v>0</v>
      </c>
      <c r="K527" s="9">
        <v>44827</v>
      </c>
      <c r="L527" t="s">
        <v>29</v>
      </c>
      <c r="M527"/>
      <c r="N527" s="9">
        <v>44686</v>
      </c>
      <c r="O527" s="9">
        <v>44693</v>
      </c>
      <c r="P527" s="9">
        <v>44693</v>
      </c>
      <c r="Q527" s="9">
        <v>44827</v>
      </c>
      <c r="R527"/>
      <c r="S527"/>
      <c r="T527"/>
      <c r="U527"/>
    </row>
    <row r="528" spans="1:21" hidden="1">
      <c r="A528" s="7" t="s">
        <v>8757</v>
      </c>
      <c r="B528" s="7" t="s">
        <v>5405</v>
      </c>
      <c r="C528" s="8" t="s">
        <v>5317</v>
      </c>
      <c r="D528" t="s">
        <v>168</v>
      </c>
      <c r="E528" t="s">
        <v>25</v>
      </c>
      <c r="F528" t="s">
        <v>491</v>
      </c>
      <c r="G528" t="s">
        <v>634</v>
      </c>
      <c r="H528" s="9">
        <v>44657</v>
      </c>
      <c r="I528" t="s">
        <v>8634</v>
      </c>
      <c r="J528" t="s">
        <v>0</v>
      </c>
      <c r="K528" s="9">
        <v>44827</v>
      </c>
      <c r="L528" t="s">
        <v>29</v>
      </c>
      <c r="M528"/>
      <c r="N528" s="9">
        <v>44686</v>
      </c>
      <c r="O528" s="9">
        <v>44693</v>
      </c>
      <c r="P528" s="9">
        <v>44693</v>
      </c>
      <c r="Q528" s="9">
        <v>44827</v>
      </c>
      <c r="R528"/>
      <c r="S528"/>
      <c r="T528"/>
      <c r="U528"/>
    </row>
    <row r="529" spans="1:21" hidden="1">
      <c r="A529" s="7" t="s">
        <v>8757</v>
      </c>
      <c r="B529" s="7" t="s">
        <v>5405</v>
      </c>
      <c r="C529" s="8" t="s">
        <v>5317</v>
      </c>
      <c r="D529" t="s">
        <v>168</v>
      </c>
      <c r="E529" t="s">
        <v>25</v>
      </c>
      <c r="F529" t="s">
        <v>491</v>
      </c>
      <c r="G529" t="s">
        <v>635</v>
      </c>
      <c r="H529" s="9">
        <v>44657</v>
      </c>
      <c r="I529" t="s">
        <v>8634</v>
      </c>
      <c r="J529" t="s">
        <v>0</v>
      </c>
      <c r="K529" s="9">
        <v>44827</v>
      </c>
      <c r="L529" t="s">
        <v>29</v>
      </c>
      <c r="M529"/>
      <c r="N529" s="9">
        <v>44686</v>
      </c>
      <c r="O529" s="9">
        <v>44693</v>
      </c>
      <c r="P529" s="9">
        <v>44693</v>
      </c>
      <c r="Q529" s="9">
        <v>44827</v>
      </c>
      <c r="R529"/>
      <c r="S529"/>
      <c r="T529"/>
      <c r="U529"/>
    </row>
    <row r="530" spans="1:21" hidden="1">
      <c r="A530" s="7" t="s">
        <v>8751</v>
      </c>
      <c r="B530" s="7" t="s">
        <v>5405</v>
      </c>
      <c r="C530" s="8" t="s">
        <v>5317</v>
      </c>
      <c r="D530" t="s">
        <v>168</v>
      </c>
      <c r="E530" t="s">
        <v>25</v>
      </c>
      <c r="F530" t="s">
        <v>435</v>
      </c>
      <c r="G530" t="s">
        <v>636</v>
      </c>
      <c r="H530" s="9">
        <v>44657</v>
      </c>
      <c r="I530" t="s">
        <v>8634</v>
      </c>
      <c r="J530" t="s">
        <v>0</v>
      </c>
      <c r="K530" s="9">
        <v>44881</v>
      </c>
      <c r="L530" t="s">
        <v>29</v>
      </c>
      <c r="M530"/>
      <c r="N530" s="9">
        <v>44686</v>
      </c>
      <c r="O530" s="9">
        <v>44693</v>
      </c>
      <c r="P530" s="9">
        <v>44693</v>
      </c>
      <c r="Q530" s="9">
        <v>44881</v>
      </c>
      <c r="R530"/>
      <c r="S530"/>
      <c r="T530"/>
      <c r="U530"/>
    </row>
    <row r="531" spans="1:21" hidden="1">
      <c r="A531" s="7" t="s">
        <v>8751</v>
      </c>
      <c r="B531" s="7" t="s">
        <v>5405</v>
      </c>
      <c r="C531" s="8" t="s">
        <v>5317</v>
      </c>
      <c r="D531" t="s">
        <v>168</v>
      </c>
      <c r="E531" t="s">
        <v>25</v>
      </c>
      <c r="F531" t="s">
        <v>435</v>
      </c>
      <c r="G531" t="s">
        <v>637</v>
      </c>
      <c r="H531" s="9">
        <v>44657</v>
      </c>
      <c r="I531" t="s">
        <v>8634</v>
      </c>
      <c r="J531" t="s">
        <v>0</v>
      </c>
      <c r="K531" s="9">
        <v>44881</v>
      </c>
      <c r="L531" t="s">
        <v>29</v>
      </c>
      <c r="M531"/>
      <c r="N531" s="9">
        <v>44686</v>
      </c>
      <c r="O531" s="9">
        <v>44693</v>
      </c>
      <c r="P531" s="9">
        <v>44693</v>
      </c>
      <c r="Q531" s="9">
        <v>44881</v>
      </c>
      <c r="R531"/>
      <c r="S531"/>
      <c r="T531"/>
      <c r="U531"/>
    </row>
    <row r="532" spans="1:21" hidden="1">
      <c r="A532" s="7" t="s">
        <v>8757</v>
      </c>
      <c r="B532" s="7" t="s">
        <v>5405</v>
      </c>
      <c r="C532" s="8" t="s">
        <v>5317</v>
      </c>
      <c r="D532" t="s">
        <v>168</v>
      </c>
      <c r="E532" t="s">
        <v>25</v>
      </c>
      <c r="F532" t="s">
        <v>491</v>
      </c>
      <c r="G532" t="s">
        <v>638</v>
      </c>
      <c r="H532" s="9">
        <v>44657</v>
      </c>
      <c r="I532" t="s">
        <v>8634</v>
      </c>
      <c r="J532" t="s">
        <v>0</v>
      </c>
      <c r="K532" s="9">
        <v>44827</v>
      </c>
      <c r="L532" t="s">
        <v>29</v>
      </c>
      <c r="M532"/>
      <c r="N532" s="9">
        <v>44686</v>
      </c>
      <c r="O532" s="9">
        <v>44693</v>
      </c>
      <c r="P532" s="9">
        <v>44693</v>
      </c>
      <c r="Q532" s="9">
        <v>44827</v>
      </c>
      <c r="R532"/>
      <c r="S532"/>
      <c r="T532"/>
      <c r="U532"/>
    </row>
    <row r="533" spans="1:21" hidden="1">
      <c r="A533" s="7" t="s">
        <v>8762</v>
      </c>
      <c r="B533" s="7" t="s">
        <v>5405</v>
      </c>
      <c r="C533" s="8" t="s">
        <v>5317</v>
      </c>
      <c r="D533" t="s">
        <v>168</v>
      </c>
      <c r="E533" t="s">
        <v>25</v>
      </c>
      <c r="F533" t="s">
        <v>433</v>
      </c>
      <c r="G533" t="s">
        <v>639</v>
      </c>
      <c r="H533" s="9">
        <v>44657</v>
      </c>
      <c r="I533" t="s">
        <v>8634</v>
      </c>
      <c r="J533" t="s">
        <v>0</v>
      </c>
      <c r="K533" s="9">
        <v>44844</v>
      </c>
      <c r="L533" t="s">
        <v>29</v>
      </c>
      <c r="M533"/>
      <c r="N533" s="9">
        <v>44686</v>
      </c>
      <c r="O533" s="9">
        <v>44693</v>
      </c>
      <c r="P533" s="9">
        <v>44693</v>
      </c>
      <c r="Q533" s="9">
        <v>44844</v>
      </c>
      <c r="R533"/>
      <c r="S533"/>
      <c r="T533"/>
      <c r="U533"/>
    </row>
    <row r="534" spans="1:21" hidden="1">
      <c r="A534" s="7" t="s">
        <v>8762</v>
      </c>
      <c r="B534" s="7" t="s">
        <v>5405</v>
      </c>
      <c r="C534" s="8" t="s">
        <v>5317</v>
      </c>
      <c r="D534" t="s">
        <v>168</v>
      </c>
      <c r="E534" t="s">
        <v>25</v>
      </c>
      <c r="F534" t="s">
        <v>433</v>
      </c>
      <c r="G534" t="s">
        <v>640</v>
      </c>
      <c r="H534" s="9">
        <v>44657</v>
      </c>
      <c r="I534" t="s">
        <v>8634</v>
      </c>
      <c r="J534" t="s">
        <v>0</v>
      </c>
      <c r="K534" s="9">
        <v>44844</v>
      </c>
      <c r="L534" t="s">
        <v>29</v>
      </c>
      <c r="M534"/>
      <c r="N534" s="9">
        <v>44686</v>
      </c>
      <c r="O534" s="9">
        <v>44693</v>
      </c>
      <c r="P534" s="9">
        <v>44693</v>
      </c>
      <c r="Q534" s="9">
        <v>44844</v>
      </c>
      <c r="R534"/>
      <c r="S534"/>
      <c r="T534"/>
      <c r="U534"/>
    </row>
    <row r="535" spans="1:21" hidden="1">
      <c r="A535" s="7" t="s">
        <v>8762</v>
      </c>
      <c r="B535" s="7" t="s">
        <v>5405</v>
      </c>
      <c r="C535" s="8" t="s">
        <v>5317</v>
      </c>
      <c r="D535" t="s">
        <v>168</v>
      </c>
      <c r="E535" t="s">
        <v>25</v>
      </c>
      <c r="F535" t="s">
        <v>433</v>
      </c>
      <c r="G535" t="s">
        <v>641</v>
      </c>
      <c r="H535" s="9">
        <v>44657</v>
      </c>
      <c r="I535" t="s">
        <v>8634</v>
      </c>
      <c r="J535" t="s">
        <v>0</v>
      </c>
      <c r="K535" s="9">
        <v>44844</v>
      </c>
      <c r="L535" t="s">
        <v>29</v>
      </c>
      <c r="M535"/>
      <c r="N535" s="9">
        <v>44686</v>
      </c>
      <c r="O535" s="9">
        <v>44693</v>
      </c>
      <c r="P535" s="9">
        <v>44693</v>
      </c>
      <c r="Q535" s="9">
        <v>44844</v>
      </c>
      <c r="R535"/>
      <c r="S535"/>
      <c r="T535"/>
      <c r="U535"/>
    </row>
    <row r="536" spans="1:21" hidden="1">
      <c r="A536" s="7" t="s">
        <v>8762</v>
      </c>
      <c r="B536" s="7" t="s">
        <v>5405</v>
      </c>
      <c r="C536" s="8" t="s">
        <v>5317</v>
      </c>
      <c r="D536" t="s">
        <v>168</v>
      </c>
      <c r="E536" t="s">
        <v>25</v>
      </c>
      <c r="F536" t="s">
        <v>433</v>
      </c>
      <c r="G536" t="s">
        <v>642</v>
      </c>
      <c r="H536" s="9">
        <v>44657</v>
      </c>
      <c r="I536" t="s">
        <v>8634</v>
      </c>
      <c r="J536" t="s">
        <v>0</v>
      </c>
      <c r="K536" s="9">
        <v>44844</v>
      </c>
      <c r="L536" t="s">
        <v>29</v>
      </c>
      <c r="M536"/>
      <c r="N536" s="9">
        <v>44686</v>
      </c>
      <c r="O536" s="9">
        <v>44693</v>
      </c>
      <c r="P536" s="9">
        <v>44693</v>
      </c>
      <c r="Q536" s="9">
        <v>44844</v>
      </c>
      <c r="R536"/>
      <c r="S536"/>
      <c r="T536"/>
      <c r="U536"/>
    </row>
    <row r="537" spans="1:21" hidden="1">
      <c r="A537" s="7" t="s">
        <v>8751</v>
      </c>
      <c r="B537" s="7" t="s">
        <v>5405</v>
      </c>
      <c r="C537" s="8" t="s">
        <v>5317</v>
      </c>
      <c r="D537" t="s">
        <v>168</v>
      </c>
      <c r="E537" t="s">
        <v>25</v>
      </c>
      <c r="F537" t="s">
        <v>435</v>
      </c>
      <c r="G537" t="s">
        <v>643</v>
      </c>
      <c r="H537" s="9">
        <v>44657</v>
      </c>
      <c r="I537" t="s">
        <v>8634</v>
      </c>
      <c r="J537" t="s">
        <v>0</v>
      </c>
      <c r="K537" s="9">
        <v>44881</v>
      </c>
      <c r="L537" t="s">
        <v>29</v>
      </c>
      <c r="M537"/>
      <c r="N537" s="9">
        <v>44686</v>
      </c>
      <c r="O537" s="9">
        <v>44693</v>
      </c>
      <c r="P537" s="9">
        <v>44693</v>
      </c>
      <c r="Q537" s="9">
        <v>44881</v>
      </c>
      <c r="R537"/>
      <c r="S537"/>
      <c r="T537"/>
      <c r="U537"/>
    </row>
    <row r="538" spans="1:21" hidden="1">
      <c r="A538" s="7" t="s">
        <v>8763</v>
      </c>
      <c r="B538" s="7" t="s">
        <v>5405</v>
      </c>
      <c r="C538" s="8" t="s">
        <v>5317</v>
      </c>
      <c r="D538" t="s">
        <v>168</v>
      </c>
      <c r="E538" t="s">
        <v>25</v>
      </c>
      <c r="F538" t="s">
        <v>280</v>
      </c>
      <c r="G538" t="s">
        <v>644</v>
      </c>
      <c r="H538" s="9">
        <v>44657</v>
      </c>
      <c r="I538" t="s">
        <v>8634</v>
      </c>
      <c r="J538" t="s">
        <v>0</v>
      </c>
      <c r="K538" s="9">
        <v>44858</v>
      </c>
      <c r="L538" t="s">
        <v>29</v>
      </c>
      <c r="M538"/>
      <c r="N538" s="9">
        <v>44686</v>
      </c>
      <c r="O538" s="9">
        <v>44693</v>
      </c>
      <c r="P538" s="9">
        <v>44693</v>
      </c>
      <c r="Q538" s="9">
        <v>44858</v>
      </c>
      <c r="R538"/>
      <c r="S538"/>
      <c r="T538"/>
      <c r="U538"/>
    </row>
    <row r="539" spans="1:21" hidden="1">
      <c r="A539" s="7" t="s">
        <v>8751</v>
      </c>
      <c r="B539" s="7" t="s">
        <v>5405</v>
      </c>
      <c r="C539" s="8" t="s">
        <v>5317</v>
      </c>
      <c r="D539" t="s">
        <v>168</v>
      </c>
      <c r="E539" t="s">
        <v>25</v>
      </c>
      <c r="F539" t="s">
        <v>435</v>
      </c>
      <c r="G539" t="s">
        <v>645</v>
      </c>
      <c r="H539" s="9">
        <v>44657</v>
      </c>
      <c r="I539" t="s">
        <v>8634</v>
      </c>
      <c r="J539" t="s">
        <v>0</v>
      </c>
      <c r="K539" s="9">
        <v>44881</v>
      </c>
      <c r="L539" t="s">
        <v>29</v>
      </c>
      <c r="M539"/>
      <c r="N539" s="9">
        <v>44686</v>
      </c>
      <c r="O539" s="9">
        <v>44693</v>
      </c>
      <c r="P539" s="9">
        <v>44693</v>
      </c>
      <c r="Q539" s="9">
        <v>44881</v>
      </c>
      <c r="R539"/>
      <c r="S539"/>
      <c r="T539"/>
      <c r="U539"/>
    </row>
    <row r="540" spans="1:21" hidden="1">
      <c r="A540" s="7" t="s">
        <v>8757</v>
      </c>
      <c r="B540" s="7" t="s">
        <v>5405</v>
      </c>
      <c r="C540" s="8" t="s">
        <v>5317</v>
      </c>
      <c r="D540" t="s">
        <v>168</v>
      </c>
      <c r="E540" t="s">
        <v>25</v>
      </c>
      <c r="F540" t="s">
        <v>491</v>
      </c>
      <c r="G540" t="s">
        <v>646</v>
      </c>
      <c r="H540" s="9">
        <v>44657</v>
      </c>
      <c r="I540" t="s">
        <v>8634</v>
      </c>
      <c r="J540" t="s">
        <v>0</v>
      </c>
      <c r="K540" s="9">
        <v>44827</v>
      </c>
      <c r="L540" t="s">
        <v>29</v>
      </c>
      <c r="M540"/>
      <c r="N540" s="9">
        <v>44686</v>
      </c>
      <c r="O540" s="9">
        <v>44693</v>
      </c>
      <c r="P540" s="9">
        <v>44693</v>
      </c>
      <c r="Q540" s="9">
        <v>44827</v>
      </c>
      <c r="R540"/>
      <c r="S540"/>
      <c r="T540"/>
      <c r="U540"/>
    </row>
    <row r="541" spans="1:21" hidden="1">
      <c r="A541" s="7" t="s">
        <v>8757</v>
      </c>
      <c r="B541" s="7" t="s">
        <v>5405</v>
      </c>
      <c r="C541" s="8" t="s">
        <v>5317</v>
      </c>
      <c r="D541" t="s">
        <v>168</v>
      </c>
      <c r="E541" t="s">
        <v>25</v>
      </c>
      <c r="F541" t="s">
        <v>491</v>
      </c>
      <c r="G541" t="s">
        <v>647</v>
      </c>
      <c r="H541" s="9">
        <v>44657</v>
      </c>
      <c r="I541" t="s">
        <v>8634</v>
      </c>
      <c r="J541" t="s">
        <v>0</v>
      </c>
      <c r="K541" s="9">
        <v>44827</v>
      </c>
      <c r="L541" t="s">
        <v>29</v>
      </c>
      <c r="M541"/>
      <c r="N541" s="9">
        <v>44686</v>
      </c>
      <c r="O541" s="9">
        <v>44693</v>
      </c>
      <c r="P541" s="9">
        <v>44693</v>
      </c>
      <c r="Q541" s="9">
        <v>44827</v>
      </c>
      <c r="R541"/>
      <c r="S541"/>
      <c r="T541"/>
      <c r="U541"/>
    </row>
    <row r="542" spans="1:21" hidden="1">
      <c r="A542" s="7" t="s">
        <v>8751</v>
      </c>
      <c r="B542" s="7" t="s">
        <v>5405</v>
      </c>
      <c r="C542" s="8" t="s">
        <v>5317</v>
      </c>
      <c r="D542" t="s">
        <v>168</v>
      </c>
      <c r="E542" t="s">
        <v>25</v>
      </c>
      <c r="F542" t="s">
        <v>435</v>
      </c>
      <c r="G542" t="s">
        <v>648</v>
      </c>
      <c r="H542" s="9">
        <v>44657</v>
      </c>
      <c r="I542" t="s">
        <v>8634</v>
      </c>
      <c r="J542" t="s">
        <v>0</v>
      </c>
      <c r="K542" s="9">
        <v>44881</v>
      </c>
      <c r="L542" t="s">
        <v>29</v>
      </c>
      <c r="M542"/>
      <c r="N542" s="9">
        <v>44686</v>
      </c>
      <c r="O542" s="9">
        <v>44693</v>
      </c>
      <c r="P542" s="9">
        <v>44693</v>
      </c>
      <c r="Q542" s="9">
        <v>44881</v>
      </c>
      <c r="R542"/>
      <c r="S542"/>
      <c r="T542"/>
      <c r="U542"/>
    </row>
    <row r="543" spans="1:21" hidden="1">
      <c r="A543" s="7" t="s">
        <v>8757</v>
      </c>
      <c r="B543" s="7" t="s">
        <v>5405</v>
      </c>
      <c r="C543" s="8" t="s">
        <v>5317</v>
      </c>
      <c r="D543" t="s">
        <v>168</v>
      </c>
      <c r="E543" t="s">
        <v>25</v>
      </c>
      <c r="F543" t="s">
        <v>491</v>
      </c>
      <c r="G543" t="s">
        <v>649</v>
      </c>
      <c r="H543" s="9">
        <v>44657</v>
      </c>
      <c r="I543" t="s">
        <v>8634</v>
      </c>
      <c r="J543" t="s">
        <v>0</v>
      </c>
      <c r="K543" s="9">
        <v>44827</v>
      </c>
      <c r="L543" t="s">
        <v>29</v>
      </c>
      <c r="M543"/>
      <c r="N543" s="9">
        <v>44686</v>
      </c>
      <c r="O543" s="9">
        <v>44693</v>
      </c>
      <c r="P543" s="9">
        <v>44693</v>
      </c>
      <c r="Q543" s="9">
        <v>44827</v>
      </c>
      <c r="R543"/>
      <c r="S543"/>
      <c r="T543"/>
      <c r="U543"/>
    </row>
    <row r="544" spans="1:21" hidden="1">
      <c r="A544" s="7" t="s">
        <v>8754</v>
      </c>
      <c r="B544" s="7" t="s">
        <v>8066</v>
      </c>
      <c r="C544" s="8" t="s">
        <v>5317</v>
      </c>
      <c r="D544" t="s">
        <v>168</v>
      </c>
      <c r="E544" t="s">
        <v>472</v>
      </c>
      <c r="F544" t="s">
        <v>117</v>
      </c>
      <c r="G544" t="s">
        <v>650</v>
      </c>
      <c r="H544" s="9">
        <v>44657</v>
      </c>
      <c r="I544" t="s">
        <v>171</v>
      </c>
      <c r="J544" t="s">
        <v>0</v>
      </c>
      <c r="K544" s="9">
        <v>44679</v>
      </c>
      <c r="L544" t="s">
        <v>29</v>
      </c>
      <c r="M544"/>
      <c r="N544"/>
      <c r="O544"/>
      <c r="P544"/>
      <c r="Q544" s="9">
        <v>44679</v>
      </c>
      <c r="R544"/>
      <c r="S544"/>
      <c r="T544"/>
      <c r="U544"/>
    </row>
    <row r="545" spans="1:21" hidden="1">
      <c r="A545" s="7" t="s">
        <v>8754</v>
      </c>
      <c r="B545" s="7" t="s">
        <v>8066</v>
      </c>
      <c r="C545" s="8" t="s">
        <v>5317</v>
      </c>
      <c r="D545" t="s">
        <v>168</v>
      </c>
      <c r="E545" t="s">
        <v>472</v>
      </c>
      <c r="F545" t="s">
        <v>117</v>
      </c>
      <c r="G545" t="s">
        <v>651</v>
      </c>
      <c r="H545" s="9">
        <v>44657</v>
      </c>
      <c r="I545" t="s">
        <v>171</v>
      </c>
      <c r="J545" t="s">
        <v>0</v>
      </c>
      <c r="K545" s="9">
        <v>44679</v>
      </c>
      <c r="L545" t="s">
        <v>29</v>
      </c>
      <c r="M545"/>
      <c r="N545"/>
      <c r="O545"/>
      <c r="P545"/>
      <c r="Q545" s="9">
        <v>44679</v>
      </c>
      <c r="R545"/>
      <c r="S545"/>
      <c r="T545"/>
      <c r="U545"/>
    </row>
    <row r="546" spans="1:21" hidden="1">
      <c r="A546" s="7" t="s">
        <v>8754</v>
      </c>
      <c r="B546" s="7" t="s">
        <v>8066</v>
      </c>
      <c r="C546" s="8" t="s">
        <v>5317</v>
      </c>
      <c r="D546" t="s">
        <v>168</v>
      </c>
      <c r="E546" t="s">
        <v>472</v>
      </c>
      <c r="F546" t="s">
        <v>117</v>
      </c>
      <c r="G546" t="s">
        <v>652</v>
      </c>
      <c r="H546" s="9">
        <v>44657</v>
      </c>
      <c r="I546" t="s">
        <v>171</v>
      </c>
      <c r="J546" t="s">
        <v>0</v>
      </c>
      <c r="K546" s="9">
        <v>44679</v>
      </c>
      <c r="L546" t="s">
        <v>29</v>
      </c>
      <c r="M546"/>
      <c r="N546"/>
      <c r="O546"/>
      <c r="P546"/>
      <c r="Q546" s="9">
        <v>44679</v>
      </c>
      <c r="R546"/>
      <c r="S546"/>
      <c r="T546"/>
      <c r="U546"/>
    </row>
    <row r="547" spans="1:21" hidden="1">
      <c r="A547" s="7" t="s">
        <v>8754</v>
      </c>
      <c r="B547" s="7" t="s">
        <v>8066</v>
      </c>
      <c r="C547" s="8" t="s">
        <v>5317</v>
      </c>
      <c r="D547" t="s">
        <v>168</v>
      </c>
      <c r="E547" t="s">
        <v>472</v>
      </c>
      <c r="F547" t="s">
        <v>117</v>
      </c>
      <c r="G547" t="s">
        <v>653</v>
      </c>
      <c r="H547" s="9">
        <v>44657</v>
      </c>
      <c r="I547" t="s">
        <v>171</v>
      </c>
      <c r="J547" t="s">
        <v>0</v>
      </c>
      <c r="K547" s="9">
        <v>44679</v>
      </c>
      <c r="L547" t="s">
        <v>29</v>
      </c>
      <c r="M547"/>
      <c r="N547"/>
      <c r="O547"/>
      <c r="P547"/>
      <c r="Q547" s="9">
        <v>44679</v>
      </c>
      <c r="R547"/>
      <c r="S547"/>
      <c r="T547"/>
      <c r="U547"/>
    </row>
    <row r="548" spans="1:21" hidden="1">
      <c r="A548" s="7" t="s">
        <v>8754</v>
      </c>
      <c r="B548" s="7" t="s">
        <v>8066</v>
      </c>
      <c r="C548" s="8" t="s">
        <v>5317</v>
      </c>
      <c r="D548" t="s">
        <v>168</v>
      </c>
      <c r="E548" t="s">
        <v>472</v>
      </c>
      <c r="F548" t="s">
        <v>117</v>
      </c>
      <c r="G548" t="s">
        <v>654</v>
      </c>
      <c r="H548" s="9">
        <v>44657</v>
      </c>
      <c r="I548" t="s">
        <v>171</v>
      </c>
      <c r="J548" t="s">
        <v>0</v>
      </c>
      <c r="K548" s="9">
        <v>44679</v>
      </c>
      <c r="L548" t="s">
        <v>29</v>
      </c>
      <c r="M548"/>
      <c r="N548"/>
      <c r="O548"/>
      <c r="P548"/>
      <c r="Q548" s="9">
        <v>44679</v>
      </c>
      <c r="R548"/>
      <c r="S548"/>
      <c r="T548"/>
      <c r="U548"/>
    </row>
    <row r="549" spans="1:21" hidden="1">
      <c r="A549" s="7" t="s">
        <v>8754</v>
      </c>
      <c r="B549" s="7" t="s">
        <v>8066</v>
      </c>
      <c r="C549" s="8" t="s">
        <v>5317</v>
      </c>
      <c r="D549" t="s">
        <v>168</v>
      </c>
      <c r="E549" t="s">
        <v>472</v>
      </c>
      <c r="F549" t="s">
        <v>117</v>
      </c>
      <c r="G549" t="s">
        <v>655</v>
      </c>
      <c r="H549" s="9">
        <v>44657</v>
      </c>
      <c r="I549" t="s">
        <v>171</v>
      </c>
      <c r="J549" t="s">
        <v>0</v>
      </c>
      <c r="K549" s="9">
        <v>44679</v>
      </c>
      <c r="L549" t="s">
        <v>29</v>
      </c>
      <c r="M549"/>
      <c r="N549"/>
      <c r="O549"/>
      <c r="P549"/>
      <c r="Q549" s="9">
        <v>44679</v>
      </c>
      <c r="R549"/>
      <c r="S549"/>
      <c r="T549"/>
      <c r="U549"/>
    </row>
    <row r="550" spans="1:21" hidden="1">
      <c r="A550" s="7" t="s">
        <v>8754</v>
      </c>
      <c r="B550" s="7" t="s">
        <v>8066</v>
      </c>
      <c r="C550" s="8" t="s">
        <v>5317</v>
      </c>
      <c r="D550" t="s">
        <v>168</v>
      </c>
      <c r="E550" t="s">
        <v>472</v>
      </c>
      <c r="F550" t="s">
        <v>117</v>
      </c>
      <c r="G550" t="s">
        <v>656</v>
      </c>
      <c r="H550" s="9">
        <v>44657</v>
      </c>
      <c r="I550" t="s">
        <v>171</v>
      </c>
      <c r="J550" t="s">
        <v>0</v>
      </c>
      <c r="K550" s="9">
        <v>44679</v>
      </c>
      <c r="L550" t="s">
        <v>29</v>
      </c>
      <c r="M550"/>
      <c r="N550"/>
      <c r="O550"/>
      <c r="P550"/>
      <c r="Q550" s="9">
        <v>44679</v>
      </c>
      <c r="R550"/>
      <c r="S550"/>
      <c r="T550"/>
      <c r="U550"/>
    </row>
    <row r="551" spans="1:21" hidden="1">
      <c r="A551" s="7" t="s">
        <v>8754</v>
      </c>
      <c r="B551" s="7" t="s">
        <v>8066</v>
      </c>
      <c r="C551" s="8" t="s">
        <v>5317</v>
      </c>
      <c r="D551" t="s">
        <v>168</v>
      </c>
      <c r="E551" t="s">
        <v>472</v>
      </c>
      <c r="F551" t="s">
        <v>117</v>
      </c>
      <c r="G551" t="s">
        <v>657</v>
      </c>
      <c r="H551" s="9">
        <v>44657</v>
      </c>
      <c r="I551" t="s">
        <v>171</v>
      </c>
      <c r="J551" t="s">
        <v>0</v>
      </c>
      <c r="K551" s="9">
        <v>44679</v>
      </c>
      <c r="L551" t="s">
        <v>29</v>
      </c>
      <c r="M551"/>
      <c r="N551"/>
      <c r="O551"/>
      <c r="P551"/>
      <c r="Q551" s="9">
        <v>44679</v>
      </c>
      <c r="R551"/>
      <c r="S551"/>
      <c r="T551"/>
      <c r="U551"/>
    </row>
    <row r="552" spans="1:21" hidden="1">
      <c r="A552" s="7" t="s">
        <v>8754</v>
      </c>
      <c r="B552" s="7" t="s">
        <v>8066</v>
      </c>
      <c r="C552" s="8" t="s">
        <v>5317</v>
      </c>
      <c r="D552" t="s">
        <v>168</v>
      </c>
      <c r="E552" t="s">
        <v>472</v>
      </c>
      <c r="F552" t="s">
        <v>117</v>
      </c>
      <c r="G552" t="s">
        <v>658</v>
      </c>
      <c r="H552" s="9">
        <v>44657</v>
      </c>
      <c r="I552" t="s">
        <v>171</v>
      </c>
      <c r="J552" t="s">
        <v>0</v>
      </c>
      <c r="K552" s="9">
        <v>44679</v>
      </c>
      <c r="L552" t="s">
        <v>29</v>
      </c>
      <c r="M552"/>
      <c r="N552"/>
      <c r="O552"/>
      <c r="P552"/>
      <c r="Q552" s="9">
        <v>44679</v>
      </c>
      <c r="R552"/>
      <c r="S552"/>
      <c r="T552"/>
      <c r="U552"/>
    </row>
    <row r="553" spans="1:21" hidden="1">
      <c r="A553" s="7" t="s">
        <v>8754</v>
      </c>
      <c r="B553" s="7" t="s">
        <v>8066</v>
      </c>
      <c r="C553" s="8" t="s">
        <v>5317</v>
      </c>
      <c r="D553" t="s">
        <v>168</v>
      </c>
      <c r="E553" t="s">
        <v>472</v>
      </c>
      <c r="F553" t="s">
        <v>117</v>
      </c>
      <c r="G553" t="s">
        <v>659</v>
      </c>
      <c r="H553" s="9">
        <v>44657</v>
      </c>
      <c r="I553" t="s">
        <v>171</v>
      </c>
      <c r="J553" t="s">
        <v>0</v>
      </c>
      <c r="K553" s="9">
        <v>44679</v>
      </c>
      <c r="L553" t="s">
        <v>29</v>
      </c>
      <c r="M553"/>
      <c r="N553"/>
      <c r="O553"/>
      <c r="P553"/>
      <c r="Q553" s="9">
        <v>44679</v>
      </c>
      <c r="R553"/>
      <c r="S553"/>
      <c r="T553"/>
      <c r="U553"/>
    </row>
    <row r="554" spans="1:21" hidden="1">
      <c r="A554" s="7" t="s">
        <v>8754</v>
      </c>
      <c r="B554" s="7" t="s">
        <v>8066</v>
      </c>
      <c r="C554" s="8" t="s">
        <v>5317</v>
      </c>
      <c r="D554" t="s">
        <v>168</v>
      </c>
      <c r="E554" t="s">
        <v>472</v>
      </c>
      <c r="F554" t="s">
        <v>117</v>
      </c>
      <c r="G554" t="s">
        <v>660</v>
      </c>
      <c r="H554" s="9">
        <v>44657</v>
      </c>
      <c r="I554" t="s">
        <v>171</v>
      </c>
      <c r="J554" t="s">
        <v>0</v>
      </c>
      <c r="K554" s="9">
        <v>44679</v>
      </c>
      <c r="L554" t="s">
        <v>29</v>
      </c>
      <c r="M554"/>
      <c r="N554"/>
      <c r="O554"/>
      <c r="P554"/>
      <c r="Q554" s="9">
        <v>44679</v>
      </c>
      <c r="R554"/>
      <c r="S554"/>
      <c r="T554"/>
      <c r="U554"/>
    </row>
    <row r="555" spans="1:21" hidden="1">
      <c r="A555" s="7" t="s">
        <v>8754</v>
      </c>
      <c r="B555" s="7" t="s">
        <v>8066</v>
      </c>
      <c r="C555" s="8" t="s">
        <v>5317</v>
      </c>
      <c r="D555" t="s">
        <v>168</v>
      </c>
      <c r="E555" t="s">
        <v>472</v>
      </c>
      <c r="F555" t="s">
        <v>117</v>
      </c>
      <c r="G555" t="s">
        <v>661</v>
      </c>
      <c r="H555" s="9">
        <v>44657</v>
      </c>
      <c r="I555" t="s">
        <v>171</v>
      </c>
      <c r="J555" t="s">
        <v>0</v>
      </c>
      <c r="K555" s="9">
        <v>44679</v>
      </c>
      <c r="L555" t="s">
        <v>29</v>
      </c>
      <c r="M555"/>
      <c r="N555"/>
      <c r="O555"/>
      <c r="P555"/>
      <c r="Q555" s="9">
        <v>44679</v>
      </c>
      <c r="R555"/>
      <c r="S555"/>
      <c r="T555"/>
      <c r="U555"/>
    </row>
    <row r="556" spans="1:21" hidden="1">
      <c r="A556" s="7" t="s">
        <v>8754</v>
      </c>
      <c r="B556" s="7" t="s">
        <v>8066</v>
      </c>
      <c r="C556" s="8" t="s">
        <v>5317</v>
      </c>
      <c r="D556" t="s">
        <v>168</v>
      </c>
      <c r="E556" t="s">
        <v>472</v>
      </c>
      <c r="F556" t="s">
        <v>117</v>
      </c>
      <c r="G556" t="s">
        <v>662</v>
      </c>
      <c r="H556" s="9">
        <v>44657</v>
      </c>
      <c r="I556" t="s">
        <v>171</v>
      </c>
      <c r="J556" t="s">
        <v>0</v>
      </c>
      <c r="K556" s="9">
        <v>44679</v>
      </c>
      <c r="L556" t="s">
        <v>29</v>
      </c>
      <c r="M556"/>
      <c r="N556"/>
      <c r="O556"/>
      <c r="P556"/>
      <c r="Q556" s="9">
        <v>44679</v>
      </c>
      <c r="R556"/>
      <c r="S556"/>
      <c r="T556"/>
      <c r="U556"/>
    </row>
    <row r="557" spans="1:21" hidden="1">
      <c r="A557" s="7" t="s">
        <v>8754</v>
      </c>
      <c r="B557" s="7" t="s">
        <v>8066</v>
      </c>
      <c r="C557" s="8" t="s">
        <v>5317</v>
      </c>
      <c r="D557" t="s">
        <v>168</v>
      </c>
      <c r="E557" t="s">
        <v>472</v>
      </c>
      <c r="F557" t="s">
        <v>117</v>
      </c>
      <c r="G557" t="s">
        <v>663</v>
      </c>
      <c r="H557" s="9">
        <v>44657</v>
      </c>
      <c r="I557" t="s">
        <v>171</v>
      </c>
      <c r="J557" t="s">
        <v>0</v>
      </c>
      <c r="K557" s="9">
        <v>44679</v>
      </c>
      <c r="L557" t="s">
        <v>29</v>
      </c>
      <c r="M557"/>
      <c r="N557"/>
      <c r="O557"/>
      <c r="P557"/>
      <c r="Q557" s="9">
        <v>44679</v>
      </c>
      <c r="R557"/>
      <c r="S557"/>
      <c r="T557"/>
      <c r="U557"/>
    </row>
    <row r="558" spans="1:21" hidden="1">
      <c r="A558" s="7" t="s">
        <v>8754</v>
      </c>
      <c r="B558" s="7" t="s">
        <v>8066</v>
      </c>
      <c r="C558" s="8" t="s">
        <v>5317</v>
      </c>
      <c r="D558" t="s">
        <v>168</v>
      </c>
      <c r="E558" t="s">
        <v>472</v>
      </c>
      <c r="F558" t="s">
        <v>117</v>
      </c>
      <c r="G558" t="s">
        <v>664</v>
      </c>
      <c r="H558" s="9">
        <v>44657</v>
      </c>
      <c r="I558" t="s">
        <v>171</v>
      </c>
      <c r="J558" t="s">
        <v>0</v>
      </c>
      <c r="K558" s="9">
        <v>44679</v>
      </c>
      <c r="L558" t="s">
        <v>29</v>
      </c>
      <c r="M558"/>
      <c r="N558"/>
      <c r="O558"/>
      <c r="P558"/>
      <c r="Q558" s="9">
        <v>44679</v>
      </c>
      <c r="R558"/>
      <c r="S558"/>
      <c r="T558"/>
      <c r="U558"/>
    </row>
    <row r="559" spans="1:21" hidden="1">
      <c r="A559" s="7" t="s">
        <v>8754</v>
      </c>
      <c r="B559" s="7" t="s">
        <v>8066</v>
      </c>
      <c r="C559" s="8" t="s">
        <v>5317</v>
      </c>
      <c r="D559" t="s">
        <v>168</v>
      </c>
      <c r="E559" t="s">
        <v>472</v>
      </c>
      <c r="F559" t="s">
        <v>117</v>
      </c>
      <c r="G559" t="s">
        <v>665</v>
      </c>
      <c r="H559" s="9">
        <v>44657</v>
      </c>
      <c r="I559" t="s">
        <v>171</v>
      </c>
      <c r="J559" t="s">
        <v>0</v>
      </c>
      <c r="K559" s="9">
        <v>44679</v>
      </c>
      <c r="L559" t="s">
        <v>29</v>
      </c>
      <c r="M559"/>
      <c r="N559"/>
      <c r="O559"/>
      <c r="P559"/>
      <c r="Q559" s="9">
        <v>44679</v>
      </c>
      <c r="R559"/>
      <c r="S559"/>
      <c r="T559"/>
      <c r="U559"/>
    </row>
    <row r="560" spans="1:21" hidden="1">
      <c r="A560" s="7" t="s">
        <v>8754</v>
      </c>
      <c r="B560" s="7" t="s">
        <v>8066</v>
      </c>
      <c r="C560" s="8" t="s">
        <v>5317</v>
      </c>
      <c r="D560" t="s">
        <v>168</v>
      </c>
      <c r="E560" t="s">
        <v>472</v>
      </c>
      <c r="F560" t="s">
        <v>117</v>
      </c>
      <c r="G560" t="s">
        <v>666</v>
      </c>
      <c r="H560" s="9">
        <v>44657</v>
      </c>
      <c r="I560" t="s">
        <v>171</v>
      </c>
      <c r="J560" t="s">
        <v>0</v>
      </c>
      <c r="K560" s="9">
        <v>44679</v>
      </c>
      <c r="L560" t="s">
        <v>29</v>
      </c>
      <c r="M560"/>
      <c r="N560"/>
      <c r="O560"/>
      <c r="P560"/>
      <c r="Q560" s="9">
        <v>44679</v>
      </c>
      <c r="R560"/>
      <c r="S560"/>
      <c r="T560"/>
      <c r="U560"/>
    </row>
    <row r="561" spans="1:21" hidden="1">
      <c r="A561" s="7" t="s">
        <v>8754</v>
      </c>
      <c r="B561" s="7" t="s">
        <v>8066</v>
      </c>
      <c r="C561" s="8" t="s">
        <v>5317</v>
      </c>
      <c r="D561" t="s">
        <v>168</v>
      </c>
      <c r="E561" t="s">
        <v>472</v>
      </c>
      <c r="F561" t="s">
        <v>117</v>
      </c>
      <c r="G561" t="s">
        <v>667</v>
      </c>
      <c r="H561" s="9">
        <v>44657</v>
      </c>
      <c r="I561" t="s">
        <v>171</v>
      </c>
      <c r="J561" t="s">
        <v>0</v>
      </c>
      <c r="K561" s="9">
        <v>44679</v>
      </c>
      <c r="L561" t="s">
        <v>29</v>
      </c>
      <c r="M561"/>
      <c r="N561"/>
      <c r="O561"/>
      <c r="P561"/>
      <c r="Q561" s="9">
        <v>44679</v>
      </c>
      <c r="R561"/>
      <c r="S561"/>
      <c r="T561"/>
      <c r="U561"/>
    </row>
    <row r="562" spans="1:21" hidden="1">
      <c r="A562" s="7" t="s">
        <v>8754</v>
      </c>
      <c r="B562" s="7" t="s">
        <v>8066</v>
      </c>
      <c r="C562" s="8" t="s">
        <v>5317</v>
      </c>
      <c r="D562" t="s">
        <v>168</v>
      </c>
      <c r="E562" t="s">
        <v>472</v>
      </c>
      <c r="F562" t="s">
        <v>117</v>
      </c>
      <c r="G562" t="s">
        <v>668</v>
      </c>
      <c r="H562" s="9">
        <v>44657</v>
      </c>
      <c r="I562" t="s">
        <v>171</v>
      </c>
      <c r="J562" t="s">
        <v>0</v>
      </c>
      <c r="K562" s="9">
        <v>44679</v>
      </c>
      <c r="L562" t="s">
        <v>29</v>
      </c>
      <c r="M562"/>
      <c r="N562"/>
      <c r="O562"/>
      <c r="P562"/>
      <c r="Q562" s="9">
        <v>44679</v>
      </c>
      <c r="R562"/>
      <c r="S562"/>
      <c r="T562"/>
      <c r="U562"/>
    </row>
    <row r="563" spans="1:21" hidden="1">
      <c r="A563" s="7" t="s">
        <v>8754</v>
      </c>
      <c r="B563" s="7" t="s">
        <v>8066</v>
      </c>
      <c r="C563" s="8" t="s">
        <v>5317</v>
      </c>
      <c r="D563" t="s">
        <v>168</v>
      </c>
      <c r="E563" t="s">
        <v>472</v>
      </c>
      <c r="F563" t="s">
        <v>117</v>
      </c>
      <c r="G563" t="s">
        <v>669</v>
      </c>
      <c r="H563" s="9">
        <v>44657</v>
      </c>
      <c r="I563" t="s">
        <v>171</v>
      </c>
      <c r="J563" t="s">
        <v>0</v>
      </c>
      <c r="K563" s="9">
        <v>44679</v>
      </c>
      <c r="L563" t="s">
        <v>29</v>
      </c>
      <c r="M563"/>
      <c r="N563"/>
      <c r="O563"/>
      <c r="P563"/>
      <c r="Q563" s="9">
        <v>44679</v>
      </c>
      <c r="R563"/>
      <c r="S563"/>
      <c r="T563"/>
      <c r="U563"/>
    </row>
    <row r="564" spans="1:21" hidden="1">
      <c r="A564" s="7" t="s">
        <v>8754</v>
      </c>
      <c r="B564" s="7" t="s">
        <v>8066</v>
      </c>
      <c r="C564" s="8" t="s">
        <v>5317</v>
      </c>
      <c r="D564" t="s">
        <v>168</v>
      </c>
      <c r="E564" t="s">
        <v>472</v>
      </c>
      <c r="F564" t="s">
        <v>117</v>
      </c>
      <c r="G564" t="s">
        <v>670</v>
      </c>
      <c r="H564" s="9">
        <v>44657</v>
      </c>
      <c r="I564" t="s">
        <v>171</v>
      </c>
      <c r="J564" t="s">
        <v>0</v>
      </c>
      <c r="K564" s="9">
        <v>44679</v>
      </c>
      <c r="L564" t="s">
        <v>29</v>
      </c>
      <c r="M564"/>
      <c r="N564"/>
      <c r="O564"/>
      <c r="P564"/>
      <c r="Q564" s="9">
        <v>44679</v>
      </c>
      <c r="R564"/>
      <c r="S564"/>
      <c r="T564"/>
      <c r="U564"/>
    </row>
    <row r="565" spans="1:21" hidden="1">
      <c r="A565" s="7" t="s">
        <v>8754</v>
      </c>
      <c r="B565" s="7" t="s">
        <v>8066</v>
      </c>
      <c r="C565" s="8" t="s">
        <v>5317</v>
      </c>
      <c r="D565" t="s">
        <v>168</v>
      </c>
      <c r="E565" t="s">
        <v>472</v>
      </c>
      <c r="F565" t="s">
        <v>117</v>
      </c>
      <c r="G565" t="s">
        <v>671</v>
      </c>
      <c r="H565" s="9">
        <v>44657</v>
      </c>
      <c r="I565" t="s">
        <v>171</v>
      </c>
      <c r="J565" t="s">
        <v>0</v>
      </c>
      <c r="K565" s="9">
        <v>44679</v>
      </c>
      <c r="L565" t="s">
        <v>29</v>
      </c>
      <c r="M565"/>
      <c r="N565"/>
      <c r="O565"/>
      <c r="P565"/>
      <c r="Q565" s="9">
        <v>44679</v>
      </c>
      <c r="R565"/>
      <c r="S565"/>
      <c r="T565"/>
      <c r="U565"/>
    </row>
    <row r="566" spans="1:21" hidden="1">
      <c r="A566" s="7" t="s">
        <v>8754</v>
      </c>
      <c r="B566" s="7" t="s">
        <v>8066</v>
      </c>
      <c r="C566" s="8" t="s">
        <v>5317</v>
      </c>
      <c r="D566" t="s">
        <v>168</v>
      </c>
      <c r="E566" t="s">
        <v>472</v>
      </c>
      <c r="F566" t="s">
        <v>117</v>
      </c>
      <c r="G566" t="s">
        <v>672</v>
      </c>
      <c r="H566" s="9">
        <v>44657</v>
      </c>
      <c r="I566" t="s">
        <v>171</v>
      </c>
      <c r="J566" t="s">
        <v>0</v>
      </c>
      <c r="K566" s="9">
        <v>44679</v>
      </c>
      <c r="L566" t="s">
        <v>29</v>
      </c>
      <c r="M566"/>
      <c r="N566"/>
      <c r="O566"/>
      <c r="P566"/>
      <c r="Q566" s="9">
        <v>44679</v>
      </c>
      <c r="R566"/>
      <c r="S566"/>
      <c r="T566"/>
      <c r="U566"/>
    </row>
    <row r="567" spans="1:21" hidden="1">
      <c r="A567" s="7" t="s">
        <v>8754</v>
      </c>
      <c r="B567" s="7" t="s">
        <v>8066</v>
      </c>
      <c r="C567" s="8" t="s">
        <v>5317</v>
      </c>
      <c r="D567" t="s">
        <v>168</v>
      </c>
      <c r="E567" t="s">
        <v>472</v>
      </c>
      <c r="F567" t="s">
        <v>117</v>
      </c>
      <c r="G567" t="s">
        <v>673</v>
      </c>
      <c r="H567" s="9">
        <v>44657</v>
      </c>
      <c r="I567" t="s">
        <v>171</v>
      </c>
      <c r="J567" t="s">
        <v>0</v>
      </c>
      <c r="K567" s="9">
        <v>44679</v>
      </c>
      <c r="L567" t="s">
        <v>29</v>
      </c>
      <c r="M567"/>
      <c r="N567"/>
      <c r="O567"/>
      <c r="P567"/>
      <c r="Q567" s="9">
        <v>44679</v>
      </c>
      <c r="R567"/>
      <c r="S567"/>
      <c r="T567"/>
      <c r="U567"/>
    </row>
    <row r="568" spans="1:21" hidden="1">
      <c r="A568" s="7" t="s">
        <v>8754</v>
      </c>
      <c r="B568" s="7" t="s">
        <v>8066</v>
      </c>
      <c r="C568" s="8" t="s">
        <v>5317</v>
      </c>
      <c r="D568" t="s">
        <v>168</v>
      </c>
      <c r="E568" t="s">
        <v>472</v>
      </c>
      <c r="F568" t="s">
        <v>117</v>
      </c>
      <c r="G568" t="s">
        <v>674</v>
      </c>
      <c r="H568" s="9">
        <v>44657</v>
      </c>
      <c r="I568" t="s">
        <v>171</v>
      </c>
      <c r="J568" t="s">
        <v>0</v>
      </c>
      <c r="K568" s="9">
        <v>44679</v>
      </c>
      <c r="L568" t="s">
        <v>29</v>
      </c>
      <c r="M568"/>
      <c r="N568"/>
      <c r="O568"/>
      <c r="P568"/>
      <c r="Q568" s="9">
        <v>44679</v>
      </c>
      <c r="R568"/>
      <c r="S568"/>
      <c r="T568"/>
      <c r="U568"/>
    </row>
    <row r="569" spans="1:21" hidden="1">
      <c r="A569" s="7" t="s">
        <v>8754</v>
      </c>
      <c r="B569" s="7" t="s">
        <v>8066</v>
      </c>
      <c r="C569" s="8" t="s">
        <v>5317</v>
      </c>
      <c r="D569" t="s">
        <v>168</v>
      </c>
      <c r="E569" t="s">
        <v>472</v>
      </c>
      <c r="F569" t="s">
        <v>117</v>
      </c>
      <c r="G569" t="s">
        <v>675</v>
      </c>
      <c r="H569" s="9">
        <v>44657</v>
      </c>
      <c r="I569" t="s">
        <v>171</v>
      </c>
      <c r="J569" t="s">
        <v>0</v>
      </c>
      <c r="K569" s="9">
        <v>44679</v>
      </c>
      <c r="L569" t="s">
        <v>29</v>
      </c>
      <c r="M569"/>
      <c r="N569"/>
      <c r="O569"/>
      <c r="P569"/>
      <c r="Q569" s="9">
        <v>44679</v>
      </c>
      <c r="R569"/>
      <c r="S569"/>
      <c r="T569"/>
      <c r="U569"/>
    </row>
    <row r="570" spans="1:21" hidden="1">
      <c r="A570" s="7" t="s">
        <v>8754</v>
      </c>
      <c r="B570" s="7" t="s">
        <v>8066</v>
      </c>
      <c r="C570" s="8" t="s">
        <v>5317</v>
      </c>
      <c r="D570" t="s">
        <v>168</v>
      </c>
      <c r="E570" t="s">
        <v>472</v>
      </c>
      <c r="F570" t="s">
        <v>117</v>
      </c>
      <c r="G570" t="s">
        <v>676</v>
      </c>
      <c r="H570" s="9">
        <v>44657</v>
      </c>
      <c r="I570" t="s">
        <v>171</v>
      </c>
      <c r="J570" t="s">
        <v>0</v>
      </c>
      <c r="K570" s="9">
        <v>44679</v>
      </c>
      <c r="L570" t="s">
        <v>29</v>
      </c>
      <c r="M570"/>
      <c r="N570"/>
      <c r="O570"/>
      <c r="P570"/>
      <c r="Q570" s="9">
        <v>44679</v>
      </c>
      <c r="R570"/>
      <c r="S570"/>
      <c r="T570"/>
      <c r="U570"/>
    </row>
    <row r="571" spans="1:21" hidden="1">
      <c r="A571" s="7" t="s">
        <v>8754</v>
      </c>
      <c r="B571" s="7" t="s">
        <v>8066</v>
      </c>
      <c r="C571" s="8" t="s">
        <v>5317</v>
      </c>
      <c r="D571" t="s">
        <v>168</v>
      </c>
      <c r="E571" t="s">
        <v>472</v>
      </c>
      <c r="F571" t="s">
        <v>117</v>
      </c>
      <c r="G571" t="s">
        <v>677</v>
      </c>
      <c r="H571" s="9">
        <v>44657</v>
      </c>
      <c r="I571" t="s">
        <v>171</v>
      </c>
      <c r="J571" t="s">
        <v>0</v>
      </c>
      <c r="K571" s="9">
        <v>44679</v>
      </c>
      <c r="L571" t="s">
        <v>29</v>
      </c>
      <c r="M571"/>
      <c r="N571"/>
      <c r="O571"/>
      <c r="P571"/>
      <c r="Q571" s="9">
        <v>44679</v>
      </c>
      <c r="R571"/>
      <c r="S571"/>
      <c r="T571"/>
      <c r="U571"/>
    </row>
    <row r="572" spans="1:21" hidden="1">
      <c r="A572" s="7" t="s">
        <v>8754</v>
      </c>
      <c r="B572" s="7" t="s">
        <v>8066</v>
      </c>
      <c r="C572" s="8" t="s">
        <v>5317</v>
      </c>
      <c r="D572" t="s">
        <v>168</v>
      </c>
      <c r="E572" t="s">
        <v>472</v>
      </c>
      <c r="F572" t="s">
        <v>117</v>
      </c>
      <c r="G572" t="s">
        <v>678</v>
      </c>
      <c r="H572" s="9">
        <v>44657</v>
      </c>
      <c r="I572" t="s">
        <v>171</v>
      </c>
      <c r="J572" t="s">
        <v>0</v>
      </c>
      <c r="K572" s="9">
        <v>44679</v>
      </c>
      <c r="L572" t="s">
        <v>29</v>
      </c>
      <c r="M572"/>
      <c r="N572"/>
      <c r="O572"/>
      <c r="P572"/>
      <c r="Q572" s="9">
        <v>44679</v>
      </c>
      <c r="R572"/>
      <c r="S572"/>
      <c r="T572"/>
      <c r="U572"/>
    </row>
    <row r="573" spans="1:21" hidden="1">
      <c r="A573" s="7" t="s">
        <v>8754</v>
      </c>
      <c r="B573" s="7" t="s">
        <v>8066</v>
      </c>
      <c r="C573" s="8" t="s">
        <v>5317</v>
      </c>
      <c r="D573" t="s">
        <v>168</v>
      </c>
      <c r="E573" t="s">
        <v>472</v>
      </c>
      <c r="F573" t="s">
        <v>117</v>
      </c>
      <c r="G573" t="s">
        <v>679</v>
      </c>
      <c r="H573" s="9">
        <v>44657</v>
      </c>
      <c r="I573" t="s">
        <v>171</v>
      </c>
      <c r="J573" t="s">
        <v>0</v>
      </c>
      <c r="K573" s="9">
        <v>44679</v>
      </c>
      <c r="L573" t="s">
        <v>29</v>
      </c>
      <c r="M573"/>
      <c r="N573"/>
      <c r="O573"/>
      <c r="P573"/>
      <c r="Q573" s="9">
        <v>44679</v>
      </c>
      <c r="R573"/>
      <c r="S573"/>
      <c r="T573"/>
      <c r="U573"/>
    </row>
    <row r="574" spans="1:21" hidden="1">
      <c r="A574" s="7" t="s">
        <v>8754</v>
      </c>
      <c r="B574" s="7" t="s">
        <v>8066</v>
      </c>
      <c r="C574" s="8" t="s">
        <v>5317</v>
      </c>
      <c r="D574" t="s">
        <v>168</v>
      </c>
      <c r="E574" t="s">
        <v>472</v>
      </c>
      <c r="F574" t="s">
        <v>117</v>
      </c>
      <c r="G574" t="s">
        <v>680</v>
      </c>
      <c r="H574" s="9">
        <v>44657</v>
      </c>
      <c r="I574" t="s">
        <v>171</v>
      </c>
      <c r="J574" t="s">
        <v>0</v>
      </c>
      <c r="K574" s="9">
        <v>44679</v>
      </c>
      <c r="L574" t="s">
        <v>29</v>
      </c>
      <c r="M574"/>
      <c r="N574"/>
      <c r="O574"/>
      <c r="P574"/>
      <c r="Q574" s="9">
        <v>44679</v>
      </c>
      <c r="R574"/>
      <c r="S574"/>
      <c r="T574"/>
      <c r="U574"/>
    </row>
    <row r="575" spans="1:21" hidden="1">
      <c r="A575" s="7" t="s">
        <v>8754</v>
      </c>
      <c r="B575" s="7" t="s">
        <v>8066</v>
      </c>
      <c r="C575" s="8" t="s">
        <v>5317</v>
      </c>
      <c r="D575" t="s">
        <v>168</v>
      </c>
      <c r="E575" t="s">
        <v>472</v>
      </c>
      <c r="F575" t="s">
        <v>117</v>
      </c>
      <c r="G575" t="s">
        <v>681</v>
      </c>
      <c r="H575" s="9">
        <v>44657</v>
      </c>
      <c r="I575" t="s">
        <v>171</v>
      </c>
      <c r="J575" t="s">
        <v>0</v>
      </c>
      <c r="K575" s="9">
        <v>44679</v>
      </c>
      <c r="L575" t="s">
        <v>29</v>
      </c>
      <c r="M575"/>
      <c r="N575"/>
      <c r="O575"/>
      <c r="P575"/>
      <c r="Q575" s="9">
        <v>44679</v>
      </c>
      <c r="R575"/>
      <c r="S575"/>
      <c r="T575"/>
      <c r="U575"/>
    </row>
    <row r="576" spans="1:21" hidden="1">
      <c r="A576" s="7" t="s">
        <v>8754</v>
      </c>
      <c r="B576" s="7" t="s">
        <v>8066</v>
      </c>
      <c r="C576" s="8" t="s">
        <v>5317</v>
      </c>
      <c r="D576" t="s">
        <v>168</v>
      </c>
      <c r="E576" t="s">
        <v>472</v>
      </c>
      <c r="F576" t="s">
        <v>117</v>
      </c>
      <c r="G576" t="s">
        <v>682</v>
      </c>
      <c r="H576" s="9">
        <v>44657</v>
      </c>
      <c r="I576" t="s">
        <v>171</v>
      </c>
      <c r="J576" t="s">
        <v>0</v>
      </c>
      <c r="K576" s="9">
        <v>44679</v>
      </c>
      <c r="L576" t="s">
        <v>29</v>
      </c>
      <c r="M576"/>
      <c r="N576"/>
      <c r="O576"/>
      <c r="P576"/>
      <c r="Q576" s="9">
        <v>44679</v>
      </c>
      <c r="R576"/>
      <c r="S576"/>
      <c r="T576"/>
      <c r="U576"/>
    </row>
    <row r="577" spans="1:21" hidden="1">
      <c r="A577" s="7" t="s">
        <v>8754</v>
      </c>
      <c r="B577" s="7" t="s">
        <v>8066</v>
      </c>
      <c r="C577" s="8" t="s">
        <v>5317</v>
      </c>
      <c r="D577" t="s">
        <v>168</v>
      </c>
      <c r="E577" t="s">
        <v>472</v>
      </c>
      <c r="F577" t="s">
        <v>117</v>
      </c>
      <c r="G577" t="s">
        <v>683</v>
      </c>
      <c r="H577" s="9">
        <v>44657</v>
      </c>
      <c r="I577" t="s">
        <v>171</v>
      </c>
      <c r="J577" t="s">
        <v>0</v>
      </c>
      <c r="K577" s="9">
        <v>44679</v>
      </c>
      <c r="L577" t="s">
        <v>29</v>
      </c>
      <c r="M577"/>
      <c r="N577"/>
      <c r="O577"/>
      <c r="P577"/>
      <c r="Q577" s="9">
        <v>44679</v>
      </c>
      <c r="R577"/>
      <c r="S577"/>
      <c r="T577"/>
      <c r="U577"/>
    </row>
    <row r="578" spans="1:21" hidden="1">
      <c r="A578" s="7" t="s">
        <v>8754</v>
      </c>
      <c r="B578" s="7" t="s">
        <v>8066</v>
      </c>
      <c r="C578" s="8" t="s">
        <v>5317</v>
      </c>
      <c r="D578" t="s">
        <v>168</v>
      </c>
      <c r="E578" t="s">
        <v>472</v>
      </c>
      <c r="F578" t="s">
        <v>117</v>
      </c>
      <c r="G578" t="s">
        <v>684</v>
      </c>
      <c r="H578" s="9">
        <v>44657</v>
      </c>
      <c r="I578" t="s">
        <v>171</v>
      </c>
      <c r="J578" t="s">
        <v>0</v>
      </c>
      <c r="K578" s="9">
        <v>44679</v>
      </c>
      <c r="L578" t="s">
        <v>29</v>
      </c>
      <c r="M578"/>
      <c r="N578"/>
      <c r="O578"/>
      <c r="P578"/>
      <c r="Q578" s="9">
        <v>44679</v>
      </c>
      <c r="R578"/>
      <c r="S578"/>
      <c r="T578"/>
      <c r="U578"/>
    </row>
    <row r="579" spans="1:21" hidden="1">
      <c r="A579" s="7" t="s">
        <v>8754</v>
      </c>
      <c r="B579" s="7" t="s">
        <v>8066</v>
      </c>
      <c r="C579" s="8" t="s">
        <v>5317</v>
      </c>
      <c r="D579" t="s">
        <v>168</v>
      </c>
      <c r="E579" t="s">
        <v>472</v>
      </c>
      <c r="F579" t="s">
        <v>117</v>
      </c>
      <c r="G579" t="s">
        <v>685</v>
      </c>
      <c r="H579" s="9">
        <v>44657</v>
      </c>
      <c r="I579" t="s">
        <v>171</v>
      </c>
      <c r="J579" t="s">
        <v>0</v>
      </c>
      <c r="K579" s="9">
        <v>44679</v>
      </c>
      <c r="L579" t="s">
        <v>29</v>
      </c>
      <c r="M579"/>
      <c r="N579"/>
      <c r="O579"/>
      <c r="P579"/>
      <c r="Q579" s="9">
        <v>44679</v>
      </c>
      <c r="R579"/>
      <c r="S579"/>
      <c r="T579"/>
      <c r="U579"/>
    </row>
    <row r="580" spans="1:21" hidden="1">
      <c r="A580" s="7" t="s">
        <v>8754</v>
      </c>
      <c r="B580" s="7" t="s">
        <v>8066</v>
      </c>
      <c r="C580" s="8" t="s">
        <v>5317</v>
      </c>
      <c r="D580" t="s">
        <v>168</v>
      </c>
      <c r="E580" t="s">
        <v>472</v>
      </c>
      <c r="F580" t="s">
        <v>117</v>
      </c>
      <c r="G580" t="s">
        <v>686</v>
      </c>
      <c r="H580" s="9">
        <v>44657</v>
      </c>
      <c r="I580" t="s">
        <v>171</v>
      </c>
      <c r="J580" t="s">
        <v>0</v>
      </c>
      <c r="K580" s="9">
        <v>44679</v>
      </c>
      <c r="L580" t="s">
        <v>29</v>
      </c>
      <c r="M580"/>
      <c r="N580"/>
      <c r="O580"/>
      <c r="P580"/>
      <c r="Q580" s="9">
        <v>44679</v>
      </c>
      <c r="R580"/>
      <c r="S580"/>
      <c r="T580"/>
      <c r="U580"/>
    </row>
    <row r="581" spans="1:21" hidden="1">
      <c r="A581" s="7" t="s">
        <v>8754</v>
      </c>
      <c r="B581" s="7" t="s">
        <v>8066</v>
      </c>
      <c r="C581" s="8" t="s">
        <v>5317</v>
      </c>
      <c r="D581" t="s">
        <v>168</v>
      </c>
      <c r="E581" t="s">
        <v>472</v>
      </c>
      <c r="F581" t="s">
        <v>117</v>
      </c>
      <c r="G581" t="s">
        <v>687</v>
      </c>
      <c r="H581" s="9">
        <v>44657</v>
      </c>
      <c r="I581" t="s">
        <v>171</v>
      </c>
      <c r="J581" t="s">
        <v>0</v>
      </c>
      <c r="K581" s="9">
        <v>44679</v>
      </c>
      <c r="L581" t="s">
        <v>29</v>
      </c>
      <c r="M581"/>
      <c r="N581"/>
      <c r="O581"/>
      <c r="P581"/>
      <c r="Q581" s="9">
        <v>44679</v>
      </c>
      <c r="R581"/>
      <c r="S581"/>
      <c r="T581"/>
      <c r="U581"/>
    </row>
    <row r="582" spans="1:21" hidden="1">
      <c r="A582" s="7" t="s">
        <v>8754</v>
      </c>
      <c r="B582" s="7" t="s">
        <v>8066</v>
      </c>
      <c r="C582" s="8" t="s">
        <v>5317</v>
      </c>
      <c r="D582" t="s">
        <v>168</v>
      </c>
      <c r="E582" t="s">
        <v>472</v>
      </c>
      <c r="F582" t="s">
        <v>117</v>
      </c>
      <c r="G582" t="s">
        <v>688</v>
      </c>
      <c r="H582" s="9">
        <v>44657</v>
      </c>
      <c r="I582" t="s">
        <v>171</v>
      </c>
      <c r="J582" t="s">
        <v>0</v>
      </c>
      <c r="K582" s="9">
        <v>44679</v>
      </c>
      <c r="L582" t="s">
        <v>29</v>
      </c>
      <c r="M582"/>
      <c r="N582"/>
      <c r="O582"/>
      <c r="P582"/>
      <c r="Q582" s="9">
        <v>44679</v>
      </c>
      <c r="R582"/>
      <c r="S582"/>
      <c r="T582"/>
      <c r="U582"/>
    </row>
    <row r="583" spans="1:21" hidden="1">
      <c r="A583" s="7" t="s">
        <v>8754</v>
      </c>
      <c r="B583" s="7" t="s">
        <v>8066</v>
      </c>
      <c r="C583" s="8" t="s">
        <v>5317</v>
      </c>
      <c r="D583" t="s">
        <v>168</v>
      </c>
      <c r="E583" t="s">
        <v>472</v>
      </c>
      <c r="F583" t="s">
        <v>117</v>
      </c>
      <c r="G583" t="s">
        <v>689</v>
      </c>
      <c r="H583" s="9">
        <v>44657</v>
      </c>
      <c r="I583" t="s">
        <v>171</v>
      </c>
      <c r="J583" t="s">
        <v>0</v>
      </c>
      <c r="K583" s="9">
        <v>44679</v>
      </c>
      <c r="L583" t="s">
        <v>29</v>
      </c>
      <c r="M583"/>
      <c r="N583"/>
      <c r="O583"/>
      <c r="P583"/>
      <c r="Q583" s="9">
        <v>44679</v>
      </c>
      <c r="R583"/>
      <c r="S583"/>
      <c r="T583"/>
      <c r="U583"/>
    </row>
    <row r="584" spans="1:21" hidden="1">
      <c r="A584" s="7" t="s">
        <v>8754</v>
      </c>
      <c r="B584" s="7" t="s">
        <v>8066</v>
      </c>
      <c r="C584" s="8" t="s">
        <v>5317</v>
      </c>
      <c r="D584" t="s">
        <v>168</v>
      </c>
      <c r="E584" t="s">
        <v>472</v>
      </c>
      <c r="F584" t="s">
        <v>117</v>
      </c>
      <c r="G584" t="s">
        <v>690</v>
      </c>
      <c r="H584" s="9">
        <v>44657</v>
      </c>
      <c r="I584" t="s">
        <v>171</v>
      </c>
      <c r="J584" t="s">
        <v>0</v>
      </c>
      <c r="K584" s="9">
        <v>44679</v>
      </c>
      <c r="L584" t="s">
        <v>29</v>
      </c>
      <c r="M584"/>
      <c r="N584"/>
      <c r="O584"/>
      <c r="P584"/>
      <c r="Q584" s="9">
        <v>44679</v>
      </c>
      <c r="R584"/>
      <c r="S584"/>
      <c r="T584"/>
      <c r="U584"/>
    </row>
    <row r="585" spans="1:21" hidden="1">
      <c r="A585" s="7" t="s">
        <v>8754</v>
      </c>
      <c r="B585" s="7" t="s">
        <v>8066</v>
      </c>
      <c r="C585" s="8" t="s">
        <v>5317</v>
      </c>
      <c r="D585" t="s">
        <v>168</v>
      </c>
      <c r="E585" t="s">
        <v>472</v>
      </c>
      <c r="F585" t="s">
        <v>117</v>
      </c>
      <c r="G585" t="s">
        <v>691</v>
      </c>
      <c r="H585" s="9">
        <v>44657</v>
      </c>
      <c r="I585" t="s">
        <v>171</v>
      </c>
      <c r="J585" t="s">
        <v>0</v>
      </c>
      <c r="K585" s="9">
        <v>44679</v>
      </c>
      <c r="L585" t="s">
        <v>29</v>
      </c>
      <c r="M585"/>
      <c r="N585"/>
      <c r="O585"/>
      <c r="P585"/>
      <c r="Q585" s="9">
        <v>44679</v>
      </c>
      <c r="R585"/>
      <c r="S585"/>
      <c r="T585"/>
      <c r="U585"/>
    </row>
    <row r="586" spans="1:21" hidden="1">
      <c r="A586" s="7" t="s">
        <v>8754</v>
      </c>
      <c r="B586" s="7" t="s">
        <v>8066</v>
      </c>
      <c r="C586" s="8" t="s">
        <v>5317</v>
      </c>
      <c r="D586" t="s">
        <v>168</v>
      </c>
      <c r="E586" t="s">
        <v>472</v>
      </c>
      <c r="F586" t="s">
        <v>117</v>
      </c>
      <c r="G586" t="s">
        <v>692</v>
      </c>
      <c r="H586" s="9">
        <v>44657</v>
      </c>
      <c r="I586" t="s">
        <v>171</v>
      </c>
      <c r="J586" t="s">
        <v>0</v>
      </c>
      <c r="K586" s="9">
        <v>44679</v>
      </c>
      <c r="L586" t="s">
        <v>29</v>
      </c>
      <c r="M586"/>
      <c r="N586"/>
      <c r="O586"/>
      <c r="P586"/>
      <c r="Q586" s="9">
        <v>44679</v>
      </c>
      <c r="R586"/>
      <c r="S586"/>
      <c r="T586"/>
      <c r="U586"/>
    </row>
    <row r="587" spans="1:21" hidden="1">
      <c r="A587" s="7" t="s">
        <v>8754</v>
      </c>
      <c r="B587" s="7" t="s">
        <v>8066</v>
      </c>
      <c r="C587" s="8" t="s">
        <v>5317</v>
      </c>
      <c r="D587" t="s">
        <v>168</v>
      </c>
      <c r="E587" t="s">
        <v>472</v>
      </c>
      <c r="F587" t="s">
        <v>117</v>
      </c>
      <c r="G587" t="s">
        <v>693</v>
      </c>
      <c r="H587" s="9">
        <v>44657</v>
      </c>
      <c r="I587" t="s">
        <v>171</v>
      </c>
      <c r="J587" t="s">
        <v>0</v>
      </c>
      <c r="K587" s="9">
        <v>44679</v>
      </c>
      <c r="L587" t="s">
        <v>29</v>
      </c>
      <c r="M587"/>
      <c r="N587"/>
      <c r="O587"/>
      <c r="P587"/>
      <c r="Q587" s="9">
        <v>44679</v>
      </c>
      <c r="R587"/>
      <c r="S587"/>
      <c r="T587"/>
      <c r="U587"/>
    </row>
    <row r="588" spans="1:21" hidden="1">
      <c r="A588" s="7" t="s">
        <v>8754</v>
      </c>
      <c r="B588" s="7" t="s">
        <v>8066</v>
      </c>
      <c r="C588" s="8" t="s">
        <v>5317</v>
      </c>
      <c r="D588" t="s">
        <v>168</v>
      </c>
      <c r="E588" t="s">
        <v>472</v>
      </c>
      <c r="F588" t="s">
        <v>117</v>
      </c>
      <c r="G588" t="s">
        <v>694</v>
      </c>
      <c r="H588" s="9">
        <v>44657</v>
      </c>
      <c r="I588" t="s">
        <v>171</v>
      </c>
      <c r="J588" t="s">
        <v>0</v>
      </c>
      <c r="K588" s="9">
        <v>44679</v>
      </c>
      <c r="L588" t="s">
        <v>29</v>
      </c>
      <c r="M588"/>
      <c r="N588"/>
      <c r="O588"/>
      <c r="P588"/>
      <c r="Q588" s="9">
        <v>44679</v>
      </c>
      <c r="R588"/>
      <c r="S588"/>
      <c r="T588"/>
      <c r="U588"/>
    </row>
    <row r="589" spans="1:21" hidden="1">
      <c r="A589" s="7" t="s">
        <v>8754</v>
      </c>
      <c r="B589" s="7" t="s">
        <v>8066</v>
      </c>
      <c r="C589" s="8" t="s">
        <v>5317</v>
      </c>
      <c r="D589" t="s">
        <v>168</v>
      </c>
      <c r="E589" t="s">
        <v>472</v>
      </c>
      <c r="F589" t="s">
        <v>117</v>
      </c>
      <c r="G589" t="s">
        <v>695</v>
      </c>
      <c r="H589" s="9">
        <v>44657</v>
      </c>
      <c r="I589" t="s">
        <v>171</v>
      </c>
      <c r="J589" t="s">
        <v>0</v>
      </c>
      <c r="K589" s="9">
        <v>44679</v>
      </c>
      <c r="L589" t="s">
        <v>29</v>
      </c>
      <c r="M589"/>
      <c r="N589"/>
      <c r="O589"/>
      <c r="P589"/>
      <c r="Q589" s="9">
        <v>44679</v>
      </c>
      <c r="R589"/>
      <c r="S589"/>
      <c r="T589"/>
      <c r="U589"/>
    </row>
    <row r="590" spans="1:21" hidden="1">
      <c r="A590" s="7" t="s">
        <v>8754</v>
      </c>
      <c r="B590" s="7" t="s">
        <v>8066</v>
      </c>
      <c r="C590" s="8" t="s">
        <v>5317</v>
      </c>
      <c r="D590" t="s">
        <v>168</v>
      </c>
      <c r="E590" t="s">
        <v>472</v>
      </c>
      <c r="F590" t="s">
        <v>117</v>
      </c>
      <c r="G590" t="s">
        <v>696</v>
      </c>
      <c r="H590" s="9">
        <v>44657</v>
      </c>
      <c r="I590" t="s">
        <v>171</v>
      </c>
      <c r="J590" t="s">
        <v>0</v>
      </c>
      <c r="K590" s="9">
        <v>44679</v>
      </c>
      <c r="L590" t="s">
        <v>29</v>
      </c>
      <c r="M590"/>
      <c r="N590"/>
      <c r="O590"/>
      <c r="P590"/>
      <c r="Q590" s="9">
        <v>44679</v>
      </c>
      <c r="R590"/>
      <c r="S590"/>
      <c r="T590"/>
      <c r="U590"/>
    </row>
    <row r="591" spans="1:21" hidden="1">
      <c r="A591" s="7" t="s">
        <v>8754</v>
      </c>
      <c r="B591" s="7" t="s">
        <v>8066</v>
      </c>
      <c r="C591" s="8" t="s">
        <v>5317</v>
      </c>
      <c r="D591" t="s">
        <v>168</v>
      </c>
      <c r="E591" t="s">
        <v>472</v>
      </c>
      <c r="F591" t="s">
        <v>117</v>
      </c>
      <c r="G591" t="s">
        <v>697</v>
      </c>
      <c r="H591" s="9">
        <v>44657</v>
      </c>
      <c r="I591" t="s">
        <v>171</v>
      </c>
      <c r="J591" t="s">
        <v>0</v>
      </c>
      <c r="K591" s="9">
        <v>44679</v>
      </c>
      <c r="L591" t="s">
        <v>29</v>
      </c>
      <c r="M591"/>
      <c r="N591"/>
      <c r="O591"/>
      <c r="P591"/>
      <c r="Q591" s="9">
        <v>44679</v>
      </c>
      <c r="R591"/>
      <c r="S591"/>
      <c r="T591"/>
      <c r="U591"/>
    </row>
    <row r="592" spans="1:21" hidden="1">
      <c r="A592" s="7" t="s">
        <v>8754</v>
      </c>
      <c r="B592" s="7" t="s">
        <v>8066</v>
      </c>
      <c r="C592" s="8" t="s">
        <v>5317</v>
      </c>
      <c r="D592" t="s">
        <v>168</v>
      </c>
      <c r="E592" t="s">
        <v>472</v>
      </c>
      <c r="F592" t="s">
        <v>117</v>
      </c>
      <c r="G592" t="s">
        <v>698</v>
      </c>
      <c r="H592" s="9">
        <v>44657</v>
      </c>
      <c r="I592" t="s">
        <v>171</v>
      </c>
      <c r="J592" t="s">
        <v>0</v>
      </c>
      <c r="K592" s="9">
        <v>44679</v>
      </c>
      <c r="L592" t="s">
        <v>29</v>
      </c>
      <c r="M592"/>
      <c r="N592"/>
      <c r="O592"/>
      <c r="P592"/>
      <c r="Q592" s="9">
        <v>44679</v>
      </c>
      <c r="R592"/>
      <c r="S592"/>
      <c r="T592"/>
      <c r="U592"/>
    </row>
    <row r="593" spans="1:21" hidden="1">
      <c r="A593" s="7" t="s">
        <v>8754</v>
      </c>
      <c r="B593" s="7" t="s">
        <v>8066</v>
      </c>
      <c r="C593" s="8" t="s">
        <v>5317</v>
      </c>
      <c r="D593" t="s">
        <v>168</v>
      </c>
      <c r="E593" t="s">
        <v>472</v>
      </c>
      <c r="F593" t="s">
        <v>117</v>
      </c>
      <c r="G593" t="s">
        <v>699</v>
      </c>
      <c r="H593" s="9">
        <v>44657</v>
      </c>
      <c r="I593" t="s">
        <v>171</v>
      </c>
      <c r="J593" t="s">
        <v>0</v>
      </c>
      <c r="K593" s="9">
        <v>44679</v>
      </c>
      <c r="L593" t="s">
        <v>29</v>
      </c>
      <c r="M593"/>
      <c r="N593"/>
      <c r="O593"/>
      <c r="P593"/>
      <c r="Q593" s="9">
        <v>44679</v>
      </c>
      <c r="R593"/>
      <c r="S593"/>
      <c r="T593"/>
      <c r="U593"/>
    </row>
    <row r="594" spans="1:21" hidden="1">
      <c r="A594" s="7" t="s">
        <v>8754</v>
      </c>
      <c r="B594" s="7" t="s">
        <v>8066</v>
      </c>
      <c r="C594" s="8" t="s">
        <v>5317</v>
      </c>
      <c r="D594" t="s">
        <v>168</v>
      </c>
      <c r="E594" t="s">
        <v>472</v>
      </c>
      <c r="F594" t="s">
        <v>117</v>
      </c>
      <c r="G594" t="s">
        <v>700</v>
      </c>
      <c r="H594" s="9">
        <v>44657</v>
      </c>
      <c r="I594" t="s">
        <v>171</v>
      </c>
      <c r="J594" t="s">
        <v>0</v>
      </c>
      <c r="K594" s="9">
        <v>44679</v>
      </c>
      <c r="L594" t="s">
        <v>29</v>
      </c>
      <c r="M594"/>
      <c r="N594"/>
      <c r="O594"/>
      <c r="P594"/>
      <c r="Q594" s="9">
        <v>44679</v>
      </c>
      <c r="R594"/>
      <c r="S594"/>
      <c r="T594"/>
      <c r="U594"/>
    </row>
    <row r="595" spans="1:21" hidden="1">
      <c r="A595" s="7" t="s">
        <v>8754</v>
      </c>
      <c r="B595" s="7" t="s">
        <v>8066</v>
      </c>
      <c r="C595" s="8" t="s">
        <v>5317</v>
      </c>
      <c r="D595" t="s">
        <v>168</v>
      </c>
      <c r="E595" t="s">
        <v>472</v>
      </c>
      <c r="F595" t="s">
        <v>117</v>
      </c>
      <c r="G595" t="s">
        <v>701</v>
      </c>
      <c r="H595" s="9">
        <v>44657</v>
      </c>
      <c r="I595" t="s">
        <v>171</v>
      </c>
      <c r="J595" t="s">
        <v>0</v>
      </c>
      <c r="K595" s="9">
        <v>44679</v>
      </c>
      <c r="L595" t="s">
        <v>29</v>
      </c>
      <c r="M595"/>
      <c r="N595"/>
      <c r="O595"/>
      <c r="P595"/>
      <c r="Q595" s="9">
        <v>44679</v>
      </c>
      <c r="R595"/>
      <c r="S595"/>
      <c r="T595"/>
      <c r="U595"/>
    </row>
    <row r="596" spans="1:21" hidden="1">
      <c r="A596" s="7" t="s">
        <v>8754</v>
      </c>
      <c r="B596" s="7" t="s">
        <v>8066</v>
      </c>
      <c r="C596" s="8" t="s">
        <v>5317</v>
      </c>
      <c r="D596" t="s">
        <v>168</v>
      </c>
      <c r="E596" t="s">
        <v>472</v>
      </c>
      <c r="F596" t="s">
        <v>117</v>
      </c>
      <c r="G596" t="s">
        <v>702</v>
      </c>
      <c r="H596" s="9">
        <v>44657</v>
      </c>
      <c r="I596" t="s">
        <v>171</v>
      </c>
      <c r="J596" t="s">
        <v>0</v>
      </c>
      <c r="K596" s="9">
        <v>44679</v>
      </c>
      <c r="L596" t="s">
        <v>29</v>
      </c>
      <c r="M596"/>
      <c r="N596"/>
      <c r="O596"/>
      <c r="P596"/>
      <c r="Q596" s="9">
        <v>44679</v>
      </c>
      <c r="R596"/>
      <c r="S596"/>
      <c r="T596"/>
      <c r="U596"/>
    </row>
    <row r="597" spans="1:21" hidden="1">
      <c r="A597" s="7" t="s">
        <v>8754</v>
      </c>
      <c r="B597" s="7" t="s">
        <v>8066</v>
      </c>
      <c r="C597" s="8" t="s">
        <v>5317</v>
      </c>
      <c r="D597" t="s">
        <v>168</v>
      </c>
      <c r="E597" t="s">
        <v>472</v>
      </c>
      <c r="F597" t="s">
        <v>117</v>
      </c>
      <c r="G597" t="s">
        <v>703</v>
      </c>
      <c r="H597" s="9">
        <v>44657</v>
      </c>
      <c r="I597" t="s">
        <v>171</v>
      </c>
      <c r="J597" t="s">
        <v>0</v>
      </c>
      <c r="K597" s="9">
        <v>44679</v>
      </c>
      <c r="L597" t="s">
        <v>29</v>
      </c>
      <c r="M597"/>
      <c r="N597"/>
      <c r="O597"/>
      <c r="P597"/>
      <c r="Q597" s="9">
        <v>44679</v>
      </c>
      <c r="R597"/>
      <c r="S597"/>
      <c r="T597"/>
      <c r="U597"/>
    </row>
    <row r="598" spans="1:21" hidden="1">
      <c r="A598" s="7" t="s">
        <v>8754</v>
      </c>
      <c r="B598" s="7" t="s">
        <v>8066</v>
      </c>
      <c r="C598" s="8" t="s">
        <v>5317</v>
      </c>
      <c r="D598" t="s">
        <v>168</v>
      </c>
      <c r="E598" t="s">
        <v>472</v>
      </c>
      <c r="F598" t="s">
        <v>117</v>
      </c>
      <c r="G598" t="s">
        <v>704</v>
      </c>
      <c r="H598" s="9">
        <v>44657</v>
      </c>
      <c r="I598" t="s">
        <v>171</v>
      </c>
      <c r="J598" t="s">
        <v>0</v>
      </c>
      <c r="K598" s="9">
        <v>44679</v>
      </c>
      <c r="L598" t="s">
        <v>29</v>
      </c>
      <c r="M598"/>
      <c r="N598"/>
      <c r="O598"/>
      <c r="P598"/>
      <c r="Q598" s="9">
        <v>44679</v>
      </c>
      <c r="R598"/>
      <c r="S598"/>
      <c r="T598"/>
      <c r="U598"/>
    </row>
    <row r="599" spans="1:21" hidden="1">
      <c r="A599" s="7" t="s">
        <v>8754</v>
      </c>
      <c r="B599" s="7" t="s">
        <v>8066</v>
      </c>
      <c r="C599" s="8" t="s">
        <v>5317</v>
      </c>
      <c r="D599" t="s">
        <v>168</v>
      </c>
      <c r="E599" t="s">
        <v>472</v>
      </c>
      <c r="F599" t="s">
        <v>117</v>
      </c>
      <c r="G599" t="s">
        <v>705</v>
      </c>
      <c r="H599" s="9">
        <v>44657</v>
      </c>
      <c r="I599" t="s">
        <v>171</v>
      </c>
      <c r="J599" t="s">
        <v>0</v>
      </c>
      <c r="K599" s="9">
        <v>44679</v>
      </c>
      <c r="L599" t="s">
        <v>29</v>
      </c>
      <c r="M599"/>
      <c r="N599"/>
      <c r="O599"/>
      <c r="P599"/>
      <c r="Q599" s="9">
        <v>44679</v>
      </c>
      <c r="R599"/>
      <c r="S599"/>
      <c r="T599"/>
      <c r="U599"/>
    </row>
    <row r="600" spans="1:21" hidden="1">
      <c r="A600" s="7" t="s">
        <v>8754</v>
      </c>
      <c r="B600" s="7" t="s">
        <v>8066</v>
      </c>
      <c r="C600" s="8" t="s">
        <v>5317</v>
      </c>
      <c r="D600" t="s">
        <v>168</v>
      </c>
      <c r="E600" t="s">
        <v>472</v>
      </c>
      <c r="F600" t="s">
        <v>117</v>
      </c>
      <c r="G600" t="s">
        <v>706</v>
      </c>
      <c r="H600" s="9">
        <v>44657</v>
      </c>
      <c r="I600" t="s">
        <v>171</v>
      </c>
      <c r="J600" t="s">
        <v>0</v>
      </c>
      <c r="K600" s="9">
        <v>44679</v>
      </c>
      <c r="L600" t="s">
        <v>29</v>
      </c>
      <c r="M600"/>
      <c r="N600"/>
      <c r="O600"/>
      <c r="P600"/>
      <c r="Q600" s="9">
        <v>44679</v>
      </c>
      <c r="R600"/>
      <c r="S600"/>
      <c r="T600"/>
      <c r="U600"/>
    </row>
    <row r="601" spans="1:21" hidden="1">
      <c r="A601" s="7" t="s">
        <v>8754</v>
      </c>
      <c r="B601" s="7" t="s">
        <v>8066</v>
      </c>
      <c r="C601" s="8" t="s">
        <v>5317</v>
      </c>
      <c r="D601" t="s">
        <v>168</v>
      </c>
      <c r="E601" t="s">
        <v>472</v>
      </c>
      <c r="F601" t="s">
        <v>117</v>
      </c>
      <c r="G601" t="s">
        <v>707</v>
      </c>
      <c r="H601" s="9">
        <v>44657</v>
      </c>
      <c r="I601" t="s">
        <v>171</v>
      </c>
      <c r="J601" t="s">
        <v>0</v>
      </c>
      <c r="K601" s="9">
        <v>44679</v>
      </c>
      <c r="L601" t="s">
        <v>29</v>
      </c>
      <c r="M601"/>
      <c r="N601"/>
      <c r="O601"/>
      <c r="P601"/>
      <c r="Q601" s="9">
        <v>44679</v>
      </c>
      <c r="R601"/>
      <c r="S601"/>
      <c r="T601"/>
      <c r="U601"/>
    </row>
    <row r="602" spans="1:21" hidden="1">
      <c r="A602" s="7" t="s">
        <v>8754</v>
      </c>
      <c r="B602" s="7" t="s">
        <v>8066</v>
      </c>
      <c r="C602" s="8" t="s">
        <v>5317</v>
      </c>
      <c r="D602" t="s">
        <v>168</v>
      </c>
      <c r="E602" t="s">
        <v>472</v>
      </c>
      <c r="F602" t="s">
        <v>117</v>
      </c>
      <c r="G602" t="s">
        <v>708</v>
      </c>
      <c r="H602" s="9">
        <v>44657</v>
      </c>
      <c r="I602" t="s">
        <v>171</v>
      </c>
      <c r="J602" t="s">
        <v>0</v>
      </c>
      <c r="K602" s="9">
        <v>44679</v>
      </c>
      <c r="L602" t="s">
        <v>29</v>
      </c>
      <c r="M602"/>
      <c r="N602"/>
      <c r="O602"/>
      <c r="P602"/>
      <c r="Q602" s="9">
        <v>44679</v>
      </c>
      <c r="R602"/>
      <c r="S602"/>
      <c r="T602"/>
      <c r="U602"/>
    </row>
    <row r="603" spans="1:21" hidden="1">
      <c r="A603" s="7" t="s">
        <v>8754</v>
      </c>
      <c r="B603" s="7" t="s">
        <v>8066</v>
      </c>
      <c r="C603" s="8" t="s">
        <v>5317</v>
      </c>
      <c r="D603" t="s">
        <v>168</v>
      </c>
      <c r="E603" t="s">
        <v>472</v>
      </c>
      <c r="F603" t="s">
        <v>117</v>
      </c>
      <c r="G603" t="s">
        <v>709</v>
      </c>
      <c r="H603" s="9">
        <v>44657</v>
      </c>
      <c r="I603" t="s">
        <v>171</v>
      </c>
      <c r="J603" t="s">
        <v>0</v>
      </c>
      <c r="K603" s="9">
        <v>44679</v>
      </c>
      <c r="L603" t="s">
        <v>29</v>
      </c>
      <c r="M603"/>
      <c r="N603"/>
      <c r="O603"/>
      <c r="P603"/>
      <c r="Q603" s="9">
        <v>44679</v>
      </c>
      <c r="R603"/>
      <c r="S603"/>
      <c r="T603"/>
      <c r="U603"/>
    </row>
    <row r="604" spans="1:21" hidden="1">
      <c r="A604" s="7" t="s">
        <v>8754</v>
      </c>
      <c r="B604" s="7" t="s">
        <v>8066</v>
      </c>
      <c r="C604" s="8" t="s">
        <v>5317</v>
      </c>
      <c r="D604" t="s">
        <v>168</v>
      </c>
      <c r="E604" t="s">
        <v>472</v>
      </c>
      <c r="F604" t="s">
        <v>117</v>
      </c>
      <c r="G604" t="s">
        <v>710</v>
      </c>
      <c r="H604" s="9">
        <v>44657</v>
      </c>
      <c r="I604" t="s">
        <v>171</v>
      </c>
      <c r="J604" t="s">
        <v>0</v>
      </c>
      <c r="K604" s="9">
        <v>44679</v>
      </c>
      <c r="L604" t="s">
        <v>29</v>
      </c>
      <c r="M604"/>
      <c r="N604"/>
      <c r="O604"/>
      <c r="P604"/>
      <c r="Q604" s="9">
        <v>44679</v>
      </c>
      <c r="R604"/>
      <c r="S604"/>
      <c r="T604"/>
      <c r="U604"/>
    </row>
    <row r="605" spans="1:21" hidden="1">
      <c r="A605" s="7" t="s">
        <v>8754</v>
      </c>
      <c r="B605" s="7" t="s">
        <v>8066</v>
      </c>
      <c r="C605" s="8" t="s">
        <v>5317</v>
      </c>
      <c r="D605" t="s">
        <v>168</v>
      </c>
      <c r="E605" t="s">
        <v>472</v>
      </c>
      <c r="F605" t="s">
        <v>117</v>
      </c>
      <c r="G605" t="s">
        <v>711</v>
      </c>
      <c r="H605" s="9">
        <v>44657</v>
      </c>
      <c r="I605" t="s">
        <v>171</v>
      </c>
      <c r="J605" t="s">
        <v>0</v>
      </c>
      <c r="K605" s="9">
        <v>44679</v>
      </c>
      <c r="L605" t="s">
        <v>29</v>
      </c>
      <c r="M605"/>
      <c r="N605"/>
      <c r="O605"/>
      <c r="P605"/>
      <c r="Q605" s="9">
        <v>44679</v>
      </c>
      <c r="R605"/>
      <c r="S605"/>
      <c r="T605"/>
      <c r="U605"/>
    </row>
    <row r="606" spans="1:21" hidden="1">
      <c r="A606" s="7" t="s">
        <v>8754</v>
      </c>
      <c r="B606" s="7" t="s">
        <v>8066</v>
      </c>
      <c r="C606" s="8" t="s">
        <v>5317</v>
      </c>
      <c r="D606" t="s">
        <v>168</v>
      </c>
      <c r="E606" t="s">
        <v>472</v>
      </c>
      <c r="F606" t="s">
        <v>117</v>
      </c>
      <c r="G606" t="s">
        <v>712</v>
      </c>
      <c r="H606" s="9">
        <v>44657</v>
      </c>
      <c r="I606" t="s">
        <v>171</v>
      </c>
      <c r="J606" t="s">
        <v>0</v>
      </c>
      <c r="K606" s="9">
        <v>44679</v>
      </c>
      <c r="L606" t="s">
        <v>29</v>
      </c>
      <c r="M606"/>
      <c r="N606"/>
      <c r="O606"/>
      <c r="P606"/>
      <c r="Q606" s="9">
        <v>44679</v>
      </c>
      <c r="R606"/>
      <c r="S606"/>
      <c r="T606"/>
      <c r="U606"/>
    </row>
    <row r="607" spans="1:21" hidden="1">
      <c r="A607" s="7" t="s">
        <v>8754</v>
      </c>
      <c r="B607" s="7" t="s">
        <v>8066</v>
      </c>
      <c r="C607" s="8" t="s">
        <v>5317</v>
      </c>
      <c r="D607" t="s">
        <v>168</v>
      </c>
      <c r="E607" t="s">
        <v>472</v>
      </c>
      <c r="F607" t="s">
        <v>117</v>
      </c>
      <c r="G607" t="s">
        <v>713</v>
      </c>
      <c r="H607" s="9">
        <v>44657</v>
      </c>
      <c r="I607" t="s">
        <v>171</v>
      </c>
      <c r="J607" t="s">
        <v>0</v>
      </c>
      <c r="K607" s="9">
        <v>44679</v>
      </c>
      <c r="L607" t="s">
        <v>29</v>
      </c>
      <c r="M607"/>
      <c r="N607"/>
      <c r="O607"/>
      <c r="P607"/>
      <c r="Q607" s="9">
        <v>44679</v>
      </c>
      <c r="R607"/>
      <c r="S607"/>
      <c r="T607"/>
      <c r="U607"/>
    </row>
    <row r="608" spans="1:21" hidden="1">
      <c r="A608" s="7" t="s">
        <v>8754</v>
      </c>
      <c r="B608" s="7" t="s">
        <v>8066</v>
      </c>
      <c r="C608" s="8" t="s">
        <v>5317</v>
      </c>
      <c r="D608" t="s">
        <v>168</v>
      </c>
      <c r="E608" t="s">
        <v>472</v>
      </c>
      <c r="F608" t="s">
        <v>117</v>
      </c>
      <c r="G608" t="s">
        <v>714</v>
      </c>
      <c r="H608" s="9">
        <v>44657</v>
      </c>
      <c r="I608" t="s">
        <v>171</v>
      </c>
      <c r="J608" t="s">
        <v>0</v>
      </c>
      <c r="K608" s="9">
        <v>44679</v>
      </c>
      <c r="L608" t="s">
        <v>29</v>
      </c>
      <c r="M608"/>
      <c r="N608"/>
      <c r="O608"/>
      <c r="P608"/>
      <c r="Q608" s="9">
        <v>44679</v>
      </c>
      <c r="R608"/>
      <c r="S608"/>
      <c r="T608"/>
      <c r="U608"/>
    </row>
    <row r="609" spans="1:21" hidden="1">
      <c r="A609" s="7" t="s">
        <v>8754</v>
      </c>
      <c r="B609" s="7" t="s">
        <v>8066</v>
      </c>
      <c r="C609" s="8" t="s">
        <v>5317</v>
      </c>
      <c r="D609" t="s">
        <v>168</v>
      </c>
      <c r="E609" t="s">
        <v>472</v>
      </c>
      <c r="F609" t="s">
        <v>117</v>
      </c>
      <c r="G609" t="s">
        <v>715</v>
      </c>
      <c r="H609" s="9">
        <v>44657</v>
      </c>
      <c r="I609" t="s">
        <v>171</v>
      </c>
      <c r="J609" t="s">
        <v>0</v>
      </c>
      <c r="K609" s="9">
        <v>44679</v>
      </c>
      <c r="L609" t="s">
        <v>29</v>
      </c>
      <c r="M609"/>
      <c r="N609"/>
      <c r="O609"/>
      <c r="P609"/>
      <c r="Q609" s="9">
        <v>44679</v>
      </c>
      <c r="R609"/>
      <c r="S609"/>
      <c r="T609"/>
      <c r="U609"/>
    </row>
    <row r="610" spans="1:21" hidden="1">
      <c r="A610" s="7" t="s">
        <v>8754</v>
      </c>
      <c r="B610" s="7" t="s">
        <v>8066</v>
      </c>
      <c r="C610" s="8" t="s">
        <v>5317</v>
      </c>
      <c r="D610" t="s">
        <v>168</v>
      </c>
      <c r="E610" t="s">
        <v>472</v>
      </c>
      <c r="F610" t="s">
        <v>117</v>
      </c>
      <c r="G610" t="s">
        <v>716</v>
      </c>
      <c r="H610" s="9">
        <v>44657</v>
      </c>
      <c r="I610" t="s">
        <v>171</v>
      </c>
      <c r="J610" t="s">
        <v>0</v>
      </c>
      <c r="K610" s="9">
        <v>44679</v>
      </c>
      <c r="L610" t="s">
        <v>29</v>
      </c>
      <c r="M610"/>
      <c r="N610"/>
      <c r="O610"/>
      <c r="P610"/>
      <c r="Q610" s="9">
        <v>44679</v>
      </c>
      <c r="R610"/>
      <c r="S610"/>
      <c r="T610"/>
      <c r="U610"/>
    </row>
    <row r="611" spans="1:21" hidden="1">
      <c r="A611" s="7" t="s">
        <v>8754</v>
      </c>
      <c r="B611" s="7" t="s">
        <v>8066</v>
      </c>
      <c r="C611" s="8" t="s">
        <v>5317</v>
      </c>
      <c r="D611" t="s">
        <v>168</v>
      </c>
      <c r="E611" t="s">
        <v>472</v>
      </c>
      <c r="F611" t="s">
        <v>117</v>
      </c>
      <c r="G611" t="s">
        <v>717</v>
      </c>
      <c r="H611" s="9">
        <v>44657</v>
      </c>
      <c r="I611" t="s">
        <v>171</v>
      </c>
      <c r="J611" t="s">
        <v>0</v>
      </c>
      <c r="K611" s="9">
        <v>44679</v>
      </c>
      <c r="L611" t="s">
        <v>29</v>
      </c>
      <c r="M611"/>
      <c r="N611"/>
      <c r="O611"/>
      <c r="P611"/>
      <c r="Q611" s="9">
        <v>44679</v>
      </c>
      <c r="R611"/>
      <c r="S611"/>
      <c r="T611"/>
      <c r="U611"/>
    </row>
    <row r="612" spans="1:21" hidden="1">
      <c r="A612" s="7" t="s">
        <v>8754</v>
      </c>
      <c r="B612" s="7" t="s">
        <v>8066</v>
      </c>
      <c r="C612" s="8" t="s">
        <v>5317</v>
      </c>
      <c r="D612" t="s">
        <v>168</v>
      </c>
      <c r="E612" t="s">
        <v>472</v>
      </c>
      <c r="F612" t="s">
        <v>117</v>
      </c>
      <c r="G612" t="s">
        <v>718</v>
      </c>
      <c r="H612" s="9">
        <v>44657</v>
      </c>
      <c r="I612" t="s">
        <v>171</v>
      </c>
      <c r="J612" t="s">
        <v>0</v>
      </c>
      <c r="K612" s="9">
        <v>44679</v>
      </c>
      <c r="L612" t="s">
        <v>29</v>
      </c>
      <c r="M612"/>
      <c r="N612"/>
      <c r="O612"/>
      <c r="P612"/>
      <c r="Q612" s="9">
        <v>44679</v>
      </c>
      <c r="R612"/>
      <c r="S612"/>
      <c r="T612"/>
      <c r="U612"/>
    </row>
    <row r="613" spans="1:21" hidden="1">
      <c r="A613" s="7" t="s">
        <v>8754</v>
      </c>
      <c r="B613" s="7" t="s">
        <v>8066</v>
      </c>
      <c r="C613" s="8" t="s">
        <v>5317</v>
      </c>
      <c r="D613" t="s">
        <v>168</v>
      </c>
      <c r="E613" t="s">
        <v>472</v>
      </c>
      <c r="F613" t="s">
        <v>117</v>
      </c>
      <c r="G613" t="s">
        <v>719</v>
      </c>
      <c r="H613" s="9">
        <v>44657</v>
      </c>
      <c r="I613" t="s">
        <v>171</v>
      </c>
      <c r="J613" t="s">
        <v>0</v>
      </c>
      <c r="K613" s="9">
        <v>44679</v>
      </c>
      <c r="L613" t="s">
        <v>29</v>
      </c>
      <c r="M613"/>
      <c r="N613"/>
      <c r="O613"/>
      <c r="P613"/>
      <c r="Q613" s="9">
        <v>44679</v>
      </c>
      <c r="R613"/>
      <c r="S613"/>
      <c r="T613"/>
      <c r="U613"/>
    </row>
    <row r="614" spans="1:21" hidden="1">
      <c r="A614" s="7" t="s">
        <v>8754</v>
      </c>
      <c r="B614" s="7" t="s">
        <v>8066</v>
      </c>
      <c r="C614" s="8" t="s">
        <v>5317</v>
      </c>
      <c r="D614" t="s">
        <v>168</v>
      </c>
      <c r="E614" t="s">
        <v>472</v>
      </c>
      <c r="F614" t="s">
        <v>117</v>
      </c>
      <c r="G614" t="s">
        <v>720</v>
      </c>
      <c r="H614" s="9">
        <v>44657</v>
      </c>
      <c r="I614" t="s">
        <v>171</v>
      </c>
      <c r="J614" t="s">
        <v>0</v>
      </c>
      <c r="K614" s="9">
        <v>44679</v>
      </c>
      <c r="L614" t="s">
        <v>29</v>
      </c>
      <c r="M614"/>
      <c r="N614"/>
      <c r="O614"/>
      <c r="P614"/>
      <c r="Q614" s="9">
        <v>44679</v>
      </c>
      <c r="R614"/>
      <c r="S614"/>
      <c r="T614"/>
      <c r="U614"/>
    </row>
    <row r="615" spans="1:21" hidden="1">
      <c r="A615" s="7" t="s">
        <v>8751</v>
      </c>
      <c r="B615" s="7" t="s">
        <v>5405</v>
      </c>
      <c r="C615" s="8" t="s">
        <v>5317</v>
      </c>
      <c r="D615" t="s">
        <v>168</v>
      </c>
      <c r="E615" t="s">
        <v>25</v>
      </c>
      <c r="F615" t="s">
        <v>435</v>
      </c>
      <c r="G615" t="s">
        <v>721</v>
      </c>
      <c r="H615" s="9">
        <v>44657</v>
      </c>
      <c r="I615" t="s">
        <v>8634</v>
      </c>
      <c r="J615" t="s">
        <v>0</v>
      </c>
      <c r="K615" s="9">
        <v>44881</v>
      </c>
      <c r="L615" t="s">
        <v>29</v>
      </c>
      <c r="M615"/>
      <c r="N615" s="9">
        <v>44686</v>
      </c>
      <c r="O615" s="9">
        <v>44693</v>
      </c>
      <c r="P615" s="9">
        <v>44693</v>
      </c>
      <c r="Q615" s="9">
        <v>44881</v>
      </c>
      <c r="R615"/>
      <c r="S615"/>
      <c r="T615"/>
      <c r="U615"/>
    </row>
    <row r="616" spans="1:21" hidden="1">
      <c r="A616" s="7" t="s">
        <v>8764</v>
      </c>
      <c r="B616" s="7" t="s">
        <v>5405</v>
      </c>
      <c r="C616" s="8" t="s">
        <v>5317</v>
      </c>
      <c r="D616" t="s">
        <v>168</v>
      </c>
      <c r="E616" t="s">
        <v>25</v>
      </c>
      <c r="F616" t="s">
        <v>75</v>
      </c>
      <c r="G616" t="s">
        <v>722</v>
      </c>
      <c r="H616" s="9">
        <v>44658</v>
      </c>
      <c r="I616" t="s">
        <v>8634</v>
      </c>
      <c r="J616" t="s">
        <v>0</v>
      </c>
      <c r="K616" s="9">
        <v>44862</v>
      </c>
      <c r="L616" t="s">
        <v>29</v>
      </c>
      <c r="M616"/>
      <c r="N616" s="9">
        <v>44686</v>
      </c>
      <c r="O616" s="9">
        <v>44693</v>
      </c>
      <c r="P616" s="9">
        <v>44693</v>
      </c>
      <c r="Q616" s="9">
        <v>44862</v>
      </c>
      <c r="R616"/>
      <c r="S616"/>
      <c r="T616"/>
      <c r="U616"/>
    </row>
    <row r="617" spans="1:21" hidden="1">
      <c r="A617" s="7" t="s">
        <v>8751</v>
      </c>
      <c r="B617" s="7" t="s">
        <v>5405</v>
      </c>
      <c r="C617" s="8" t="s">
        <v>5317</v>
      </c>
      <c r="D617" t="s">
        <v>168</v>
      </c>
      <c r="E617" t="s">
        <v>25</v>
      </c>
      <c r="F617" t="s">
        <v>435</v>
      </c>
      <c r="G617" t="s">
        <v>722</v>
      </c>
      <c r="H617" s="9">
        <v>44657</v>
      </c>
      <c r="I617" t="s">
        <v>8634</v>
      </c>
      <c r="J617" t="s">
        <v>0</v>
      </c>
      <c r="K617" s="9">
        <v>44881</v>
      </c>
      <c r="L617" t="s">
        <v>29</v>
      </c>
      <c r="M617"/>
      <c r="N617" s="9">
        <v>44686</v>
      </c>
      <c r="O617" s="9">
        <v>44693</v>
      </c>
      <c r="P617" s="9">
        <v>44693</v>
      </c>
      <c r="Q617" s="9">
        <v>44881</v>
      </c>
      <c r="R617"/>
      <c r="S617"/>
      <c r="T617"/>
      <c r="U617"/>
    </row>
    <row r="618" spans="1:21" hidden="1">
      <c r="A618" s="7" t="s">
        <v>8751</v>
      </c>
      <c r="B618" s="7" t="s">
        <v>5405</v>
      </c>
      <c r="C618" s="8" t="s">
        <v>5317</v>
      </c>
      <c r="D618" t="s">
        <v>168</v>
      </c>
      <c r="E618" t="s">
        <v>25</v>
      </c>
      <c r="F618" t="s">
        <v>435</v>
      </c>
      <c r="G618" t="s">
        <v>723</v>
      </c>
      <c r="H618" s="9">
        <v>44657</v>
      </c>
      <c r="I618" t="s">
        <v>8634</v>
      </c>
      <c r="J618" t="s">
        <v>0</v>
      </c>
      <c r="K618" s="9">
        <v>44881</v>
      </c>
      <c r="L618" t="s">
        <v>29</v>
      </c>
      <c r="M618"/>
      <c r="N618" s="9">
        <v>44686</v>
      </c>
      <c r="O618" s="9">
        <v>44693</v>
      </c>
      <c r="P618" s="9">
        <v>44693</v>
      </c>
      <c r="Q618" s="9">
        <v>44881</v>
      </c>
      <c r="R618"/>
      <c r="S618"/>
      <c r="T618"/>
      <c r="U618"/>
    </row>
    <row r="619" spans="1:21" hidden="1">
      <c r="A619" s="7" t="s">
        <v>8751</v>
      </c>
      <c r="B619" s="7" t="s">
        <v>5405</v>
      </c>
      <c r="C619" s="8" t="s">
        <v>5317</v>
      </c>
      <c r="D619" t="s">
        <v>168</v>
      </c>
      <c r="E619" t="s">
        <v>25</v>
      </c>
      <c r="F619" t="s">
        <v>435</v>
      </c>
      <c r="G619" t="s">
        <v>724</v>
      </c>
      <c r="H619" s="9">
        <v>44657</v>
      </c>
      <c r="I619" t="s">
        <v>8634</v>
      </c>
      <c r="J619" t="s">
        <v>0</v>
      </c>
      <c r="K619" s="9">
        <v>44881</v>
      </c>
      <c r="L619" t="s">
        <v>29</v>
      </c>
      <c r="M619"/>
      <c r="N619" s="9">
        <v>44686</v>
      </c>
      <c r="O619" s="9">
        <v>44693</v>
      </c>
      <c r="P619" s="9">
        <v>44693</v>
      </c>
      <c r="Q619" s="9">
        <v>44881</v>
      </c>
      <c r="R619"/>
      <c r="S619"/>
      <c r="T619"/>
      <c r="U619"/>
    </row>
    <row r="620" spans="1:21" hidden="1">
      <c r="A620" s="7" t="s">
        <v>8757</v>
      </c>
      <c r="B620" s="7" t="s">
        <v>5405</v>
      </c>
      <c r="C620" s="8" t="s">
        <v>5317</v>
      </c>
      <c r="D620" t="s">
        <v>168</v>
      </c>
      <c r="E620" t="s">
        <v>25</v>
      </c>
      <c r="F620" t="s">
        <v>491</v>
      </c>
      <c r="G620" t="s">
        <v>725</v>
      </c>
      <c r="H620" s="9">
        <v>44657</v>
      </c>
      <c r="I620" t="s">
        <v>8634</v>
      </c>
      <c r="J620" t="s">
        <v>0</v>
      </c>
      <c r="K620" s="9">
        <v>44827</v>
      </c>
      <c r="L620" t="s">
        <v>29</v>
      </c>
      <c r="M620"/>
      <c r="N620" s="9">
        <v>44686</v>
      </c>
      <c r="O620" s="9">
        <v>44693</v>
      </c>
      <c r="P620" s="9">
        <v>44693</v>
      </c>
      <c r="Q620" s="9">
        <v>44827</v>
      </c>
      <c r="R620"/>
      <c r="S620"/>
      <c r="T620"/>
      <c r="U620"/>
    </row>
    <row r="621" spans="1:21" hidden="1">
      <c r="A621" s="7" t="s">
        <v>8763</v>
      </c>
      <c r="B621" s="7" t="s">
        <v>5405</v>
      </c>
      <c r="C621" s="8" t="s">
        <v>5317</v>
      </c>
      <c r="D621" t="s">
        <v>168</v>
      </c>
      <c r="E621" t="s">
        <v>25</v>
      </c>
      <c r="F621" t="s">
        <v>280</v>
      </c>
      <c r="G621" t="s">
        <v>726</v>
      </c>
      <c r="H621" s="9">
        <v>44657</v>
      </c>
      <c r="I621" t="s">
        <v>8634</v>
      </c>
      <c r="J621" t="s">
        <v>0</v>
      </c>
      <c r="K621" s="9">
        <v>44858</v>
      </c>
      <c r="L621" t="s">
        <v>29</v>
      </c>
      <c r="M621"/>
      <c r="N621" s="9">
        <v>44686</v>
      </c>
      <c r="O621" s="9">
        <v>44693</v>
      </c>
      <c r="P621" s="9">
        <v>44693</v>
      </c>
      <c r="Q621" s="9">
        <v>44858</v>
      </c>
      <c r="R621"/>
      <c r="S621"/>
      <c r="T621"/>
      <c r="U621"/>
    </row>
    <row r="622" spans="1:21" hidden="1">
      <c r="A622" s="7" t="s">
        <v>8765</v>
      </c>
      <c r="B622" s="7" t="s">
        <v>5405</v>
      </c>
      <c r="C622" s="8" t="s">
        <v>5317</v>
      </c>
      <c r="D622" t="s">
        <v>24</v>
      </c>
      <c r="E622" t="s">
        <v>25</v>
      </c>
      <c r="F622" t="s">
        <v>231</v>
      </c>
      <c r="G622" t="s">
        <v>727</v>
      </c>
      <c r="H622" s="9">
        <v>44658</v>
      </c>
      <c r="I622" t="s">
        <v>8634</v>
      </c>
      <c r="J622" t="s">
        <v>163</v>
      </c>
      <c r="K622" s="9">
        <v>44693</v>
      </c>
      <c r="L622" t="s">
        <v>29</v>
      </c>
      <c r="M622"/>
      <c r="N622" s="9">
        <v>44686</v>
      </c>
      <c r="O622" s="9">
        <v>44693</v>
      </c>
      <c r="P622" s="9">
        <v>44693</v>
      </c>
      <c r="Q622"/>
      <c r="R622"/>
      <c r="S622"/>
      <c r="T622"/>
      <c r="U622"/>
    </row>
    <row r="623" spans="1:21" hidden="1">
      <c r="A623" s="7" t="s">
        <v>8765</v>
      </c>
      <c r="B623" s="7" t="s">
        <v>5405</v>
      </c>
      <c r="C623" s="8" t="s">
        <v>5317</v>
      </c>
      <c r="D623" t="s">
        <v>24</v>
      </c>
      <c r="E623" t="s">
        <v>25</v>
      </c>
      <c r="F623" t="s">
        <v>231</v>
      </c>
      <c r="G623" t="s">
        <v>728</v>
      </c>
      <c r="H623" s="9">
        <v>44658</v>
      </c>
      <c r="I623" t="s">
        <v>8634</v>
      </c>
      <c r="J623" t="s">
        <v>163</v>
      </c>
      <c r="K623" s="9">
        <v>44693</v>
      </c>
      <c r="L623" t="s">
        <v>29</v>
      </c>
      <c r="M623"/>
      <c r="N623" s="9">
        <v>44686</v>
      </c>
      <c r="O623" s="9">
        <v>44693</v>
      </c>
      <c r="P623" s="9">
        <v>44693</v>
      </c>
      <c r="Q623"/>
      <c r="R623"/>
      <c r="S623"/>
      <c r="T623"/>
      <c r="U623"/>
    </row>
    <row r="624" spans="1:21" hidden="1">
      <c r="A624" s="7" t="s">
        <v>8765</v>
      </c>
      <c r="B624" s="7" t="s">
        <v>5405</v>
      </c>
      <c r="C624" s="8" t="s">
        <v>5317</v>
      </c>
      <c r="D624" t="s">
        <v>24</v>
      </c>
      <c r="E624" t="s">
        <v>25</v>
      </c>
      <c r="F624" t="s">
        <v>231</v>
      </c>
      <c r="G624" t="s">
        <v>729</v>
      </c>
      <c r="H624" s="9">
        <v>44658</v>
      </c>
      <c r="I624" t="s">
        <v>8634</v>
      </c>
      <c r="J624" t="s">
        <v>163</v>
      </c>
      <c r="K624" s="9">
        <v>44693</v>
      </c>
      <c r="L624" t="s">
        <v>29</v>
      </c>
      <c r="M624"/>
      <c r="N624" s="9">
        <v>44686</v>
      </c>
      <c r="O624" s="9">
        <v>44693</v>
      </c>
      <c r="P624" s="9">
        <v>44693</v>
      </c>
      <c r="Q624"/>
      <c r="R624"/>
      <c r="S624"/>
      <c r="T624"/>
      <c r="U624"/>
    </row>
    <row r="625" spans="1:21" hidden="1">
      <c r="A625" s="7" t="s">
        <v>8765</v>
      </c>
      <c r="B625" s="7" t="s">
        <v>5405</v>
      </c>
      <c r="C625" s="8" t="s">
        <v>5317</v>
      </c>
      <c r="D625" t="s">
        <v>24</v>
      </c>
      <c r="E625" t="s">
        <v>25</v>
      </c>
      <c r="F625" t="s">
        <v>231</v>
      </c>
      <c r="G625" t="s">
        <v>730</v>
      </c>
      <c r="H625" s="9">
        <v>44658</v>
      </c>
      <c r="I625" t="s">
        <v>8634</v>
      </c>
      <c r="J625" t="s">
        <v>163</v>
      </c>
      <c r="K625" s="9">
        <v>44693</v>
      </c>
      <c r="L625" t="s">
        <v>29</v>
      </c>
      <c r="M625"/>
      <c r="N625" s="9">
        <v>44686</v>
      </c>
      <c r="O625" s="9">
        <v>44693</v>
      </c>
      <c r="P625" s="9">
        <v>44693</v>
      </c>
      <c r="Q625"/>
      <c r="R625"/>
      <c r="S625"/>
      <c r="T625"/>
      <c r="U625"/>
    </row>
    <row r="626" spans="1:21" hidden="1">
      <c r="A626" s="7" t="s">
        <v>8765</v>
      </c>
      <c r="B626" s="7" t="s">
        <v>5405</v>
      </c>
      <c r="C626" s="8" t="s">
        <v>5317</v>
      </c>
      <c r="D626" t="s">
        <v>24</v>
      </c>
      <c r="E626" t="s">
        <v>25</v>
      </c>
      <c r="F626" t="s">
        <v>231</v>
      </c>
      <c r="G626" t="s">
        <v>731</v>
      </c>
      <c r="H626" s="9">
        <v>44658</v>
      </c>
      <c r="I626" t="s">
        <v>8634</v>
      </c>
      <c r="J626" t="s">
        <v>163</v>
      </c>
      <c r="K626" s="9">
        <v>44693</v>
      </c>
      <c r="L626" t="s">
        <v>29</v>
      </c>
      <c r="M626"/>
      <c r="N626" s="9">
        <v>44686</v>
      </c>
      <c r="O626" s="9">
        <v>44693</v>
      </c>
      <c r="P626" s="9">
        <v>44693</v>
      </c>
      <c r="Q626"/>
      <c r="R626"/>
      <c r="S626"/>
      <c r="T626"/>
      <c r="U626"/>
    </row>
    <row r="627" spans="1:21" hidden="1">
      <c r="A627" s="7" t="s">
        <v>8765</v>
      </c>
      <c r="B627" s="7" t="s">
        <v>5405</v>
      </c>
      <c r="C627" s="8" t="s">
        <v>5317</v>
      </c>
      <c r="D627" t="s">
        <v>24</v>
      </c>
      <c r="E627" t="s">
        <v>25</v>
      </c>
      <c r="F627" t="s">
        <v>231</v>
      </c>
      <c r="G627" t="s">
        <v>732</v>
      </c>
      <c r="H627" s="9">
        <v>44658</v>
      </c>
      <c r="I627" t="s">
        <v>8634</v>
      </c>
      <c r="J627" t="s">
        <v>163</v>
      </c>
      <c r="K627" s="9">
        <v>44693</v>
      </c>
      <c r="L627" t="s">
        <v>29</v>
      </c>
      <c r="M627"/>
      <c r="N627" s="9">
        <v>44686</v>
      </c>
      <c r="O627" s="9">
        <v>44693</v>
      </c>
      <c r="P627" s="9">
        <v>44693</v>
      </c>
      <c r="Q627"/>
      <c r="R627"/>
      <c r="S627"/>
      <c r="T627"/>
      <c r="U627"/>
    </row>
    <row r="628" spans="1:21" hidden="1">
      <c r="A628" s="7" t="s">
        <v>8765</v>
      </c>
      <c r="B628" s="7" t="s">
        <v>5405</v>
      </c>
      <c r="C628" s="8" t="s">
        <v>5317</v>
      </c>
      <c r="D628" t="s">
        <v>24</v>
      </c>
      <c r="E628" t="s">
        <v>25</v>
      </c>
      <c r="F628" t="s">
        <v>231</v>
      </c>
      <c r="G628" t="s">
        <v>733</v>
      </c>
      <c r="H628" s="9">
        <v>44658</v>
      </c>
      <c r="I628" t="s">
        <v>8634</v>
      </c>
      <c r="J628" t="s">
        <v>163</v>
      </c>
      <c r="K628" s="9">
        <v>44693</v>
      </c>
      <c r="L628" t="s">
        <v>29</v>
      </c>
      <c r="M628"/>
      <c r="N628" s="9">
        <v>44686</v>
      </c>
      <c r="O628" s="9">
        <v>44693</v>
      </c>
      <c r="P628" s="9">
        <v>44693</v>
      </c>
      <c r="Q628"/>
      <c r="R628"/>
      <c r="S628"/>
      <c r="T628"/>
      <c r="U628"/>
    </row>
    <row r="629" spans="1:21" hidden="1">
      <c r="A629" s="7" t="s">
        <v>8752</v>
      </c>
      <c r="B629" s="7" t="s">
        <v>6707</v>
      </c>
      <c r="C629" s="8" t="s">
        <v>5317</v>
      </c>
      <c r="D629" t="s">
        <v>24</v>
      </c>
      <c r="E629" t="s">
        <v>439</v>
      </c>
      <c r="F629" t="s">
        <v>117</v>
      </c>
      <c r="G629" t="s">
        <v>440</v>
      </c>
      <c r="H629" s="9">
        <v>44657</v>
      </c>
      <c r="I629" t="s">
        <v>181</v>
      </c>
      <c r="J629" t="s">
        <v>0</v>
      </c>
      <c r="K629" s="9">
        <v>44881</v>
      </c>
      <c r="L629" t="s">
        <v>29</v>
      </c>
      <c r="M629"/>
      <c r="N629" s="9">
        <v>44686</v>
      </c>
      <c r="O629" s="9">
        <v>44693</v>
      </c>
      <c r="P629" s="9">
        <v>44693</v>
      </c>
      <c r="Q629" s="9">
        <v>44881</v>
      </c>
      <c r="R629"/>
      <c r="S629"/>
      <c r="T629"/>
      <c r="U629"/>
    </row>
    <row r="630" spans="1:21" hidden="1">
      <c r="A630" s="7" t="s">
        <v>8765</v>
      </c>
      <c r="B630" s="7" t="s">
        <v>5405</v>
      </c>
      <c r="C630" s="8" t="s">
        <v>5317</v>
      </c>
      <c r="D630" t="s">
        <v>24</v>
      </c>
      <c r="E630" t="s">
        <v>25</v>
      </c>
      <c r="F630" t="s">
        <v>231</v>
      </c>
      <c r="G630" t="s">
        <v>734</v>
      </c>
      <c r="H630" s="9">
        <v>44658</v>
      </c>
      <c r="I630" t="s">
        <v>8634</v>
      </c>
      <c r="J630" t="s">
        <v>163</v>
      </c>
      <c r="K630" s="9">
        <v>44693</v>
      </c>
      <c r="L630" t="s">
        <v>29</v>
      </c>
      <c r="M630"/>
      <c r="N630" s="9">
        <v>44686</v>
      </c>
      <c r="O630" s="9">
        <v>44693</v>
      </c>
      <c r="P630" s="9">
        <v>44693</v>
      </c>
      <c r="Q630"/>
      <c r="R630"/>
      <c r="S630"/>
      <c r="T630"/>
      <c r="U630"/>
    </row>
    <row r="631" spans="1:21" hidden="1">
      <c r="A631" s="7" t="s">
        <v>8765</v>
      </c>
      <c r="B631" s="7" t="s">
        <v>5405</v>
      </c>
      <c r="C631" s="8" t="s">
        <v>5317</v>
      </c>
      <c r="D631" t="s">
        <v>24</v>
      </c>
      <c r="E631" t="s">
        <v>25</v>
      </c>
      <c r="F631" t="s">
        <v>231</v>
      </c>
      <c r="G631" t="s">
        <v>735</v>
      </c>
      <c r="H631" s="9">
        <v>44658</v>
      </c>
      <c r="I631" t="s">
        <v>8634</v>
      </c>
      <c r="J631" t="s">
        <v>163</v>
      </c>
      <c r="K631" s="9">
        <v>44693</v>
      </c>
      <c r="L631" t="s">
        <v>29</v>
      </c>
      <c r="M631"/>
      <c r="N631" s="9">
        <v>44686</v>
      </c>
      <c r="O631" s="9">
        <v>44693</v>
      </c>
      <c r="P631" s="9">
        <v>44693</v>
      </c>
      <c r="Q631"/>
      <c r="R631"/>
      <c r="S631"/>
      <c r="T631"/>
      <c r="U631"/>
    </row>
    <row r="632" spans="1:21" hidden="1">
      <c r="A632" s="7" t="s">
        <v>8765</v>
      </c>
      <c r="B632" s="7" t="s">
        <v>5405</v>
      </c>
      <c r="C632" s="8" t="s">
        <v>5317</v>
      </c>
      <c r="D632" t="s">
        <v>24</v>
      </c>
      <c r="E632" t="s">
        <v>25</v>
      </c>
      <c r="F632" t="s">
        <v>231</v>
      </c>
      <c r="G632" t="s">
        <v>736</v>
      </c>
      <c r="H632" s="9">
        <v>44658</v>
      </c>
      <c r="I632" t="s">
        <v>8634</v>
      </c>
      <c r="J632" t="s">
        <v>163</v>
      </c>
      <c r="K632" s="9">
        <v>44693</v>
      </c>
      <c r="L632" t="s">
        <v>29</v>
      </c>
      <c r="M632"/>
      <c r="N632" s="9">
        <v>44686</v>
      </c>
      <c r="O632" s="9">
        <v>44693</v>
      </c>
      <c r="P632" s="9">
        <v>44693</v>
      </c>
      <c r="Q632"/>
      <c r="R632"/>
      <c r="S632"/>
      <c r="T632"/>
      <c r="U632"/>
    </row>
    <row r="633" spans="1:21" hidden="1">
      <c r="A633" s="7" t="s">
        <v>8766</v>
      </c>
      <c r="B633" s="7" t="s">
        <v>6427</v>
      </c>
      <c r="C633" s="8" t="s">
        <v>5317</v>
      </c>
      <c r="D633" t="s">
        <v>24</v>
      </c>
      <c r="E633" t="s">
        <v>737</v>
      </c>
      <c r="F633" t="s">
        <v>738</v>
      </c>
      <c r="G633" t="s">
        <v>739</v>
      </c>
      <c r="H633" s="9">
        <v>44676</v>
      </c>
      <c r="I633" t="s">
        <v>740</v>
      </c>
      <c r="J633" t="s">
        <v>2</v>
      </c>
      <c r="K633" s="9">
        <v>44711</v>
      </c>
      <c r="L633" t="s">
        <v>29</v>
      </c>
      <c r="M633" t="s">
        <v>741</v>
      </c>
      <c r="N633" s="9">
        <v>44686</v>
      </c>
      <c r="O633" s="9">
        <v>44706</v>
      </c>
      <c r="P633" s="9">
        <v>44706</v>
      </c>
      <c r="Q633"/>
      <c r="R633"/>
      <c r="S633"/>
      <c r="T633"/>
      <c r="U633"/>
    </row>
    <row r="634" spans="1:21" hidden="1">
      <c r="A634" s="7" t="s">
        <v>8766</v>
      </c>
      <c r="B634" s="7" t="s">
        <v>6427</v>
      </c>
      <c r="C634" s="8" t="s">
        <v>5317</v>
      </c>
      <c r="D634" t="s">
        <v>24</v>
      </c>
      <c r="E634" t="s">
        <v>737</v>
      </c>
      <c r="F634" t="s">
        <v>738</v>
      </c>
      <c r="G634" t="s">
        <v>742</v>
      </c>
      <c r="H634" s="9">
        <v>44676</v>
      </c>
      <c r="I634" t="s">
        <v>740</v>
      </c>
      <c r="J634" t="s">
        <v>2</v>
      </c>
      <c r="K634" s="9">
        <v>44697</v>
      </c>
      <c r="L634" t="s">
        <v>29</v>
      </c>
      <c r="M634" t="s">
        <v>741</v>
      </c>
      <c r="N634" s="9">
        <v>44686</v>
      </c>
      <c r="O634"/>
      <c r="P634"/>
      <c r="Q634"/>
      <c r="R634"/>
      <c r="S634"/>
      <c r="T634"/>
      <c r="U634"/>
    </row>
    <row r="635" spans="1:21" hidden="1">
      <c r="A635" s="7" t="s">
        <v>8766</v>
      </c>
      <c r="B635" s="7" t="s">
        <v>6427</v>
      </c>
      <c r="C635" s="8" t="s">
        <v>5317</v>
      </c>
      <c r="D635" t="s">
        <v>24</v>
      </c>
      <c r="E635" t="s">
        <v>737</v>
      </c>
      <c r="F635" t="s">
        <v>738</v>
      </c>
      <c r="G635" t="s">
        <v>743</v>
      </c>
      <c r="H635" s="9">
        <v>44676</v>
      </c>
      <c r="I635" t="s">
        <v>740</v>
      </c>
      <c r="J635" t="s">
        <v>2</v>
      </c>
      <c r="K635" s="9">
        <v>44697</v>
      </c>
      <c r="L635" t="s">
        <v>29</v>
      </c>
      <c r="M635" t="s">
        <v>741</v>
      </c>
      <c r="N635" s="9">
        <v>44686</v>
      </c>
      <c r="O635"/>
      <c r="P635"/>
      <c r="Q635"/>
      <c r="R635"/>
      <c r="S635"/>
      <c r="T635"/>
      <c r="U635"/>
    </row>
    <row r="636" spans="1:21" hidden="1">
      <c r="A636" s="7" t="s">
        <v>8766</v>
      </c>
      <c r="B636" s="7" t="s">
        <v>6427</v>
      </c>
      <c r="C636" s="8" t="s">
        <v>5317</v>
      </c>
      <c r="D636" t="s">
        <v>24</v>
      </c>
      <c r="E636" t="s">
        <v>737</v>
      </c>
      <c r="F636" t="s">
        <v>738</v>
      </c>
      <c r="G636" t="s">
        <v>744</v>
      </c>
      <c r="H636" s="9">
        <v>44676</v>
      </c>
      <c r="I636" t="s">
        <v>740</v>
      </c>
      <c r="J636" t="s">
        <v>2</v>
      </c>
      <c r="K636" s="9">
        <v>44697</v>
      </c>
      <c r="L636" t="s">
        <v>29</v>
      </c>
      <c r="M636" t="s">
        <v>741</v>
      </c>
      <c r="N636" s="9">
        <v>44686</v>
      </c>
      <c r="O636"/>
      <c r="P636"/>
      <c r="Q636"/>
      <c r="R636"/>
      <c r="S636"/>
      <c r="T636"/>
      <c r="U636"/>
    </row>
    <row r="637" spans="1:21" hidden="1">
      <c r="A637" s="7" t="s">
        <v>8766</v>
      </c>
      <c r="B637" s="7" t="s">
        <v>6427</v>
      </c>
      <c r="C637" s="8" t="s">
        <v>5317</v>
      </c>
      <c r="D637" t="s">
        <v>24</v>
      </c>
      <c r="E637" t="s">
        <v>737</v>
      </c>
      <c r="F637" t="s">
        <v>738</v>
      </c>
      <c r="G637" t="s">
        <v>745</v>
      </c>
      <c r="H637" s="9">
        <v>44676</v>
      </c>
      <c r="I637" t="s">
        <v>740</v>
      </c>
      <c r="J637" t="s">
        <v>2</v>
      </c>
      <c r="K637" s="9">
        <v>44697</v>
      </c>
      <c r="L637" t="s">
        <v>29</v>
      </c>
      <c r="M637" t="s">
        <v>741</v>
      </c>
      <c r="N637" s="9">
        <v>44686</v>
      </c>
      <c r="O637"/>
      <c r="P637"/>
      <c r="Q637"/>
      <c r="R637"/>
      <c r="S637"/>
      <c r="T637"/>
      <c r="U637"/>
    </row>
    <row r="638" spans="1:21" hidden="1">
      <c r="A638" s="7" t="s">
        <v>8767</v>
      </c>
      <c r="B638" s="7" t="s">
        <v>5768</v>
      </c>
      <c r="C638" s="8" t="s">
        <v>5317</v>
      </c>
      <c r="D638" t="s">
        <v>24</v>
      </c>
      <c r="E638" t="s">
        <v>746</v>
      </c>
      <c r="F638" t="s">
        <v>747</v>
      </c>
      <c r="G638" t="s">
        <v>748</v>
      </c>
      <c r="H638" s="9">
        <v>44657</v>
      </c>
      <c r="I638" t="s">
        <v>81</v>
      </c>
      <c r="J638" t="s">
        <v>0</v>
      </c>
      <c r="K638" s="9">
        <v>44712</v>
      </c>
      <c r="L638" t="s">
        <v>29</v>
      </c>
      <c r="M638"/>
      <c r="N638" s="9">
        <v>44686</v>
      </c>
      <c r="O638" s="9">
        <v>44693</v>
      </c>
      <c r="P638" s="9">
        <v>44693</v>
      </c>
      <c r="Q638" s="9">
        <v>44712</v>
      </c>
      <c r="R638"/>
      <c r="S638"/>
      <c r="T638"/>
      <c r="U638"/>
    </row>
    <row r="639" spans="1:21" hidden="1">
      <c r="A639" s="7" t="s">
        <v>8712</v>
      </c>
      <c r="B639" s="7" t="s">
        <v>5405</v>
      </c>
      <c r="C639" s="8" t="s">
        <v>5317</v>
      </c>
      <c r="D639" t="s">
        <v>24</v>
      </c>
      <c r="E639" t="s">
        <v>25</v>
      </c>
      <c r="F639" t="s">
        <v>26</v>
      </c>
      <c r="G639" t="s">
        <v>215</v>
      </c>
      <c r="H639" s="9">
        <v>44657</v>
      </c>
      <c r="I639" t="s">
        <v>8634</v>
      </c>
      <c r="J639" t="s">
        <v>2</v>
      </c>
      <c r="K639" s="9">
        <v>44711</v>
      </c>
      <c r="L639" t="s">
        <v>29</v>
      </c>
      <c r="M639" t="s">
        <v>749</v>
      </c>
      <c r="N639" s="9">
        <v>44686</v>
      </c>
      <c r="O639" s="9">
        <v>44693</v>
      </c>
      <c r="P639" s="9">
        <v>44693</v>
      </c>
      <c r="Q639" s="9">
        <v>44882</v>
      </c>
      <c r="R639"/>
      <c r="S639"/>
      <c r="T639"/>
      <c r="U639"/>
    </row>
    <row r="640" spans="1:21" hidden="1">
      <c r="A640" s="7" t="s">
        <v>8768</v>
      </c>
      <c r="B640" s="7" t="s">
        <v>6720</v>
      </c>
      <c r="C640" s="8" t="s">
        <v>5317</v>
      </c>
      <c r="D640" t="s">
        <v>24</v>
      </c>
      <c r="E640" t="s">
        <v>750</v>
      </c>
      <c r="F640" t="s">
        <v>103</v>
      </c>
      <c r="G640" t="s">
        <v>751</v>
      </c>
      <c r="H640" s="9">
        <v>44657</v>
      </c>
      <c r="I640" t="s">
        <v>43</v>
      </c>
      <c r="J640" t="s">
        <v>163</v>
      </c>
      <c r="K640" s="9">
        <v>44693</v>
      </c>
      <c r="L640" t="s">
        <v>29</v>
      </c>
      <c r="M640"/>
      <c r="N640" s="9">
        <v>44686</v>
      </c>
      <c r="O640" s="9">
        <v>44693</v>
      </c>
      <c r="P640" s="9">
        <v>44693</v>
      </c>
      <c r="Q640"/>
      <c r="R640"/>
      <c r="S640"/>
      <c r="T640"/>
      <c r="U640"/>
    </row>
    <row r="641" spans="1:21" hidden="1">
      <c r="A641" s="7" t="s">
        <v>8769</v>
      </c>
      <c r="B641" s="7" t="s">
        <v>6233</v>
      </c>
      <c r="C641" s="8" t="s">
        <v>5317</v>
      </c>
      <c r="D641" t="s">
        <v>24</v>
      </c>
      <c r="E641" t="s">
        <v>752</v>
      </c>
      <c r="F641" t="s">
        <v>79</v>
      </c>
      <c r="G641" t="s">
        <v>753</v>
      </c>
      <c r="H641" s="9">
        <v>44657</v>
      </c>
      <c r="I641" t="s">
        <v>43</v>
      </c>
      <c r="J641" t="s">
        <v>0</v>
      </c>
      <c r="K641" s="9">
        <v>44691</v>
      </c>
      <c r="L641" t="s">
        <v>29</v>
      </c>
      <c r="M641"/>
      <c r="N641" s="9">
        <v>44686</v>
      </c>
      <c r="O641"/>
      <c r="P641"/>
      <c r="Q641" s="9">
        <v>44691</v>
      </c>
      <c r="R641"/>
      <c r="S641"/>
      <c r="T641"/>
      <c r="U641"/>
    </row>
    <row r="642" spans="1:21" hidden="1">
      <c r="A642" s="7" t="s">
        <v>8770</v>
      </c>
      <c r="B642" s="7" t="s">
        <v>6607</v>
      </c>
      <c r="C642" s="8" t="s">
        <v>5317</v>
      </c>
      <c r="D642" t="s">
        <v>24</v>
      </c>
      <c r="E642" t="s">
        <v>754</v>
      </c>
      <c r="F642" t="s">
        <v>231</v>
      </c>
      <c r="G642" t="s">
        <v>755</v>
      </c>
      <c r="H642" s="9">
        <v>44657</v>
      </c>
      <c r="I642" t="s">
        <v>85</v>
      </c>
      <c r="J642" t="s">
        <v>276</v>
      </c>
      <c r="K642" s="9">
        <v>44697.325787037</v>
      </c>
      <c r="L642" t="s">
        <v>29</v>
      </c>
      <c r="M642"/>
      <c r="N642" s="9">
        <v>44686</v>
      </c>
      <c r="O642" s="9">
        <v>44693</v>
      </c>
      <c r="P642" s="9">
        <v>44693</v>
      </c>
      <c r="Q642"/>
      <c r="R642" s="9">
        <v>44697.325636574104</v>
      </c>
      <c r="S642"/>
      <c r="T642"/>
      <c r="U642"/>
    </row>
    <row r="643" spans="1:21" hidden="1">
      <c r="A643" s="7" t="s">
        <v>8771</v>
      </c>
      <c r="B643" s="7" t="s">
        <v>8351</v>
      </c>
      <c r="C643" s="8" t="s">
        <v>5317</v>
      </c>
      <c r="D643" t="s">
        <v>24</v>
      </c>
      <c r="E643" t="s">
        <v>756</v>
      </c>
      <c r="F643" t="s">
        <v>491</v>
      </c>
      <c r="G643" t="s">
        <v>757</v>
      </c>
      <c r="H643" s="9">
        <v>44657</v>
      </c>
      <c r="I643" t="s">
        <v>758</v>
      </c>
      <c r="J643" t="s">
        <v>0</v>
      </c>
      <c r="K643" s="9">
        <v>44676</v>
      </c>
      <c r="L643" t="s">
        <v>29</v>
      </c>
      <c r="M643"/>
      <c r="N643"/>
      <c r="O643"/>
      <c r="P643"/>
      <c r="Q643" s="9">
        <v>44676</v>
      </c>
      <c r="R643"/>
      <c r="S643"/>
      <c r="T643"/>
      <c r="U643"/>
    </row>
    <row r="644" spans="1:21" hidden="1">
      <c r="A644" s="7" t="s">
        <v>8752</v>
      </c>
      <c r="B644" s="7" t="s">
        <v>6707</v>
      </c>
      <c r="C644" s="8" t="s">
        <v>5317</v>
      </c>
      <c r="D644" t="s">
        <v>24</v>
      </c>
      <c r="E644" t="s">
        <v>439</v>
      </c>
      <c r="F644" t="s">
        <v>117</v>
      </c>
      <c r="G644" t="s">
        <v>480</v>
      </c>
      <c r="H644" s="9">
        <v>44657</v>
      </c>
      <c r="I644" t="s">
        <v>181</v>
      </c>
      <c r="J644" t="s">
        <v>0</v>
      </c>
      <c r="K644" s="9">
        <v>44881</v>
      </c>
      <c r="L644" t="s">
        <v>29</v>
      </c>
      <c r="M644"/>
      <c r="N644" s="9">
        <v>44686</v>
      </c>
      <c r="O644" s="9">
        <v>44693</v>
      </c>
      <c r="P644" s="9">
        <v>44693</v>
      </c>
      <c r="Q644" s="9">
        <v>44881</v>
      </c>
      <c r="R644"/>
      <c r="S644"/>
      <c r="T644"/>
      <c r="U644"/>
    </row>
    <row r="645" spans="1:21" hidden="1">
      <c r="A645" s="7" t="s">
        <v>8769</v>
      </c>
      <c r="B645" s="7" t="s">
        <v>6233</v>
      </c>
      <c r="C645" s="8" t="s">
        <v>5317</v>
      </c>
      <c r="D645" t="s">
        <v>24</v>
      </c>
      <c r="E645" t="s">
        <v>752</v>
      </c>
      <c r="F645" t="s">
        <v>79</v>
      </c>
      <c r="G645" t="s">
        <v>759</v>
      </c>
      <c r="H645" s="9">
        <v>44657</v>
      </c>
      <c r="I645" t="s">
        <v>43</v>
      </c>
      <c r="J645" t="s">
        <v>0</v>
      </c>
      <c r="K645" s="9">
        <v>44691</v>
      </c>
      <c r="L645" t="s">
        <v>29</v>
      </c>
      <c r="M645"/>
      <c r="N645" s="9">
        <v>44686</v>
      </c>
      <c r="O645"/>
      <c r="P645"/>
      <c r="Q645" s="9">
        <v>44691</v>
      </c>
      <c r="R645"/>
      <c r="S645"/>
      <c r="T645"/>
      <c r="U645"/>
    </row>
    <row r="646" spans="1:21" hidden="1">
      <c r="A646" s="7" t="s">
        <v>8772</v>
      </c>
      <c r="B646" s="7" t="s">
        <v>6663</v>
      </c>
      <c r="C646" s="8" t="s">
        <v>5317</v>
      </c>
      <c r="D646" t="s">
        <v>24</v>
      </c>
      <c r="E646" t="s">
        <v>760</v>
      </c>
      <c r="F646" t="s">
        <v>75</v>
      </c>
      <c r="G646" t="s">
        <v>761</v>
      </c>
      <c r="H646" s="9">
        <v>44657</v>
      </c>
      <c r="I646" t="s">
        <v>99</v>
      </c>
      <c r="J646" t="s">
        <v>163</v>
      </c>
      <c r="K646" s="9">
        <v>44693</v>
      </c>
      <c r="L646" t="s">
        <v>29</v>
      </c>
      <c r="M646"/>
      <c r="N646" s="9">
        <v>44686</v>
      </c>
      <c r="O646" s="9">
        <v>44693</v>
      </c>
      <c r="P646" s="9">
        <v>44693</v>
      </c>
      <c r="Q646"/>
      <c r="R646"/>
      <c r="S646"/>
      <c r="T646"/>
      <c r="U646"/>
    </row>
    <row r="647" spans="1:21" hidden="1">
      <c r="A647" s="7" t="s">
        <v>8772</v>
      </c>
      <c r="B647" s="7" t="s">
        <v>6663</v>
      </c>
      <c r="C647" s="8" t="s">
        <v>5317</v>
      </c>
      <c r="D647" t="s">
        <v>24</v>
      </c>
      <c r="E647" t="s">
        <v>760</v>
      </c>
      <c r="F647" t="s">
        <v>75</v>
      </c>
      <c r="G647" t="s">
        <v>762</v>
      </c>
      <c r="H647" s="9">
        <v>44657</v>
      </c>
      <c r="I647" t="s">
        <v>99</v>
      </c>
      <c r="J647" t="s">
        <v>163</v>
      </c>
      <c r="K647" s="9">
        <v>44693</v>
      </c>
      <c r="L647" t="s">
        <v>29</v>
      </c>
      <c r="M647"/>
      <c r="N647" s="9">
        <v>44686</v>
      </c>
      <c r="O647" s="9">
        <v>44693</v>
      </c>
      <c r="P647" s="9">
        <v>44693</v>
      </c>
      <c r="Q647"/>
      <c r="R647"/>
      <c r="S647"/>
      <c r="T647"/>
      <c r="U647"/>
    </row>
    <row r="648" spans="1:21" hidden="1">
      <c r="A648" s="7" t="s">
        <v>8772</v>
      </c>
      <c r="B648" s="7" t="s">
        <v>6663</v>
      </c>
      <c r="C648" s="8" t="s">
        <v>5317</v>
      </c>
      <c r="D648" t="s">
        <v>24</v>
      </c>
      <c r="E648" t="s">
        <v>760</v>
      </c>
      <c r="F648" t="s">
        <v>75</v>
      </c>
      <c r="G648" t="s">
        <v>763</v>
      </c>
      <c r="H648" s="9">
        <v>44657</v>
      </c>
      <c r="I648" t="s">
        <v>99</v>
      </c>
      <c r="J648" t="s">
        <v>163</v>
      </c>
      <c r="K648" s="9">
        <v>44693</v>
      </c>
      <c r="L648" t="s">
        <v>29</v>
      </c>
      <c r="M648"/>
      <c r="N648" s="9">
        <v>44686</v>
      </c>
      <c r="O648" s="9">
        <v>44693</v>
      </c>
      <c r="P648" s="9">
        <v>44693</v>
      </c>
      <c r="Q648"/>
      <c r="R648"/>
      <c r="S648"/>
      <c r="T648"/>
      <c r="U648"/>
    </row>
    <row r="649" spans="1:21" hidden="1">
      <c r="A649" s="7" t="s">
        <v>8723</v>
      </c>
      <c r="B649" s="7" t="s">
        <v>6719</v>
      </c>
      <c r="C649" s="8" t="s">
        <v>5317</v>
      </c>
      <c r="D649" t="s">
        <v>24</v>
      </c>
      <c r="E649" t="s">
        <v>116</v>
      </c>
      <c r="F649" t="s">
        <v>117</v>
      </c>
      <c r="G649" t="s">
        <v>764</v>
      </c>
      <c r="H649" s="9">
        <v>44657</v>
      </c>
      <c r="I649" t="s">
        <v>43</v>
      </c>
      <c r="J649" t="s">
        <v>0</v>
      </c>
      <c r="K649" s="9">
        <v>44690</v>
      </c>
      <c r="L649" t="s">
        <v>29</v>
      </c>
      <c r="M649"/>
      <c r="N649"/>
      <c r="O649"/>
      <c r="P649"/>
      <c r="Q649" s="9">
        <v>44690</v>
      </c>
      <c r="R649"/>
      <c r="S649"/>
      <c r="T649"/>
      <c r="U649"/>
    </row>
    <row r="650" spans="1:21" hidden="1">
      <c r="A650" s="7" t="s">
        <v>8723</v>
      </c>
      <c r="B650" s="7" t="s">
        <v>6719</v>
      </c>
      <c r="C650" s="8" t="s">
        <v>5317</v>
      </c>
      <c r="D650" t="s">
        <v>24</v>
      </c>
      <c r="E650" t="s">
        <v>116</v>
      </c>
      <c r="F650" t="s">
        <v>117</v>
      </c>
      <c r="G650" t="s">
        <v>765</v>
      </c>
      <c r="H650" s="9">
        <v>44657</v>
      </c>
      <c r="I650" t="s">
        <v>43</v>
      </c>
      <c r="J650" t="s">
        <v>0</v>
      </c>
      <c r="K650" s="9">
        <v>44690</v>
      </c>
      <c r="L650" t="s">
        <v>29</v>
      </c>
      <c r="M650"/>
      <c r="N650"/>
      <c r="O650"/>
      <c r="P650"/>
      <c r="Q650" s="9">
        <v>44690</v>
      </c>
      <c r="R650"/>
      <c r="S650"/>
      <c r="T650"/>
      <c r="U650"/>
    </row>
    <row r="651" spans="1:21" hidden="1">
      <c r="A651" s="7" t="s">
        <v>8723</v>
      </c>
      <c r="B651" s="7" t="s">
        <v>6719</v>
      </c>
      <c r="C651" s="8" t="s">
        <v>5317</v>
      </c>
      <c r="D651" t="s">
        <v>24</v>
      </c>
      <c r="E651" t="s">
        <v>116</v>
      </c>
      <c r="F651" t="s">
        <v>117</v>
      </c>
      <c r="G651" t="s">
        <v>766</v>
      </c>
      <c r="H651" s="9">
        <v>44657</v>
      </c>
      <c r="I651" t="s">
        <v>43</v>
      </c>
      <c r="J651" t="s">
        <v>0</v>
      </c>
      <c r="K651" s="9">
        <v>44690</v>
      </c>
      <c r="L651" t="s">
        <v>29</v>
      </c>
      <c r="M651"/>
      <c r="N651"/>
      <c r="O651"/>
      <c r="P651"/>
      <c r="Q651" s="9">
        <v>44690</v>
      </c>
      <c r="R651"/>
      <c r="S651"/>
      <c r="T651"/>
      <c r="U651"/>
    </row>
    <row r="652" spans="1:21" hidden="1">
      <c r="A652" s="7" t="s">
        <v>8723</v>
      </c>
      <c r="B652" s="7" t="s">
        <v>6719</v>
      </c>
      <c r="C652" s="8" t="s">
        <v>5317</v>
      </c>
      <c r="D652" t="s">
        <v>24</v>
      </c>
      <c r="E652" t="s">
        <v>116</v>
      </c>
      <c r="F652" t="s">
        <v>117</v>
      </c>
      <c r="G652" t="s">
        <v>767</v>
      </c>
      <c r="H652" s="9">
        <v>44657</v>
      </c>
      <c r="I652" t="s">
        <v>43</v>
      </c>
      <c r="J652" t="s">
        <v>0</v>
      </c>
      <c r="K652" s="9">
        <v>44690</v>
      </c>
      <c r="L652" t="s">
        <v>29</v>
      </c>
      <c r="M652"/>
      <c r="N652"/>
      <c r="O652"/>
      <c r="P652"/>
      <c r="Q652" s="9">
        <v>44690</v>
      </c>
      <c r="R652"/>
      <c r="S652"/>
      <c r="T652"/>
      <c r="U652"/>
    </row>
    <row r="653" spans="1:21" hidden="1">
      <c r="A653" s="7" t="s">
        <v>8723</v>
      </c>
      <c r="B653" s="7" t="s">
        <v>6719</v>
      </c>
      <c r="C653" s="8" t="s">
        <v>5317</v>
      </c>
      <c r="D653" t="s">
        <v>24</v>
      </c>
      <c r="E653" t="s">
        <v>116</v>
      </c>
      <c r="F653" t="s">
        <v>117</v>
      </c>
      <c r="G653" t="s">
        <v>768</v>
      </c>
      <c r="H653" s="9">
        <v>44657</v>
      </c>
      <c r="I653" t="s">
        <v>43</v>
      </c>
      <c r="J653" t="s">
        <v>0</v>
      </c>
      <c r="K653" s="9">
        <v>44690</v>
      </c>
      <c r="L653" t="s">
        <v>29</v>
      </c>
      <c r="M653"/>
      <c r="N653"/>
      <c r="O653"/>
      <c r="P653"/>
      <c r="Q653" s="9">
        <v>44690</v>
      </c>
      <c r="R653"/>
      <c r="S653"/>
      <c r="T653"/>
      <c r="U653"/>
    </row>
    <row r="654" spans="1:21" hidden="1">
      <c r="A654" s="7" t="s">
        <v>8723</v>
      </c>
      <c r="B654" s="7" t="s">
        <v>6719</v>
      </c>
      <c r="C654" s="8" t="s">
        <v>5317</v>
      </c>
      <c r="D654" t="s">
        <v>24</v>
      </c>
      <c r="E654" t="s">
        <v>116</v>
      </c>
      <c r="F654" t="s">
        <v>117</v>
      </c>
      <c r="G654" t="s">
        <v>769</v>
      </c>
      <c r="H654" s="9">
        <v>44657</v>
      </c>
      <c r="I654" t="s">
        <v>43</v>
      </c>
      <c r="J654" t="s">
        <v>0</v>
      </c>
      <c r="K654" s="9">
        <v>44690</v>
      </c>
      <c r="L654" t="s">
        <v>29</v>
      </c>
      <c r="M654"/>
      <c r="N654"/>
      <c r="O654"/>
      <c r="P654"/>
      <c r="Q654" s="9">
        <v>44690</v>
      </c>
      <c r="R654"/>
      <c r="S654"/>
      <c r="T654"/>
      <c r="U654"/>
    </row>
    <row r="655" spans="1:21" hidden="1">
      <c r="A655" s="7" t="s">
        <v>8723</v>
      </c>
      <c r="B655" s="7" t="s">
        <v>6719</v>
      </c>
      <c r="C655" s="8" t="s">
        <v>5317</v>
      </c>
      <c r="D655" t="s">
        <v>24</v>
      </c>
      <c r="E655" t="s">
        <v>116</v>
      </c>
      <c r="F655" t="s">
        <v>117</v>
      </c>
      <c r="G655" t="s">
        <v>770</v>
      </c>
      <c r="H655" s="9">
        <v>44657</v>
      </c>
      <c r="I655" t="s">
        <v>43</v>
      </c>
      <c r="J655" t="s">
        <v>0</v>
      </c>
      <c r="K655" s="9">
        <v>44690</v>
      </c>
      <c r="L655" t="s">
        <v>29</v>
      </c>
      <c r="M655"/>
      <c r="N655"/>
      <c r="O655"/>
      <c r="P655"/>
      <c r="Q655" s="9">
        <v>44690</v>
      </c>
      <c r="R655"/>
      <c r="S655"/>
      <c r="T655"/>
      <c r="U655"/>
    </row>
    <row r="656" spans="1:21" hidden="1">
      <c r="A656" s="7" t="s">
        <v>8752</v>
      </c>
      <c r="B656" s="7" t="s">
        <v>6707</v>
      </c>
      <c r="C656" s="8" t="s">
        <v>5317</v>
      </c>
      <c r="D656" t="s">
        <v>24</v>
      </c>
      <c r="E656" t="s">
        <v>439</v>
      </c>
      <c r="F656" t="s">
        <v>117</v>
      </c>
      <c r="G656" t="s">
        <v>771</v>
      </c>
      <c r="H656" s="9">
        <v>44657</v>
      </c>
      <c r="I656" t="s">
        <v>181</v>
      </c>
      <c r="J656" t="s">
        <v>0</v>
      </c>
      <c r="K656" s="9">
        <v>44881</v>
      </c>
      <c r="L656" t="s">
        <v>29</v>
      </c>
      <c r="M656"/>
      <c r="N656" s="9">
        <v>44686</v>
      </c>
      <c r="O656" s="9">
        <v>44693</v>
      </c>
      <c r="P656" s="9">
        <v>44693</v>
      </c>
      <c r="Q656" s="9">
        <v>44881</v>
      </c>
      <c r="R656"/>
      <c r="S656"/>
      <c r="T656"/>
      <c r="U656"/>
    </row>
    <row r="657" spans="1:21" hidden="1">
      <c r="A657" s="7" t="s">
        <v>8752</v>
      </c>
      <c r="B657" s="7" t="s">
        <v>6707</v>
      </c>
      <c r="C657" s="8" t="s">
        <v>5317</v>
      </c>
      <c r="D657" t="s">
        <v>24</v>
      </c>
      <c r="E657" t="s">
        <v>439</v>
      </c>
      <c r="F657" t="s">
        <v>117</v>
      </c>
      <c r="G657" t="s">
        <v>772</v>
      </c>
      <c r="H657" s="9">
        <v>44657</v>
      </c>
      <c r="I657" t="s">
        <v>181</v>
      </c>
      <c r="J657" t="s">
        <v>0</v>
      </c>
      <c r="K657" s="9">
        <v>44881</v>
      </c>
      <c r="L657" t="s">
        <v>29</v>
      </c>
      <c r="M657"/>
      <c r="N657" s="9">
        <v>44686</v>
      </c>
      <c r="O657" s="9">
        <v>44693</v>
      </c>
      <c r="P657" s="9">
        <v>44693</v>
      </c>
      <c r="Q657" s="9">
        <v>44881</v>
      </c>
      <c r="R657"/>
      <c r="S657"/>
      <c r="T657"/>
      <c r="U657"/>
    </row>
    <row r="658" spans="1:21" hidden="1">
      <c r="A658" s="7" t="s">
        <v>8752</v>
      </c>
      <c r="B658" s="7" t="s">
        <v>6707</v>
      </c>
      <c r="C658" s="8" t="s">
        <v>5317</v>
      </c>
      <c r="D658" t="s">
        <v>24</v>
      </c>
      <c r="E658" t="s">
        <v>439</v>
      </c>
      <c r="F658" t="s">
        <v>117</v>
      </c>
      <c r="G658" t="s">
        <v>773</v>
      </c>
      <c r="H658" s="9">
        <v>44657</v>
      </c>
      <c r="I658" t="s">
        <v>181</v>
      </c>
      <c r="J658" t="s">
        <v>0</v>
      </c>
      <c r="K658" s="9">
        <v>44881</v>
      </c>
      <c r="L658" t="s">
        <v>29</v>
      </c>
      <c r="M658"/>
      <c r="N658" s="9">
        <v>44686</v>
      </c>
      <c r="O658" s="9">
        <v>44693</v>
      </c>
      <c r="P658" s="9">
        <v>44693</v>
      </c>
      <c r="Q658" s="9">
        <v>44881</v>
      </c>
      <c r="R658"/>
      <c r="S658"/>
      <c r="T658"/>
      <c r="U658"/>
    </row>
    <row r="659" spans="1:21" hidden="1">
      <c r="A659" s="7" t="s">
        <v>8752</v>
      </c>
      <c r="B659" s="7" t="s">
        <v>6707</v>
      </c>
      <c r="C659" s="8" t="s">
        <v>5317</v>
      </c>
      <c r="D659" t="s">
        <v>24</v>
      </c>
      <c r="E659" t="s">
        <v>439</v>
      </c>
      <c r="F659" t="s">
        <v>117</v>
      </c>
      <c r="G659" t="s">
        <v>774</v>
      </c>
      <c r="H659" s="9">
        <v>44657</v>
      </c>
      <c r="I659" t="s">
        <v>181</v>
      </c>
      <c r="J659" t="s">
        <v>0</v>
      </c>
      <c r="K659" s="9">
        <v>44881</v>
      </c>
      <c r="L659" t="s">
        <v>29</v>
      </c>
      <c r="M659"/>
      <c r="N659" s="9">
        <v>44686</v>
      </c>
      <c r="O659" s="9">
        <v>44693</v>
      </c>
      <c r="P659" s="9">
        <v>44693</v>
      </c>
      <c r="Q659" s="9">
        <v>44881</v>
      </c>
      <c r="R659"/>
      <c r="S659"/>
      <c r="T659"/>
      <c r="U659"/>
    </row>
    <row r="660" spans="1:21" hidden="1">
      <c r="A660" s="7" t="s">
        <v>8752</v>
      </c>
      <c r="B660" s="7" t="s">
        <v>6707</v>
      </c>
      <c r="C660" s="8" t="s">
        <v>5317</v>
      </c>
      <c r="D660" t="s">
        <v>24</v>
      </c>
      <c r="E660" t="s">
        <v>439</v>
      </c>
      <c r="F660" t="s">
        <v>117</v>
      </c>
      <c r="G660" t="s">
        <v>775</v>
      </c>
      <c r="H660" s="9">
        <v>44657</v>
      </c>
      <c r="I660" t="s">
        <v>181</v>
      </c>
      <c r="J660" t="s">
        <v>0</v>
      </c>
      <c r="K660" s="9">
        <v>44881</v>
      </c>
      <c r="L660" t="s">
        <v>29</v>
      </c>
      <c r="M660"/>
      <c r="N660" s="9">
        <v>44686</v>
      </c>
      <c r="O660" s="9">
        <v>44693</v>
      </c>
      <c r="P660" s="9">
        <v>44693</v>
      </c>
      <c r="Q660" s="9">
        <v>44881</v>
      </c>
      <c r="R660"/>
      <c r="S660"/>
      <c r="T660"/>
      <c r="U660"/>
    </row>
    <row r="661" spans="1:21" hidden="1">
      <c r="A661" s="7" t="s">
        <v>8758</v>
      </c>
      <c r="B661" s="7" t="s">
        <v>5405</v>
      </c>
      <c r="C661" s="8" t="s">
        <v>5317</v>
      </c>
      <c r="D661" t="s">
        <v>24</v>
      </c>
      <c r="E661" t="s">
        <v>25</v>
      </c>
      <c r="F661" t="s">
        <v>493</v>
      </c>
      <c r="G661" t="s">
        <v>776</v>
      </c>
      <c r="H661" s="9">
        <v>44657</v>
      </c>
      <c r="I661" t="s">
        <v>8634</v>
      </c>
      <c r="J661" t="s">
        <v>0</v>
      </c>
      <c r="K661" s="9">
        <v>44862</v>
      </c>
      <c r="L661" t="s">
        <v>29</v>
      </c>
      <c r="M661"/>
      <c r="N661" s="9">
        <v>44686</v>
      </c>
      <c r="O661" s="9">
        <v>44693</v>
      </c>
      <c r="P661" s="9">
        <v>44693</v>
      </c>
      <c r="Q661" s="9">
        <v>44862</v>
      </c>
      <c r="R661"/>
      <c r="S661"/>
      <c r="T661"/>
      <c r="U661"/>
    </row>
    <row r="662" spans="1:21" hidden="1">
      <c r="A662" s="7" t="s">
        <v>8773</v>
      </c>
      <c r="B662" s="7" t="s">
        <v>7964</v>
      </c>
      <c r="C662" s="8" t="s">
        <v>5317</v>
      </c>
      <c r="D662" t="s">
        <v>24</v>
      </c>
      <c r="E662" t="s">
        <v>777</v>
      </c>
      <c r="F662" t="s">
        <v>231</v>
      </c>
      <c r="G662" t="s">
        <v>778</v>
      </c>
      <c r="H662" s="9">
        <v>44657</v>
      </c>
      <c r="I662" t="s">
        <v>181</v>
      </c>
      <c r="J662" t="s">
        <v>163</v>
      </c>
      <c r="K662" s="9">
        <v>44693</v>
      </c>
      <c r="L662" t="s">
        <v>29</v>
      </c>
      <c r="M662"/>
      <c r="N662" s="9">
        <v>44686</v>
      </c>
      <c r="O662" s="9">
        <v>44693</v>
      </c>
      <c r="P662" s="9">
        <v>44693</v>
      </c>
      <c r="Q662"/>
      <c r="R662"/>
      <c r="S662"/>
      <c r="T662"/>
      <c r="U662"/>
    </row>
    <row r="663" spans="1:21" hidden="1">
      <c r="A663" s="7" t="s">
        <v>8774</v>
      </c>
      <c r="B663" s="7" t="s">
        <v>8352</v>
      </c>
      <c r="C663" s="8" t="s">
        <v>5317</v>
      </c>
      <c r="D663" t="s">
        <v>24</v>
      </c>
      <c r="E663" t="s">
        <v>779</v>
      </c>
      <c r="F663" t="s">
        <v>231</v>
      </c>
      <c r="G663" t="s">
        <v>780</v>
      </c>
      <c r="H663" s="9">
        <v>44657</v>
      </c>
      <c r="I663" t="s">
        <v>781</v>
      </c>
      <c r="J663" t="s">
        <v>0</v>
      </c>
      <c r="K663" s="9">
        <v>44678</v>
      </c>
      <c r="L663" t="s">
        <v>29</v>
      </c>
      <c r="M663"/>
      <c r="N663"/>
      <c r="O663"/>
      <c r="P663"/>
      <c r="Q663" s="9">
        <v>44678</v>
      </c>
      <c r="R663"/>
      <c r="S663"/>
      <c r="T663"/>
      <c r="U663"/>
    </row>
    <row r="664" spans="1:21" hidden="1">
      <c r="A664" s="7" t="s">
        <v>8770</v>
      </c>
      <c r="B664" s="7" t="s">
        <v>6607</v>
      </c>
      <c r="C664" s="8" t="s">
        <v>5317</v>
      </c>
      <c r="D664" t="s">
        <v>24</v>
      </c>
      <c r="E664" t="s">
        <v>754</v>
      </c>
      <c r="F664" t="s">
        <v>231</v>
      </c>
      <c r="G664" t="s">
        <v>782</v>
      </c>
      <c r="H664" s="9">
        <v>44657</v>
      </c>
      <c r="I664" t="s">
        <v>85</v>
      </c>
      <c r="J664" t="s">
        <v>276</v>
      </c>
      <c r="K664" s="9">
        <v>44697.325787037</v>
      </c>
      <c r="L664" t="s">
        <v>29</v>
      </c>
      <c r="M664"/>
      <c r="N664" s="9">
        <v>44686</v>
      </c>
      <c r="O664" s="9">
        <v>44693</v>
      </c>
      <c r="P664" s="9">
        <v>44693</v>
      </c>
      <c r="Q664"/>
      <c r="R664" s="9">
        <v>44697.325636574104</v>
      </c>
      <c r="S664"/>
      <c r="T664"/>
      <c r="U664"/>
    </row>
    <row r="665" spans="1:21" hidden="1">
      <c r="A665" s="7" t="s">
        <v>8770</v>
      </c>
      <c r="B665" s="7" t="s">
        <v>6607</v>
      </c>
      <c r="C665" s="8" t="s">
        <v>5317</v>
      </c>
      <c r="D665" t="s">
        <v>24</v>
      </c>
      <c r="E665" t="s">
        <v>754</v>
      </c>
      <c r="F665" t="s">
        <v>231</v>
      </c>
      <c r="G665" t="s">
        <v>783</v>
      </c>
      <c r="H665" s="9">
        <v>44657</v>
      </c>
      <c r="I665" t="s">
        <v>85</v>
      </c>
      <c r="J665" t="s">
        <v>276</v>
      </c>
      <c r="K665" s="9">
        <v>44697.325787037</v>
      </c>
      <c r="L665" t="s">
        <v>29</v>
      </c>
      <c r="M665"/>
      <c r="N665" s="9">
        <v>44686</v>
      </c>
      <c r="O665" s="9">
        <v>44693</v>
      </c>
      <c r="P665" s="9">
        <v>44693</v>
      </c>
      <c r="Q665"/>
      <c r="R665" s="9">
        <v>44697.325636574104</v>
      </c>
      <c r="S665"/>
      <c r="T665"/>
      <c r="U665"/>
    </row>
    <row r="666" spans="1:21" hidden="1">
      <c r="A666" s="7" t="s">
        <v>8770</v>
      </c>
      <c r="B666" s="7" t="s">
        <v>6607</v>
      </c>
      <c r="C666" s="8" t="s">
        <v>5317</v>
      </c>
      <c r="D666" t="s">
        <v>24</v>
      </c>
      <c r="E666" t="s">
        <v>754</v>
      </c>
      <c r="F666" t="s">
        <v>231</v>
      </c>
      <c r="G666" t="s">
        <v>784</v>
      </c>
      <c r="H666" s="9">
        <v>44657</v>
      </c>
      <c r="I666" t="s">
        <v>85</v>
      </c>
      <c r="J666" t="s">
        <v>276</v>
      </c>
      <c r="K666" s="9">
        <v>44697.325787037</v>
      </c>
      <c r="L666" t="s">
        <v>29</v>
      </c>
      <c r="M666"/>
      <c r="N666" s="9">
        <v>44686</v>
      </c>
      <c r="O666" s="9">
        <v>44693</v>
      </c>
      <c r="P666" s="9">
        <v>44693</v>
      </c>
      <c r="Q666"/>
      <c r="R666" s="9">
        <v>44697.325636574104</v>
      </c>
      <c r="S666"/>
      <c r="T666"/>
      <c r="U666"/>
    </row>
    <row r="667" spans="1:21" hidden="1">
      <c r="A667" s="7" t="s">
        <v>8770</v>
      </c>
      <c r="B667" s="7" t="s">
        <v>6607</v>
      </c>
      <c r="C667" s="8" t="s">
        <v>5317</v>
      </c>
      <c r="D667" t="s">
        <v>24</v>
      </c>
      <c r="E667" t="s">
        <v>754</v>
      </c>
      <c r="F667" t="s">
        <v>231</v>
      </c>
      <c r="G667" t="s">
        <v>785</v>
      </c>
      <c r="H667" s="9">
        <v>44657</v>
      </c>
      <c r="I667" t="s">
        <v>85</v>
      </c>
      <c r="J667" t="s">
        <v>276</v>
      </c>
      <c r="K667" s="9">
        <v>44697.325787037</v>
      </c>
      <c r="L667" t="s">
        <v>29</v>
      </c>
      <c r="M667"/>
      <c r="N667" s="9">
        <v>44686</v>
      </c>
      <c r="O667" s="9">
        <v>44693</v>
      </c>
      <c r="P667" s="9">
        <v>44693</v>
      </c>
      <c r="Q667"/>
      <c r="R667" s="9">
        <v>44697.325636574104</v>
      </c>
      <c r="S667"/>
      <c r="T667"/>
      <c r="U667"/>
    </row>
    <row r="668" spans="1:21" hidden="1">
      <c r="A668" s="7" t="s">
        <v>8770</v>
      </c>
      <c r="B668" s="7" t="s">
        <v>6607</v>
      </c>
      <c r="C668" s="8" t="s">
        <v>5317</v>
      </c>
      <c r="D668" t="s">
        <v>24</v>
      </c>
      <c r="E668" t="s">
        <v>754</v>
      </c>
      <c r="F668" t="s">
        <v>231</v>
      </c>
      <c r="G668" t="s">
        <v>786</v>
      </c>
      <c r="H668" s="9">
        <v>44657</v>
      </c>
      <c r="I668" t="s">
        <v>85</v>
      </c>
      <c r="J668" t="s">
        <v>276</v>
      </c>
      <c r="K668" s="9">
        <v>44697.325787037</v>
      </c>
      <c r="L668" t="s">
        <v>29</v>
      </c>
      <c r="M668"/>
      <c r="N668" s="9">
        <v>44686</v>
      </c>
      <c r="O668" s="9">
        <v>44693</v>
      </c>
      <c r="P668" s="9">
        <v>44693</v>
      </c>
      <c r="Q668"/>
      <c r="R668" s="9">
        <v>44697.325636574104</v>
      </c>
      <c r="S668"/>
      <c r="T668"/>
      <c r="U668"/>
    </row>
    <row r="669" spans="1:21" hidden="1">
      <c r="A669" s="7" t="s">
        <v>8775</v>
      </c>
      <c r="B669" s="7" t="s">
        <v>7550</v>
      </c>
      <c r="C669" s="8" t="s">
        <v>5317</v>
      </c>
      <c r="D669" t="s">
        <v>24</v>
      </c>
      <c r="E669" t="s">
        <v>787</v>
      </c>
      <c r="F669" t="s">
        <v>231</v>
      </c>
      <c r="G669" t="s">
        <v>788</v>
      </c>
      <c r="H669" s="9">
        <v>44657</v>
      </c>
      <c r="I669" t="s">
        <v>789</v>
      </c>
      <c r="J669" t="s">
        <v>163</v>
      </c>
      <c r="K669" s="9">
        <v>44693</v>
      </c>
      <c r="L669" t="s">
        <v>29</v>
      </c>
      <c r="M669"/>
      <c r="N669" s="9">
        <v>44686</v>
      </c>
      <c r="O669" s="9">
        <v>44693</v>
      </c>
      <c r="P669" s="9">
        <v>44693</v>
      </c>
      <c r="Q669"/>
      <c r="R669"/>
      <c r="S669"/>
      <c r="T669"/>
      <c r="U669"/>
    </row>
    <row r="670" spans="1:21" hidden="1">
      <c r="A670" s="7" t="s">
        <v>8775</v>
      </c>
      <c r="B670" s="7" t="s">
        <v>7550</v>
      </c>
      <c r="C670" s="8" t="s">
        <v>5317</v>
      </c>
      <c r="D670" t="s">
        <v>24</v>
      </c>
      <c r="E670" t="s">
        <v>787</v>
      </c>
      <c r="F670" t="s">
        <v>231</v>
      </c>
      <c r="G670" t="s">
        <v>790</v>
      </c>
      <c r="H670" s="9">
        <v>44657</v>
      </c>
      <c r="I670" t="s">
        <v>789</v>
      </c>
      <c r="J670" t="s">
        <v>163</v>
      </c>
      <c r="K670" s="9">
        <v>44693</v>
      </c>
      <c r="L670" t="s">
        <v>29</v>
      </c>
      <c r="M670"/>
      <c r="N670" s="9">
        <v>44686</v>
      </c>
      <c r="O670" s="9">
        <v>44693</v>
      </c>
      <c r="P670" s="9">
        <v>44693</v>
      </c>
      <c r="Q670"/>
      <c r="R670"/>
      <c r="S670"/>
      <c r="T670"/>
      <c r="U670"/>
    </row>
    <row r="671" spans="1:21" hidden="1">
      <c r="A671" s="7" t="s">
        <v>8775</v>
      </c>
      <c r="B671" s="7" t="s">
        <v>7550</v>
      </c>
      <c r="C671" s="8" t="s">
        <v>5317</v>
      </c>
      <c r="D671" t="s">
        <v>24</v>
      </c>
      <c r="E671" t="s">
        <v>787</v>
      </c>
      <c r="F671" t="s">
        <v>231</v>
      </c>
      <c r="G671" t="s">
        <v>791</v>
      </c>
      <c r="H671" s="9">
        <v>44657</v>
      </c>
      <c r="I671" t="s">
        <v>789</v>
      </c>
      <c r="J671" t="s">
        <v>0</v>
      </c>
      <c r="K671" s="9">
        <v>44676</v>
      </c>
      <c r="L671" t="s">
        <v>29</v>
      </c>
      <c r="M671"/>
      <c r="N671"/>
      <c r="O671"/>
      <c r="P671"/>
      <c r="Q671" s="9">
        <v>44676</v>
      </c>
      <c r="R671"/>
      <c r="S671"/>
      <c r="T671"/>
      <c r="U671"/>
    </row>
    <row r="672" spans="1:21" hidden="1">
      <c r="A672" s="7" t="s">
        <v>8775</v>
      </c>
      <c r="B672" s="7" t="s">
        <v>7550</v>
      </c>
      <c r="C672" s="8" t="s">
        <v>5317</v>
      </c>
      <c r="D672" t="s">
        <v>24</v>
      </c>
      <c r="E672" t="s">
        <v>787</v>
      </c>
      <c r="F672" t="s">
        <v>231</v>
      </c>
      <c r="G672" t="s">
        <v>792</v>
      </c>
      <c r="H672" s="9">
        <v>44657</v>
      </c>
      <c r="I672" t="s">
        <v>789</v>
      </c>
      <c r="J672" t="s">
        <v>0</v>
      </c>
      <c r="K672" s="9">
        <v>44676</v>
      </c>
      <c r="L672" t="s">
        <v>29</v>
      </c>
      <c r="M672"/>
      <c r="N672"/>
      <c r="O672"/>
      <c r="P672"/>
      <c r="Q672" s="9">
        <v>44676</v>
      </c>
      <c r="R672"/>
      <c r="S672"/>
      <c r="T672"/>
      <c r="U672"/>
    </row>
    <row r="673" spans="1:21" hidden="1">
      <c r="A673" s="7" t="s">
        <v>8775</v>
      </c>
      <c r="B673" s="7" t="s">
        <v>7550</v>
      </c>
      <c r="C673" s="8" t="s">
        <v>5317</v>
      </c>
      <c r="D673" t="s">
        <v>24</v>
      </c>
      <c r="E673" t="s">
        <v>787</v>
      </c>
      <c r="F673" t="s">
        <v>231</v>
      </c>
      <c r="G673" t="s">
        <v>793</v>
      </c>
      <c r="H673" s="9">
        <v>44657</v>
      </c>
      <c r="I673" t="s">
        <v>789</v>
      </c>
      <c r="J673" t="s">
        <v>0</v>
      </c>
      <c r="K673" s="9">
        <v>44676</v>
      </c>
      <c r="L673" t="s">
        <v>29</v>
      </c>
      <c r="M673"/>
      <c r="N673"/>
      <c r="O673"/>
      <c r="P673"/>
      <c r="Q673" s="9">
        <v>44676</v>
      </c>
      <c r="R673"/>
      <c r="S673"/>
      <c r="T673"/>
      <c r="U673"/>
    </row>
    <row r="674" spans="1:21" hidden="1">
      <c r="A674" s="7" t="s">
        <v>8775</v>
      </c>
      <c r="B674" s="7" t="s">
        <v>7550</v>
      </c>
      <c r="C674" s="8" t="s">
        <v>5317</v>
      </c>
      <c r="D674" t="s">
        <v>24</v>
      </c>
      <c r="E674" t="s">
        <v>787</v>
      </c>
      <c r="F674" t="s">
        <v>231</v>
      </c>
      <c r="G674" t="s">
        <v>794</v>
      </c>
      <c r="H674" s="9">
        <v>44657</v>
      </c>
      <c r="I674" t="s">
        <v>789</v>
      </c>
      <c r="J674" t="s">
        <v>0</v>
      </c>
      <c r="K674" s="9">
        <v>44676</v>
      </c>
      <c r="L674" t="s">
        <v>29</v>
      </c>
      <c r="M674"/>
      <c r="N674"/>
      <c r="O674"/>
      <c r="P674"/>
      <c r="Q674" s="9">
        <v>44676</v>
      </c>
      <c r="R674"/>
      <c r="S674"/>
      <c r="T674"/>
      <c r="U674"/>
    </row>
    <row r="675" spans="1:21" hidden="1">
      <c r="A675" s="7" t="s">
        <v>8775</v>
      </c>
      <c r="B675" s="7" t="s">
        <v>7550</v>
      </c>
      <c r="C675" s="8" t="s">
        <v>5317</v>
      </c>
      <c r="D675" t="s">
        <v>24</v>
      </c>
      <c r="E675" t="s">
        <v>787</v>
      </c>
      <c r="F675" t="s">
        <v>231</v>
      </c>
      <c r="G675" t="s">
        <v>795</v>
      </c>
      <c r="H675" s="9">
        <v>44657</v>
      </c>
      <c r="I675" t="s">
        <v>789</v>
      </c>
      <c r="J675" t="s">
        <v>0</v>
      </c>
      <c r="K675" s="9">
        <v>44676</v>
      </c>
      <c r="L675" t="s">
        <v>29</v>
      </c>
      <c r="M675"/>
      <c r="N675"/>
      <c r="O675"/>
      <c r="P675"/>
      <c r="Q675" s="9">
        <v>44676</v>
      </c>
      <c r="R675"/>
      <c r="S675"/>
      <c r="T675"/>
      <c r="U675"/>
    </row>
    <row r="676" spans="1:21" hidden="1">
      <c r="A676" s="7" t="s">
        <v>8758</v>
      </c>
      <c r="B676" s="7" t="s">
        <v>5405</v>
      </c>
      <c r="C676" s="8" t="s">
        <v>5317</v>
      </c>
      <c r="D676" t="s">
        <v>24</v>
      </c>
      <c r="E676" t="s">
        <v>25</v>
      </c>
      <c r="F676" t="s">
        <v>493</v>
      </c>
      <c r="G676" t="s">
        <v>796</v>
      </c>
      <c r="H676" s="9">
        <v>44657</v>
      </c>
      <c r="I676" t="s">
        <v>8634</v>
      </c>
      <c r="J676" t="s">
        <v>0</v>
      </c>
      <c r="K676" s="9">
        <v>44862</v>
      </c>
      <c r="L676" t="s">
        <v>29</v>
      </c>
      <c r="M676"/>
      <c r="N676" s="9">
        <v>44686</v>
      </c>
      <c r="O676" s="9">
        <v>44693</v>
      </c>
      <c r="P676" s="9">
        <v>44693</v>
      </c>
      <c r="Q676" s="9">
        <v>44862</v>
      </c>
      <c r="R676"/>
      <c r="S676"/>
      <c r="T676"/>
      <c r="U676"/>
    </row>
    <row r="677" spans="1:21" hidden="1">
      <c r="A677" s="7" t="s">
        <v>8758</v>
      </c>
      <c r="B677" s="7" t="s">
        <v>5405</v>
      </c>
      <c r="C677" s="8" t="s">
        <v>5317</v>
      </c>
      <c r="D677" t="s">
        <v>24</v>
      </c>
      <c r="E677" t="s">
        <v>25</v>
      </c>
      <c r="F677" t="s">
        <v>493</v>
      </c>
      <c r="G677" t="s">
        <v>797</v>
      </c>
      <c r="H677" s="9">
        <v>44657</v>
      </c>
      <c r="I677" t="s">
        <v>8634</v>
      </c>
      <c r="J677" t="s">
        <v>0</v>
      </c>
      <c r="K677" s="9">
        <v>44862</v>
      </c>
      <c r="L677" t="s">
        <v>29</v>
      </c>
      <c r="M677"/>
      <c r="N677" s="9">
        <v>44686</v>
      </c>
      <c r="O677" s="9">
        <v>44693</v>
      </c>
      <c r="P677" s="9">
        <v>44693</v>
      </c>
      <c r="Q677" s="9">
        <v>44862</v>
      </c>
      <c r="R677"/>
      <c r="S677"/>
      <c r="T677"/>
      <c r="U677"/>
    </row>
    <row r="678" spans="1:21" hidden="1">
      <c r="A678" s="7" t="s">
        <v>8765</v>
      </c>
      <c r="B678" s="7" t="s">
        <v>5405</v>
      </c>
      <c r="C678" s="8" t="s">
        <v>5317</v>
      </c>
      <c r="D678" t="s">
        <v>24</v>
      </c>
      <c r="E678" t="s">
        <v>25</v>
      </c>
      <c r="F678" t="s">
        <v>231</v>
      </c>
      <c r="G678" t="s">
        <v>798</v>
      </c>
      <c r="H678" s="9">
        <v>44658</v>
      </c>
      <c r="I678" t="s">
        <v>8634</v>
      </c>
      <c r="J678" t="s">
        <v>163</v>
      </c>
      <c r="K678" s="9">
        <v>44693</v>
      </c>
      <c r="L678" t="s">
        <v>29</v>
      </c>
      <c r="M678"/>
      <c r="N678" s="9">
        <v>44686</v>
      </c>
      <c r="O678" s="9">
        <v>44693</v>
      </c>
      <c r="P678" s="9">
        <v>44693</v>
      </c>
      <c r="Q678"/>
      <c r="R678"/>
      <c r="S678"/>
      <c r="T678"/>
      <c r="U678"/>
    </row>
    <row r="679" spans="1:21" hidden="1">
      <c r="A679" s="7" t="s">
        <v>8765</v>
      </c>
      <c r="B679" s="7" t="s">
        <v>5405</v>
      </c>
      <c r="C679" s="8" t="s">
        <v>5317</v>
      </c>
      <c r="D679" t="s">
        <v>24</v>
      </c>
      <c r="E679" t="s">
        <v>25</v>
      </c>
      <c r="F679" t="s">
        <v>231</v>
      </c>
      <c r="G679" t="s">
        <v>799</v>
      </c>
      <c r="H679" s="9">
        <v>44658</v>
      </c>
      <c r="I679" t="s">
        <v>8634</v>
      </c>
      <c r="J679" t="s">
        <v>163</v>
      </c>
      <c r="K679" s="9">
        <v>44693</v>
      </c>
      <c r="L679" t="s">
        <v>29</v>
      </c>
      <c r="M679"/>
      <c r="N679" s="9">
        <v>44686</v>
      </c>
      <c r="O679" s="9">
        <v>44693</v>
      </c>
      <c r="P679" s="9">
        <v>44693</v>
      </c>
      <c r="Q679"/>
      <c r="R679"/>
      <c r="S679"/>
      <c r="T679"/>
      <c r="U679"/>
    </row>
    <row r="680" spans="1:21" hidden="1">
      <c r="A680" s="7" t="s">
        <v>8776</v>
      </c>
      <c r="B680" s="7" t="s">
        <v>8353</v>
      </c>
      <c r="C680" s="8" t="s">
        <v>5317</v>
      </c>
      <c r="D680" t="s">
        <v>24</v>
      </c>
      <c r="E680" t="s">
        <v>800</v>
      </c>
      <c r="F680" t="s">
        <v>117</v>
      </c>
      <c r="G680" t="s">
        <v>801</v>
      </c>
      <c r="H680" s="9">
        <v>44657</v>
      </c>
      <c r="I680" t="s">
        <v>758</v>
      </c>
      <c r="J680" t="s">
        <v>0</v>
      </c>
      <c r="K680" s="9">
        <v>44677</v>
      </c>
      <c r="L680" t="s">
        <v>29</v>
      </c>
      <c r="M680"/>
      <c r="N680"/>
      <c r="O680"/>
      <c r="P680"/>
      <c r="Q680" s="9">
        <v>44677</v>
      </c>
      <c r="R680"/>
      <c r="S680"/>
      <c r="T680"/>
      <c r="U680"/>
    </row>
    <row r="681" spans="1:21" hidden="1">
      <c r="A681" s="7" t="s">
        <v>8765</v>
      </c>
      <c r="B681" s="7" t="s">
        <v>5405</v>
      </c>
      <c r="C681" s="8" t="s">
        <v>5317</v>
      </c>
      <c r="D681" t="s">
        <v>24</v>
      </c>
      <c r="E681" t="s">
        <v>25</v>
      </c>
      <c r="F681" t="s">
        <v>231</v>
      </c>
      <c r="G681" t="s">
        <v>802</v>
      </c>
      <c r="H681" s="9">
        <v>44658</v>
      </c>
      <c r="I681" t="s">
        <v>8634</v>
      </c>
      <c r="J681" t="s">
        <v>163</v>
      </c>
      <c r="K681" s="9">
        <v>44693</v>
      </c>
      <c r="L681" t="s">
        <v>29</v>
      </c>
      <c r="M681"/>
      <c r="N681" s="9">
        <v>44686</v>
      </c>
      <c r="O681" s="9">
        <v>44693</v>
      </c>
      <c r="P681" s="9">
        <v>44693</v>
      </c>
      <c r="Q681"/>
      <c r="R681"/>
      <c r="S681"/>
      <c r="T681"/>
      <c r="U681"/>
    </row>
    <row r="682" spans="1:21" hidden="1">
      <c r="A682" s="7" t="s">
        <v>8777</v>
      </c>
      <c r="B682" s="7" t="s">
        <v>6307</v>
      </c>
      <c r="C682" s="8" t="s">
        <v>5317</v>
      </c>
      <c r="D682" t="s">
        <v>24</v>
      </c>
      <c r="E682" t="s">
        <v>78</v>
      </c>
      <c r="F682" t="s">
        <v>803</v>
      </c>
      <c r="G682" t="s">
        <v>804</v>
      </c>
      <c r="H682" s="9">
        <v>44657</v>
      </c>
      <c r="I682" t="s">
        <v>109</v>
      </c>
      <c r="J682" t="s">
        <v>0</v>
      </c>
      <c r="K682" s="9">
        <v>44664</v>
      </c>
      <c r="L682" t="s">
        <v>29</v>
      </c>
      <c r="M682"/>
      <c r="N682"/>
      <c r="O682"/>
      <c r="P682"/>
      <c r="Q682" s="9">
        <v>44664</v>
      </c>
      <c r="R682"/>
      <c r="S682"/>
      <c r="T682"/>
      <c r="U682"/>
    </row>
    <row r="683" spans="1:21" hidden="1">
      <c r="A683" s="7" t="s">
        <v>8778</v>
      </c>
      <c r="B683" s="7" t="s">
        <v>7362</v>
      </c>
      <c r="C683" s="8" t="s">
        <v>5317</v>
      </c>
      <c r="D683" t="s">
        <v>24</v>
      </c>
      <c r="E683" t="s">
        <v>805</v>
      </c>
      <c r="F683" t="s">
        <v>117</v>
      </c>
      <c r="G683" t="s">
        <v>806</v>
      </c>
      <c r="H683" s="9">
        <v>44657</v>
      </c>
      <c r="I683" t="s">
        <v>807</v>
      </c>
      <c r="J683" t="s">
        <v>163</v>
      </c>
      <c r="K683" s="9">
        <v>44693</v>
      </c>
      <c r="L683" t="s">
        <v>29</v>
      </c>
      <c r="M683"/>
      <c r="N683" s="9">
        <v>44686</v>
      </c>
      <c r="O683" s="9">
        <v>44693</v>
      </c>
      <c r="P683" s="9">
        <v>44693</v>
      </c>
      <c r="Q683"/>
      <c r="R683"/>
      <c r="S683"/>
      <c r="T683"/>
      <c r="U683"/>
    </row>
    <row r="684" spans="1:21" hidden="1">
      <c r="A684" s="7" t="s">
        <v>8778</v>
      </c>
      <c r="B684" s="7" t="s">
        <v>7362</v>
      </c>
      <c r="C684" s="8" t="s">
        <v>5317</v>
      </c>
      <c r="D684" t="s">
        <v>24</v>
      </c>
      <c r="E684" t="s">
        <v>805</v>
      </c>
      <c r="F684" t="s">
        <v>117</v>
      </c>
      <c r="G684" t="s">
        <v>808</v>
      </c>
      <c r="H684" s="9">
        <v>44657</v>
      </c>
      <c r="I684" t="s">
        <v>807</v>
      </c>
      <c r="J684" t="s">
        <v>163</v>
      </c>
      <c r="K684" s="9">
        <v>44693</v>
      </c>
      <c r="L684" t="s">
        <v>29</v>
      </c>
      <c r="M684"/>
      <c r="N684" s="9">
        <v>44686</v>
      </c>
      <c r="O684" s="9">
        <v>44693</v>
      </c>
      <c r="P684" s="9">
        <v>44693</v>
      </c>
      <c r="Q684"/>
      <c r="R684"/>
      <c r="S684"/>
      <c r="T684"/>
      <c r="U684"/>
    </row>
    <row r="685" spans="1:21" hidden="1">
      <c r="A685" s="7" t="s">
        <v>8779</v>
      </c>
      <c r="B685" s="7" t="s">
        <v>7362</v>
      </c>
      <c r="C685" s="8" t="s">
        <v>5317</v>
      </c>
      <c r="D685" t="s">
        <v>24</v>
      </c>
      <c r="E685" t="s">
        <v>805</v>
      </c>
      <c r="F685" t="s">
        <v>231</v>
      </c>
      <c r="G685" t="s">
        <v>809</v>
      </c>
      <c r="H685" s="9">
        <v>44657</v>
      </c>
      <c r="I685" t="s">
        <v>758</v>
      </c>
      <c r="J685" t="s">
        <v>163</v>
      </c>
      <c r="K685" s="9">
        <v>44693</v>
      </c>
      <c r="L685" t="s">
        <v>29</v>
      </c>
      <c r="M685"/>
      <c r="N685" s="9">
        <v>44686</v>
      </c>
      <c r="O685" s="9">
        <v>44693</v>
      </c>
      <c r="P685" s="9">
        <v>44693</v>
      </c>
      <c r="Q685"/>
      <c r="R685"/>
      <c r="S685"/>
      <c r="T685"/>
      <c r="U685"/>
    </row>
    <row r="686" spans="1:21" hidden="1">
      <c r="A686" s="7" t="s">
        <v>8726</v>
      </c>
      <c r="B686" s="7" t="s">
        <v>7519</v>
      </c>
      <c r="C686" s="8" t="s">
        <v>5317</v>
      </c>
      <c r="D686" t="s">
        <v>24</v>
      </c>
      <c r="E686" t="s">
        <v>179</v>
      </c>
      <c r="F686" t="s">
        <v>117</v>
      </c>
      <c r="G686" t="s">
        <v>191</v>
      </c>
      <c r="H686" s="9">
        <v>44657</v>
      </c>
      <c r="I686" t="s">
        <v>181</v>
      </c>
      <c r="J686" t="s">
        <v>163</v>
      </c>
      <c r="K686" s="9">
        <v>44693</v>
      </c>
      <c r="L686" t="s">
        <v>29</v>
      </c>
      <c r="M686"/>
      <c r="N686" s="9">
        <v>44686</v>
      </c>
      <c r="O686" s="9">
        <v>44693</v>
      </c>
      <c r="P686" s="9">
        <v>44693</v>
      </c>
      <c r="Q686"/>
      <c r="R686"/>
      <c r="S686"/>
      <c r="T686"/>
      <c r="U686"/>
    </row>
    <row r="687" spans="1:21" hidden="1">
      <c r="A687" s="7" t="s">
        <v>8726</v>
      </c>
      <c r="B687" s="7" t="s">
        <v>7519</v>
      </c>
      <c r="C687" s="8" t="s">
        <v>5317</v>
      </c>
      <c r="D687" t="s">
        <v>24</v>
      </c>
      <c r="E687" t="s">
        <v>179</v>
      </c>
      <c r="F687" t="s">
        <v>117</v>
      </c>
      <c r="G687" t="s">
        <v>192</v>
      </c>
      <c r="H687" s="9">
        <v>44657</v>
      </c>
      <c r="I687" t="s">
        <v>181</v>
      </c>
      <c r="J687" t="s">
        <v>163</v>
      </c>
      <c r="K687" s="9">
        <v>44693</v>
      </c>
      <c r="L687" t="s">
        <v>29</v>
      </c>
      <c r="M687"/>
      <c r="N687" s="9">
        <v>44686</v>
      </c>
      <c r="O687" s="9">
        <v>44693</v>
      </c>
      <c r="P687" s="9">
        <v>44693</v>
      </c>
      <c r="Q687"/>
      <c r="R687"/>
      <c r="S687"/>
      <c r="T687"/>
      <c r="U687"/>
    </row>
    <row r="688" spans="1:21" hidden="1">
      <c r="A688" s="7" t="s">
        <v>8761</v>
      </c>
      <c r="B688" s="7" t="s">
        <v>7715</v>
      </c>
      <c r="C688" s="8" t="s">
        <v>5317</v>
      </c>
      <c r="D688" t="s">
        <v>24</v>
      </c>
      <c r="E688" t="s">
        <v>515</v>
      </c>
      <c r="F688" t="s">
        <v>117</v>
      </c>
      <c r="G688" t="s">
        <v>518</v>
      </c>
      <c r="H688" s="9">
        <v>44657</v>
      </c>
      <c r="I688" t="s">
        <v>181</v>
      </c>
      <c r="J688" t="s">
        <v>163</v>
      </c>
      <c r="K688" s="9">
        <v>44693</v>
      </c>
      <c r="L688" t="s">
        <v>29</v>
      </c>
      <c r="M688"/>
      <c r="N688" s="9">
        <v>44686</v>
      </c>
      <c r="O688" s="9">
        <v>44693</v>
      </c>
      <c r="P688" s="9">
        <v>44693</v>
      </c>
      <c r="Q688"/>
      <c r="R688"/>
      <c r="S688"/>
      <c r="T688"/>
      <c r="U688"/>
    </row>
    <row r="689" spans="1:21" hidden="1">
      <c r="A689" s="7" t="s">
        <v>8761</v>
      </c>
      <c r="B689" s="7" t="s">
        <v>7715</v>
      </c>
      <c r="C689" s="8" t="s">
        <v>5317</v>
      </c>
      <c r="D689" t="s">
        <v>24</v>
      </c>
      <c r="E689" t="s">
        <v>515</v>
      </c>
      <c r="F689" t="s">
        <v>117</v>
      </c>
      <c r="G689" t="s">
        <v>519</v>
      </c>
      <c r="H689" s="9">
        <v>44657</v>
      </c>
      <c r="I689" t="s">
        <v>181</v>
      </c>
      <c r="J689" t="s">
        <v>163</v>
      </c>
      <c r="K689" s="9">
        <v>44693</v>
      </c>
      <c r="L689" t="s">
        <v>29</v>
      </c>
      <c r="M689"/>
      <c r="N689" s="9">
        <v>44686</v>
      </c>
      <c r="O689" s="9">
        <v>44693</v>
      </c>
      <c r="P689" s="9">
        <v>44693</v>
      </c>
      <c r="Q689"/>
      <c r="R689"/>
      <c r="S689"/>
      <c r="T689"/>
      <c r="U689"/>
    </row>
    <row r="690" spans="1:21" hidden="1">
      <c r="A690" s="7" t="s">
        <v>8761</v>
      </c>
      <c r="B690" s="7" t="s">
        <v>7715</v>
      </c>
      <c r="C690" s="8" t="s">
        <v>5317</v>
      </c>
      <c r="D690" t="s">
        <v>24</v>
      </c>
      <c r="E690" t="s">
        <v>515</v>
      </c>
      <c r="F690" t="s">
        <v>117</v>
      </c>
      <c r="G690" t="s">
        <v>521</v>
      </c>
      <c r="H690" s="9">
        <v>44657</v>
      </c>
      <c r="I690" t="s">
        <v>181</v>
      </c>
      <c r="J690" t="s">
        <v>163</v>
      </c>
      <c r="K690" s="9">
        <v>44693</v>
      </c>
      <c r="L690" t="s">
        <v>29</v>
      </c>
      <c r="M690"/>
      <c r="N690" s="9">
        <v>44686</v>
      </c>
      <c r="O690" s="9">
        <v>44693</v>
      </c>
      <c r="P690" s="9">
        <v>44693</v>
      </c>
      <c r="Q690"/>
      <c r="R690"/>
      <c r="S690"/>
      <c r="T690"/>
      <c r="U690"/>
    </row>
    <row r="691" spans="1:21" hidden="1">
      <c r="A691" s="7" t="s">
        <v>8761</v>
      </c>
      <c r="B691" s="7" t="s">
        <v>7715</v>
      </c>
      <c r="C691" s="8" t="s">
        <v>5317</v>
      </c>
      <c r="D691" t="s">
        <v>24</v>
      </c>
      <c r="E691" t="s">
        <v>515</v>
      </c>
      <c r="F691" t="s">
        <v>117</v>
      </c>
      <c r="G691" t="s">
        <v>522</v>
      </c>
      <c r="H691" s="9">
        <v>44657</v>
      </c>
      <c r="I691" t="s">
        <v>181</v>
      </c>
      <c r="J691" t="s">
        <v>163</v>
      </c>
      <c r="K691" s="9">
        <v>44693</v>
      </c>
      <c r="L691" t="s">
        <v>29</v>
      </c>
      <c r="M691"/>
      <c r="N691" s="9">
        <v>44686</v>
      </c>
      <c r="O691" s="9">
        <v>44693</v>
      </c>
      <c r="P691" s="9">
        <v>44693</v>
      </c>
      <c r="Q691"/>
      <c r="R691"/>
      <c r="S691"/>
      <c r="T691"/>
      <c r="U691"/>
    </row>
    <row r="692" spans="1:21" hidden="1">
      <c r="A692" s="7" t="s">
        <v>8761</v>
      </c>
      <c r="B692" s="7" t="s">
        <v>7715</v>
      </c>
      <c r="C692" s="8" t="s">
        <v>5317</v>
      </c>
      <c r="D692" t="s">
        <v>24</v>
      </c>
      <c r="E692" t="s">
        <v>515</v>
      </c>
      <c r="F692" t="s">
        <v>117</v>
      </c>
      <c r="G692" t="s">
        <v>524</v>
      </c>
      <c r="H692" s="9">
        <v>44657</v>
      </c>
      <c r="I692" t="s">
        <v>181</v>
      </c>
      <c r="J692" t="s">
        <v>163</v>
      </c>
      <c r="K692" s="9">
        <v>44693</v>
      </c>
      <c r="L692" t="s">
        <v>29</v>
      </c>
      <c r="M692"/>
      <c r="N692" s="9">
        <v>44686</v>
      </c>
      <c r="O692" s="9">
        <v>44693</v>
      </c>
      <c r="P692" s="9">
        <v>44693</v>
      </c>
      <c r="Q692"/>
      <c r="R692"/>
      <c r="S692"/>
      <c r="T692"/>
      <c r="U692"/>
    </row>
    <row r="693" spans="1:21" hidden="1">
      <c r="A693" s="7" t="s">
        <v>8761</v>
      </c>
      <c r="B693" s="7" t="s">
        <v>7715</v>
      </c>
      <c r="C693" s="8" t="s">
        <v>5317</v>
      </c>
      <c r="D693" t="s">
        <v>24</v>
      </c>
      <c r="E693" t="s">
        <v>515</v>
      </c>
      <c r="F693" t="s">
        <v>117</v>
      </c>
      <c r="G693" t="s">
        <v>525</v>
      </c>
      <c r="H693" s="9">
        <v>44657</v>
      </c>
      <c r="I693" t="s">
        <v>181</v>
      </c>
      <c r="J693" t="s">
        <v>163</v>
      </c>
      <c r="K693" s="9">
        <v>44693</v>
      </c>
      <c r="L693" t="s">
        <v>29</v>
      </c>
      <c r="M693"/>
      <c r="N693" s="9">
        <v>44686</v>
      </c>
      <c r="O693" s="9">
        <v>44693</v>
      </c>
      <c r="P693" s="9">
        <v>44693</v>
      </c>
      <c r="Q693"/>
      <c r="R693"/>
      <c r="S693"/>
      <c r="T693"/>
      <c r="U693"/>
    </row>
    <row r="694" spans="1:21" hidden="1">
      <c r="A694" s="7" t="s">
        <v>8761</v>
      </c>
      <c r="B694" s="7" t="s">
        <v>7715</v>
      </c>
      <c r="C694" s="8" t="s">
        <v>5317</v>
      </c>
      <c r="D694" t="s">
        <v>24</v>
      </c>
      <c r="E694" t="s">
        <v>515</v>
      </c>
      <c r="F694" t="s">
        <v>117</v>
      </c>
      <c r="G694" t="s">
        <v>526</v>
      </c>
      <c r="H694" s="9">
        <v>44657</v>
      </c>
      <c r="I694" t="s">
        <v>181</v>
      </c>
      <c r="J694" t="s">
        <v>163</v>
      </c>
      <c r="K694" s="9">
        <v>44693</v>
      </c>
      <c r="L694" t="s">
        <v>29</v>
      </c>
      <c r="M694"/>
      <c r="N694" s="9">
        <v>44686</v>
      </c>
      <c r="O694" s="9">
        <v>44693</v>
      </c>
      <c r="P694" s="9">
        <v>44693</v>
      </c>
      <c r="Q694"/>
      <c r="R694"/>
      <c r="S694"/>
      <c r="T694"/>
      <c r="U694"/>
    </row>
    <row r="695" spans="1:21" hidden="1">
      <c r="A695" s="7" t="s">
        <v>8761</v>
      </c>
      <c r="B695" s="7" t="s">
        <v>7715</v>
      </c>
      <c r="C695" s="8" t="s">
        <v>5317</v>
      </c>
      <c r="D695" t="s">
        <v>24</v>
      </c>
      <c r="E695" t="s">
        <v>515</v>
      </c>
      <c r="F695" t="s">
        <v>117</v>
      </c>
      <c r="G695" t="s">
        <v>810</v>
      </c>
      <c r="H695" s="9">
        <v>44657</v>
      </c>
      <c r="I695" t="s">
        <v>181</v>
      </c>
      <c r="J695" t="s">
        <v>163</v>
      </c>
      <c r="K695" s="9">
        <v>44693</v>
      </c>
      <c r="L695" t="s">
        <v>29</v>
      </c>
      <c r="M695"/>
      <c r="N695" s="9">
        <v>44686</v>
      </c>
      <c r="O695" s="9">
        <v>44693</v>
      </c>
      <c r="P695" s="9">
        <v>44693</v>
      </c>
      <c r="Q695"/>
      <c r="R695"/>
      <c r="S695"/>
      <c r="T695"/>
      <c r="U695"/>
    </row>
    <row r="696" spans="1:21" hidden="1">
      <c r="A696" s="7" t="s">
        <v>8761</v>
      </c>
      <c r="B696" s="7" t="s">
        <v>7715</v>
      </c>
      <c r="C696" s="8" t="s">
        <v>5317</v>
      </c>
      <c r="D696" t="s">
        <v>24</v>
      </c>
      <c r="E696" t="s">
        <v>515</v>
      </c>
      <c r="F696" t="s">
        <v>117</v>
      </c>
      <c r="G696" t="s">
        <v>528</v>
      </c>
      <c r="H696" s="9">
        <v>44657</v>
      </c>
      <c r="I696" t="s">
        <v>181</v>
      </c>
      <c r="J696" t="s">
        <v>163</v>
      </c>
      <c r="K696" s="9">
        <v>44693</v>
      </c>
      <c r="L696" t="s">
        <v>29</v>
      </c>
      <c r="M696"/>
      <c r="N696" s="9">
        <v>44686</v>
      </c>
      <c r="O696" s="9">
        <v>44693</v>
      </c>
      <c r="P696" s="9">
        <v>44693</v>
      </c>
      <c r="Q696"/>
      <c r="R696"/>
      <c r="S696"/>
      <c r="T696"/>
      <c r="U696"/>
    </row>
    <row r="697" spans="1:21" hidden="1">
      <c r="A697" s="7" t="s">
        <v>8761</v>
      </c>
      <c r="B697" s="7" t="s">
        <v>7715</v>
      </c>
      <c r="C697" s="8" t="s">
        <v>5317</v>
      </c>
      <c r="D697" t="s">
        <v>24</v>
      </c>
      <c r="E697" t="s">
        <v>515</v>
      </c>
      <c r="F697" t="s">
        <v>117</v>
      </c>
      <c r="G697" t="s">
        <v>530</v>
      </c>
      <c r="H697" s="9">
        <v>44657</v>
      </c>
      <c r="I697" t="s">
        <v>181</v>
      </c>
      <c r="J697" t="s">
        <v>163</v>
      </c>
      <c r="K697" s="9">
        <v>44693</v>
      </c>
      <c r="L697" t="s">
        <v>29</v>
      </c>
      <c r="M697"/>
      <c r="N697" s="9">
        <v>44686</v>
      </c>
      <c r="O697" s="9">
        <v>44693</v>
      </c>
      <c r="P697" s="9">
        <v>44693</v>
      </c>
      <c r="Q697"/>
      <c r="R697"/>
      <c r="S697"/>
      <c r="T697"/>
      <c r="U697"/>
    </row>
    <row r="698" spans="1:21" hidden="1">
      <c r="A698" s="7" t="s">
        <v>8761</v>
      </c>
      <c r="B698" s="7" t="s">
        <v>7715</v>
      </c>
      <c r="C698" s="8" t="s">
        <v>5317</v>
      </c>
      <c r="D698" t="s">
        <v>24</v>
      </c>
      <c r="E698" t="s">
        <v>515</v>
      </c>
      <c r="F698" t="s">
        <v>117</v>
      </c>
      <c r="G698" t="s">
        <v>531</v>
      </c>
      <c r="H698" s="9">
        <v>44657</v>
      </c>
      <c r="I698" t="s">
        <v>181</v>
      </c>
      <c r="J698" t="s">
        <v>163</v>
      </c>
      <c r="K698" s="9">
        <v>44693</v>
      </c>
      <c r="L698" t="s">
        <v>29</v>
      </c>
      <c r="M698"/>
      <c r="N698" s="9">
        <v>44686</v>
      </c>
      <c r="O698" s="9">
        <v>44693</v>
      </c>
      <c r="P698" s="9">
        <v>44693</v>
      </c>
      <c r="Q698"/>
      <c r="R698"/>
      <c r="S698"/>
      <c r="T698"/>
      <c r="U698"/>
    </row>
    <row r="699" spans="1:21" hidden="1">
      <c r="A699" s="7" t="s">
        <v>8712</v>
      </c>
      <c r="B699" s="7" t="s">
        <v>5405</v>
      </c>
      <c r="C699" s="8" t="s">
        <v>5317</v>
      </c>
      <c r="D699" t="s">
        <v>24</v>
      </c>
      <c r="E699" t="s">
        <v>25</v>
      </c>
      <c r="F699" t="s">
        <v>26</v>
      </c>
      <c r="G699" t="s">
        <v>811</v>
      </c>
      <c r="H699" s="9">
        <v>44657</v>
      </c>
      <c r="I699" t="s">
        <v>8634</v>
      </c>
      <c r="J699" t="s">
        <v>0</v>
      </c>
      <c r="K699" s="9">
        <v>44882</v>
      </c>
      <c r="L699" t="s">
        <v>29</v>
      </c>
      <c r="M699"/>
      <c r="N699" s="9">
        <v>44686</v>
      </c>
      <c r="O699" s="9">
        <v>44693</v>
      </c>
      <c r="P699" s="9">
        <v>44693</v>
      </c>
      <c r="Q699" s="9">
        <v>44882</v>
      </c>
      <c r="R699"/>
      <c r="S699"/>
      <c r="T699"/>
      <c r="U699"/>
    </row>
    <row r="700" spans="1:21" hidden="1">
      <c r="A700" s="7" t="s">
        <v>8780</v>
      </c>
      <c r="B700" s="7" t="s">
        <v>7806</v>
      </c>
      <c r="C700" s="8" t="s">
        <v>5317</v>
      </c>
      <c r="D700" t="s">
        <v>24</v>
      </c>
      <c r="E700" t="s">
        <v>812</v>
      </c>
      <c r="F700" t="s">
        <v>117</v>
      </c>
      <c r="G700" t="s">
        <v>813</v>
      </c>
      <c r="H700" s="9">
        <v>44657</v>
      </c>
      <c r="I700" t="s">
        <v>814</v>
      </c>
      <c r="J700" t="s">
        <v>163</v>
      </c>
      <c r="K700" s="9">
        <v>44693</v>
      </c>
      <c r="L700" t="s">
        <v>29</v>
      </c>
      <c r="M700"/>
      <c r="N700" s="9">
        <v>44686</v>
      </c>
      <c r="O700" s="9">
        <v>44693</v>
      </c>
      <c r="P700" s="9">
        <v>44693</v>
      </c>
      <c r="Q700"/>
      <c r="R700"/>
      <c r="S700"/>
      <c r="T700"/>
      <c r="U700"/>
    </row>
    <row r="701" spans="1:21" hidden="1">
      <c r="A701" s="7" t="s">
        <v>8780</v>
      </c>
      <c r="B701" s="7" t="s">
        <v>7806</v>
      </c>
      <c r="C701" s="8" t="s">
        <v>5317</v>
      </c>
      <c r="D701" t="s">
        <v>24</v>
      </c>
      <c r="E701" t="s">
        <v>812</v>
      </c>
      <c r="F701" t="s">
        <v>117</v>
      </c>
      <c r="G701" t="s">
        <v>815</v>
      </c>
      <c r="H701" s="9">
        <v>44657</v>
      </c>
      <c r="I701" t="s">
        <v>814</v>
      </c>
      <c r="J701" t="s">
        <v>163</v>
      </c>
      <c r="K701" s="9">
        <v>44693</v>
      </c>
      <c r="L701" t="s">
        <v>29</v>
      </c>
      <c r="M701"/>
      <c r="N701" s="9">
        <v>44686</v>
      </c>
      <c r="O701" s="9">
        <v>44693</v>
      </c>
      <c r="P701" s="9">
        <v>44693</v>
      </c>
      <c r="Q701"/>
      <c r="R701"/>
      <c r="S701"/>
      <c r="T701"/>
      <c r="U701"/>
    </row>
    <row r="702" spans="1:21" hidden="1">
      <c r="A702" s="7" t="s">
        <v>8780</v>
      </c>
      <c r="B702" s="7" t="s">
        <v>7806</v>
      </c>
      <c r="C702" s="8" t="s">
        <v>5317</v>
      </c>
      <c r="D702" t="s">
        <v>24</v>
      </c>
      <c r="E702" t="s">
        <v>812</v>
      </c>
      <c r="F702" t="s">
        <v>117</v>
      </c>
      <c r="G702" t="s">
        <v>816</v>
      </c>
      <c r="H702" s="9">
        <v>44657</v>
      </c>
      <c r="I702" t="s">
        <v>814</v>
      </c>
      <c r="J702" t="s">
        <v>163</v>
      </c>
      <c r="K702" s="9">
        <v>44693</v>
      </c>
      <c r="L702" t="s">
        <v>29</v>
      </c>
      <c r="M702"/>
      <c r="N702" s="9">
        <v>44686</v>
      </c>
      <c r="O702" s="9">
        <v>44693</v>
      </c>
      <c r="P702" s="9">
        <v>44693</v>
      </c>
      <c r="Q702"/>
      <c r="R702"/>
      <c r="S702"/>
      <c r="T702"/>
      <c r="U702"/>
    </row>
    <row r="703" spans="1:21" hidden="1">
      <c r="A703" s="7" t="s">
        <v>8780</v>
      </c>
      <c r="B703" s="7" t="s">
        <v>7806</v>
      </c>
      <c r="C703" s="8" t="s">
        <v>5317</v>
      </c>
      <c r="D703" t="s">
        <v>24</v>
      </c>
      <c r="E703" t="s">
        <v>812</v>
      </c>
      <c r="F703" t="s">
        <v>117</v>
      </c>
      <c r="G703" t="s">
        <v>817</v>
      </c>
      <c r="H703" s="9">
        <v>44657</v>
      </c>
      <c r="I703" t="s">
        <v>814</v>
      </c>
      <c r="J703" t="s">
        <v>163</v>
      </c>
      <c r="K703" s="9">
        <v>44693</v>
      </c>
      <c r="L703" t="s">
        <v>29</v>
      </c>
      <c r="M703"/>
      <c r="N703" s="9">
        <v>44686</v>
      </c>
      <c r="O703" s="9">
        <v>44693</v>
      </c>
      <c r="P703" s="9">
        <v>44693</v>
      </c>
      <c r="Q703"/>
      <c r="R703"/>
      <c r="S703"/>
      <c r="T703"/>
      <c r="U703"/>
    </row>
    <row r="704" spans="1:21" hidden="1">
      <c r="A704" s="7" t="s">
        <v>8780</v>
      </c>
      <c r="B704" s="7" t="s">
        <v>7806</v>
      </c>
      <c r="C704" s="8" t="s">
        <v>5317</v>
      </c>
      <c r="D704" t="s">
        <v>24</v>
      </c>
      <c r="E704" t="s">
        <v>812</v>
      </c>
      <c r="F704" t="s">
        <v>117</v>
      </c>
      <c r="G704" t="s">
        <v>818</v>
      </c>
      <c r="H704" s="9">
        <v>44657</v>
      </c>
      <c r="I704" t="s">
        <v>814</v>
      </c>
      <c r="J704" t="s">
        <v>163</v>
      </c>
      <c r="K704" s="9">
        <v>44693</v>
      </c>
      <c r="L704" t="s">
        <v>29</v>
      </c>
      <c r="M704"/>
      <c r="N704" s="9">
        <v>44686</v>
      </c>
      <c r="O704" s="9">
        <v>44693</v>
      </c>
      <c r="P704" s="9">
        <v>44693</v>
      </c>
      <c r="Q704"/>
      <c r="R704"/>
      <c r="S704"/>
      <c r="T704"/>
      <c r="U704"/>
    </row>
    <row r="705" spans="1:21" hidden="1">
      <c r="A705" s="7" t="s">
        <v>8758</v>
      </c>
      <c r="B705" s="7" t="s">
        <v>5405</v>
      </c>
      <c r="C705" s="8" t="s">
        <v>5317</v>
      </c>
      <c r="D705" t="s">
        <v>24</v>
      </c>
      <c r="E705" t="s">
        <v>25</v>
      </c>
      <c r="F705" t="s">
        <v>493</v>
      </c>
      <c r="G705" t="s">
        <v>819</v>
      </c>
      <c r="H705" s="9">
        <v>44657</v>
      </c>
      <c r="I705" t="s">
        <v>8634</v>
      </c>
      <c r="J705" t="s">
        <v>0</v>
      </c>
      <c r="K705" s="9">
        <v>44862</v>
      </c>
      <c r="L705" t="s">
        <v>29</v>
      </c>
      <c r="M705"/>
      <c r="N705" s="9">
        <v>44686</v>
      </c>
      <c r="O705" s="9">
        <v>44693</v>
      </c>
      <c r="P705" s="9">
        <v>44693</v>
      </c>
      <c r="Q705" s="9">
        <v>44862</v>
      </c>
      <c r="R705"/>
      <c r="S705"/>
      <c r="T705"/>
      <c r="U705"/>
    </row>
    <row r="706" spans="1:21" hidden="1">
      <c r="A706" s="7" t="s">
        <v>8751</v>
      </c>
      <c r="B706" s="7" t="s">
        <v>5405</v>
      </c>
      <c r="C706" s="8" t="s">
        <v>5317</v>
      </c>
      <c r="D706" t="s">
        <v>24</v>
      </c>
      <c r="E706" t="s">
        <v>25</v>
      </c>
      <c r="F706" t="s">
        <v>435</v>
      </c>
      <c r="G706" t="s">
        <v>820</v>
      </c>
      <c r="H706" s="9">
        <v>44657</v>
      </c>
      <c r="I706" t="s">
        <v>8634</v>
      </c>
      <c r="J706" t="s">
        <v>0</v>
      </c>
      <c r="K706" s="9">
        <v>44881</v>
      </c>
      <c r="L706" t="s">
        <v>29</v>
      </c>
      <c r="M706"/>
      <c r="N706" s="9">
        <v>44686</v>
      </c>
      <c r="O706" s="9">
        <v>44693</v>
      </c>
      <c r="P706" s="9">
        <v>44693</v>
      </c>
      <c r="Q706" s="9">
        <v>44881</v>
      </c>
      <c r="R706"/>
      <c r="S706"/>
      <c r="T706"/>
      <c r="U706"/>
    </row>
    <row r="707" spans="1:21" hidden="1">
      <c r="A707" s="7" t="s">
        <v>8762</v>
      </c>
      <c r="B707" s="7" t="s">
        <v>5405</v>
      </c>
      <c r="C707" s="8" t="s">
        <v>5317</v>
      </c>
      <c r="D707" t="s">
        <v>24</v>
      </c>
      <c r="E707" t="s">
        <v>25</v>
      </c>
      <c r="F707" t="s">
        <v>433</v>
      </c>
      <c r="G707" t="s">
        <v>544</v>
      </c>
      <c r="H707" s="9">
        <v>44657</v>
      </c>
      <c r="I707" t="s">
        <v>8634</v>
      </c>
      <c r="J707" t="s">
        <v>163</v>
      </c>
      <c r="K707" s="9">
        <v>44693</v>
      </c>
      <c r="L707" t="s">
        <v>29</v>
      </c>
      <c r="M707"/>
      <c r="N707" s="9">
        <v>44686</v>
      </c>
      <c r="O707" s="9">
        <v>44693</v>
      </c>
      <c r="P707" s="9">
        <v>44693</v>
      </c>
      <c r="Q707"/>
      <c r="R707"/>
      <c r="S707"/>
      <c r="T707"/>
      <c r="U707"/>
    </row>
    <row r="708" spans="1:21" hidden="1">
      <c r="A708" s="7" t="s">
        <v>8762</v>
      </c>
      <c r="B708" s="7" t="s">
        <v>5405</v>
      </c>
      <c r="C708" s="8" t="s">
        <v>5317</v>
      </c>
      <c r="D708" t="s">
        <v>24</v>
      </c>
      <c r="E708" t="s">
        <v>25</v>
      </c>
      <c r="F708" t="s">
        <v>433</v>
      </c>
      <c r="G708" t="s">
        <v>545</v>
      </c>
      <c r="H708" s="9">
        <v>44657</v>
      </c>
      <c r="I708" t="s">
        <v>8634</v>
      </c>
      <c r="J708" t="s">
        <v>0</v>
      </c>
      <c r="K708" s="9">
        <v>44844</v>
      </c>
      <c r="L708" t="s">
        <v>29</v>
      </c>
      <c r="M708"/>
      <c r="N708" s="9">
        <v>44686</v>
      </c>
      <c r="O708" s="9">
        <v>44693</v>
      </c>
      <c r="P708" s="9">
        <v>44693</v>
      </c>
      <c r="Q708" s="9">
        <v>44844</v>
      </c>
      <c r="R708"/>
      <c r="S708"/>
      <c r="T708"/>
      <c r="U708"/>
    </row>
    <row r="709" spans="1:21" hidden="1">
      <c r="A709" s="7" t="s">
        <v>8758</v>
      </c>
      <c r="B709" s="7" t="s">
        <v>5405</v>
      </c>
      <c r="C709" s="8" t="s">
        <v>5317</v>
      </c>
      <c r="D709" t="s">
        <v>24</v>
      </c>
      <c r="E709" t="s">
        <v>25</v>
      </c>
      <c r="F709" t="s">
        <v>493</v>
      </c>
      <c r="G709" t="s">
        <v>821</v>
      </c>
      <c r="H709" s="9">
        <v>44657</v>
      </c>
      <c r="I709" t="s">
        <v>8634</v>
      </c>
      <c r="J709" t="s">
        <v>0</v>
      </c>
      <c r="K709" s="9">
        <v>44862</v>
      </c>
      <c r="L709" t="s">
        <v>29</v>
      </c>
      <c r="M709"/>
      <c r="N709" s="9">
        <v>44686</v>
      </c>
      <c r="O709" s="9">
        <v>44693</v>
      </c>
      <c r="P709" s="9">
        <v>44693</v>
      </c>
      <c r="Q709" s="9">
        <v>44862</v>
      </c>
      <c r="R709"/>
      <c r="S709"/>
      <c r="T709"/>
      <c r="U709"/>
    </row>
    <row r="710" spans="1:21" hidden="1">
      <c r="A710" s="7" t="s">
        <v>8762</v>
      </c>
      <c r="B710" s="7" t="s">
        <v>5405</v>
      </c>
      <c r="C710" s="8" t="s">
        <v>5317</v>
      </c>
      <c r="D710" t="s">
        <v>24</v>
      </c>
      <c r="E710" t="s">
        <v>25</v>
      </c>
      <c r="F710" t="s">
        <v>433</v>
      </c>
      <c r="G710" t="s">
        <v>822</v>
      </c>
      <c r="H710" s="9">
        <v>44657</v>
      </c>
      <c r="I710" t="s">
        <v>8634</v>
      </c>
      <c r="J710" t="s">
        <v>0</v>
      </c>
      <c r="K710" s="9">
        <v>44844</v>
      </c>
      <c r="L710" t="s">
        <v>29</v>
      </c>
      <c r="M710"/>
      <c r="N710" s="9">
        <v>44686</v>
      </c>
      <c r="O710" s="9">
        <v>44693</v>
      </c>
      <c r="P710" s="9">
        <v>44693</v>
      </c>
      <c r="Q710" s="9">
        <v>44844</v>
      </c>
      <c r="R710"/>
      <c r="S710"/>
      <c r="T710"/>
      <c r="U710"/>
    </row>
    <row r="711" spans="1:21" hidden="1">
      <c r="A711" s="7" t="s">
        <v>8758</v>
      </c>
      <c r="B711" s="7" t="s">
        <v>5405</v>
      </c>
      <c r="C711" s="8" t="s">
        <v>5317</v>
      </c>
      <c r="D711" t="s">
        <v>24</v>
      </c>
      <c r="E711" t="s">
        <v>25</v>
      </c>
      <c r="F711" t="s">
        <v>493</v>
      </c>
      <c r="G711" t="s">
        <v>822</v>
      </c>
      <c r="H711" s="9">
        <v>44657</v>
      </c>
      <c r="I711" t="s">
        <v>8634</v>
      </c>
      <c r="J711" t="s">
        <v>0</v>
      </c>
      <c r="K711" s="9">
        <v>44862</v>
      </c>
      <c r="L711" t="s">
        <v>29</v>
      </c>
      <c r="M711"/>
      <c r="N711" s="9">
        <v>44686</v>
      </c>
      <c r="O711" s="9">
        <v>44693</v>
      </c>
      <c r="P711" s="9">
        <v>44693</v>
      </c>
      <c r="Q711" s="9">
        <v>44862</v>
      </c>
      <c r="R711"/>
      <c r="S711"/>
      <c r="T711"/>
      <c r="U711"/>
    </row>
    <row r="712" spans="1:21" hidden="1">
      <c r="A712" s="7" t="s">
        <v>8762</v>
      </c>
      <c r="B712" s="7" t="s">
        <v>5405</v>
      </c>
      <c r="C712" s="8" t="s">
        <v>5317</v>
      </c>
      <c r="D712" t="s">
        <v>24</v>
      </c>
      <c r="E712" t="s">
        <v>25</v>
      </c>
      <c r="F712" t="s">
        <v>433</v>
      </c>
      <c r="G712" t="s">
        <v>823</v>
      </c>
      <c r="H712" s="9">
        <v>44657</v>
      </c>
      <c r="I712" t="s">
        <v>8634</v>
      </c>
      <c r="J712" t="s">
        <v>163</v>
      </c>
      <c r="K712" s="9">
        <v>44693</v>
      </c>
      <c r="L712" t="s">
        <v>29</v>
      </c>
      <c r="M712"/>
      <c r="N712" s="9">
        <v>44686</v>
      </c>
      <c r="O712" s="9">
        <v>44693</v>
      </c>
      <c r="P712" s="9">
        <v>44693</v>
      </c>
      <c r="Q712"/>
      <c r="R712"/>
      <c r="S712"/>
      <c r="T712"/>
      <c r="U712"/>
    </row>
    <row r="713" spans="1:21" hidden="1">
      <c r="A713" s="7" t="s">
        <v>8762</v>
      </c>
      <c r="B713" s="7" t="s">
        <v>5405</v>
      </c>
      <c r="C713" s="8" t="s">
        <v>5317</v>
      </c>
      <c r="D713" t="s">
        <v>24</v>
      </c>
      <c r="E713" t="s">
        <v>25</v>
      </c>
      <c r="F713" t="s">
        <v>433</v>
      </c>
      <c r="G713" t="s">
        <v>824</v>
      </c>
      <c r="H713" s="9">
        <v>44657</v>
      </c>
      <c r="I713" t="s">
        <v>8634</v>
      </c>
      <c r="J713" t="s">
        <v>163</v>
      </c>
      <c r="K713" s="9">
        <v>44693</v>
      </c>
      <c r="L713" t="s">
        <v>29</v>
      </c>
      <c r="M713"/>
      <c r="N713" s="9">
        <v>44686</v>
      </c>
      <c r="O713" s="9">
        <v>44693</v>
      </c>
      <c r="P713" s="9">
        <v>44693</v>
      </c>
      <c r="Q713"/>
      <c r="R713"/>
      <c r="S713"/>
      <c r="T713"/>
      <c r="U713"/>
    </row>
    <row r="714" spans="1:21" hidden="1">
      <c r="A714" s="7" t="s">
        <v>8762</v>
      </c>
      <c r="B714" s="7" t="s">
        <v>5405</v>
      </c>
      <c r="C714" s="8" t="s">
        <v>5317</v>
      </c>
      <c r="D714" t="s">
        <v>24</v>
      </c>
      <c r="E714" t="s">
        <v>25</v>
      </c>
      <c r="F714" t="s">
        <v>433</v>
      </c>
      <c r="G714" t="s">
        <v>825</v>
      </c>
      <c r="H714" s="9">
        <v>44657</v>
      </c>
      <c r="I714" t="s">
        <v>8634</v>
      </c>
      <c r="J714" t="s">
        <v>0</v>
      </c>
      <c r="K714" s="9">
        <v>44844</v>
      </c>
      <c r="L714" t="s">
        <v>29</v>
      </c>
      <c r="M714"/>
      <c r="N714" s="9">
        <v>44686</v>
      </c>
      <c r="O714" s="9">
        <v>44693</v>
      </c>
      <c r="P714" s="9">
        <v>44693</v>
      </c>
      <c r="Q714" s="9">
        <v>44844</v>
      </c>
      <c r="R714"/>
      <c r="S714"/>
      <c r="T714"/>
      <c r="U714"/>
    </row>
    <row r="715" spans="1:21" hidden="1">
      <c r="A715" s="7" t="s">
        <v>8762</v>
      </c>
      <c r="B715" s="7" t="s">
        <v>5405</v>
      </c>
      <c r="C715" s="8" t="s">
        <v>5317</v>
      </c>
      <c r="D715" t="s">
        <v>24</v>
      </c>
      <c r="E715" t="s">
        <v>25</v>
      </c>
      <c r="F715" t="s">
        <v>433</v>
      </c>
      <c r="G715" t="s">
        <v>826</v>
      </c>
      <c r="H715" s="9">
        <v>44657</v>
      </c>
      <c r="I715" t="s">
        <v>8634</v>
      </c>
      <c r="J715" t="s">
        <v>163</v>
      </c>
      <c r="K715" s="9">
        <v>44693</v>
      </c>
      <c r="L715" t="s">
        <v>29</v>
      </c>
      <c r="M715"/>
      <c r="N715" s="9">
        <v>44686</v>
      </c>
      <c r="O715" s="9">
        <v>44693</v>
      </c>
      <c r="P715" s="9">
        <v>44693</v>
      </c>
      <c r="Q715"/>
      <c r="R715"/>
      <c r="S715"/>
      <c r="T715"/>
      <c r="U715"/>
    </row>
    <row r="716" spans="1:21" hidden="1">
      <c r="A716" s="7" t="s">
        <v>8762</v>
      </c>
      <c r="B716" s="7" t="s">
        <v>5405</v>
      </c>
      <c r="C716" s="8" t="s">
        <v>5317</v>
      </c>
      <c r="D716" t="s">
        <v>24</v>
      </c>
      <c r="E716" t="s">
        <v>25</v>
      </c>
      <c r="F716" t="s">
        <v>433</v>
      </c>
      <c r="G716" t="s">
        <v>827</v>
      </c>
      <c r="H716" s="9">
        <v>44657</v>
      </c>
      <c r="I716" t="s">
        <v>8634</v>
      </c>
      <c r="J716" t="s">
        <v>163</v>
      </c>
      <c r="K716" s="9">
        <v>44693</v>
      </c>
      <c r="L716" t="s">
        <v>29</v>
      </c>
      <c r="M716"/>
      <c r="N716" s="9">
        <v>44686</v>
      </c>
      <c r="O716" s="9">
        <v>44693</v>
      </c>
      <c r="P716" s="9">
        <v>44693</v>
      </c>
      <c r="Q716"/>
      <c r="R716"/>
      <c r="S716"/>
      <c r="T716"/>
      <c r="U716"/>
    </row>
    <row r="717" spans="1:21" hidden="1">
      <c r="A717" s="7" t="s">
        <v>8762</v>
      </c>
      <c r="B717" s="7" t="s">
        <v>5405</v>
      </c>
      <c r="C717" s="8" t="s">
        <v>5317</v>
      </c>
      <c r="D717" t="s">
        <v>24</v>
      </c>
      <c r="E717" t="s">
        <v>25</v>
      </c>
      <c r="F717" t="s">
        <v>433</v>
      </c>
      <c r="G717" t="s">
        <v>828</v>
      </c>
      <c r="H717" s="9">
        <v>44657</v>
      </c>
      <c r="I717" t="s">
        <v>8634</v>
      </c>
      <c r="J717" t="s">
        <v>163</v>
      </c>
      <c r="K717" s="9">
        <v>44693</v>
      </c>
      <c r="L717" t="s">
        <v>29</v>
      </c>
      <c r="M717"/>
      <c r="N717" s="9">
        <v>44686</v>
      </c>
      <c r="O717" s="9">
        <v>44693</v>
      </c>
      <c r="P717" s="9">
        <v>44693</v>
      </c>
      <c r="Q717"/>
      <c r="R717"/>
      <c r="S717"/>
      <c r="T717"/>
      <c r="U717"/>
    </row>
    <row r="718" spans="1:21" hidden="1">
      <c r="A718" s="7" t="s">
        <v>8762</v>
      </c>
      <c r="B718" s="7" t="s">
        <v>5405</v>
      </c>
      <c r="C718" s="8" t="s">
        <v>5317</v>
      </c>
      <c r="D718" t="s">
        <v>24</v>
      </c>
      <c r="E718" t="s">
        <v>25</v>
      </c>
      <c r="F718" t="s">
        <v>433</v>
      </c>
      <c r="G718" t="s">
        <v>829</v>
      </c>
      <c r="H718" s="9">
        <v>44657</v>
      </c>
      <c r="I718" t="s">
        <v>8634</v>
      </c>
      <c r="J718" t="s">
        <v>163</v>
      </c>
      <c r="K718" s="9">
        <v>44693</v>
      </c>
      <c r="L718" t="s">
        <v>29</v>
      </c>
      <c r="M718"/>
      <c r="N718" s="9">
        <v>44686</v>
      </c>
      <c r="O718" s="9">
        <v>44693</v>
      </c>
      <c r="P718" s="9">
        <v>44693</v>
      </c>
      <c r="Q718"/>
      <c r="R718"/>
      <c r="S718"/>
      <c r="T718"/>
      <c r="U718"/>
    </row>
    <row r="719" spans="1:21" hidden="1">
      <c r="A719" s="7" t="s">
        <v>8762</v>
      </c>
      <c r="B719" s="7" t="s">
        <v>5405</v>
      </c>
      <c r="C719" s="8" t="s">
        <v>5317</v>
      </c>
      <c r="D719" t="s">
        <v>24</v>
      </c>
      <c r="E719" t="s">
        <v>25</v>
      </c>
      <c r="F719" t="s">
        <v>433</v>
      </c>
      <c r="G719" t="s">
        <v>830</v>
      </c>
      <c r="H719" s="9">
        <v>44657</v>
      </c>
      <c r="I719" t="s">
        <v>8634</v>
      </c>
      <c r="J719" t="s">
        <v>163</v>
      </c>
      <c r="K719" s="9">
        <v>44693</v>
      </c>
      <c r="L719" t="s">
        <v>29</v>
      </c>
      <c r="M719"/>
      <c r="N719" s="9">
        <v>44686</v>
      </c>
      <c r="O719" s="9">
        <v>44693</v>
      </c>
      <c r="P719" s="9">
        <v>44693</v>
      </c>
      <c r="Q719"/>
      <c r="R719"/>
      <c r="S719"/>
      <c r="T719"/>
      <c r="U719"/>
    </row>
    <row r="720" spans="1:21" hidden="1">
      <c r="A720" s="7" t="s">
        <v>8762</v>
      </c>
      <c r="B720" s="7" t="s">
        <v>5405</v>
      </c>
      <c r="C720" s="8" t="s">
        <v>5317</v>
      </c>
      <c r="D720" t="s">
        <v>24</v>
      </c>
      <c r="E720" t="s">
        <v>25</v>
      </c>
      <c r="F720" t="s">
        <v>433</v>
      </c>
      <c r="G720" t="s">
        <v>831</v>
      </c>
      <c r="H720" s="9">
        <v>44657</v>
      </c>
      <c r="I720" t="s">
        <v>8634</v>
      </c>
      <c r="J720" t="s">
        <v>0</v>
      </c>
      <c r="K720" s="9">
        <v>44844</v>
      </c>
      <c r="L720" t="s">
        <v>29</v>
      </c>
      <c r="M720"/>
      <c r="N720" s="9">
        <v>44686</v>
      </c>
      <c r="O720" s="9">
        <v>44693</v>
      </c>
      <c r="P720" s="9">
        <v>44693</v>
      </c>
      <c r="Q720" s="9">
        <v>44844</v>
      </c>
      <c r="R720"/>
      <c r="S720"/>
      <c r="T720"/>
      <c r="U720"/>
    </row>
    <row r="721" spans="1:21" hidden="1">
      <c r="A721" s="7" t="s">
        <v>8758</v>
      </c>
      <c r="B721" s="7" t="s">
        <v>5405</v>
      </c>
      <c r="C721" s="8" t="s">
        <v>5317</v>
      </c>
      <c r="D721" t="s">
        <v>24</v>
      </c>
      <c r="E721" t="s">
        <v>25</v>
      </c>
      <c r="F721" t="s">
        <v>493</v>
      </c>
      <c r="G721" t="s">
        <v>832</v>
      </c>
      <c r="H721" s="9">
        <v>44657</v>
      </c>
      <c r="I721" t="s">
        <v>8634</v>
      </c>
      <c r="J721" t="s">
        <v>0</v>
      </c>
      <c r="K721" s="9">
        <v>44862</v>
      </c>
      <c r="L721" t="s">
        <v>29</v>
      </c>
      <c r="M721"/>
      <c r="N721" s="9">
        <v>44686</v>
      </c>
      <c r="O721" s="9">
        <v>44693</v>
      </c>
      <c r="P721" s="9">
        <v>44693</v>
      </c>
      <c r="Q721" s="9">
        <v>44862</v>
      </c>
      <c r="R721"/>
      <c r="S721"/>
      <c r="T721"/>
      <c r="U721"/>
    </row>
    <row r="722" spans="1:21" hidden="1">
      <c r="A722" s="7" t="s">
        <v>8758</v>
      </c>
      <c r="B722" s="7" t="s">
        <v>5405</v>
      </c>
      <c r="C722" s="8" t="s">
        <v>5317</v>
      </c>
      <c r="D722" t="s">
        <v>24</v>
      </c>
      <c r="E722" t="s">
        <v>25</v>
      </c>
      <c r="F722" t="s">
        <v>493</v>
      </c>
      <c r="G722" t="s">
        <v>833</v>
      </c>
      <c r="H722" s="9">
        <v>44657</v>
      </c>
      <c r="I722" t="s">
        <v>8634</v>
      </c>
      <c r="J722" t="s">
        <v>0</v>
      </c>
      <c r="K722" s="9">
        <v>44862</v>
      </c>
      <c r="L722" t="s">
        <v>29</v>
      </c>
      <c r="M722"/>
      <c r="N722" s="9">
        <v>44686</v>
      </c>
      <c r="O722" s="9">
        <v>44693</v>
      </c>
      <c r="P722" s="9">
        <v>44693</v>
      </c>
      <c r="Q722" s="9">
        <v>44862</v>
      </c>
      <c r="R722"/>
      <c r="S722"/>
      <c r="T722"/>
      <c r="U722"/>
    </row>
    <row r="723" spans="1:21" hidden="1">
      <c r="A723" s="7" t="s">
        <v>8758</v>
      </c>
      <c r="B723" s="7" t="s">
        <v>5405</v>
      </c>
      <c r="C723" s="8" t="s">
        <v>5317</v>
      </c>
      <c r="D723" t="s">
        <v>24</v>
      </c>
      <c r="E723" t="s">
        <v>25</v>
      </c>
      <c r="F723" t="s">
        <v>493</v>
      </c>
      <c r="G723" t="s">
        <v>834</v>
      </c>
      <c r="H723" s="9">
        <v>44657</v>
      </c>
      <c r="I723" t="s">
        <v>8634</v>
      </c>
      <c r="J723" t="s">
        <v>0</v>
      </c>
      <c r="K723" s="9">
        <v>44862</v>
      </c>
      <c r="L723" t="s">
        <v>29</v>
      </c>
      <c r="M723"/>
      <c r="N723" s="9">
        <v>44686</v>
      </c>
      <c r="O723" s="9">
        <v>44693</v>
      </c>
      <c r="P723" s="9">
        <v>44693</v>
      </c>
      <c r="Q723" s="9">
        <v>44862</v>
      </c>
      <c r="R723"/>
      <c r="S723"/>
      <c r="T723"/>
      <c r="U723"/>
    </row>
    <row r="724" spans="1:21" hidden="1">
      <c r="A724" s="7" t="s">
        <v>8758</v>
      </c>
      <c r="B724" s="7" t="s">
        <v>5405</v>
      </c>
      <c r="C724" s="8" t="s">
        <v>5317</v>
      </c>
      <c r="D724" t="s">
        <v>24</v>
      </c>
      <c r="E724" t="s">
        <v>25</v>
      </c>
      <c r="F724" t="s">
        <v>493</v>
      </c>
      <c r="G724" t="s">
        <v>835</v>
      </c>
      <c r="H724" s="9">
        <v>44657</v>
      </c>
      <c r="I724" t="s">
        <v>8634</v>
      </c>
      <c r="J724" t="s">
        <v>0</v>
      </c>
      <c r="K724" s="9">
        <v>44862</v>
      </c>
      <c r="L724" t="s">
        <v>29</v>
      </c>
      <c r="M724"/>
      <c r="N724" s="9">
        <v>44686</v>
      </c>
      <c r="O724" s="9">
        <v>44693</v>
      </c>
      <c r="P724" s="9">
        <v>44693</v>
      </c>
      <c r="Q724" s="9">
        <v>44862</v>
      </c>
      <c r="R724"/>
      <c r="S724"/>
      <c r="T724"/>
      <c r="U724"/>
    </row>
    <row r="725" spans="1:21" hidden="1">
      <c r="A725" s="7" t="s">
        <v>8762</v>
      </c>
      <c r="B725" s="7" t="s">
        <v>5405</v>
      </c>
      <c r="C725" s="8" t="s">
        <v>5317</v>
      </c>
      <c r="D725" t="s">
        <v>24</v>
      </c>
      <c r="E725" t="s">
        <v>25</v>
      </c>
      <c r="F725" t="s">
        <v>433</v>
      </c>
      <c r="G725" t="s">
        <v>836</v>
      </c>
      <c r="H725" s="9">
        <v>44657</v>
      </c>
      <c r="I725" t="s">
        <v>8634</v>
      </c>
      <c r="J725" t="s">
        <v>0</v>
      </c>
      <c r="K725" s="9">
        <v>44844</v>
      </c>
      <c r="L725" t="s">
        <v>29</v>
      </c>
      <c r="M725"/>
      <c r="N725" s="9">
        <v>44686</v>
      </c>
      <c r="O725" s="9">
        <v>44693</v>
      </c>
      <c r="P725" s="9">
        <v>44693</v>
      </c>
      <c r="Q725" s="9">
        <v>44844</v>
      </c>
      <c r="R725"/>
      <c r="S725"/>
      <c r="T725"/>
      <c r="U725"/>
    </row>
    <row r="726" spans="1:21" hidden="1">
      <c r="A726" s="7" t="s">
        <v>8762</v>
      </c>
      <c r="B726" s="7" t="s">
        <v>5405</v>
      </c>
      <c r="C726" s="8" t="s">
        <v>5317</v>
      </c>
      <c r="D726" t="s">
        <v>24</v>
      </c>
      <c r="E726" t="s">
        <v>25</v>
      </c>
      <c r="F726" t="s">
        <v>433</v>
      </c>
      <c r="G726" t="s">
        <v>837</v>
      </c>
      <c r="H726" s="9">
        <v>44657</v>
      </c>
      <c r="I726" t="s">
        <v>8634</v>
      </c>
      <c r="J726" t="s">
        <v>163</v>
      </c>
      <c r="K726" s="9">
        <v>44693</v>
      </c>
      <c r="L726" t="s">
        <v>29</v>
      </c>
      <c r="M726"/>
      <c r="N726" s="9">
        <v>44686</v>
      </c>
      <c r="O726" s="9">
        <v>44693</v>
      </c>
      <c r="P726" s="9">
        <v>44693</v>
      </c>
      <c r="Q726"/>
      <c r="R726"/>
      <c r="S726"/>
      <c r="T726"/>
      <c r="U726"/>
    </row>
    <row r="727" spans="1:21" hidden="1">
      <c r="A727" s="7" t="s">
        <v>8762</v>
      </c>
      <c r="B727" s="7" t="s">
        <v>5405</v>
      </c>
      <c r="C727" s="8" t="s">
        <v>5317</v>
      </c>
      <c r="D727" t="s">
        <v>24</v>
      </c>
      <c r="E727" t="s">
        <v>25</v>
      </c>
      <c r="F727" t="s">
        <v>433</v>
      </c>
      <c r="G727" t="s">
        <v>838</v>
      </c>
      <c r="H727" s="9">
        <v>44657</v>
      </c>
      <c r="I727" t="s">
        <v>8634</v>
      </c>
      <c r="J727" t="s">
        <v>163</v>
      </c>
      <c r="K727" s="9">
        <v>44693</v>
      </c>
      <c r="L727" t="s">
        <v>29</v>
      </c>
      <c r="M727"/>
      <c r="N727" s="9">
        <v>44686</v>
      </c>
      <c r="O727" s="9">
        <v>44693</v>
      </c>
      <c r="P727" s="9">
        <v>44693</v>
      </c>
      <c r="Q727"/>
      <c r="R727"/>
      <c r="S727"/>
      <c r="T727"/>
      <c r="U727"/>
    </row>
    <row r="728" spans="1:21" hidden="1">
      <c r="A728" s="7" t="s">
        <v>8762</v>
      </c>
      <c r="B728" s="7" t="s">
        <v>5405</v>
      </c>
      <c r="C728" s="8" t="s">
        <v>5317</v>
      </c>
      <c r="D728" t="s">
        <v>24</v>
      </c>
      <c r="E728" t="s">
        <v>25</v>
      </c>
      <c r="F728" t="s">
        <v>433</v>
      </c>
      <c r="G728" t="s">
        <v>839</v>
      </c>
      <c r="H728" s="9">
        <v>44657</v>
      </c>
      <c r="I728" t="s">
        <v>8634</v>
      </c>
      <c r="J728" t="s">
        <v>163</v>
      </c>
      <c r="K728" s="9">
        <v>44693</v>
      </c>
      <c r="L728" t="s">
        <v>29</v>
      </c>
      <c r="M728"/>
      <c r="N728" s="9">
        <v>44686</v>
      </c>
      <c r="O728" s="9">
        <v>44693</v>
      </c>
      <c r="P728" s="9">
        <v>44693</v>
      </c>
      <c r="Q728"/>
      <c r="R728"/>
      <c r="S728"/>
      <c r="T728"/>
      <c r="U728"/>
    </row>
    <row r="729" spans="1:21" hidden="1">
      <c r="A729" s="7" t="s">
        <v>8762</v>
      </c>
      <c r="B729" s="7" t="s">
        <v>5405</v>
      </c>
      <c r="C729" s="8" t="s">
        <v>5317</v>
      </c>
      <c r="D729" t="s">
        <v>24</v>
      </c>
      <c r="E729" t="s">
        <v>25</v>
      </c>
      <c r="F729" t="s">
        <v>433</v>
      </c>
      <c r="G729" t="s">
        <v>840</v>
      </c>
      <c r="H729" s="9">
        <v>44657</v>
      </c>
      <c r="I729" t="s">
        <v>8634</v>
      </c>
      <c r="J729" t="s">
        <v>163</v>
      </c>
      <c r="K729" s="9">
        <v>44693</v>
      </c>
      <c r="L729" t="s">
        <v>29</v>
      </c>
      <c r="M729"/>
      <c r="N729" s="9">
        <v>44686</v>
      </c>
      <c r="O729" s="9">
        <v>44693</v>
      </c>
      <c r="P729" s="9">
        <v>44693</v>
      </c>
      <c r="Q729"/>
      <c r="R729"/>
      <c r="S729"/>
      <c r="T729"/>
      <c r="U729"/>
    </row>
    <row r="730" spans="1:21" hidden="1">
      <c r="A730" s="7" t="s">
        <v>8763</v>
      </c>
      <c r="B730" s="7" t="s">
        <v>5405</v>
      </c>
      <c r="C730" s="8" t="s">
        <v>5317</v>
      </c>
      <c r="D730" t="s">
        <v>24</v>
      </c>
      <c r="E730" t="s">
        <v>25</v>
      </c>
      <c r="F730" t="s">
        <v>280</v>
      </c>
      <c r="G730" t="s">
        <v>841</v>
      </c>
      <c r="H730" s="9">
        <v>44657</v>
      </c>
      <c r="I730" t="s">
        <v>8634</v>
      </c>
      <c r="J730" t="s">
        <v>0</v>
      </c>
      <c r="K730" s="9">
        <v>44858</v>
      </c>
      <c r="L730" t="s">
        <v>29</v>
      </c>
      <c r="M730"/>
      <c r="N730" s="9">
        <v>44686</v>
      </c>
      <c r="O730" s="9">
        <v>44693</v>
      </c>
      <c r="P730" s="9">
        <v>44693</v>
      </c>
      <c r="Q730" s="9">
        <v>44858</v>
      </c>
      <c r="R730"/>
      <c r="S730"/>
      <c r="T730"/>
      <c r="U730"/>
    </row>
    <row r="731" spans="1:21" hidden="1">
      <c r="A731" s="7" t="s">
        <v>8763</v>
      </c>
      <c r="B731" s="7" t="s">
        <v>5405</v>
      </c>
      <c r="C731" s="8" t="s">
        <v>5317</v>
      </c>
      <c r="D731" t="s">
        <v>24</v>
      </c>
      <c r="E731" t="s">
        <v>25</v>
      </c>
      <c r="F731" t="s">
        <v>280</v>
      </c>
      <c r="G731" t="s">
        <v>842</v>
      </c>
      <c r="H731" s="9">
        <v>44657</v>
      </c>
      <c r="I731" t="s">
        <v>8634</v>
      </c>
      <c r="J731" t="s">
        <v>0</v>
      </c>
      <c r="K731" s="9">
        <v>44858</v>
      </c>
      <c r="L731" t="s">
        <v>29</v>
      </c>
      <c r="M731"/>
      <c r="N731" s="9">
        <v>44686</v>
      </c>
      <c r="O731" s="9">
        <v>44693</v>
      </c>
      <c r="P731" s="9">
        <v>44693</v>
      </c>
      <c r="Q731" s="9">
        <v>44858</v>
      </c>
      <c r="R731"/>
      <c r="S731"/>
      <c r="T731"/>
      <c r="U731"/>
    </row>
    <row r="732" spans="1:21" hidden="1">
      <c r="A732" s="7" t="s">
        <v>8762</v>
      </c>
      <c r="B732" s="7" t="s">
        <v>5405</v>
      </c>
      <c r="C732" s="8" t="s">
        <v>5317</v>
      </c>
      <c r="D732" t="s">
        <v>24</v>
      </c>
      <c r="E732" t="s">
        <v>25</v>
      </c>
      <c r="F732" t="s">
        <v>433</v>
      </c>
      <c r="G732" t="s">
        <v>843</v>
      </c>
      <c r="H732" s="9">
        <v>44657</v>
      </c>
      <c r="I732" t="s">
        <v>8634</v>
      </c>
      <c r="J732" t="s">
        <v>163</v>
      </c>
      <c r="K732" s="9">
        <v>44693</v>
      </c>
      <c r="L732" t="s">
        <v>29</v>
      </c>
      <c r="M732"/>
      <c r="N732" s="9">
        <v>44686</v>
      </c>
      <c r="O732" s="9">
        <v>44693</v>
      </c>
      <c r="P732" s="9">
        <v>44693</v>
      </c>
      <c r="Q732"/>
      <c r="R732"/>
      <c r="S732"/>
      <c r="T732"/>
      <c r="U732"/>
    </row>
    <row r="733" spans="1:21" hidden="1">
      <c r="A733" s="7" t="s">
        <v>8762</v>
      </c>
      <c r="B733" s="7" t="s">
        <v>5405</v>
      </c>
      <c r="C733" s="8" t="s">
        <v>5317</v>
      </c>
      <c r="D733" t="s">
        <v>24</v>
      </c>
      <c r="E733" t="s">
        <v>25</v>
      </c>
      <c r="F733" t="s">
        <v>433</v>
      </c>
      <c r="G733" t="s">
        <v>844</v>
      </c>
      <c r="H733" s="9">
        <v>44657</v>
      </c>
      <c r="I733" t="s">
        <v>8634</v>
      </c>
      <c r="J733" t="s">
        <v>163</v>
      </c>
      <c r="K733" s="9">
        <v>44693</v>
      </c>
      <c r="L733" t="s">
        <v>29</v>
      </c>
      <c r="M733"/>
      <c r="N733" s="9">
        <v>44686</v>
      </c>
      <c r="O733" s="9">
        <v>44693</v>
      </c>
      <c r="P733" s="9">
        <v>44693</v>
      </c>
      <c r="Q733"/>
      <c r="R733"/>
      <c r="S733"/>
      <c r="T733"/>
      <c r="U733"/>
    </row>
    <row r="734" spans="1:21" hidden="1">
      <c r="A734" s="7" t="s">
        <v>8762</v>
      </c>
      <c r="B734" s="7" t="s">
        <v>5405</v>
      </c>
      <c r="C734" s="8" t="s">
        <v>5317</v>
      </c>
      <c r="D734" t="s">
        <v>24</v>
      </c>
      <c r="E734" t="s">
        <v>25</v>
      </c>
      <c r="F734" t="s">
        <v>433</v>
      </c>
      <c r="G734" t="s">
        <v>845</v>
      </c>
      <c r="H734" s="9">
        <v>44657</v>
      </c>
      <c r="I734" t="s">
        <v>8634</v>
      </c>
      <c r="J734" t="s">
        <v>163</v>
      </c>
      <c r="K734" s="9">
        <v>44693</v>
      </c>
      <c r="L734" t="s">
        <v>29</v>
      </c>
      <c r="M734"/>
      <c r="N734" s="9">
        <v>44686</v>
      </c>
      <c r="O734" s="9">
        <v>44693</v>
      </c>
      <c r="P734" s="9">
        <v>44693</v>
      </c>
      <c r="Q734"/>
      <c r="R734"/>
      <c r="S734"/>
      <c r="T734"/>
      <c r="U734"/>
    </row>
    <row r="735" spans="1:21" hidden="1">
      <c r="A735" s="7" t="s">
        <v>8762</v>
      </c>
      <c r="B735" s="7" t="s">
        <v>5405</v>
      </c>
      <c r="C735" s="8" t="s">
        <v>5317</v>
      </c>
      <c r="D735" t="s">
        <v>24</v>
      </c>
      <c r="E735" t="s">
        <v>25</v>
      </c>
      <c r="F735" t="s">
        <v>433</v>
      </c>
      <c r="G735" t="s">
        <v>846</v>
      </c>
      <c r="H735" s="9">
        <v>44657</v>
      </c>
      <c r="I735" t="s">
        <v>8634</v>
      </c>
      <c r="J735" t="s">
        <v>163</v>
      </c>
      <c r="K735" s="9">
        <v>44693</v>
      </c>
      <c r="L735" t="s">
        <v>29</v>
      </c>
      <c r="M735"/>
      <c r="N735" s="9">
        <v>44686</v>
      </c>
      <c r="O735" s="9">
        <v>44693</v>
      </c>
      <c r="P735" s="9">
        <v>44693</v>
      </c>
      <c r="Q735"/>
      <c r="R735"/>
      <c r="S735"/>
      <c r="T735"/>
      <c r="U735"/>
    </row>
    <row r="736" spans="1:21" hidden="1">
      <c r="A736" s="7" t="s">
        <v>8762</v>
      </c>
      <c r="B736" s="7" t="s">
        <v>5405</v>
      </c>
      <c r="C736" s="8" t="s">
        <v>5317</v>
      </c>
      <c r="D736" t="s">
        <v>24</v>
      </c>
      <c r="E736" t="s">
        <v>25</v>
      </c>
      <c r="F736" t="s">
        <v>433</v>
      </c>
      <c r="G736" t="s">
        <v>847</v>
      </c>
      <c r="H736" s="9">
        <v>44657</v>
      </c>
      <c r="I736" t="s">
        <v>8634</v>
      </c>
      <c r="J736" t="s">
        <v>163</v>
      </c>
      <c r="K736" s="9">
        <v>44693</v>
      </c>
      <c r="L736" t="s">
        <v>29</v>
      </c>
      <c r="M736"/>
      <c r="N736" s="9">
        <v>44686</v>
      </c>
      <c r="O736" s="9">
        <v>44693</v>
      </c>
      <c r="P736" s="9">
        <v>44693</v>
      </c>
      <c r="Q736"/>
      <c r="R736"/>
      <c r="S736"/>
      <c r="T736"/>
      <c r="U736"/>
    </row>
    <row r="737" spans="1:21" hidden="1">
      <c r="A737" s="7" t="s">
        <v>8762</v>
      </c>
      <c r="B737" s="7" t="s">
        <v>5405</v>
      </c>
      <c r="C737" s="8" t="s">
        <v>5317</v>
      </c>
      <c r="D737" t="s">
        <v>24</v>
      </c>
      <c r="E737" t="s">
        <v>25</v>
      </c>
      <c r="F737" t="s">
        <v>433</v>
      </c>
      <c r="G737" t="s">
        <v>848</v>
      </c>
      <c r="H737" s="9">
        <v>44657</v>
      </c>
      <c r="I737" t="s">
        <v>8634</v>
      </c>
      <c r="J737" t="s">
        <v>163</v>
      </c>
      <c r="K737" s="9">
        <v>44693</v>
      </c>
      <c r="L737" t="s">
        <v>29</v>
      </c>
      <c r="M737"/>
      <c r="N737" s="9">
        <v>44686</v>
      </c>
      <c r="O737" s="9">
        <v>44693</v>
      </c>
      <c r="P737" s="9">
        <v>44693</v>
      </c>
      <c r="Q737"/>
      <c r="R737"/>
      <c r="S737"/>
      <c r="T737"/>
      <c r="U737"/>
    </row>
    <row r="738" spans="1:21" hidden="1">
      <c r="A738" s="7" t="s">
        <v>8762</v>
      </c>
      <c r="B738" s="7" t="s">
        <v>5405</v>
      </c>
      <c r="C738" s="8" t="s">
        <v>5317</v>
      </c>
      <c r="D738" t="s">
        <v>24</v>
      </c>
      <c r="E738" t="s">
        <v>25</v>
      </c>
      <c r="F738" t="s">
        <v>433</v>
      </c>
      <c r="G738" t="s">
        <v>849</v>
      </c>
      <c r="H738" s="9">
        <v>44657</v>
      </c>
      <c r="I738" t="s">
        <v>8634</v>
      </c>
      <c r="J738" t="s">
        <v>163</v>
      </c>
      <c r="K738" s="9">
        <v>44693</v>
      </c>
      <c r="L738" t="s">
        <v>29</v>
      </c>
      <c r="M738"/>
      <c r="N738" s="9">
        <v>44686</v>
      </c>
      <c r="O738" s="9">
        <v>44693</v>
      </c>
      <c r="P738" s="9">
        <v>44693</v>
      </c>
      <c r="Q738"/>
      <c r="R738"/>
      <c r="S738"/>
      <c r="T738"/>
      <c r="U738"/>
    </row>
    <row r="739" spans="1:21" hidden="1">
      <c r="A739" s="7" t="s">
        <v>8762</v>
      </c>
      <c r="B739" s="7" t="s">
        <v>5405</v>
      </c>
      <c r="C739" s="8" t="s">
        <v>5317</v>
      </c>
      <c r="D739" t="s">
        <v>24</v>
      </c>
      <c r="E739" t="s">
        <v>25</v>
      </c>
      <c r="F739" t="s">
        <v>433</v>
      </c>
      <c r="G739" t="s">
        <v>850</v>
      </c>
      <c r="H739" s="9">
        <v>44657</v>
      </c>
      <c r="I739" t="s">
        <v>8634</v>
      </c>
      <c r="J739" t="s">
        <v>0</v>
      </c>
      <c r="K739" s="9">
        <v>44844</v>
      </c>
      <c r="L739" t="s">
        <v>29</v>
      </c>
      <c r="M739"/>
      <c r="N739" s="9">
        <v>44686</v>
      </c>
      <c r="O739" s="9">
        <v>44693</v>
      </c>
      <c r="P739" s="9">
        <v>44693</v>
      </c>
      <c r="Q739" s="9">
        <v>44844</v>
      </c>
      <c r="R739"/>
      <c r="S739"/>
      <c r="T739"/>
      <c r="U739"/>
    </row>
    <row r="740" spans="1:21" hidden="1">
      <c r="A740" s="7" t="s">
        <v>8758</v>
      </c>
      <c r="B740" s="7" t="s">
        <v>5405</v>
      </c>
      <c r="C740" s="8" t="s">
        <v>5317</v>
      </c>
      <c r="D740" t="s">
        <v>24</v>
      </c>
      <c r="E740" t="s">
        <v>25</v>
      </c>
      <c r="F740" t="s">
        <v>493</v>
      </c>
      <c r="G740" t="s">
        <v>851</v>
      </c>
      <c r="H740" s="9">
        <v>44657</v>
      </c>
      <c r="I740" t="s">
        <v>8634</v>
      </c>
      <c r="J740" t="s">
        <v>0</v>
      </c>
      <c r="K740" s="9">
        <v>44862</v>
      </c>
      <c r="L740" t="s">
        <v>29</v>
      </c>
      <c r="M740"/>
      <c r="N740" s="9">
        <v>44686</v>
      </c>
      <c r="O740" s="9">
        <v>44693</v>
      </c>
      <c r="P740" s="9">
        <v>44693</v>
      </c>
      <c r="Q740" s="9">
        <v>44862</v>
      </c>
      <c r="R740"/>
      <c r="S740"/>
      <c r="T740"/>
      <c r="U740"/>
    </row>
    <row r="741" spans="1:21" hidden="1">
      <c r="A741" s="7" t="s">
        <v>8762</v>
      </c>
      <c r="B741" s="7" t="s">
        <v>5405</v>
      </c>
      <c r="C741" s="8" t="s">
        <v>5317</v>
      </c>
      <c r="D741" t="s">
        <v>24</v>
      </c>
      <c r="E741" t="s">
        <v>25</v>
      </c>
      <c r="F741" t="s">
        <v>433</v>
      </c>
      <c r="G741" t="s">
        <v>852</v>
      </c>
      <c r="H741" s="9">
        <v>44657</v>
      </c>
      <c r="I741" t="s">
        <v>8634</v>
      </c>
      <c r="J741" t="s">
        <v>0</v>
      </c>
      <c r="K741" s="9">
        <v>44844</v>
      </c>
      <c r="L741" t="s">
        <v>29</v>
      </c>
      <c r="M741"/>
      <c r="N741" s="9">
        <v>44686</v>
      </c>
      <c r="O741" s="9">
        <v>44693</v>
      </c>
      <c r="P741" s="9">
        <v>44693</v>
      </c>
      <c r="Q741" s="9">
        <v>44844</v>
      </c>
      <c r="R741"/>
      <c r="S741"/>
      <c r="T741"/>
      <c r="U741"/>
    </row>
    <row r="742" spans="1:21" hidden="1">
      <c r="A742" s="7" t="s">
        <v>8762</v>
      </c>
      <c r="B742" s="7" t="s">
        <v>5405</v>
      </c>
      <c r="C742" s="8" t="s">
        <v>5317</v>
      </c>
      <c r="D742" t="s">
        <v>24</v>
      </c>
      <c r="E742" t="s">
        <v>25</v>
      </c>
      <c r="F742" t="s">
        <v>433</v>
      </c>
      <c r="G742" t="s">
        <v>853</v>
      </c>
      <c r="H742" s="9">
        <v>44657</v>
      </c>
      <c r="I742" t="s">
        <v>8634</v>
      </c>
      <c r="J742" t="s">
        <v>163</v>
      </c>
      <c r="K742" s="9">
        <v>44693</v>
      </c>
      <c r="L742" t="s">
        <v>29</v>
      </c>
      <c r="M742"/>
      <c r="N742" s="9">
        <v>44686</v>
      </c>
      <c r="O742" s="9">
        <v>44693</v>
      </c>
      <c r="P742" s="9">
        <v>44693</v>
      </c>
      <c r="Q742"/>
      <c r="R742"/>
      <c r="S742"/>
      <c r="T742"/>
      <c r="U742"/>
    </row>
    <row r="743" spans="1:21" hidden="1">
      <c r="A743" s="7" t="s">
        <v>8762</v>
      </c>
      <c r="B743" s="7" t="s">
        <v>5405</v>
      </c>
      <c r="C743" s="8" t="s">
        <v>5317</v>
      </c>
      <c r="D743" t="s">
        <v>24</v>
      </c>
      <c r="E743" t="s">
        <v>25</v>
      </c>
      <c r="F743" t="s">
        <v>433</v>
      </c>
      <c r="G743" t="s">
        <v>854</v>
      </c>
      <c r="H743" s="9">
        <v>44657</v>
      </c>
      <c r="I743" t="s">
        <v>8634</v>
      </c>
      <c r="J743" t="s">
        <v>163</v>
      </c>
      <c r="K743" s="9">
        <v>44693</v>
      </c>
      <c r="L743" t="s">
        <v>29</v>
      </c>
      <c r="M743"/>
      <c r="N743" s="9">
        <v>44686</v>
      </c>
      <c r="O743" s="9">
        <v>44693</v>
      </c>
      <c r="P743" s="9">
        <v>44693</v>
      </c>
      <c r="Q743"/>
      <c r="R743"/>
      <c r="S743"/>
      <c r="T743"/>
      <c r="U743"/>
    </row>
    <row r="744" spans="1:21" hidden="1">
      <c r="A744" s="7" t="s">
        <v>8758</v>
      </c>
      <c r="B744" s="7" t="s">
        <v>5405</v>
      </c>
      <c r="C744" s="8" t="s">
        <v>5317</v>
      </c>
      <c r="D744" t="s">
        <v>24</v>
      </c>
      <c r="E744" t="s">
        <v>25</v>
      </c>
      <c r="F744" t="s">
        <v>493</v>
      </c>
      <c r="G744" t="s">
        <v>855</v>
      </c>
      <c r="H744" s="9">
        <v>44657</v>
      </c>
      <c r="I744" t="s">
        <v>8634</v>
      </c>
      <c r="J744" t="s">
        <v>0</v>
      </c>
      <c r="K744" s="9">
        <v>44862</v>
      </c>
      <c r="L744" t="s">
        <v>29</v>
      </c>
      <c r="M744"/>
      <c r="N744" s="9">
        <v>44686</v>
      </c>
      <c r="O744" s="9">
        <v>44693</v>
      </c>
      <c r="P744" s="9">
        <v>44693</v>
      </c>
      <c r="Q744" s="9">
        <v>44862</v>
      </c>
      <c r="R744"/>
      <c r="S744"/>
      <c r="T744"/>
      <c r="U744"/>
    </row>
    <row r="745" spans="1:21" hidden="1">
      <c r="A745" s="7" t="s">
        <v>8762</v>
      </c>
      <c r="B745" s="7" t="s">
        <v>5405</v>
      </c>
      <c r="C745" s="8" t="s">
        <v>5317</v>
      </c>
      <c r="D745" t="s">
        <v>24</v>
      </c>
      <c r="E745" t="s">
        <v>25</v>
      </c>
      <c r="F745" t="s">
        <v>433</v>
      </c>
      <c r="G745" t="s">
        <v>598</v>
      </c>
      <c r="H745" s="9">
        <v>44657</v>
      </c>
      <c r="I745" t="s">
        <v>8634</v>
      </c>
      <c r="J745" t="s">
        <v>0</v>
      </c>
      <c r="K745" s="9">
        <v>44844</v>
      </c>
      <c r="L745" t="s">
        <v>29</v>
      </c>
      <c r="M745"/>
      <c r="N745" s="9">
        <v>44686</v>
      </c>
      <c r="O745" s="9">
        <v>44693</v>
      </c>
      <c r="P745" s="9">
        <v>44693</v>
      </c>
      <c r="Q745" s="9">
        <v>44844</v>
      </c>
      <c r="R745"/>
      <c r="S745"/>
      <c r="T745"/>
      <c r="U745"/>
    </row>
    <row r="746" spans="1:21" hidden="1">
      <c r="A746" s="7" t="s">
        <v>8758</v>
      </c>
      <c r="B746" s="7" t="s">
        <v>5405</v>
      </c>
      <c r="C746" s="8" t="s">
        <v>5317</v>
      </c>
      <c r="D746" t="s">
        <v>24</v>
      </c>
      <c r="E746" t="s">
        <v>25</v>
      </c>
      <c r="F746" t="s">
        <v>493</v>
      </c>
      <c r="G746" t="s">
        <v>598</v>
      </c>
      <c r="H746" s="9">
        <v>44657</v>
      </c>
      <c r="I746" t="s">
        <v>8634</v>
      </c>
      <c r="J746" t="s">
        <v>0</v>
      </c>
      <c r="K746" s="9">
        <v>44862</v>
      </c>
      <c r="L746" t="s">
        <v>29</v>
      </c>
      <c r="M746"/>
      <c r="N746" s="9">
        <v>44686</v>
      </c>
      <c r="O746" s="9">
        <v>44693</v>
      </c>
      <c r="P746" s="9">
        <v>44693</v>
      </c>
      <c r="Q746" s="9">
        <v>44862</v>
      </c>
      <c r="R746"/>
      <c r="S746"/>
      <c r="T746"/>
      <c r="U746"/>
    </row>
    <row r="747" spans="1:21" hidden="1">
      <c r="A747" s="7" t="s">
        <v>8758</v>
      </c>
      <c r="B747" s="7" t="s">
        <v>5405</v>
      </c>
      <c r="C747" s="8" t="s">
        <v>5317</v>
      </c>
      <c r="D747" t="s">
        <v>24</v>
      </c>
      <c r="E747" t="s">
        <v>25</v>
      </c>
      <c r="F747" t="s">
        <v>493</v>
      </c>
      <c r="G747" t="s">
        <v>856</v>
      </c>
      <c r="H747" s="9">
        <v>44657</v>
      </c>
      <c r="I747" t="s">
        <v>8634</v>
      </c>
      <c r="J747" t="s">
        <v>0</v>
      </c>
      <c r="K747" s="9">
        <v>44862</v>
      </c>
      <c r="L747" t="s">
        <v>29</v>
      </c>
      <c r="M747"/>
      <c r="N747" s="9">
        <v>44686</v>
      </c>
      <c r="O747" s="9">
        <v>44693</v>
      </c>
      <c r="P747" s="9">
        <v>44693</v>
      </c>
      <c r="Q747" s="9">
        <v>44862</v>
      </c>
      <c r="R747"/>
      <c r="S747"/>
      <c r="T747"/>
      <c r="U747"/>
    </row>
    <row r="748" spans="1:21" hidden="1">
      <c r="A748" s="7" t="s">
        <v>8762</v>
      </c>
      <c r="B748" s="7" t="s">
        <v>5405</v>
      </c>
      <c r="C748" s="8" t="s">
        <v>5317</v>
      </c>
      <c r="D748" t="s">
        <v>24</v>
      </c>
      <c r="E748" t="s">
        <v>25</v>
      </c>
      <c r="F748" t="s">
        <v>433</v>
      </c>
      <c r="G748" t="s">
        <v>857</v>
      </c>
      <c r="H748" s="9">
        <v>44657</v>
      </c>
      <c r="I748" t="s">
        <v>8634</v>
      </c>
      <c r="J748" t="s">
        <v>163</v>
      </c>
      <c r="K748" s="9">
        <v>44693</v>
      </c>
      <c r="L748" t="s">
        <v>29</v>
      </c>
      <c r="M748"/>
      <c r="N748" s="9">
        <v>44686</v>
      </c>
      <c r="O748" s="9">
        <v>44693</v>
      </c>
      <c r="P748" s="9">
        <v>44693</v>
      </c>
      <c r="Q748"/>
      <c r="R748"/>
      <c r="S748"/>
      <c r="T748"/>
      <c r="U748"/>
    </row>
    <row r="749" spans="1:21" hidden="1">
      <c r="A749" s="7" t="s">
        <v>8762</v>
      </c>
      <c r="B749" s="7" t="s">
        <v>5405</v>
      </c>
      <c r="C749" s="8" t="s">
        <v>5317</v>
      </c>
      <c r="D749" t="s">
        <v>24</v>
      </c>
      <c r="E749" t="s">
        <v>25</v>
      </c>
      <c r="F749" t="s">
        <v>433</v>
      </c>
      <c r="G749" t="s">
        <v>858</v>
      </c>
      <c r="H749" s="9">
        <v>44657</v>
      </c>
      <c r="I749" t="s">
        <v>8634</v>
      </c>
      <c r="J749" t="s">
        <v>0</v>
      </c>
      <c r="K749" s="9">
        <v>44844</v>
      </c>
      <c r="L749" t="s">
        <v>29</v>
      </c>
      <c r="M749"/>
      <c r="N749" s="9">
        <v>44686</v>
      </c>
      <c r="O749" s="9">
        <v>44693</v>
      </c>
      <c r="P749" s="9">
        <v>44693</v>
      </c>
      <c r="Q749" s="9">
        <v>44844</v>
      </c>
      <c r="R749"/>
      <c r="S749"/>
      <c r="T749"/>
      <c r="U749"/>
    </row>
    <row r="750" spans="1:21" hidden="1">
      <c r="A750" s="7" t="s">
        <v>8762</v>
      </c>
      <c r="B750" s="7" t="s">
        <v>5405</v>
      </c>
      <c r="C750" s="8" t="s">
        <v>5317</v>
      </c>
      <c r="D750" t="s">
        <v>24</v>
      </c>
      <c r="E750" t="s">
        <v>25</v>
      </c>
      <c r="F750" t="s">
        <v>433</v>
      </c>
      <c r="G750" t="s">
        <v>601</v>
      </c>
      <c r="H750" s="9">
        <v>44657</v>
      </c>
      <c r="I750" t="s">
        <v>8634</v>
      </c>
      <c r="J750" t="s">
        <v>0</v>
      </c>
      <c r="K750" s="9">
        <v>44844</v>
      </c>
      <c r="L750" t="s">
        <v>29</v>
      </c>
      <c r="M750"/>
      <c r="N750" s="9">
        <v>44686</v>
      </c>
      <c r="O750" s="9">
        <v>44693</v>
      </c>
      <c r="P750" s="9">
        <v>44693</v>
      </c>
      <c r="Q750" s="9">
        <v>44844</v>
      </c>
      <c r="R750"/>
      <c r="S750"/>
      <c r="T750"/>
      <c r="U750"/>
    </row>
    <row r="751" spans="1:21" hidden="1">
      <c r="A751" s="7" t="s">
        <v>8762</v>
      </c>
      <c r="B751" s="7" t="s">
        <v>5405</v>
      </c>
      <c r="C751" s="8" t="s">
        <v>5317</v>
      </c>
      <c r="D751" t="s">
        <v>24</v>
      </c>
      <c r="E751" t="s">
        <v>25</v>
      </c>
      <c r="F751" t="s">
        <v>433</v>
      </c>
      <c r="G751" t="s">
        <v>859</v>
      </c>
      <c r="H751" s="9">
        <v>44657</v>
      </c>
      <c r="I751" t="s">
        <v>8634</v>
      </c>
      <c r="J751" t="s">
        <v>163</v>
      </c>
      <c r="K751" s="9">
        <v>44693</v>
      </c>
      <c r="L751" t="s">
        <v>29</v>
      </c>
      <c r="M751"/>
      <c r="N751" s="9">
        <v>44686</v>
      </c>
      <c r="O751" s="9">
        <v>44693</v>
      </c>
      <c r="P751" s="9">
        <v>44693</v>
      </c>
      <c r="Q751"/>
      <c r="R751"/>
      <c r="S751"/>
      <c r="T751"/>
      <c r="U751"/>
    </row>
    <row r="752" spans="1:21" hidden="1">
      <c r="A752" s="7" t="s">
        <v>8762</v>
      </c>
      <c r="B752" s="7" t="s">
        <v>5405</v>
      </c>
      <c r="C752" s="8" t="s">
        <v>5317</v>
      </c>
      <c r="D752" t="s">
        <v>24</v>
      </c>
      <c r="E752" t="s">
        <v>25</v>
      </c>
      <c r="F752" t="s">
        <v>433</v>
      </c>
      <c r="G752" t="s">
        <v>860</v>
      </c>
      <c r="H752" s="9">
        <v>44657</v>
      </c>
      <c r="I752" t="s">
        <v>8634</v>
      </c>
      <c r="J752" t="s">
        <v>0</v>
      </c>
      <c r="K752" s="9">
        <v>44844</v>
      </c>
      <c r="L752" t="s">
        <v>29</v>
      </c>
      <c r="M752"/>
      <c r="N752" s="9">
        <v>44686</v>
      </c>
      <c r="O752" s="9">
        <v>44693</v>
      </c>
      <c r="P752" s="9">
        <v>44693</v>
      </c>
      <c r="Q752" s="9">
        <v>44844</v>
      </c>
      <c r="R752"/>
      <c r="S752"/>
      <c r="T752"/>
      <c r="U752"/>
    </row>
    <row r="753" spans="1:21" hidden="1">
      <c r="A753" s="7" t="s">
        <v>8762</v>
      </c>
      <c r="B753" s="7" t="s">
        <v>5405</v>
      </c>
      <c r="C753" s="8" t="s">
        <v>5317</v>
      </c>
      <c r="D753" t="s">
        <v>24</v>
      </c>
      <c r="E753" t="s">
        <v>25</v>
      </c>
      <c r="F753" t="s">
        <v>433</v>
      </c>
      <c r="G753" t="s">
        <v>861</v>
      </c>
      <c r="H753" s="9">
        <v>44657</v>
      </c>
      <c r="I753" t="s">
        <v>8634</v>
      </c>
      <c r="J753" t="s">
        <v>163</v>
      </c>
      <c r="K753" s="9">
        <v>44693</v>
      </c>
      <c r="L753" t="s">
        <v>29</v>
      </c>
      <c r="M753"/>
      <c r="N753" s="9">
        <v>44686</v>
      </c>
      <c r="O753" s="9">
        <v>44693</v>
      </c>
      <c r="P753" s="9">
        <v>44693</v>
      </c>
      <c r="Q753"/>
      <c r="R753"/>
      <c r="S753"/>
      <c r="T753"/>
      <c r="U753"/>
    </row>
    <row r="754" spans="1:21" hidden="1">
      <c r="A754" s="7" t="s">
        <v>8762</v>
      </c>
      <c r="B754" s="7" t="s">
        <v>5405</v>
      </c>
      <c r="C754" s="8" t="s">
        <v>5317</v>
      </c>
      <c r="D754" t="s">
        <v>24</v>
      </c>
      <c r="E754" t="s">
        <v>25</v>
      </c>
      <c r="F754" t="s">
        <v>433</v>
      </c>
      <c r="G754" t="s">
        <v>862</v>
      </c>
      <c r="H754" s="9">
        <v>44657</v>
      </c>
      <c r="I754" t="s">
        <v>8634</v>
      </c>
      <c r="J754" t="s">
        <v>163</v>
      </c>
      <c r="K754" s="9">
        <v>44693</v>
      </c>
      <c r="L754" t="s">
        <v>29</v>
      </c>
      <c r="M754"/>
      <c r="N754" s="9">
        <v>44686</v>
      </c>
      <c r="O754" s="9">
        <v>44693</v>
      </c>
      <c r="P754" s="9">
        <v>44693</v>
      </c>
      <c r="Q754"/>
      <c r="R754"/>
      <c r="S754"/>
      <c r="T754"/>
      <c r="U754"/>
    </row>
    <row r="755" spans="1:21" hidden="1">
      <c r="A755" s="7" t="s">
        <v>8762</v>
      </c>
      <c r="B755" s="7" t="s">
        <v>5405</v>
      </c>
      <c r="C755" s="8" t="s">
        <v>5317</v>
      </c>
      <c r="D755" t="s">
        <v>24</v>
      </c>
      <c r="E755" t="s">
        <v>25</v>
      </c>
      <c r="F755" t="s">
        <v>433</v>
      </c>
      <c r="G755" t="s">
        <v>863</v>
      </c>
      <c r="H755" s="9">
        <v>44657</v>
      </c>
      <c r="I755" t="s">
        <v>8634</v>
      </c>
      <c r="J755" t="s">
        <v>163</v>
      </c>
      <c r="K755" s="9">
        <v>44693</v>
      </c>
      <c r="L755" t="s">
        <v>29</v>
      </c>
      <c r="M755"/>
      <c r="N755" s="9">
        <v>44686</v>
      </c>
      <c r="O755" s="9">
        <v>44693</v>
      </c>
      <c r="P755" s="9">
        <v>44693</v>
      </c>
      <c r="Q755"/>
      <c r="R755"/>
      <c r="S755"/>
      <c r="T755"/>
      <c r="U755"/>
    </row>
    <row r="756" spans="1:21" hidden="1">
      <c r="A756" s="7" t="s">
        <v>8762</v>
      </c>
      <c r="B756" s="7" t="s">
        <v>5405</v>
      </c>
      <c r="C756" s="8" t="s">
        <v>5317</v>
      </c>
      <c r="D756" t="s">
        <v>24</v>
      </c>
      <c r="E756" t="s">
        <v>25</v>
      </c>
      <c r="F756" t="s">
        <v>433</v>
      </c>
      <c r="G756" t="s">
        <v>603</v>
      </c>
      <c r="H756" s="9">
        <v>44657</v>
      </c>
      <c r="I756" t="s">
        <v>8634</v>
      </c>
      <c r="J756" t="s">
        <v>0</v>
      </c>
      <c r="K756" s="9">
        <v>44844</v>
      </c>
      <c r="L756" t="s">
        <v>29</v>
      </c>
      <c r="M756"/>
      <c r="N756" s="9">
        <v>44686</v>
      </c>
      <c r="O756" s="9">
        <v>44693</v>
      </c>
      <c r="P756" s="9">
        <v>44693</v>
      </c>
      <c r="Q756" s="9">
        <v>44844</v>
      </c>
      <c r="R756"/>
      <c r="S756"/>
      <c r="T756"/>
      <c r="U756"/>
    </row>
    <row r="757" spans="1:21" hidden="1">
      <c r="A757" s="7" t="s">
        <v>8751</v>
      </c>
      <c r="B757" s="7" t="s">
        <v>5405</v>
      </c>
      <c r="C757" s="8" t="s">
        <v>5317</v>
      </c>
      <c r="D757" t="s">
        <v>24</v>
      </c>
      <c r="E757" t="s">
        <v>25</v>
      </c>
      <c r="F757" t="s">
        <v>435</v>
      </c>
      <c r="G757" t="s">
        <v>864</v>
      </c>
      <c r="H757" s="9">
        <v>44657</v>
      </c>
      <c r="I757" t="s">
        <v>8634</v>
      </c>
      <c r="J757" t="s">
        <v>0</v>
      </c>
      <c r="K757" s="9">
        <v>44888</v>
      </c>
      <c r="L757" t="s">
        <v>29</v>
      </c>
      <c r="M757"/>
      <c r="N757" s="9">
        <v>44686</v>
      </c>
      <c r="O757" s="9">
        <v>44693</v>
      </c>
      <c r="P757" s="9">
        <v>44693</v>
      </c>
      <c r="Q757" s="9">
        <v>44888</v>
      </c>
      <c r="R757"/>
      <c r="S757"/>
      <c r="T757"/>
      <c r="U757"/>
    </row>
    <row r="758" spans="1:21" hidden="1">
      <c r="A758" s="7" t="s">
        <v>8751</v>
      </c>
      <c r="B758" s="7" t="s">
        <v>5405</v>
      </c>
      <c r="C758" s="8" t="s">
        <v>5317</v>
      </c>
      <c r="D758" t="s">
        <v>24</v>
      </c>
      <c r="E758" t="s">
        <v>25</v>
      </c>
      <c r="F758" t="s">
        <v>435</v>
      </c>
      <c r="G758" t="s">
        <v>865</v>
      </c>
      <c r="H758" s="9">
        <v>44657</v>
      </c>
      <c r="I758" t="s">
        <v>8634</v>
      </c>
      <c r="J758" t="s">
        <v>0</v>
      </c>
      <c r="K758" s="9">
        <v>44881</v>
      </c>
      <c r="L758" t="s">
        <v>29</v>
      </c>
      <c r="M758"/>
      <c r="N758" s="9">
        <v>44686</v>
      </c>
      <c r="O758" s="9">
        <v>44693</v>
      </c>
      <c r="P758" s="9">
        <v>44693</v>
      </c>
      <c r="Q758" s="9">
        <v>44881</v>
      </c>
      <c r="R758" s="9">
        <v>44762.580462963</v>
      </c>
      <c r="S758"/>
      <c r="T758"/>
      <c r="U758"/>
    </row>
    <row r="759" spans="1:21" hidden="1">
      <c r="A759" s="7" t="s">
        <v>8758</v>
      </c>
      <c r="B759" s="7" t="s">
        <v>5405</v>
      </c>
      <c r="C759" s="8" t="s">
        <v>5317</v>
      </c>
      <c r="D759" t="s">
        <v>24</v>
      </c>
      <c r="E759" t="s">
        <v>25</v>
      </c>
      <c r="F759" t="s">
        <v>493</v>
      </c>
      <c r="G759" t="s">
        <v>866</v>
      </c>
      <c r="H759" s="9">
        <v>44657</v>
      </c>
      <c r="I759" t="s">
        <v>8634</v>
      </c>
      <c r="J759" t="s">
        <v>0</v>
      </c>
      <c r="K759" s="9">
        <v>44862</v>
      </c>
      <c r="L759" t="s">
        <v>29</v>
      </c>
      <c r="M759"/>
      <c r="N759" s="9">
        <v>44686</v>
      </c>
      <c r="O759" s="9">
        <v>44693</v>
      </c>
      <c r="P759" s="9">
        <v>44693</v>
      </c>
      <c r="Q759" s="9">
        <v>44862</v>
      </c>
      <c r="R759" s="9">
        <v>44769.506967592599</v>
      </c>
      <c r="S759"/>
      <c r="T759"/>
      <c r="U759"/>
    </row>
    <row r="760" spans="1:21" hidden="1">
      <c r="A760" s="7" t="s">
        <v>8762</v>
      </c>
      <c r="B760" s="7" t="s">
        <v>5405</v>
      </c>
      <c r="C760" s="8" t="s">
        <v>5317</v>
      </c>
      <c r="D760" t="s">
        <v>24</v>
      </c>
      <c r="E760" t="s">
        <v>25</v>
      </c>
      <c r="F760" t="s">
        <v>433</v>
      </c>
      <c r="G760" t="s">
        <v>867</v>
      </c>
      <c r="H760" s="9">
        <v>44657</v>
      </c>
      <c r="I760" t="s">
        <v>8634</v>
      </c>
      <c r="J760" t="s">
        <v>0</v>
      </c>
      <c r="K760" s="9">
        <v>44844</v>
      </c>
      <c r="L760" t="s">
        <v>29</v>
      </c>
      <c r="M760"/>
      <c r="N760" s="9">
        <v>44686</v>
      </c>
      <c r="O760" s="9">
        <v>44693</v>
      </c>
      <c r="P760" s="9">
        <v>44693</v>
      </c>
      <c r="Q760" s="9">
        <v>44844</v>
      </c>
      <c r="R760"/>
      <c r="S760"/>
      <c r="T760"/>
      <c r="U760"/>
    </row>
    <row r="761" spans="1:21" hidden="1">
      <c r="A761" s="7" t="s">
        <v>8751</v>
      </c>
      <c r="B761" s="7" t="s">
        <v>5405</v>
      </c>
      <c r="C761" s="8" t="s">
        <v>5317</v>
      </c>
      <c r="D761" t="s">
        <v>24</v>
      </c>
      <c r="E761" t="s">
        <v>25</v>
      </c>
      <c r="F761" t="s">
        <v>435</v>
      </c>
      <c r="G761" t="s">
        <v>868</v>
      </c>
      <c r="H761" s="9">
        <v>44657</v>
      </c>
      <c r="I761" t="s">
        <v>8634</v>
      </c>
      <c r="J761" t="s">
        <v>0</v>
      </c>
      <c r="K761" s="9">
        <v>44881</v>
      </c>
      <c r="L761" t="s">
        <v>29</v>
      </c>
      <c r="M761"/>
      <c r="N761" s="9">
        <v>44686</v>
      </c>
      <c r="O761" s="9">
        <v>44693</v>
      </c>
      <c r="P761" s="9">
        <v>44693</v>
      </c>
      <c r="Q761" s="9">
        <v>44881</v>
      </c>
      <c r="R761" s="9">
        <v>44762.580462963</v>
      </c>
      <c r="S761"/>
      <c r="T761"/>
      <c r="U761"/>
    </row>
    <row r="762" spans="1:21" hidden="1">
      <c r="A762" s="7" t="s">
        <v>8762</v>
      </c>
      <c r="B762" s="7" t="s">
        <v>5405</v>
      </c>
      <c r="C762" s="8" t="s">
        <v>5317</v>
      </c>
      <c r="D762" t="s">
        <v>24</v>
      </c>
      <c r="E762" t="s">
        <v>25</v>
      </c>
      <c r="F762" t="s">
        <v>433</v>
      </c>
      <c r="G762" t="s">
        <v>607</v>
      </c>
      <c r="H762" s="9">
        <v>44657</v>
      </c>
      <c r="I762" t="s">
        <v>8634</v>
      </c>
      <c r="J762" t="s">
        <v>0</v>
      </c>
      <c r="K762" s="9">
        <v>44844</v>
      </c>
      <c r="L762" t="s">
        <v>29</v>
      </c>
      <c r="M762"/>
      <c r="N762" s="9">
        <v>44686</v>
      </c>
      <c r="O762" s="9">
        <v>44693</v>
      </c>
      <c r="P762" s="9">
        <v>44693</v>
      </c>
      <c r="Q762" s="9">
        <v>44844</v>
      </c>
      <c r="R762"/>
      <c r="S762"/>
      <c r="T762"/>
      <c r="U762"/>
    </row>
    <row r="763" spans="1:21" hidden="1">
      <c r="A763" s="7" t="s">
        <v>8758</v>
      </c>
      <c r="B763" s="7" t="s">
        <v>5405</v>
      </c>
      <c r="C763" s="8" t="s">
        <v>5317</v>
      </c>
      <c r="D763" t="s">
        <v>24</v>
      </c>
      <c r="E763" t="s">
        <v>25</v>
      </c>
      <c r="F763" t="s">
        <v>493</v>
      </c>
      <c r="G763" t="s">
        <v>869</v>
      </c>
      <c r="H763" s="9">
        <v>44657</v>
      </c>
      <c r="I763" t="s">
        <v>8634</v>
      </c>
      <c r="J763" t="s">
        <v>0</v>
      </c>
      <c r="K763" s="9">
        <v>44862</v>
      </c>
      <c r="L763" t="s">
        <v>29</v>
      </c>
      <c r="M763"/>
      <c r="N763" s="9">
        <v>44686</v>
      </c>
      <c r="O763" s="9">
        <v>44693</v>
      </c>
      <c r="P763" s="9">
        <v>44693</v>
      </c>
      <c r="Q763" s="9">
        <v>44862</v>
      </c>
      <c r="R763" s="9">
        <v>44769.506967592599</v>
      </c>
      <c r="S763"/>
      <c r="T763"/>
      <c r="U763"/>
    </row>
    <row r="764" spans="1:21" hidden="1">
      <c r="A764" s="7" t="s">
        <v>8762</v>
      </c>
      <c r="B764" s="7" t="s">
        <v>5405</v>
      </c>
      <c r="C764" s="8" t="s">
        <v>5317</v>
      </c>
      <c r="D764" t="s">
        <v>24</v>
      </c>
      <c r="E764" t="s">
        <v>25</v>
      </c>
      <c r="F764" t="s">
        <v>433</v>
      </c>
      <c r="G764" t="s">
        <v>870</v>
      </c>
      <c r="H764" s="9">
        <v>44657</v>
      </c>
      <c r="I764" t="s">
        <v>8634</v>
      </c>
      <c r="J764" t="s">
        <v>0</v>
      </c>
      <c r="K764" s="9">
        <v>44844</v>
      </c>
      <c r="L764" t="s">
        <v>29</v>
      </c>
      <c r="M764"/>
      <c r="N764" s="9">
        <v>44686</v>
      </c>
      <c r="O764" s="9">
        <v>44693</v>
      </c>
      <c r="P764" s="9">
        <v>44693</v>
      </c>
      <c r="Q764" s="9">
        <v>44844</v>
      </c>
      <c r="R764"/>
      <c r="S764"/>
      <c r="T764"/>
      <c r="U764"/>
    </row>
    <row r="765" spans="1:21" hidden="1">
      <c r="A765" s="7" t="s">
        <v>8765</v>
      </c>
      <c r="B765" s="7" t="s">
        <v>5405</v>
      </c>
      <c r="C765" s="8" t="s">
        <v>5317</v>
      </c>
      <c r="D765" t="s">
        <v>24</v>
      </c>
      <c r="E765" t="s">
        <v>25</v>
      </c>
      <c r="F765" t="s">
        <v>231</v>
      </c>
      <c r="G765" t="s">
        <v>871</v>
      </c>
      <c r="H765" s="9">
        <v>44658</v>
      </c>
      <c r="I765" t="s">
        <v>8634</v>
      </c>
      <c r="J765" t="s">
        <v>0</v>
      </c>
      <c r="K765" s="9">
        <v>44862</v>
      </c>
      <c r="L765" t="s">
        <v>29</v>
      </c>
      <c r="M765"/>
      <c r="N765" s="9">
        <v>44686</v>
      </c>
      <c r="O765" s="9">
        <v>44693</v>
      </c>
      <c r="P765" s="9">
        <v>44693</v>
      </c>
      <c r="Q765" s="9">
        <v>44862</v>
      </c>
      <c r="R765"/>
      <c r="S765"/>
      <c r="T765"/>
      <c r="U765"/>
    </row>
    <row r="766" spans="1:21" hidden="1">
      <c r="A766" s="7" t="s">
        <v>8751</v>
      </c>
      <c r="B766" s="7" t="s">
        <v>5405</v>
      </c>
      <c r="C766" s="8" t="s">
        <v>5317</v>
      </c>
      <c r="D766" t="s">
        <v>24</v>
      </c>
      <c r="E766" t="s">
        <v>25</v>
      </c>
      <c r="F766" t="s">
        <v>435</v>
      </c>
      <c r="G766" t="s">
        <v>872</v>
      </c>
      <c r="H766" s="9">
        <v>44657</v>
      </c>
      <c r="I766" t="s">
        <v>8634</v>
      </c>
      <c r="J766" t="s">
        <v>0</v>
      </c>
      <c r="K766" s="9">
        <v>44881</v>
      </c>
      <c r="L766" t="s">
        <v>29</v>
      </c>
      <c r="M766"/>
      <c r="N766" s="9">
        <v>44686</v>
      </c>
      <c r="O766" s="9">
        <v>44693</v>
      </c>
      <c r="P766" s="9">
        <v>44693</v>
      </c>
      <c r="Q766" s="9">
        <v>44881</v>
      </c>
      <c r="R766"/>
      <c r="S766"/>
      <c r="T766"/>
      <c r="U766"/>
    </row>
    <row r="767" spans="1:21" hidden="1">
      <c r="A767" s="7" t="s">
        <v>8751</v>
      </c>
      <c r="B767" s="7" t="s">
        <v>5405</v>
      </c>
      <c r="C767" s="8" t="s">
        <v>5317</v>
      </c>
      <c r="D767" t="s">
        <v>24</v>
      </c>
      <c r="E767" t="s">
        <v>25</v>
      </c>
      <c r="F767" t="s">
        <v>435</v>
      </c>
      <c r="G767" t="s">
        <v>873</v>
      </c>
      <c r="H767" s="9">
        <v>44657</v>
      </c>
      <c r="I767" t="s">
        <v>8634</v>
      </c>
      <c r="J767" t="s">
        <v>0</v>
      </c>
      <c r="K767" s="9">
        <v>44881</v>
      </c>
      <c r="L767" t="s">
        <v>29</v>
      </c>
      <c r="M767"/>
      <c r="N767" s="9">
        <v>44686</v>
      </c>
      <c r="O767" s="9">
        <v>44693</v>
      </c>
      <c r="P767" s="9">
        <v>44693</v>
      </c>
      <c r="Q767" s="9">
        <v>44881</v>
      </c>
      <c r="R767" s="9">
        <v>44762.580462963</v>
      </c>
      <c r="S767"/>
      <c r="T767"/>
      <c r="U767"/>
    </row>
    <row r="768" spans="1:21" hidden="1">
      <c r="A768" s="7" t="s">
        <v>8758</v>
      </c>
      <c r="B768" s="7" t="s">
        <v>5405</v>
      </c>
      <c r="C768" s="8" t="s">
        <v>5317</v>
      </c>
      <c r="D768" t="s">
        <v>24</v>
      </c>
      <c r="E768" t="s">
        <v>25</v>
      </c>
      <c r="F768" t="s">
        <v>493</v>
      </c>
      <c r="G768" t="s">
        <v>874</v>
      </c>
      <c r="H768" s="9">
        <v>44657</v>
      </c>
      <c r="I768" t="s">
        <v>8634</v>
      </c>
      <c r="J768" t="s">
        <v>0</v>
      </c>
      <c r="K768" s="9">
        <v>44862</v>
      </c>
      <c r="L768" t="s">
        <v>29</v>
      </c>
      <c r="M768"/>
      <c r="N768" s="9">
        <v>44686</v>
      </c>
      <c r="O768" s="9">
        <v>44693</v>
      </c>
      <c r="P768" s="9">
        <v>44693</v>
      </c>
      <c r="Q768" s="9">
        <v>44862</v>
      </c>
      <c r="R768"/>
      <c r="S768"/>
      <c r="T768"/>
      <c r="U768"/>
    </row>
    <row r="769" spans="1:21" hidden="1">
      <c r="A769" s="7" t="s">
        <v>8751</v>
      </c>
      <c r="B769" s="7" t="s">
        <v>5405</v>
      </c>
      <c r="C769" s="8" t="s">
        <v>5317</v>
      </c>
      <c r="D769" t="s">
        <v>24</v>
      </c>
      <c r="E769" t="s">
        <v>25</v>
      </c>
      <c r="F769" t="s">
        <v>435</v>
      </c>
      <c r="G769" t="s">
        <v>875</v>
      </c>
      <c r="H769" s="9">
        <v>44657</v>
      </c>
      <c r="I769" t="s">
        <v>8634</v>
      </c>
      <c r="J769" t="s">
        <v>0</v>
      </c>
      <c r="K769" s="9">
        <v>44881</v>
      </c>
      <c r="L769" t="s">
        <v>29</v>
      </c>
      <c r="M769"/>
      <c r="N769" s="9">
        <v>44686</v>
      </c>
      <c r="O769" s="9">
        <v>44693</v>
      </c>
      <c r="P769" s="9">
        <v>44693</v>
      </c>
      <c r="Q769" s="9">
        <v>44881</v>
      </c>
      <c r="R769" s="9">
        <v>44762.580462963</v>
      </c>
      <c r="S769"/>
      <c r="T769"/>
      <c r="U769"/>
    </row>
    <row r="770" spans="1:21" hidden="1">
      <c r="A770" s="7" t="s">
        <v>8762</v>
      </c>
      <c r="B770" s="7" t="s">
        <v>5405</v>
      </c>
      <c r="C770" s="8" t="s">
        <v>5317</v>
      </c>
      <c r="D770" t="s">
        <v>24</v>
      </c>
      <c r="E770" t="s">
        <v>25</v>
      </c>
      <c r="F770" t="s">
        <v>433</v>
      </c>
      <c r="G770" t="s">
        <v>616</v>
      </c>
      <c r="H770" s="9">
        <v>44657</v>
      </c>
      <c r="I770" t="s">
        <v>8634</v>
      </c>
      <c r="J770" t="s">
        <v>0</v>
      </c>
      <c r="K770" s="9">
        <v>44844</v>
      </c>
      <c r="L770" t="s">
        <v>29</v>
      </c>
      <c r="M770"/>
      <c r="N770" s="9">
        <v>44686</v>
      </c>
      <c r="O770" s="9">
        <v>44693</v>
      </c>
      <c r="P770" s="9">
        <v>44693</v>
      </c>
      <c r="Q770" s="9">
        <v>44844</v>
      </c>
      <c r="R770"/>
      <c r="S770"/>
      <c r="T770"/>
      <c r="U770"/>
    </row>
    <row r="771" spans="1:21" hidden="1">
      <c r="A771" s="7" t="s">
        <v>8751</v>
      </c>
      <c r="B771" s="7" t="s">
        <v>5405</v>
      </c>
      <c r="C771" s="8" t="s">
        <v>5317</v>
      </c>
      <c r="D771" t="s">
        <v>24</v>
      </c>
      <c r="E771" t="s">
        <v>25</v>
      </c>
      <c r="F771" t="s">
        <v>435</v>
      </c>
      <c r="G771" t="s">
        <v>876</v>
      </c>
      <c r="H771" s="9">
        <v>44657</v>
      </c>
      <c r="I771" t="s">
        <v>8634</v>
      </c>
      <c r="J771" t="s">
        <v>0</v>
      </c>
      <c r="K771" s="9">
        <v>44881</v>
      </c>
      <c r="L771" t="s">
        <v>29</v>
      </c>
      <c r="M771"/>
      <c r="N771" s="9">
        <v>44686</v>
      </c>
      <c r="O771" s="9">
        <v>44693</v>
      </c>
      <c r="P771" s="9">
        <v>44693</v>
      </c>
      <c r="Q771" s="9">
        <v>44881</v>
      </c>
      <c r="R771" s="9">
        <v>44762.580462963</v>
      </c>
      <c r="S771"/>
      <c r="T771"/>
      <c r="U771"/>
    </row>
    <row r="772" spans="1:21" hidden="1">
      <c r="A772" s="7" t="s">
        <v>8751</v>
      </c>
      <c r="B772" s="7" t="s">
        <v>5405</v>
      </c>
      <c r="C772" s="8" t="s">
        <v>5317</v>
      </c>
      <c r="D772" t="s">
        <v>24</v>
      </c>
      <c r="E772" t="s">
        <v>25</v>
      </c>
      <c r="F772" t="s">
        <v>435</v>
      </c>
      <c r="G772" t="s">
        <v>877</v>
      </c>
      <c r="H772" s="9">
        <v>44657</v>
      </c>
      <c r="I772" t="s">
        <v>8634</v>
      </c>
      <c r="J772" t="s">
        <v>0</v>
      </c>
      <c r="K772" s="9">
        <v>44881</v>
      </c>
      <c r="L772" t="s">
        <v>29</v>
      </c>
      <c r="M772"/>
      <c r="N772" s="9">
        <v>44686</v>
      </c>
      <c r="O772" s="9">
        <v>44693</v>
      </c>
      <c r="P772" s="9">
        <v>44693</v>
      </c>
      <c r="Q772" s="9">
        <v>44881</v>
      </c>
      <c r="R772" s="9">
        <v>44762.580462963</v>
      </c>
      <c r="S772"/>
      <c r="T772"/>
      <c r="U772"/>
    </row>
    <row r="773" spans="1:21" hidden="1">
      <c r="A773" s="7" t="s">
        <v>8758</v>
      </c>
      <c r="B773" s="7" t="s">
        <v>5405</v>
      </c>
      <c r="C773" s="8" t="s">
        <v>5317</v>
      </c>
      <c r="D773" t="s">
        <v>24</v>
      </c>
      <c r="E773" t="s">
        <v>25</v>
      </c>
      <c r="F773" t="s">
        <v>493</v>
      </c>
      <c r="G773" t="s">
        <v>878</v>
      </c>
      <c r="H773" s="9">
        <v>44657</v>
      </c>
      <c r="I773" t="s">
        <v>8634</v>
      </c>
      <c r="J773" t="s">
        <v>0</v>
      </c>
      <c r="K773" s="9">
        <v>44862</v>
      </c>
      <c r="L773" t="s">
        <v>29</v>
      </c>
      <c r="M773"/>
      <c r="N773" s="9">
        <v>44686</v>
      </c>
      <c r="O773" s="9">
        <v>44693</v>
      </c>
      <c r="P773" s="9">
        <v>44693</v>
      </c>
      <c r="Q773" s="9">
        <v>44862</v>
      </c>
      <c r="R773" s="9">
        <v>44769.506967592599</v>
      </c>
      <c r="S773"/>
      <c r="T773"/>
      <c r="U773"/>
    </row>
    <row r="774" spans="1:21" hidden="1">
      <c r="A774" s="7" t="s">
        <v>8762</v>
      </c>
      <c r="B774" s="7" t="s">
        <v>5405</v>
      </c>
      <c r="C774" s="8" t="s">
        <v>5317</v>
      </c>
      <c r="D774" t="s">
        <v>24</v>
      </c>
      <c r="E774" t="s">
        <v>25</v>
      </c>
      <c r="F774" t="s">
        <v>433</v>
      </c>
      <c r="G774" t="s">
        <v>639</v>
      </c>
      <c r="H774" s="9">
        <v>44657</v>
      </c>
      <c r="I774" t="s">
        <v>8634</v>
      </c>
      <c r="J774" t="s">
        <v>0</v>
      </c>
      <c r="K774" s="9">
        <v>44844</v>
      </c>
      <c r="L774" t="s">
        <v>29</v>
      </c>
      <c r="M774"/>
      <c r="N774" s="9">
        <v>44686</v>
      </c>
      <c r="O774" s="9">
        <v>44693</v>
      </c>
      <c r="P774" s="9">
        <v>44693</v>
      </c>
      <c r="Q774" s="9">
        <v>44844</v>
      </c>
      <c r="R774"/>
      <c r="S774"/>
      <c r="T774"/>
      <c r="U774"/>
    </row>
    <row r="775" spans="1:21" hidden="1">
      <c r="A775" s="7" t="s">
        <v>8762</v>
      </c>
      <c r="B775" s="7" t="s">
        <v>5405</v>
      </c>
      <c r="C775" s="8" t="s">
        <v>5317</v>
      </c>
      <c r="D775" t="s">
        <v>24</v>
      </c>
      <c r="E775" t="s">
        <v>25</v>
      </c>
      <c r="F775" t="s">
        <v>433</v>
      </c>
      <c r="G775" t="s">
        <v>640</v>
      </c>
      <c r="H775" s="9">
        <v>44657</v>
      </c>
      <c r="I775" t="s">
        <v>8634</v>
      </c>
      <c r="J775" t="s">
        <v>0</v>
      </c>
      <c r="K775" s="9">
        <v>44844</v>
      </c>
      <c r="L775" t="s">
        <v>29</v>
      </c>
      <c r="M775"/>
      <c r="N775" s="9">
        <v>44686</v>
      </c>
      <c r="O775" s="9">
        <v>44693</v>
      </c>
      <c r="P775" s="9">
        <v>44693</v>
      </c>
      <c r="Q775" s="9">
        <v>44844</v>
      </c>
      <c r="R775"/>
      <c r="S775"/>
      <c r="T775"/>
      <c r="U775"/>
    </row>
    <row r="776" spans="1:21" hidden="1">
      <c r="A776" s="7" t="s">
        <v>8762</v>
      </c>
      <c r="B776" s="7" t="s">
        <v>5405</v>
      </c>
      <c r="C776" s="8" t="s">
        <v>5317</v>
      </c>
      <c r="D776" t="s">
        <v>24</v>
      </c>
      <c r="E776" t="s">
        <v>25</v>
      </c>
      <c r="F776" t="s">
        <v>433</v>
      </c>
      <c r="G776" t="s">
        <v>641</v>
      </c>
      <c r="H776" s="9">
        <v>44657</v>
      </c>
      <c r="I776" t="s">
        <v>8634</v>
      </c>
      <c r="J776" t="s">
        <v>0</v>
      </c>
      <c r="K776" s="9">
        <v>44844</v>
      </c>
      <c r="L776" t="s">
        <v>29</v>
      </c>
      <c r="M776"/>
      <c r="N776" s="9">
        <v>44686</v>
      </c>
      <c r="O776" s="9">
        <v>44693</v>
      </c>
      <c r="P776" s="9">
        <v>44693</v>
      </c>
      <c r="Q776" s="9">
        <v>44844</v>
      </c>
      <c r="R776"/>
      <c r="S776"/>
      <c r="T776"/>
      <c r="U776"/>
    </row>
    <row r="777" spans="1:21" hidden="1">
      <c r="A777" s="7" t="s">
        <v>8762</v>
      </c>
      <c r="B777" s="7" t="s">
        <v>5405</v>
      </c>
      <c r="C777" s="8" t="s">
        <v>5317</v>
      </c>
      <c r="D777" t="s">
        <v>24</v>
      </c>
      <c r="E777" t="s">
        <v>25</v>
      </c>
      <c r="F777" t="s">
        <v>433</v>
      </c>
      <c r="G777" t="s">
        <v>642</v>
      </c>
      <c r="H777" s="9">
        <v>44657</v>
      </c>
      <c r="I777" t="s">
        <v>8634</v>
      </c>
      <c r="J777" t="s">
        <v>0</v>
      </c>
      <c r="K777" s="9">
        <v>44844</v>
      </c>
      <c r="L777" t="s">
        <v>29</v>
      </c>
      <c r="M777"/>
      <c r="N777" s="9">
        <v>44686</v>
      </c>
      <c r="O777" s="9">
        <v>44693</v>
      </c>
      <c r="P777" s="9">
        <v>44693</v>
      </c>
      <c r="Q777" s="9">
        <v>44844</v>
      </c>
      <c r="R777"/>
      <c r="S777"/>
      <c r="T777"/>
      <c r="U777"/>
    </row>
    <row r="778" spans="1:21" hidden="1">
      <c r="A778" s="7" t="s">
        <v>8758</v>
      </c>
      <c r="B778" s="7" t="s">
        <v>5405</v>
      </c>
      <c r="C778" s="8" t="s">
        <v>5317</v>
      </c>
      <c r="D778" t="s">
        <v>24</v>
      </c>
      <c r="E778" t="s">
        <v>25</v>
      </c>
      <c r="F778" t="s">
        <v>493</v>
      </c>
      <c r="G778" t="s">
        <v>879</v>
      </c>
      <c r="H778" s="9">
        <v>44657</v>
      </c>
      <c r="I778" t="s">
        <v>8634</v>
      </c>
      <c r="J778" t="s">
        <v>0</v>
      </c>
      <c r="K778" s="9">
        <v>44862</v>
      </c>
      <c r="L778" t="s">
        <v>29</v>
      </c>
      <c r="M778"/>
      <c r="N778" s="9">
        <v>44686</v>
      </c>
      <c r="O778" s="9">
        <v>44693</v>
      </c>
      <c r="P778" s="9">
        <v>44693</v>
      </c>
      <c r="Q778" s="9">
        <v>44862</v>
      </c>
      <c r="R778" s="9">
        <v>44769.506967592599</v>
      </c>
      <c r="S778"/>
      <c r="T778"/>
      <c r="U778"/>
    </row>
    <row r="779" spans="1:21" hidden="1">
      <c r="A779" s="7" t="s">
        <v>8781</v>
      </c>
      <c r="B779" s="7" t="s">
        <v>8313</v>
      </c>
      <c r="C779" s="8" t="s">
        <v>5317</v>
      </c>
      <c r="D779" t="s">
        <v>266</v>
      </c>
      <c r="E779" t="s">
        <v>880</v>
      </c>
      <c r="F779" t="s">
        <v>231</v>
      </c>
      <c r="G779" t="s">
        <v>881</v>
      </c>
      <c r="H779" s="9">
        <v>44657</v>
      </c>
      <c r="I779" t="s">
        <v>882</v>
      </c>
      <c r="J779" t="s">
        <v>163</v>
      </c>
      <c r="K779" s="9">
        <v>44693</v>
      </c>
      <c r="L779" t="s">
        <v>29</v>
      </c>
      <c r="M779"/>
      <c r="N779" s="9">
        <v>44686</v>
      </c>
      <c r="O779" s="9">
        <v>44693</v>
      </c>
      <c r="P779" s="9">
        <v>44693</v>
      </c>
      <c r="Q779"/>
      <c r="R779"/>
      <c r="S779"/>
      <c r="T779"/>
      <c r="U779"/>
    </row>
    <row r="780" spans="1:21" hidden="1">
      <c r="A780" s="7" t="s">
        <v>8781</v>
      </c>
      <c r="B780" s="7" t="s">
        <v>8313</v>
      </c>
      <c r="C780" s="8" t="s">
        <v>5317</v>
      </c>
      <c r="D780" t="s">
        <v>266</v>
      </c>
      <c r="E780" t="s">
        <v>880</v>
      </c>
      <c r="F780" t="s">
        <v>231</v>
      </c>
      <c r="G780" t="s">
        <v>883</v>
      </c>
      <c r="H780" s="9">
        <v>44657</v>
      </c>
      <c r="I780" t="s">
        <v>882</v>
      </c>
      <c r="J780" t="s">
        <v>163</v>
      </c>
      <c r="K780" s="9">
        <v>44693</v>
      </c>
      <c r="L780" t="s">
        <v>29</v>
      </c>
      <c r="M780"/>
      <c r="N780" s="9">
        <v>44686</v>
      </c>
      <c r="O780" s="9">
        <v>44693</v>
      </c>
      <c r="P780" s="9">
        <v>44693</v>
      </c>
      <c r="Q780"/>
      <c r="R780"/>
      <c r="S780"/>
      <c r="T780"/>
      <c r="U780"/>
    </row>
    <row r="781" spans="1:21" hidden="1">
      <c r="A781" s="7" t="s">
        <v>8781</v>
      </c>
      <c r="B781" s="7" t="s">
        <v>8313</v>
      </c>
      <c r="C781" s="8" t="s">
        <v>5317</v>
      </c>
      <c r="D781" t="s">
        <v>266</v>
      </c>
      <c r="E781" t="s">
        <v>880</v>
      </c>
      <c r="F781" t="s">
        <v>231</v>
      </c>
      <c r="G781" t="s">
        <v>884</v>
      </c>
      <c r="H781" s="9">
        <v>44657</v>
      </c>
      <c r="I781" t="s">
        <v>882</v>
      </c>
      <c r="J781" t="s">
        <v>163</v>
      </c>
      <c r="K781" s="9">
        <v>44693</v>
      </c>
      <c r="L781" t="s">
        <v>29</v>
      </c>
      <c r="M781"/>
      <c r="N781" s="9">
        <v>44686</v>
      </c>
      <c r="O781" s="9">
        <v>44693</v>
      </c>
      <c r="P781" s="9">
        <v>44693</v>
      </c>
      <c r="Q781"/>
      <c r="R781"/>
      <c r="S781"/>
      <c r="T781"/>
      <c r="U781"/>
    </row>
    <row r="782" spans="1:21" hidden="1">
      <c r="A782" s="7" t="s">
        <v>8782</v>
      </c>
      <c r="B782" s="7" t="s">
        <v>5530</v>
      </c>
      <c r="C782" s="8" t="s">
        <v>5317</v>
      </c>
      <c r="D782" t="s">
        <v>266</v>
      </c>
      <c r="E782" t="s">
        <v>885</v>
      </c>
      <c r="F782" t="s">
        <v>75</v>
      </c>
      <c r="G782" t="s">
        <v>886</v>
      </c>
      <c r="H782" s="9">
        <v>44657</v>
      </c>
      <c r="I782" t="s">
        <v>408</v>
      </c>
      <c r="J782" t="s">
        <v>0</v>
      </c>
      <c r="K782" s="9">
        <v>44697</v>
      </c>
      <c r="L782" t="s">
        <v>29</v>
      </c>
      <c r="M782"/>
      <c r="N782"/>
      <c r="O782"/>
      <c r="P782"/>
      <c r="Q782" s="9">
        <v>44697</v>
      </c>
      <c r="R782"/>
      <c r="S782"/>
      <c r="T782"/>
      <c r="U782"/>
    </row>
    <row r="783" spans="1:21" hidden="1">
      <c r="A783" s="7" t="s">
        <v>8783</v>
      </c>
      <c r="B783" s="7" t="s">
        <v>5718</v>
      </c>
      <c r="C783" s="8" t="s">
        <v>5317</v>
      </c>
      <c r="D783" t="s">
        <v>266</v>
      </c>
      <c r="E783" t="s">
        <v>887</v>
      </c>
      <c r="F783" t="s">
        <v>231</v>
      </c>
      <c r="G783" t="s">
        <v>888</v>
      </c>
      <c r="H783" s="9">
        <v>44657</v>
      </c>
      <c r="I783" t="s">
        <v>882</v>
      </c>
      <c r="J783" t="s">
        <v>163</v>
      </c>
      <c r="K783" s="9">
        <v>44693</v>
      </c>
      <c r="L783" t="s">
        <v>29</v>
      </c>
      <c r="M783"/>
      <c r="N783" s="9">
        <v>44686</v>
      </c>
      <c r="O783" s="9">
        <v>44693</v>
      </c>
      <c r="P783" s="9">
        <v>44693</v>
      </c>
      <c r="Q783"/>
      <c r="R783"/>
      <c r="S783"/>
      <c r="T783"/>
      <c r="U783"/>
    </row>
    <row r="784" spans="1:21" hidden="1">
      <c r="A784" s="7" t="s">
        <v>8782</v>
      </c>
      <c r="B784" s="7" t="s">
        <v>5530</v>
      </c>
      <c r="C784" s="8" t="s">
        <v>5317</v>
      </c>
      <c r="D784" t="s">
        <v>266</v>
      </c>
      <c r="E784" t="s">
        <v>885</v>
      </c>
      <c r="F784" t="s">
        <v>75</v>
      </c>
      <c r="G784" t="s">
        <v>889</v>
      </c>
      <c r="H784" s="9">
        <v>44657</v>
      </c>
      <c r="I784" t="s">
        <v>408</v>
      </c>
      <c r="J784" t="s">
        <v>0</v>
      </c>
      <c r="K784" s="9">
        <v>44697</v>
      </c>
      <c r="L784" t="s">
        <v>29</v>
      </c>
      <c r="M784"/>
      <c r="N784"/>
      <c r="O784"/>
      <c r="P784"/>
      <c r="Q784" s="9">
        <v>44697</v>
      </c>
      <c r="R784"/>
      <c r="S784"/>
      <c r="T784"/>
      <c r="U784"/>
    </row>
    <row r="785" spans="1:21" hidden="1">
      <c r="A785" s="7" t="s">
        <v>8784</v>
      </c>
      <c r="B785" s="7" t="s">
        <v>7317</v>
      </c>
      <c r="C785" s="8" t="s">
        <v>5317</v>
      </c>
      <c r="D785" t="s">
        <v>266</v>
      </c>
      <c r="E785" t="s">
        <v>890</v>
      </c>
      <c r="F785" t="s">
        <v>209</v>
      </c>
      <c r="G785" t="s">
        <v>891</v>
      </c>
      <c r="H785" s="9">
        <v>44657</v>
      </c>
      <c r="I785" t="s">
        <v>408</v>
      </c>
      <c r="J785" t="s">
        <v>0</v>
      </c>
      <c r="K785" s="9">
        <v>44676</v>
      </c>
      <c r="L785" t="s">
        <v>29</v>
      </c>
      <c r="M785"/>
      <c r="N785"/>
      <c r="O785"/>
      <c r="P785"/>
      <c r="Q785" s="9">
        <v>44676</v>
      </c>
      <c r="R785"/>
      <c r="S785"/>
      <c r="T785"/>
      <c r="U785"/>
    </row>
    <row r="786" spans="1:21" hidden="1">
      <c r="A786" s="7" t="s">
        <v>8785</v>
      </c>
      <c r="B786" s="7" t="s">
        <v>6820</v>
      </c>
      <c r="C786" s="8" t="s">
        <v>5317</v>
      </c>
      <c r="D786" t="s">
        <v>266</v>
      </c>
      <c r="E786" t="s">
        <v>892</v>
      </c>
      <c r="F786" t="s">
        <v>117</v>
      </c>
      <c r="G786" t="s">
        <v>893</v>
      </c>
      <c r="H786" s="9">
        <v>44657</v>
      </c>
      <c r="I786" t="s">
        <v>99</v>
      </c>
      <c r="J786" t="s">
        <v>0</v>
      </c>
      <c r="K786" s="9">
        <v>44697</v>
      </c>
      <c r="L786" t="s">
        <v>29</v>
      </c>
      <c r="M786"/>
      <c r="N786" s="9">
        <v>44686</v>
      </c>
      <c r="O786" s="9">
        <v>44693</v>
      </c>
      <c r="P786" s="9">
        <v>44693</v>
      </c>
      <c r="Q786" s="9">
        <v>44697</v>
      </c>
      <c r="R786"/>
      <c r="S786"/>
      <c r="T786"/>
      <c r="U786"/>
    </row>
    <row r="787" spans="1:21" hidden="1">
      <c r="A787" s="7" t="s">
        <v>8781</v>
      </c>
      <c r="B787" s="7" t="s">
        <v>8313</v>
      </c>
      <c r="C787" s="8" t="s">
        <v>5317</v>
      </c>
      <c r="D787" t="s">
        <v>266</v>
      </c>
      <c r="E787" t="s">
        <v>880</v>
      </c>
      <c r="F787" t="s">
        <v>231</v>
      </c>
      <c r="G787" t="s">
        <v>894</v>
      </c>
      <c r="H787" s="9">
        <v>44657</v>
      </c>
      <c r="I787" t="s">
        <v>882</v>
      </c>
      <c r="J787" t="s">
        <v>163</v>
      </c>
      <c r="K787" s="9">
        <v>44693</v>
      </c>
      <c r="L787" t="s">
        <v>29</v>
      </c>
      <c r="M787"/>
      <c r="N787" s="9">
        <v>44686</v>
      </c>
      <c r="O787" s="9">
        <v>44693</v>
      </c>
      <c r="P787" s="9">
        <v>44693</v>
      </c>
      <c r="Q787"/>
      <c r="R787"/>
      <c r="S787"/>
      <c r="T787"/>
      <c r="U787"/>
    </row>
    <row r="788" spans="1:21" hidden="1">
      <c r="A788" s="7" t="s">
        <v>8781</v>
      </c>
      <c r="B788" s="7" t="s">
        <v>8313</v>
      </c>
      <c r="C788" s="8" t="s">
        <v>5317</v>
      </c>
      <c r="D788" t="s">
        <v>266</v>
      </c>
      <c r="E788" t="s">
        <v>880</v>
      </c>
      <c r="F788" t="s">
        <v>231</v>
      </c>
      <c r="G788" t="s">
        <v>895</v>
      </c>
      <c r="H788" s="9">
        <v>44657</v>
      </c>
      <c r="I788" t="s">
        <v>882</v>
      </c>
      <c r="J788" t="s">
        <v>163</v>
      </c>
      <c r="K788" s="9">
        <v>44693</v>
      </c>
      <c r="L788" t="s">
        <v>29</v>
      </c>
      <c r="M788"/>
      <c r="N788" s="9">
        <v>44686</v>
      </c>
      <c r="O788" s="9">
        <v>44693</v>
      </c>
      <c r="P788" s="9">
        <v>44693</v>
      </c>
      <c r="Q788"/>
      <c r="R788"/>
      <c r="S788"/>
      <c r="T788"/>
      <c r="U788"/>
    </row>
    <row r="789" spans="1:21" hidden="1">
      <c r="A789" s="7" t="s">
        <v>8781</v>
      </c>
      <c r="B789" s="7" t="s">
        <v>8313</v>
      </c>
      <c r="C789" s="8" t="s">
        <v>5317</v>
      </c>
      <c r="D789" t="s">
        <v>266</v>
      </c>
      <c r="E789" t="s">
        <v>880</v>
      </c>
      <c r="F789" t="s">
        <v>231</v>
      </c>
      <c r="G789" t="s">
        <v>896</v>
      </c>
      <c r="H789" s="9">
        <v>44657</v>
      </c>
      <c r="I789" t="s">
        <v>882</v>
      </c>
      <c r="J789" t="s">
        <v>163</v>
      </c>
      <c r="K789" s="9">
        <v>44693</v>
      </c>
      <c r="L789" t="s">
        <v>29</v>
      </c>
      <c r="M789"/>
      <c r="N789" s="9">
        <v>44686</v>
      </c>
      <c r="O789" s="9">
        <v>44693</v>
      </c>
      <c r="P789" s="9">
        <v>44693</v>
      </c>
      <c r="Q789"/>
      <c r="R789"/>
      <c r="S789"/>
      <c r="T789"/>
      <c r="U789"/>
    </row>
    <row r="790" spans="1:21" hidden="1">
      <c r="A790" s="7" t="s">
        <v>8781</v>
      </c>
      <c r="B790" s="7" t="s">
        <v>8313</v>
      </c>
      <c r="C790" s="8" t="s">
        <v>5317</v>
      </c>
      <c r="D790" t="s">
        <v>266</v>
      </c>
      <c r="E790" t="s">
        <v>880</v>
      </c>
      <c r="F790" t="s">
        <v>231</v>
      </c>
      <c r="G790" t="s">
        <v>897</v>
      </c>
      <c r="H790" s="9">
        <v>44657</v>
      </c>
      <c r="I790" t="s">
        <v>882</v>
      </c>
      <c r="J790" t="s">
        <v>163</v>
      </c>
      <c r="K790" s="9">
        <v>44693</v>
      </c>
      <c r="L790" t="s">
        <v>29</v>
      </c>
      <c r="M790"/>
      <c r="N790" s="9">
        <v>44686</v>
      </c>
      <c r="O790" s="9">
        <v>44693</v>
      </c>
      <c r="P790" s="9">
        <v>44693</v>
      </c>
      <c r="Q790"/>
      <c r="R790"/>
      <c r="S790"/>
      <c r="T790"/>
      <c r="U790"/>
    </row>
    <row r="791" spans="1:21" hidden="1">
      <c r="A791" s="7" t="s">
        <v>8786</v>
      </c>
      <c r="B791" s="7" t="s">
        <v>6935</v>
      </c>
      <c r="C791" s="8" t="s">
        <v>5317</v>
      </c>
      <c r="D791" t="s">
        <v>266</v>
      </c>
      <c r="E791" t="s">
        <v>898</v>
      </c>
      <c r="F791" t="s">
        <v>79</v>
      </c>
      <c r="G791" t="s">
        <v>899</v>
      </c>
      <c r="H791" s="9">
        <v>44657</v>
      </c>
      <c r="I791" t="s">
        <v>85</v>
      </c>
      <c r="J791" t="s">
        <v>0</v>
      </c>
      <c r="K791" s="9">
        <v>44690</v>
      </c>
      <c r="L791" t="s">
        <v>29</v>
      </c>
      <c r="M791"/>
      <c r="N791" s="9">
        <v>44686</v>
      </c>
      <c r="O791"/>
      <c r="P791"/>
      <c r="Q791" s="9">
        <v>44690</v>
      </c>
      <c r="R791"/>
      <c r="S791"/>
      <c r="T791"/>
      <c r="U791"/>
    </row>
    <row r="792" spans="1:21" hidden="1">
      <c r="A792" s="7" t="s">
        <v>8786</v>
      </c>
      <c r="B792" s="7" t="s">
        <v>6935</v>
      </c>
      <c r="C792" s="8" t="s">
        <v>5317</v>
      </c>
      <c r="D792" t="s">
        <v>266</v>
      </c>
      <c r="E792" t="s">
        <v>898</v>
      </c>
      <c r="F792" t="s">
        <v>79</v>
      </c>
      <c r="G792" t="s">
        <v>900</v>
      </c>
      <c r="H792" s="9">
        <v>44657</v>
      </c>
      <c r="I792" t="s">
        <v>85</v>
      </c>
      <c r="J792" t="s">
        <v>0</v>
      </c>
      <c r="K792" s="9">
        <v>44690</v>
      </c>
      <c r="L792" t="s">
        <v>29</v>
      </c>
      <c r="M792"/>
      <c r="N792" s="9">
        <v>44686</v>
      </c>
      <c r="O792"/>
      <c r="P792"/>
      <c r="Q792" s="9">
        <v>44690</v>
      </c>
      <c r="R792"/>
      <c r="S792"/>
      <c r="T792"/>
      <c r="U792"/>
    </row>
    <row r="793" spans="1:21" hidden="1">
      <c r="A793" s="7" t="s">
        <v>8787</v>
      </c>
      <c r="B793" s="7" t="s">
        <v>6679</v>
      </c>
      <c r="C793" s="8" t="s">
        <v>5317</v>
      </c>
      <c r="D793" t="s">
        <v>266</v>
      </c>
      <c r="E793" t="s">
        <v>901</v>
      </c>
      <c r="F793" t="s">
        <v>433</v>
      </c>
      <c r="G793" t="s">
        <v>902</v>
      </c>
      <c r="H793" s="9">
        <v>44657</v>
      </c>
      <c r="I793" t="s">
        <v>903</v>
      </c>
      <c r="J793" t="s">
        <v>2</v>
      </c>
      <c r="K793" s="9">
        <v>44726</v>
      </c>
      <c r="L793" t="s">
        <v>29</v>
      </c>
      <c r="M793" t="s">
        <v>331</v>
      </c>
      <c r="N793" s="9">
        <v>44686</v>
      </c>
      <c r="O793" s="9">
        <v>44693</v>
      </c>
      <c r="P793" s="9">
        <v>44693</v>
      </c>
      <c r="Q793"/>
      <c r="R793"/>
      <c r="S793"/>
      <c r="T793"/>
      <c r="U793"/>
    </row>
    <row r="794" spans="1:21" hidden="1">
      <c r="A794" s="7" t="s">
        <v>8786</v>
      </c>
      <c r="B794" s="7" t="s">
        <v>6935</v>
      </c>
      <c r="C794" s="8" t="s">
        <v>5317</v>
      </c>
      <c r="D794" t="s">
        <v>266</v>
      </c>
      <c r="E794" t="s">
        <v>898</v>
      </c>
      <c r="F794" t="s">
        <v>79</v>
      </c>
      <c r="G794" t="s">
        <v>904</v>
      </c>
      <c r="H794" s="9">
        <v>44657</v>
      </c>
      <c r="I794" t="s">
        <v>85</v>
      </c>
      <c r="J794" t="s">
        <v>0</v>
      </c>
      <c r="K794" s="9">
        <v>44690</v>
      </c>
      <c r="L794" t="s">
        <v>29</v>
      </c>
      <c r="M794"/>
      <c r="N794" s="9">
        <v>44686</v>
      </c>
      <c r="O794"/>
      <c r="P794"/>
      <c r="Q794" s="9">
        <v>44690</v>
      </c>
      <c r="R794"/>
      <c r="S794"/>
      <c r="T794"/>
      <c r="U794"/>
    </row>
    <row r="795" spans="1:21" hidden="1">
      <c r="A795" s="7" t="s">
        <v>8788</v>
      </c>
      <c r="B795" s="7" t="s">
        <v>7708</v>
      </c>
      <c r="C795" s="8" t="s">
        <v>5317</v>
      </c>
      <c r="D795" t="s">
        <v>266</v>
      </c>
      <c r="E795" t="s">
        <v>905</v>
      </c>
      <c r="F795" t="s">
        <v>75</v>
      </c>
      <c r="G795" t="s">
        <v>906</v>
      </c>
      <c r="H795" s="9">
        <v>44657</v>
      </c>
      <c r="I795" t="s">
        <v>408</v>
      </c>
      <c r="J795" t="s">
        <v>163</v>
      </c>
      <c r="K795" s="9">
        <v>44693</v>
      </c>
      <c r="L795" t="s">
        <v>29</v>
      </c>
      <c r="M795"/>
      <c r="N795" s="9">
        <v>44686</v>
      </c>
      <c r="O795" s="9">
        <v>44693</v>
      </c>
      <c r="P795" s="9">
        <v>44693</v>
      </c>
      <c r="Q795"/>
      <c r="R795"/>
      <c r="S795"/>
      <c r="T795"/>
      <c r="U795"/>
    </row>
    <row r="796" spans="1:21" hidden="1">
      <c r="A796" s="7" t="s">
        <v>8784</v>
      </c>
      <c r="B796" s="7" t="s">
        <v>7317</v>
      </c>
      <c r="C796" s="8" t="s">
        <v>5317</v>
      </c>
      <c r="D796" t="s">
        <v>266</v>
      </c>
      <c r="E796" t="s">
        <v>890</v>
      </c>
      <c r="F796" t="s">
        <v>209</v>
      </c>
      <c r="G796" t="s">
        <v>907</v>
      </c>
      <c r="H796" s="9">
        <v>44657</v>
      </c>
      <c r="I796" t="s">
        <v>408</v>
      </c>
      <c r="J796" t="s">
        <v>0</v>
      </c>
      <c r="K796" s="9">
        <v>44676</v>
      </c>
      <c r="L796" t="s">
        <v>29</v>
      </c>
      <c r="M796"/>
      <c r="N796"/>
      <c r="O796"/>
      <c r="P796"/>
      <c r="Q796" s="9">
        <v>44676</v>
      </c>
      <c r="R796"/>
      <c r="S796"/>
      <c r="T796"/>
      <c r="U796"/>
    </row>
    <row r="797" spans="1:21" hidden="1">
      <c r="A797" s="7" t="s">
        <v>8789</v>
      </c>
      <c r="B797" s="7" t="s">
        <v>6643</v>
      </c>
      <c r="C797" s="8" t="s">
        <v>5317</v>
      </c>
      <c r="D797" t="s">
        <v>266</v>
      </c>
      <c r="E797" t="s">
        <v>908</v>
      </c>
      <c r="F797" t="s">
        <v>83</v>
      </c>
      <c r="G797" t="s">
        <v>909</v>
      </c>
      <c r="H797" s="9">
        <v>44657</v>
      </c>
      <c r="I797" t="s">
        <v>408</v>
      </c>
      <c r="J797" t="s">
        <v>0</v>
      </c>
      <c r="K797" s="9">
        <v>44680</v>
      </c>
      <c r="L797" t="s">
        <v>29</v>
      </c>
      <c r="M797"/>
      <c r="N797"/>
      <c r="O797"/>
      <c r="P797"/>
      <c r="Q797" s="9">
        <v>44680</v>
      </c>
      <c r="R797"/>
      <c r="S797"/>
      <c r="T797"/>
      <c r="U797"/>
    </row>
    <row r="798" spans="1:21" hidden="1">
      <c r="A798" s="7" t="s">
        <v>8789</v>
      </c>
      <c r="B798" s="7" t="s">
        <v>6643</v>
      </c>
      <c r="C798" s="8" t="s">
        <v>5317</v>
      </c>
      <c r="D798" t="s">
        <v>266</v>
      </c>
      <c r="E798" t="s">
        <v>908</v>
      </c>
      <c r="F798" t="s">
        <v>83</v>
      </c>
      <c r="G798" t="s">
        <v>910</v>
      </c>
      <c r="H798" s="9">
        <v>44657</v>
      </c>
      <c r="I798" t="s">
        <v>408</v>
      </c>
      <c r="J798" t="s">
        <v>0</v>
      </c>
      <c r="K798" s="9">
        <v>44680</v>
      </c>
      <c r="L798" t="s">
        <v>29</v>
      </c>
      <c r="M798"/>
      <c r="N798"/>
      <c r="O798"/>
      <c r="P798"/>
      <c r="Q798" s="9">
        <v>44680</v>
      </c>
      <c r="R798"/>
      <c r="S798"/>
      <c r="T798"/>
      <c r="U798"/>
    </row>
    <row r="799" spans="1:21" hidden="1">
      <c r="A799" s="7" t="s">
        <v>8789</v>
      </c>
      <c r="B799" s="7" t="s">
        <v>6643</v>
      </c>
      <c r="C799" s="8" t="s">
        <v>5317</v>
      </c>
      <c r="D799" t="s">
        <v>266</v>
      </c>
      <c r="E799" t="s">
        <v>908</v>
      </c>
      <c r="F799" t="s">
        <v>83</v>
      </c>
      <c r="G799" t="s">
        <v>911</v>
      </c>
      <c r="H799" s="9">
        <v>44657</v>
      </c>
      <c r="I799" t="s">
        <v>408</v>
      </c>
      <c r="J799" t="s">
        <v>0</v>
      </c>
      <c r="K799" s="9">
        <v>44680</v>
      </c>
      <c r="L799" t="s">
        <v>29</v>
      </c>
      <c r="M799"/>
      <c r="N799"/>
      <c r="O799"/>
      <c r="P799"/>
      <c r="Q799" s="9">
        <v>44680</v>
      </c>
      <c r="R799"/>
      <c r="S799"/>
      <c r="T799"/>
      <c r="U799"/>
    </row>
    <row r="800" spans="1:21" hidden="1">
      <c r="A800" s="7" t="s">
        <v>8784</v>
      </c>
      <c r="B800" s="7" t="s">
        <v>7317</v>
      </c>
      <c r="C800" s="8" t="s">
        <v>5317</v>
      </c>
      <c r="D800" t="s">
        <v>266</v>
      </c>
      <c r="E800" t="s">
        <v>890</v>
      </c>
      <c r="F800" t="s">
        <v>209</v>
      </c>
      <c r="G800" t="s">
        <v>912</v>
      </c>
      <c r="H800" s="9">
        <v>44657</v>
      </c>
      <c r="I800" t="s">
        <v>408</v>
      </c>
      <c r="J800" t="s">
        <v>0</v>
      </c>
      <c r="K800" s="9">
        <v>44676</v>
      </c>
      <c r="L800" t="s">
        <v>29</v>
      </c>
      <c r="M800"/>
      <c r="N800"/>
      <c r="O800"/>
      <c r="P800"/>
      <c r="Q800" s="9">
        <v>44676</v>
      </c>
      <c r="R800"/>
      <c r="S800"/>
      <c r="T800"/>
      <c r="U800"/>
    </row>
    <row r="801" spans="1:21" hidden="1">
      <c r="A801" s="7" t="s">
        <v>8781</v>
      </c>
      <c r="B801" s="7" t="s">
        <v>8313</v>
      </c>
      <c r="C801" s="8" t="s">
        <v>5317</v>
      </c>
      <c r="D801" t="s">
        <v>266</v>
      </c>
      <c r="E801" t="s">
        <v>880</v>
      </c>
      <c r="F801" t="s">
        <v>231</v>
      </c>
      <c r="G801" t="s">
        <v>913</v>
      </c>
      <c r="H801" s="9">
        <v>44657</v>
      </c>
      <c r="I801" t="s">
        <v>882</v>
      </c>
      <c r="J801" t="s">
        <v>163</v>
      </c>
      <c r="K801" s="9">
        <v>44693</v>
      </c>
      <c r="L801" t="s">
        <v>29</v>
      </c>
      <c r="M801"/>
      <c r="N801" s="9">
        <v>44686</v>
      </c>
      <c r="O801" s="9">
        <v>44693</v>
      </c>
      <c r="P801" s="9">
        <v>44693</v>
      </c>
      <c r="Q801"/>
      <c r="R801"/>
      <c r="S801"/>
      <c r="T801"/>
      <c r="U801"/>
    </row>
    <row r="802" spans="1:21" hidden="1">
      <c r="A802" s="7" t="s">
        <v>8781</v>
      </c>
      <c r="B802" s="7" t="s">
        <v>8313</v>
      </c>
      <c r="C802" s="8" t="s">
        <v>5317</v>
      </c>
      <c r="D802" t="s">
        <v>266</v>
      </c>
      <c r="E802" t="s">
        <v>880</v>
      </c>
      <c r="F802" t="s">
        <v>231</v>
      </c>
      <c r="G802" t="s">
        <v>914</v>
      </c>
      <c r="H802" s="9">
        <v>44657</v>
      </c>
      <c r="I802" t="s">
        <v>882</v>
      </c>
      <c r="J802" t="s">
        <v>163</v>
      </c>
      <c r="K802" s="9">
        <v>44693</v>
      </c>
      <c r="L802" t="s">
        <v>29</v>
      </c>
      <c r="M802"/>
      <c r="N802" s="9">
        <v>44686</v>
      </c>
      <c r="O802" s="9">
        <v>44693</v>
      </c>
      <c r="P802" s="9">
        <v>44693</v>
      </c>
      <c r="Q802"/>
      <c r="R802"/>
      <c r="S802"/>
      <c r="T802"/>
      <c r="U802"/>
    </row>
    <row r="803" spans="1:21" hidden="1">
      <c r="A803" s="7" t="s">
        <v>8790</v>
      </c>
      <c r="B803" s="7" t="s">
        <v>8296</v>
      </c>
      <c r="C803" s="8" t="s">
        <v>5317</v>
      </c>
      <c r="D803" t="s">
        <v>266</v>
      </c>
      <c r="E803" t="s">
        <v>915</v>
      </c>
      <c r="F803" t="s">
        <v>117</v>
      </c>
      <c r="G803" t="s">
        <v>916</v>
      </c>
      <c r="H803" s="9">
        <v>44657</v>
      </c>
      <c r="I803" t="s">
        <v>882</v>
      </c>
      <c r="J803" t="s">
        <v>2</v>
      </c>
      <c r="K803" s="9">
        <v>44762</v>
      </c>
      <c r="L803" t="s">
        <v>29</v>
      </c>
      <c r="M803" t="s">
        <v>331</v>
      </c>
      <c r="N803" s="9">
        <v>44686</v>
      </c>
      <c r="O803" s="9">
        <v>44693</v>
      </c>
      <c r="P803" s="9">
        <v>44693</v>
      </c>
      <c r="Q803"/>
      <c r="R803"/>
      <c r="S803"/>
      <c r="T803"/>
      <c r="U803"/>
    </row>
    <row r="804" spans="1:21" hidden="1">
      <c r="A804" s="7" t="s">
        <v>8790</v>
      </c>
      <c r="B804" s="7" t="s">
        <v>8296</v>
      </c>
      <c r="C804" s="8" t="s">
        <v>5317</v>
      </c>
      <c r="D804" t="s">
        <v>266</v>
      </c>
      <c r="E804" t="s">
        <v>915</v>
      </c>
      <c r="F804" t="s">
        <v>117</v>
      </c>
      <c r="G804" t="s">
        <v>917</v>
      </c>
      <c r="H804" s="9">
        <v>44657</v>
      </c>
      <c r="I804" t="s">
        <v>882</v>
      </c>
      <c r="J804" t="s">
        <v>2</v>
      </c>
      <c r="K804" s="9">
        <v>44762</v>
      </c>
      <c r="L804" t="s">
        <v>29</v>
      </c>
      <c r="M804" t="s">
        <v>331</v>
      </c>
      <c r="N804" s="9">
        <v>44686</v>
      </c>
      <c r="O804" s="9">
        <v>44693</v>
      </c>
      <c r="P804" s="9">
        <v>44693</v>
      </c>
      <c r="Q804"/>
      <c r="R804"/>
      <c r="S804"/>
      <c r="T804"/>
      <c r="U804"/>
    </row>
    <row r="805" spans="1:21" hidden="1">
      <c r="A805" s="7" t="s">
        <v>8790</v>
      </c>
      <c r="B805" s="7" t="s">
        <v>8296</v>
      </c>
      <c r="C805" s="8" t="s">
        <v>5317</v>
      </c>
      <c r="D805" t="s">
        <v>266</v>
      </c>
      <c r="E805" t="s">
        <v>915</v>
      </c>
      <c r="F805" t="s">
        <v>117</v>
      </c>
      <c r="G805" t="s">
        <v>918</v>
      </c>
      <c r="H805" s="9">
        <v>44657</v>
      </c>
      <c r="I805" t="s">
        <v>882</v>
      </c>
      <c r="J805" t="s">
        <v>2</v>
      </c>
      <c r="K805" s="9">
        <v>44762</v>
      </c>
      <c r="L805" t="s">
        <v>29</v>
      </c>
      <c r="M805" t="s">
        <v>331</v>
      </c>
      <c r="N805" s="9">
        <v>44686</v>
      </c>
      <c r="O805" s="9">
        <v>44693</v>
      </c>
      <c r="P805" s="9">
        <v>44693</v>
      </c>
      <c r="Q805"/>
      <c r="R805"/>
      <c r="S805"/>
      <c r="T805"/>
      <c r="U805"/>
    </row>
    <row r="806" spans="1:21" hidden="1">
      <c r="A806" s="7" t="s">
        <v>8790</v>
      </c>
      <c r="B806" s="7" t="s">
        <v>8296</v>
      </c>
      <c r="C806" s="8" t="s">
        <v>5317</v>
      </c>
      <c r="D806" t="s">
        <v>266</v>
      </c>
      <c r="E806" t="s">
        <v>915</v>
      </c>
      <c r="F806" t="s">
        <v>117</v>
      </c>
      <c r="G806" t="s">
        <v>919</v>
      </c>
      <c r="H806" s="9">
        <v>44657</v>
      </c>
      <c r="I806" t="s">
        <v>882</v>
      </c>
      <c r="J806" t="s">
        <v>2</v>
      </c>
      <c r="K806" s="9">
        <v>44762</v>
      </c>
      <c r="L806" t="s">
        <v>29</v>
      </c>
      <c r="M806" t="s">
        <v>331</v>
      </c>
      <c r="N806" s="9">
        <v>44686</v>
      </c>
      <c r="O806" s="9">
        <v>44693</v>
      </c>
      <c r="P806" s="9">
        <v>44693</v>
      </c>
      <c r="Q806"/>
      <c r="R806"/>
      <c r="S806"/>
      <c r="T806"/>
      <c r="U806"/>
    </row>
    <row r="807" spans="1:21" hidden="1">
      <c r="A807" s="7" t="s">
        <v>8790</v>
      </c>
      <c r="B807" s="7" t="s">
        <v>8296</v>
      </c>
      <c r="C807" s="8" t="s">
        <v>5317</v>
      </c>
      <c r="D807" t="s">
        <v>266</v>
      </c>
      <c r="E807" t="s">
        <v>915</v>
      </c>
      <c r="F807" t="s">
        <v>117</v>
      </c>
      <c r="G807" t="s">
        <v>920</v>
      </c>
      <c r="H807" s="9">
        <v>44657</v>
      </c>
      <c r="I807" t="s">
        <v>882</v>
      </c>
      <c r="J807" t="s">
        <v>2</v>
      </c>
      <c r="K807" s="9">
        <v>44762</v>
      </c>
      <c r="L807" t="s">
        <v>29</v>
      </c>
      <c r="M807" t="s">
        <v>331</v>
      </c>
      <c r="N807" s="9">
        <v>44686</v>
      </c>
      <c r="O807" s="9">
        <v>44693</v>
      </c>
      <c r="P807" s="9">
        <v>44693</v>
      </c>
      <c r="Q807"/>
      <c r="R807"/>
      <c r="S807"/>
      <c r="T807"/>
      <c r="U807"/>
    </row>
    <row r="808" spans="1:21" hidden="1">
      <c r="A808" s="7" t="s">
        <v>8790</v>
      </c>
      <c r="B808" s="7" t="s">
        <v>8296</v>
      </c>
      <c r="C808" s="8" t="s">
        <v>5317</v>
      </c>
      <c r="D808" t="s">
        <v>266</v>
      </c>
      <c r="E808" t="s">
        <v>915</v>
      </c>
      <c r="F808" t="s">
        <v>117</v>
      </c>
      <c r="G808" t="s">
        <v>921</v>
      </c>
      <c r="H808" s="9">
        <v>44657</v>
      </c>
      <c r="I808" t="s">
        <v>882</v>
      </c>
      <c r="J808" t="s">
        <v>2</v>
      </c>
      <c r="K808" s="9">
        <v>44762</v>
      </c>
      <c r="L808" t="s">
        <v>29</v>
      </c>
      <c r="M808" t="s">
        <v>331</v>
      </c>
      <c r="N808" s="9">
        <v>44686</v>
      </c>
      <c r="O808" s="9">
        <v>44693</v>
      </c>
      <c r="P808" s="9">
        <v>44693</v>
      </c>
      <c r="Q808"/>
      <c r="R808"/>
      <c r="S808"/>
      <c r="T808"/>
      <c r="U808"/>
    </row>
    <row r="809" spans="1:21" hidden="1">
      <c r="A809" s="7" t="s">
        <v>8790</v>
      </c>
      <c r="B809" s="7" t="s">
        <v>8296</v>
      </c>
      <c r="C809" s="8" t="s">
        <v>5317</v>
      </c>
      <c r="D809" t="s">
        <v>266</v>
      </c>
      <c r="E809" t="s">
        <v>915</v>
      </c>
      <c r="F809" t="s">
        <v>117</v>
      </c>
      <c r="G809" t="s">
        <v>922</v>
      </c>
      <c r="H809" s="9">
        <v>44657</v>
      </c>
      <c r="I809" t="s">
        <v>882</v>
      </c>
      <c r="J809" t="s">
        <v>2</v>
      </c>
      <c r="K809" s="9">
        <v>44762</v>
      </c>
      <c r="L809" t="s">
        <v>29</v>
      </c>
      <c r="M809" t="s">
        <v>331</v>
      </c>
      <c r="N809" s="9">
        <v>44686</v>
      </c>
      <c r="O809" s="9">
        <v>44693</v>
      </c>
      <c r="P809" s="9">
        <v>44693</v>
      </c>
      <c r="Q809"/>
      <c r="R809"/>
      <c r="S809"/>
      <c r="T809"/>
      <c r="U809"/>
    </row>
    <row r="810" spans="1:21" hidden="1">
      <c r="A810" s="7" t="s">
        <v>8790</v>
      </c>
      <c r="B810" s="7" t="s">
        <v>8296</v>
      </c>
      <c r="C810" s="8" t="s">
        <v>5317</v>
      </c>
      <c r="D810" t="s">
        <v>266</v>
      </c>
      <c r="E810" t="s">
        <v>915</v>
      </c>
      <c r="F810" t="s">
        <v>117</v>
      </c>
      <c r="G810" t="s">
        <v>923</v>
      </c>
      <c r="H810" s="9">
        <v>44657</v>
      </c>
      <c r="I810" t="s">
        <v>882</v>
      </c>
      <c r="J810" t="s">
        <v>2</v>
      </c>
      <c r="K810" s="9">
        <v>44762</v>
      </c>
      <c r="L810" t="s">
        <v>29</v>
      </c>
      <c r="M810" t="s">
        <v>331</v>
      </c>
      <c r="N810" s="9">
        <v>44686</v>
      </c>
      <c r="O810" s="9">
        <v>44693</v>
      </c>
      <c r="P810" s="9">
        <v>44693</v>
      </c>
      <c r="Q810"/>
      <c r="R810"/>
      <c r="S810"/>
      <c r="T810"/>
      <c r="U810"/>
    </row>
    <row r="811" spans="1:21" hidden="1">
      <c r="A811" s="7" t="s">
        <v>8790</v>
      </c>
      <c r="B811" s="7" t="s">
        <v>8296</v>
      </c>
      <c r="C811" s="8" t="s">
        <v>5317</v>
      </c>
      <c r="D811" t="s">
        <v>266</v>
      </c>
      <c r="E811" t="s">
        <v>915</v>
      </c>
      <c r="F811" t="s">
        <v>117</v>
      </c>
      <c r="G811" t="s">
        <v>924</v>
      </c>
      <c r="H811" s="9">
        <v>44657</v>
      </c>
      <c r="I811" t="s">
        <v>882</v>
      </c>
      <c r="J811" t="s">
        <v>2</v>
      </c>
      <c r="K811" s="9">
        <v>44762</v>
      </c>
      <c r="L811" t="s">
        <v>29</v>
      </c>
      <c r="M811" t="s">
        <v>331</v>
      </c>
      <c r="N811" s="9">
        <v>44686</v>
      </c>
      <c r="O811" s="9">
        <v>44693</v>
      </c>
      <c r="P811" s="9">
        <v>44693</v>
      </c>
      <c r="Q811"/>
      <c r="R811"/>
      <c r="S811"/>
      <c r="T811"/>
      <c r="U811"/>
    </row>
    <row r="812" spans="1:21" hidden="1">
      <c r="A812" s="7" t="s">
        <v>8790</v>
      </c>
      <c r="B812" s="7" t="s">
        <v>8296</v>
      </c>
      <c r="C812" s="8" t="s">
        <v>5317</v>
      </c>
      <c r="D812" t="s">
        <v>266</v>
      </c>
      <c r="E812" t="s">
        <v>915</v>
      </c>
      <c r="F812" t="s">
        <v>117</v>
      </c>
      <c r="G812" t="s">
        <v>925</v>
      </c>
      <c r="H812" s="9">
        <v>44657</v>
      </c>
      <c r="I812" t="s">
        <v>882</v>
      </c>
      <c r="J812" t="s">
        <v>2</v>
      </c>
      <c r="K812" s="9">
        <v>44762</v>
      </c>
      <c r="L812" t="s">
        <v>29</v>
      </c>
      <c r="M812" t="s">
        <v>331</v>
      </c>
      <c r="N812" s="9">
        <v>44686</v>
      </c>
      <c r="O812" s="9">
        <v>44693</v>
      </c>
      <c r="P812" s="9">
        <v>44693</v>
      </c>
      <c r="Q812"/>
      <c r="R812"/>
      <c r="S812"/>
      <c r="T812"/>
      <c r="U812"/>
    </row>
    <row r="813" spans="1:21" hidden="1">
      <c r="A813" s="7" t="s">
        <v>8790</v>
      </c>
      <c r="B813" s="7" t="s">
        <v>8296</v>
      </c>
      <c r="C813" s="8" t="s">
        <v>5317</v>
      </c>
      <c r="D813" t="s">
        <v>266</v>
      </c>
      <c r="E813" t="s">
        <v>915</v>
      </c>
      <c r="F813" t="s">
        <v>117</v>
      </c>
      <c r="G813" t="s">
        <v>926</v>
      </c>
      <c r="H813" s="9">
        <v>44657</v>
      </c>
      <c r="I813" t="s">
        <v>882</v>
      </c>
      <c r="J813" t="s">
        <v>2</v>
      </c>
      <c r="K813" s="9">
        <v>44762</v>
      </c>
      <c r="L813" t="s">
        <v>29</v>
      </c>
      <c r="M813" t="s">
        <v>331</v>
      </c>
      <c r="N813" s="9">
        <v>44686</v>
      </c>
      <c r="O813" s="9">
        <v>44693</v>
      </c>
      <c r="P813" s="9">
        <v>44693</v>
      </c>
      <c r="Q813"/>
      <c r="R813"/>
      <c r="S813"/>
      <c r="T813"/>
      <c r="U813"/>
    </row>
    <row r="814" spans="1:21" hidden="1">
      <c r="A814" s="7" t="s">
        <v>8790</v>
      </c>
      <c r="B814" s="7" t="s">
        <v>8296</v>
      </c>
      <c r="C814" s="8" t="s">
        <v>5317</v>
      </c>
      <c r="D814" t="s">
        <v>266</v>
      </c>
      <c r="E814" t="s">
        <v>915</v>
      </c>
      <c r="F814" t="s">
        <v>117</v>
      </c>
      <c r="G814" t="s">
        <v>927</v>
      </c>
      <c r="H814" s="9">
        <v>44657</v>
      </c>
      <c r="I814" t="s">
        <v>882</v>
      </c>
      <c r="J814" t="s">
        <v>2</v>
      </c>
      <c r="K814" s="9">
        <v>44762</v>
      </c>
      <c r="L814" t="s">
        <v>29</v>
      </c>
      <c r="M814" t="s">
        <v>331</v>
      </c>
      <c r="N814" s="9">
        <v>44686</v>
      </c>
      <c r="O814" s="9">
        <v>44693</v>
      </c>
      <c r="P814" s="9">
        <v>44693</v>
      </c>
      <c r="Q814"/>
      <c r="R814"/>
      <c r="S814"/>
      <c r="T814"/>
      <c r="U814"/>
    </row>
    <row r="815" spans="1:21" hidden="1">
      <c r="A815" s="7" t="s">
        <v>8790</v>
      </c>
      <c r="B815" s="7" t="s">
        <v>8296</v>
      </c>
      <c r="C815" s="8" t="s">
        <v>5317</v>
      </c>
      <c r="D815" t="s">
        <v>266</v>
      </c>
      <c r="E815" t="s">
        <v>915</v>
      </c>
      <c r="F815" t="s">
        <v>117</v>
      </c>
      <c r="G815" t="s">
        <v>928</v>
      </c>
      <c r="H815" s="9">
        <v>44657</v>
      </c>
      <c r="I815" t="s">
        <v>882</v>
      </c>
      <c r="J815" t="s">
        <v>2</v>
      </c>
      <c r="K815" s="9">
        <v>44762</v>
      </c>
      <c r="L815" t="s">
        <v>29</v>
      </c>
      <c r="M815" t="s">
        <v>331</v>
      </c>
      <c r="N815" s="9">
        <v>44686</v>
      </c>
      <c r="O815" s="9">
        <v>44693</v>
      </c>
      <c r="P815" s="9">
        <v>44693</v>
      </c>
      <c r="Q815"/>
      <c r="R815"/>
      <c r="S815"/>
      <c r="T815"/>
      <c r="U815"/>
    </row>
    <row r="816" spans="1:21" hidden="1">
      <c r="A816" s="7" t="s">
        <v>8790</v>
      </c>
      <c r="B816" s="7" t="s">
        <v>8296</v>
      </c>
      <c r="C816" s="8" t="s">
        <v>5317</v>
      </c>
      <c r="D816" t="s">
        <v>266</v>
      </c>
      <c r="E816" t="s">
        <v>915</v>
      </c>
      <c r="F816" t="s">
        <v>117</v>
      </c>
      <c r="G816" t="s">
        <v>929</v>
      </c>
      <c r="H816" s="9">
        <v>44657</v>
      </c>
      <c r="I816" t="s">
        <v>882</v>
      </c>
      <c r="J816" t="s">
        <v>2</v>
      </c>
      <c r="K816" s="9">
        <v>44762</v>
      </c>
      <c r="L816" t="s">
        <v>29</v>
      </c>
      <c r="M816" t="s">
        <v>331</v>
      </c>
      <c r="N816" s="9">
        <v>44686</v>
      </c>
      <c r="O816" s="9">
        <v>44693</v>
      </c>
      <c r="P816" s="9">
        <v>44693</v>
      </c>
      <c r="Q816"/>
      <c r="R816"/>
      <c r="S816"/>
      <c r="T816"/>
      <c r="U816"/>
    </row>
    <row r="817" spans="1:21" hidden="1">
      <c r="A817" s="7" t="s">
        <v>8790</v>
      </c>
      <c r="B817" s="7" t="s">
        <v>8296</v>
      </c>
      <c r="C817" s="8" t="s">
        <v>5317</v>
      </c>
      <c r="D817" t="s">
        <v>266</v>
      </c>
      <c r="E817" t="s">
        <v>915</v>
      </c>
      <c r="F817" t="s">
        <v>117</v>
      </c>
      <c r="G817" t="s">
        <v>930</v>
      </c>
      <c r="H817" s="9">
        <v>44657</v>
      </c>
      <c r="I817" t="s">
        <v>882</v>
      </c>
      <c r="J817" t="s">
        <v>2</v>
      </c>
      <c r="K817" s="9">
        <v>44762</v>
      </c>
      <c r="L817" t="s">
        <v>29</v>
      </c>
      <c r="M817" t="s">
        <v>331</v>
      </c>
      <c r="N817" s="9">
        <v>44686</v>
      </c>
      <c r="O817" s="9">
        <v>44693</v>
      </c>
      <c r="P817" s="9">
        <v>44693</v>
      </c>
      <c r="Q817"/>
      <c r="R817"/>
      <c r="S817"/>
      <c r="T817"/>
      <c r="U817"/>
    </row>
    <row r="818" spans="1:21" hidden="1">
      <c r="A818" s="7" t="s">
        <v>8790</v>
      </c>
      <c r="B818" s="7" t="s">
        <v>8296</v>
      </c>
      <c r="C818" s="8" t="s">
        <v>5317</v>
      </c>
      <c r="D818" t="s">
        <v>266</v>
      </c>
      <c r="E818" t="s">
        <v>915</v>
      </c>
      <c r="F818" t="s">
        <v>117</v>
      </c>
      <c r="G818" t="s">
        <v>931</v>
      </c>
      <c r="H818" s="9">
        <v>44657</v>
      </c>
      <c r="I818" t="s">
        <v>882</v>
      </c>
      <c r="J818" t="s">
        <v>2</v>
      </c>
      <c r="K818" s="9">
        <v>44762</v>
      </c>
      <c r="L818" t="s">
        <v>29</v>
      </c>
      <c r="M818" t="s">
        <v>331</v>
      </c>
      <c r="N818" s="9">
        <v>44686</v>
      </c>
      <c r="O818" s="9">
        <v>44693</v>
      </c>
      <c r="P818" s="9">
        <v>44693</v>
      </c>
      <c r="Q818"/>
      <c r="R818"/>
      <c r="S818"/>
      <c r="T818"/>
      <c r="U818"/>
    </row>
    <row r="819" spans="1:21" hidden="1">
      <c r="A819" s="7" t="s">
        <v>8790</v>
      </c>
      <c r="B819" s="7" t="s">
        <v>8296</v>
      </c>
      <c r="C819" s="8" t="s">
        <v>5317</v>
      </c>
      <c r="D819" t="s">
        <v>266</v>
      </c>
      <c r="E819" t="s">
        <v>915</v>
      </c>
      <c r="F819" t="s">
        <v>117</v>
      </c>
      <c r="G819" t="s">
        <v>932</v>
      </c>
      <c r="H819" s="9">
        <v>44657</v>
      </c>
      <c r="I819" t="s">
        <v>882</v>
      </c>
      <c r="J819" t="s">
        <v>2</v>
      </c>
      <c r="K819" s="9">
        <v>44762</v>
      </c>
      <c r="L819" t="s">
        <v>29</v>
      </c>
      <c r="M819" t="s">
        <v>331</v>
      </c>
      <c r="N819" s="9">
        <v>44686</v>
      </c>
      <c r="O819" s="9">
        <v>44693</v>
      </c>
      <c r="P819" s="9">
        <v>44693</v>
      </c>
      <c r="Q819"/>
      <c r="R819"/>
      <c r="S819"/>
      <c r="T819"/>
      <c r="U819"/>
    </row>
    <row r="820" spans="1:21" hidden="1">
      <c r="A820" s="7" t="s">
        <v>8790</v>
      </c>
      <c r="B820" s="7" t="s">
        <v>8296</v>
      </c>
      <c r="C820" s="8" t="s">
        <v>5317</v>
      </c>
      <c r="D820" t="s">
        <v>266</v>
      </c>
      <c r="E820" t="s">
        <v>915</v>
      </c>
      <c r="F820" t="s">
        <v>117</v>
      </c>
      <c r="G820" t="s">
        <v>933</v>
      </c>
      <c r="H820" s="9">
        <v>44657</v>
      </c>
      <c r="I820" t="s">
        <v>882</v>
      </c>
      <c r="J820" t="s">
        <v>2</v>
      </c>
      <c r="K820" s="9">
        <v>44762</v>
      </c>
      <c r="L820" t="s">
        <v>29</v>
      </c>
      <c r="M820" t="s">
        <v>331</v>
      </c>
      <c r="N820" s="9">
        <v>44686</v>
      </c>
      <c r="O820" s="9">
        <v>44693</v>
      </c>
      <c r="P820" s="9">
        <v>44693</v>
      </c>
      <c r="Q820"/>
      <c r="R820"/>
      <c r="S820"/>
      <c r="T820"/>
      <c r="U820"/>
    </row>
    <row r="821" spans="1:21" hidden="1">
      <c r="A821" s="7" t="s">
        <v>8790</v>
      </c>
      <c r="B821" s="7" t="s">
        <v>8296</v>
      </c>
      <c r="C821" s="8" t="s">
        <v>5317</v>
      </c>
      <c r="D821" t="s">
        <v>266</v>
      </c>
      <c r="E821" t="s">
        <v>915</v>
      </c>
      <c r="F821" t="s">
        <v>117</v>
      </c>
      <c r="G821" t="s">
        <v>934</v>
      </c>
      <c r="H821" s="9">
        <v>44657</v>
      </c>
      <c r="I821" t="s">
        <v>882</v>
      </c>
      <c r="J821" t="s">
        <v>2</v>
      </c>
      <c r="K821" s="9">
        <v>44762</v>
      </c>
      <c r="L821" t="s">
        <v>29</v>
      </c>
      <c r="M821" t="s">
        <v>331</v>
      </c>
      <c r="N821" s="9">
        <v>44686</v>
      </c>
      <c r="O821" s="9">
        <v>44693</v>
      </c>
      <c r="P821" s="9">
        <v>44693</v>
      </c>
      <c r="Q821"/>
      <c r="R821"/>
      <c r="S821"/>
      <c r="T821"/>
      <c r="U821"/>
    </row>
    <row r="822" spans="1:21" hidden="1">
      <c r="A822" s="7" t="s">
        <v>8781</v>
      </c>
      <c r="B822" s="7" t="s">
        <v>8313</v>
      </c>
      <c r="C822" s="8" t="s">
        <v>5317</v>
      </c>
      <c r="D822" t="s">
        <v>266</v>
      </c>
      <c r="E822" t="s">
        <v>880</v>
      </c>
      <c r="F822" t="s">
        <v>231</v>
      </c>
      <c r="G822" t="s">
        <v>935</v>
      </c>
      <c r="H822" s="9">
        <v>44657</v>
      </c>
      <c r="I822" t="s">
        <v>882</v>
      </c>
      <c r="J822" t="s">
        <v>163</v>
      </c>
      <c r="K822" s="9">
        <v>44693</v>
      </c>
      <c r="L822" t="s">
        <v>29</v>
      </c>
      <c r="M822"/>
      <c r="N822" s="9">
        <v>44686</v>
      </c>
      <c r="O822" s="9">
        <v>44693</v>
      </c>
      <c r="P822" s="9">
        <v>44693</v>
      </c>
      <c r="Q822"/>
      <c r="R822"/>
      <c r="S822"/>
      <c r="T822"/>
      <c r="U822"/>
    </row>
    <row r="823" spans="1:21" hidden="1">
      <c r="A823" s="7" t="s">
        <v>8781</v>
      </c>
      <c r="B823" s="7" t="s">
        <v>8313</v>
      </c>
      <c r="C823" s="8" t="s">
        <v>5317</v>
      </c>
      <c r="D823" t="s">
        <v>266</v>
      </c>
      <c r="E823" t="s">
        <v>880</v>
      </c>
      <c r="F823" t="s">
        <v>231</v>
      </c>
      <c r="G823" t="s">
        <v>936</v>
      </c>
      <c r="H823" s="9">
        <v>44657</v>
      </c>
      <c r="I823" t="s">
        <v>882</v>
      </c>
      <c r="J823" t="s">
        <v>163</v>
      </c>
      <c r="K823" s="9">
        <v>44693</v>
      </c>
      <c r="L823" t="s">
        <v>29</v>
      </c>
      <c r="M823"/>
      <c r="N823" s="9">
        <v>44686</v>
      </c>
      <c r="O823" s="9">
        <v>44693</v>
      </c>
      <c r="P823" s="9">
        <v>44693</v>
      </c>
      <c r="Q823"/>
      <c r="R823"/>
      <c r="S823"/>
      <c r="T823"/>
      <c r="U823"/>
    </row>
    <row r="824" spans="1:21" hidden="1">
      <c r="A824" s="7" t="s">
        <v>8781</v>
      </c>
      <c r="B824" s="7" t="s">
        <v>8313</v>
      </c>
      <c r="C824" s="8" t="s">
        <v>5317</v>
      </c>
      <c r="D824" t="s">
        <v>266</v>
      </c>
      <c r="E824" t="s">
        <v>880</v>
      </c>
      <c r="F824" t="s">
        <v>231</v>
      </c>
      <c r="G824" t="s">
        <v>937</v>
      </c>
      <c r="H824" s="9">
        <v>44657</v>
      </c>
      <c r="I824" t="s">
        <v>882</v>
      </c>
      <c r="J824" t="s">
        <v>163</v>
      </c>
      <c r="K824" s="9">
        <v>44693</v>
      </c>
      <c r="L824" t="s">
        <v>29</v>
      </c>
      <c r="M824"/>
      <c r="N824" s="9">
        <v>44686</v>
      </c>
      <c r="O824" s="9">
        <v>44693</v>
      </c>
      <c r="P824" s="9">
        <v>44693</v>
      </c>
      <c r="Q824"/>
      <c r="R824"/>
      <c r="S824"/>
      <c r="T824"/>
      <c r="U824"/>
    </row>
    <row r="825" spans="1:21" hidden="1">
      <c r="A825" s="7" t="s">
        <v>8781</v>
      </c>
      <c r="B825" s="7" t="s">
        <v>8313</v>
      </c>
      <c r="C825" s="8" t="s">
        <v>5317</v>
      </c>
      <c r="D825" t="s">
        <v>266</v>
      </c>
      <c r="E825" t="s">
        <v>880</v>
      </c>
      <c r="F825" t="s">
        <v>231</v>
      </c>
      <c r="G825" t="s">
        <v>938</v>
      </c>
      <c r="H825" s="9">
        <v>44657</v>
      </c>
      <c r="I825" t="s">
        <v>882</v>
      </c>
      <c r="J825" t="s">
        <v>163</v>
      </c>
      <c r="K825" s="9">
        <v>44693</v>
      </c>
      <c r="L825" t="s">
        <v>29</v>
      </c>
      <c r="M825"/>
      <c r="N825" s="9">
        <v>44686</v>
      </c>
      <c r="O825" s="9">
        <v>44693</v>
      </c>
      <c r="P825" s="9">
        <v>44693</v>
      </c>
      <c r="Q825"/>
      <c r="R825"/>
      <c r="S825"/>
      <c r="T825"/>
      <c r="U825"/>
    </row>
    <row r="826" spans="1:21" hidden="1">
      <c r="A826" s="7" t="s">
        <v>8781</v>
      </c>
      <c r="B826" s="7" t="s">
        <v>8313</v>
      </c>
      <c r="C826" s="8" t="s">
        <v>5317</v>
      </c>
      <c r="D826" t="s">
        <v>266</v>
      </c>
      <c r="E826" t="s">
        <v>880</v>
      </c>
      <c r="F826" t="s">
        <v>231</v>
      </c>
      <c r="G826" t="s">
        <v>939</v>
      </c>
      <c r="H826" s="9">
        <v>44657</v>
      </c>
      <c r="I826" t="s">
        <v>882</v>
      </c>
      <c r="J826" t="s">
        <v>163</v>
      </c>
      <c r="K826" s="9">
        <v>44693</v>
      </c>
      <c r="L826" t="s">
        <v>29</v>
      </c>
      <c r="M826"/>
      <c r="N826" s="9">
        <v>44686</v>
      </c>
      <c r="O826" s="9">
        <v>44693</v>
      </c>
      <c r="P826" s="9">
        <v>44693</v>
      </c>
      <c r="Q826"/>
      <c r="R826"/>
      <c r="S826"/>
      <c r="T826"/>
      <c r="U826"/>
    </row>
    <row r="827" spans="1:21" hidden="1">
      <c r="A827" s="7" t="s">
        <v>8781</v>
      </c>
      <c r="B827" s="7" t="s">
        <v>8313</v>
      </c>
      <c r="C827" s="8" t="s">
        <v>5317</v>
      </c>
      <c r="D827" t="s">
        <v>266</v>
      </c>
      <c r="E827" t="s">
        <v>880</v>
      </c>
      <c r="F827" t="s">
        <v>231</v>
      </c>
      <c r="G827" t="s">
        <v>940</v>
      </c>
      <c r="H827" s="9">
        <v>44657</v>
      </c>
      <c r="I827" t="s">
        <v>882</v>
      </c>
      <c r="J827" t="s">
        <v>163</v>
      </c>
      <c r="K827" s="9">
        <v>44693</v>
      </c>
      <c r="L827" t="s">
        <v>29</v>
      </c>
      <c r="M827"/>
      <c r="N827" s="9">
        <v>44686</v>
      </c>
      <c r="O827" s="9">
        <v>44693</v>
      </c>
      <c r="P827" s="9">
        <v>44693</v>
      </c>
      <c r="Q827"/>
      <c r="R827"/>
      <c r="S827"/>
      <c r="T827"/>
      <c r="U827"/>
    </row>
    <row r="828" spans="1:21" hidden="1">
      <c r="A828" s="7" t="s">
        <v>8781</v>
      </c>
      <c r="B828" s="7" t="s">
        <v>8313</v>
      </c>
      <c r="C828" s="8" t="s">
        <v>5317</v>
      </c>
      <c r="D828" t="s">
        <v>266</v>
      </c>
      <c r="E828" t="s">
        <v>880</v>
      </c>
      <c r="F828" t="s">
        <v>231</v>
      </c>
      <c r="G828" t="s">
        <v>941</v>
      </c>
      <c r="H828" s="9">
        <v>44657</v>
      </c>
      <c r="I828" t="s">
        <v>882</v>
      </c>
      <c r="J828" t="s">
        <v>163</v>
      </c>
      <c r="K828" s="9">
        <v>44693</v>
      </c>
      <c r="L828" t="s">
        <v>29</v>
      </c>
      <c r="M828"/>
      <c r="N828" s="9">
        <v>44686</v>
      </c>
      <c r="O828" s="9">
        <v>44693</v>
      </c>
      <c r="P828" s="9">
        <v>44693</v>
      </c>
      <c r="Q828"/>
      <c r="R828"/>
      <c r="S828"/>
      <c r="T828"/>
      <c r="U828"/>
    </row>
    <row r="829" spans="1:21" hidden="1">
      <c r="A829" s="7" t="s">
        <v>8781</v>
      </c>
      <c r="B829" s="7" t="s">
        <v>8313</v>
      </c>
      <c r="C829" s="8" t="s">
        <v>5317</v>
      </c>
      <c r="D829" t="s">
        <v>266</v>
      </c>
      <c r="E829" t="s">
        <v>880</v>
      </c>
      <c r="F829" t="s">
        <v>231</v>
      </c>
      <c r="G829" t="s">
        <v>942</v>
      </c>
      <c r="H829" s="9">
        <v>44657</v>
      </c>
      <c r="I829" t="s">
        <v>882</v>
      </c>
      <c r="J829" t="s">
        <v>163</v>
      </c>
      <c r="K829" s="9">
        <v>44693</v>
      </c>
      <c r="L829" t="s">
        <v>29</v>
      </c>
      <c r="M829"/>
      <c r="N829" s="9">
        <v>44686</v>
      </c>
      <c r="O829" s="9">
        <v>44693</v>
      </c>
      <c r="P829" s="9">
        <v>44693</v>
      </c>
      <c r="Q829"/>
      <c r="R829"/>
      <c r="S829"/>
      <c r="T829"/>
      <c r="U829"/>
    </row>
    <row r="830" spans="1:21" hidden="1">
      <c r="A830" s="7" t="s">
        <v>8781</v>
      </c>
      <c r="B830" s="7" t="s">
        <v>8313</v>
      </c>
      <c r="C830" s="8" t="s">
        <v>5317</v>
      </c>
      <c r="D830" t="s">
        <v>266</v>
      </c>
      <c r="E830" t="s">
        <v>880</v>
      </c>
      <c r="F830" t="s">
        <v>231</v>
      </c>
      <c r="G830" t="s">
        <v>943</v>
      </c>
      <c r="H830" s="9">
        <v>44657</v>
      </c>
      <c r="I830" t="s">
        <v>882</v>
      </c>
      <c r="J830" t="s">
        <v>163</v>
      </c>
      <c r="K830" s="9">
        <v>44693</v>
      </c>
      <c r="L830" t="s">
        <v>29</v>
      </c>
      <c r="M830"/>
      <c r="N830" s="9">
        <v>44686</v>
      </c>
      <c r="O830" s="9">
        <v>44693</v>
      </c>
      <c r="P830" s="9">
        <v>44693</v>
      </c>
      <c r="Q830"/>
      <c r="R830"/>
      <c r="S830"/>
      <c r="T830"/>
      <c r="U830"/>
    </row>
    <row r="831" spans="1:21" hidden="1">
      <c r="A831" s="7" t="s">
        <v>8781</v>
      </c>
      <c r="B831" s="7" t="s">
        <v>8313</v>
      </c>
      <c r="C831" s="8" t="s">
        <v>5317</v>
      </c>
      <c r="D831" t="s">
        <v>266</v>
      </c>
      <c r="E831" t="s">
        <v>880</v>
      </c>
      <c r="F831" t="s">
        <v>231</v>
      </c>
      <c r="G831" t="s">
        <v>944</v>
      </c>
      <c r="H831" s="9">
        <v>44657</v>
      </c>
      <c r="I831" t="s">
        <v>882</v>
      </c>
      <c r="J831" t="s">
        <v>163</v>
      </c>
      <c r="K831" s="9">
        <v>44693</v>
      </c>
      <c r="L831" t="s">
        <v>29</v>
      </c>
      <c r="M831"/>
      <c r="N831" s="9">
        <v>44686</v>
      </c>
      <c r="O831" s="9">
        <v>44693</v>
      </c>
      <c r="P831" s="9">
        <v>44693</v>
      </c>
      <c r="Q831"/>
      <c r="R831"/>
      <c r="S831"/>
      <c r="T831"/>
      <c r="U831"/>
    </row>
    <row r="832" spans="1:21" hidden="1">
      <c r="A832" s="7" t="s">
        <v>8781</v>
      </c>
      <c r="B832" s="7" t="s">
        <v>8313</v>
      </c>
      <c r="C832" s="8" t="s">
        <v>5317</v>
      </c>
      <c r="D832" t="s">
        <v>266</v>
      </c>
      <c r="E832" t="s">
        <v>880</v>
      </c>
      <c r="F832" t="s">
        <v>231</v>
      </c>
      <c r="G832" t="s">
        <v>945</v>
      </c>
      <c r="H832" s="9">
        <v>44657</v>
      </c>
      <c r="I832" t="s">
        <v>882</v>
      </c>
      <c r="J832" t="s">
        <v>163</v>
      </c>
      <c r="K832" s="9">
        <v>44693</v>
      </c>
      <c r="L832" t="s">
        <v>29</v>
      </c>
      <c r="M832"/>
      <c r="N832" s="9">
        <v>44686</v>
      </c>
      <c r="O832" s="9">
        <v>44693</v>
      </c>
      <c r="P832" s="9">
        <v>44693</v>
      </c>
      <c r="Q832"/>
      <c r="R832"/>
      <c r="S832"/>
      <c r="T832"/>
      <c r="U832"/>
    </row>
    <row r="833" spans="1:21" hidden="1">
      <c r="A833" s="7" t="s">
        <v>8781</v>
      </c>
      <c r="B833" s="7" t="s">
        <v>8313</v>
      </c>
      <c r="C833" s="8" t="s">
        <v>5317</v>
      </c>
      <c r="D833" t="s">
        <v>266</v>
      </c>
      <c r="E833" t="s">
        <v>880</v>
      </c>
      <c r="F833" t="s">
        <v>231</v>
      </c>
      <c r="G833" t="s">
        <v>946</v>
      </c>
      <c r="H833" s="9">
        <v>44657</v>
      </c>
      <c r="I833" t="s">
        <v>882</v>
      </c>
      <c r="J833" t="s">
        <v>163</v>
      </c>
      <c r="K833" s="9">
        <v>44693</v>
      </c>
      <c r="L833" t="s">
        <v>29</v>
      </c>
      <c r="M833"/>
      <c r="N833" s="9">
        <v>44686</v>
      </c>
      <c r="O833" s="9">
        <v>44693</v>
      </c>
      <c r="P833" s="9">
        <v>44693</v>
      </c>
      <c r="Q833"/>
      <c r="R833"/>
      <c r="S833"/>
      <c r="T833"/>
      <c r="U833"/>
    </row>
    <row r="834" spans="1:21" hidden="1">
      <c r="A834" s="7" t="s">
        <v>8781</v>
      </c>
      <c r="B834" s="7" t="s">
        <v>8313</v>
      </c>
      <c r="C834" s="8" t="s">
        <v>5317</v>
      </c>
      <c r="D834" t="s">
        <v>266</v>
      </c>
      <c r="E834" t="s">
        <v>880</v>
      </c>
      <c r="F834" t="s">
        <v>231</v>
      </c>
      <c r="G834" t="s">
        <v>947</v>
      </c>
      <c r="H834" s="9">
        <v>44657</v>
      </c>
      <c r="I834" t="s">
        <v>882</v>
      </c>
      <c r="J834" t="s">
        <v>163</v>
      </c>
      <c r="K834" s="9">
        <v>44693</v>
      </c>
      <c r="L834" t="s">
        <v>29</v>
      </c>
      <c r="M834"/>
      <c r="N834" s="9">
        <v>44686</v>
      </c>
      <c r="O834" s="9">
        <v>44693</v>
      </c>
      <c r="P834" s="9">
        <v>44693</v>
      </c>
      <c r="Q834"/>
      <c r="R834"/>
      <c r="S834"/>
      <c r="T834"/>
      <c r="U834"/>
    </row>
    <row r="835" spans="1:21" hidden="1">
      <c r="A835" s="7" t="s">
        <v>8781</v>
      </c>
      <c r="B835" s="7" t="s">
        <v>8313</v>
      </c>
      <c r="C835" s="8" t="s">
        <v>5317</v>
      </c>
      <c r="D835" t="s">
        <v>266</v>
      </c>
      <c r="E835" t="s">
        <v>880</v>
      </c>
      <c r="F835" t="s">
        <v>231</v>
      </c>
      <c r="G835" t="s">
        <v>948</v>
      </c>
      <c r="H835" s="9">
        <v>44657</v>
      </c>
      <c r="I835" t="s">
        <v>882</v>
      </c>
      <c r="J835" t="s">
        <v>163</v>
      </c>
      <c r="K835" s="9">
        <v>44693</v>
      </c>
      <c r="L835" t="s">
        <v>29</v>
      </c>
      <c r="M835"/>
      <c r="N835" s="9">
        <v>44686</v>
      </c>
      <c r="O835" s="9">
        <v>44693</v>
      </c>
      <c r="P835" s="9">
        <v>44693</v>
      </c>
      <c r="Q835"/>
      <c r="R835"/>
      <c r="S835"/>
      <c r="T835"/>
      <c r="U835"/>
    </row>
    <row r="836" spans="1:21" hidden="1">
      <c r="A836" s="7" t="s">
        <v>8791</v>
      </c>
      <c r="B836" s="7" t="s">
        <v>5503</v>
      </c>
      <c r="C836" s="8" t="s">
        <v>5317</v>
      </c>
      <c r="D836" t="s">
        <v>266</v>
      </c>
      <c r="E836" t="s">
        <v>949</v>
      </c>
      <c r="F836" t="s">
        <v>83</v>
      </c>
      <c r="G836" t="s">
        <v>950</v>
      </c>
      <c r="H836" s="9">
        <v>44657</v>
      </c>
      <c r="I836" t="s">
        <v>882</v>
      </c>
      <c r="J836" t="s">
        <v>163</v>
      </c>
      <c r="K836" s="9">
        <v>44693</v>
      </c>
      <c r="L836" t="s">
        <v>29</v>
      </c>
      <c r="M836"/>
      <c r="N836" s="9">
        <v>44686</v>
      </c>
      <c r="O836" s="9">
        <v>44693</v>
      </c>
      <c r="P836" s="9">
        <v>44693</v>
      </c>
      <c r="Q836"/>
      <c r="R836"/>
      <c r="S836"/>
      <c r="T836"/>
      <c r="U836"/>
    </row>
    <row r="837" spans="1:21" hidden="1">
      <c r="A837" s="7" t="s">
        <v>8791</v>
      </c>
      <c r="B837" s="7" t="s">
        <v>5503</v>
      </c>
      <c r="C837" s="8" t="s">
        <v>5317</v>
      </c>
      <c r="D837" t="s">
        <v>266</v>
      </c>
      <c r="E837" t="s">
        <v>949</v>
      </c>
      <c r="F837" t="s">
        <v>83</v>
      </c>
      <c r="G837" t="s">
        <v>951</v>
      </c>
      <c r="H837" s="9">
        <v>44657</v>
      </c>
      <c r="I837" t="s">
        <v>882</v>
      </c>
      <c r="J837" t="s">
        <v>163</v>
      </c>
      <c r="K837" s="9">
        <v>44693</v>
      </c>
      <c r="L837" t="s">
        <v>29</v>
      </c>
      <c r="M837"/>
      <c r="N837" s="9">
        <v>44686</v>
      </c>
      <c r="O837" s="9">
        <v>44693</v>
      </c>
      <c r="P837" s="9">
        <v>44693</v>
      </c>
      <c r="Q837"/>
      <c r="R837"/>
      <c r="S837"/>
      <c r="T837"/>
      <c r="U837"/>
    </row>
    <row r="838" spans="1:21" hidden="1">
      <c r="A838" s="7" t="s">
        <v>8791</v>
      </c>
      <c r="B838" s="7" t="s">
        <v>5503</v>
      </c>
      <c r="C838" s="8" t="s">
        <v>5317</v>
      </c>
      <c r="D838" t="s">
        <v>266</v>
      </c>
      <c r="E838" t="s">
        <v>949</v>
      </c>
      <c r="F838" t="s">
        <v>83</v>
      </c>
      <c r="G838" t="s">
        <v>952</v>
      </c>
      <c r="H838" s="9">
        <v>44657</v>
      </c>
      <c r="I838" t="s">
        <v>882</v>
      </c>
      <c r="J838" t="s">
        <v>163</v>
      </c>
      <c r="K838" s="9">
        <v>44693</v>
      </c>
      <c r="L838" t="s">
        <v>29</v>
      </c>
      <c r="M838"/>
      <c r="N838" s="9">
        <v>44686</v>
      </c>
      <c r="O838" s="9">
        <v>44693</v>
      </c>
      <c r="P838" s="9">
        <v>44693</v>
      </c>
      <c r="Q838"/>
      <c r="R838"/>
      <c r="S838"/>
      <c r="T838"/>
      <c r="U838"/>
    </row>
    <row r="839" spans="1:21" hidden="1">
      <c r="A839" s="7" t="s">
        <v>8791</v>
      </c>
      <c r="B839" s="7" t="s">
        <v>5503</v>
      </c>
      <c r="C839" s="8" t="s">
        <v>5317</v>
      </c>
      <c r="D839" t="s">
        <v>266</v>
      </c>
      <c r="E839" t="s">
        <v>949</v>
      </c>
      <c r="F839" t="s">
        <v>83</v>
      </c>
      <c r="G839" t="s">
        <v>953</v>
      </c>
      <c r="H839" s="9">
        <v>44657</v>
      </c>
      <c r="I839" t="s">
        <v>882</v>
      </c>
      <c r="J839" t="s">
        <v>163</v>
      </c>
      <c r="K839" s="9">
        <v>44693</v>
      </c>
      <c r="L839" t="s">
        <v>29</v>
      </c>
      <c r="M839"/>
      <c r="N839" s="9">
        <v>44686</v>
      </c>
      <c r="O839" s="9">
        <v>44693</v>
      </c>
      <c r="P839" s="9">
        <v>44693</v>
      </c>
      <c r="Q839"/>
      <c r="R839"/>
      <c r="S839"/>
      <c r="T839"/>
      <c r="U839"/>
    </row>
    <row r="840" spans="1:21" hidden="1">
      <c r="A840" s="7" t="s">
        <v>8791</v>
      </c>
      <c r="B840" s="7" t="s">
        <v>5503</v>
      </c>
      <c r="C840" s="8" t="s">
        <v>5317</v>
      </c>
      <c r="D840" t="s">
        <v>266</v>
      </c>
      <c r="E840" t="s">
        <v>949</v>
      </c>
      <c r="F840" t="s">
        <v>83</v>
      </c>
      <c r="G840" t="s">
        <v>954</v>
      </c>
      <c r="H840" s="9">
        <v>44657</v>
      </c>
      <c r="I840" t="s">
        <v>882</v>
      </c>
      <c r="J840" t="s">
        <v>163</v>
      </c>
      <c r="K840" s="9">
        <v>44693</v>
      </c>
      <c r="L840" t="s">
        <v>29</v>
      </c>
      <c r="M840"/>
      <c r="N840" s="9">
        <v>44686</v>
      </c>
      <c r="O840" s="9">
        <v>44693</v>
      </c>
      <c r="P840" s="9">
        <v>44693</v>
      </c>
      <c r="Q840"/>
      <c r="R840"/>
      <c r="S840"/>
      <c r="T840"/>
      <c r="U840"/>
    </row>
    <row r="841" spans="1:21" hidden="1">
      <c r="A841" s="7" t="s">
        <v>8790</v>
      </c>
      <c r="B841" s="7" t="s">
        <v>8296</v>
      </c>
      <c r="C841" s="8" t="s">
        <v>5317</v>
      </c>
      <c r="D841" t="s">
        <v>266</v>
      </c>
      <c r="E841" t="s">
        <v>915</v>
      </c>
      <c r="F841" t="s">
        <v>117</v>
      </c>
      <c r="G841" t="s">
        <v>955</v>
      </c>
      <c r="H841" s="9">
        <v>44657</v>
      </c>
      <c r="I841" t="s">
        <v>882</v>
      </c>
      <c r="J841" t="s">
        <v>2</v>
      </c>
      <c r="K841" s="9">
        <v>44762</v>
      </c>
      <c r="L841" t="s">
        <v>29</v>
      </c>
      <c r="M841" t="s">
        <v>331</v>
      </c>
      <c r="N841" s="9">
        <v>44686</v>
      </c>
      <c r="O841" s="9">
        <v>44693</v>
      </c>
      <c r="P841" s="9">
        <v>44693</v>
      </c>
      <c r="Q841"/>
      <c r="R841"/>
      <c r="S841"/>
      <c r="T841"/>
      <c r="U841"/>
    </row>
    <row r="842" spans="1:21" hidden="1">
      <c r="A842" s="7" t="s">
        <v>8790</v>
      </c>
      <c r="B842" s="7" t="s">
        <v>8296</v>
      </c>
      <c r="C842" s="8" t="s">
        <v>5317</v>
      </c>
      <c r="D842" t="s">
        <v>266</v>
      </c>
      <c r="E842" t="s">
        <v>915</v>
      </c>
      <c r="F842" t="s">
        <v>117</v>
      </c>
      <c r="G842" t="s">
        <v>956</v>
      </c>
      <c r="H842" s="9">
        <v>44657</v>
      </c>
      <c r="I842" t="s">
        <v>882</v>
      </c>
      <c r="J842" t="s">
        <v>2</v>
      </c>
      <c r="K842" s="9">
        <v>44762</v>
      </c>
      <c r="L842" t="s">
        <v>29</v>
      </c>
      <c r="M842" t="s">
        <v>331</v>
      </c>
      <c r="N842" s="9">
        <v>44686</v>
      </c>
      <c r="O842" s="9">
        <v>44693</v>
      </c>
      <c r="P842" s="9">
        <v>44693</v>
      </c>
      <c r="Q842"/>
      <c r="R842"/>
      <c r="S842"/>
      <c r="T842"/>
      <c r="U842"/>
    </row>
    <row r="843" spans="1:21" hidden="1">
      <c r="A843" s="7" t="s">
        <v>8790</v>
      </c>
      <c r="B843" s="7" t="s">
        <v>8296</v>
      </c>
      <c r="C843" s="8" t="s">
        <v>5317</v>
      </c>
      <c r="D843" t="s">
        <v>266</v>
      </c>
      <c r="E843" t="s">
        <v>915</v>
      </c>
      <c r="F843" t="s">
        <v>117</v>
      </c>
      <c r="G843" t="s">
        <v>957</v>
      </c>
      <c r="H843" s="9">
        <v>44657</v>
      </c>
      <c r="I843" t="s">
        <v>882</v>
      </c>
      <c r="J843" t="s">
        <v>2</v>
      </c>
      <c r="K843" s="9">
        <v>44762</v>
      </c>
      <c r="L843" t="s">
        <v>29</v>
      </c>
      <c r="M843" t="s">
        <v>331</v>
      </c>
      <c r="N843" s="9">
        <v>44686</v>
      </c>
      <c r="O843" s="9">
        <v>44693</v>
      </c>
      <c r="P843" s="9">
        <v>44693</v>
      </c>
      <c r="Q843"/>
      <c r="R843"/>
      <c r="S843"/>
      <c r="T843"/>
      <c r="U843"/>
    </row>
    <row r="844" spans="1:21" hidden="1">
      <c r="A844" s="7" t="s">
        <v>8790</v>
      </c>
      <c r="B844" s="7" t="s">
        <v>8296</v>
      </c>
      <c r="C844" s="8" t="s">
        <v>5317</v>
      </c>
      <c r="D844" t="s">
        <v>266</v>
      </c>
      <c r="E844" t="s">
        <v>915</v>
      </c>
      <c r="F844" t="s">
        <v>117</v>
      </c>
      <c r="G844" t="s">
        <v>958</v>
      </c>
      <c r="H844" s="9">
        <v>44657</v>
      </c>
      <c r="I844" t="s">
        <v>882</v>
      </c>
      <c r="J844" t="s">
        <v>2</v>
      </c>
      <c r="K844" s="9">
        <v>44762</v>
      </c>
      <c r="L844" t="s">
        <v>29</v>
      </c>
      <c r="M844" t="s">
        <v>331</v>
      </c>
      <c r="N844" s="9">
        <v>44686</v>
      </c>
      <c r="O844" s="9">
        <v>44693</v>
      </c>
      <c r="P844" s="9">
        <v>44693</v>
      </c>
      <c r="Q844"/>
      <c r="R844"/>
      <c r="S844"/>
      <c r="T844"/>
      <c r="U844"/>
    </row>
    <row r="845" spans="1:21" hidden="1">
      <c r="A845" s="7" t="s">
        <v>8790</v>
      </c>
      <c r="B845" s="7" t="s">
        <v>8296</v>
      </c>
      <c r="C845" s="8" t="s">
        <v>5317</v>
      </c>
      <c r="D845" t="s">
        <v>266</v>
      </c>
      <c r="E845" t="s">
        <v>915</v>
      </c>
      <c r="F845" t="s">
        <v>117</v>
      </c>
      <c r="G845" t="s">
        <v>959</v>
      </c>
      <c r="H845" s="9">
        <v>44657</v>
      </c>
      <c r="I845" t="s">
        <v>882</v>
      </c>
      <c r="J845" t="s">
        <v>2</v>
      </c>
      <c r="K845" s="9">
        <v>44762</v>
      </c>
      <c r="L845" t="s">
        <v>29</v>
      </c>
      <c r="M845" t="s">
        <v>331</v>
      </c>
      <c r="N845" s="9">
        <v>44686</v>
      </c>
      <c r="O845" s="9">
        <v>44693</v>
      </c>
      <c r="P845" s="9">
        <v>44693</v>
      </c>
      <c r="Q845"/>
      <c r="R845"/>
      <c r="S845"/>
      <c r="T845"/>
      <c r="U845"/>
    </row>
    <row r="846" spans="1:21" hidden="1">
      <c r="A846" s="7" t="s">
        <v>8790</v>
      </c>
      <c r="B846" s="7" t="s">
        <v>8296</v>
      </c>
      <c r="C846" s="8" t="s">
        <v>5317</v>
      </c>
      <c r="D846" t="s">
        <v>266</v>
      </c>
      <c r="E846" t="s">
        <v>915</v>
      </c>
      <c r="F846" t="s">
        <v>117</v>
      </c>
      <c r="G846" t="s">
        <v>960</v>
      </c>
      <c r="H846" s="9">
        <v>44657</v>
      </c>
      <c r="I846" t="s">
        <v>882</v>
      </c>
      <c r="J846" t="s">
        <v>2</v>
      </c>
      <c r="K846" s="9">
        <v>44762</v>
      </c>
      <c r="L846" t="s">
        <v>29</v>
      </c>
      <c r="M846" t="s">
        <v>331</v>
      </c>
      <c r="N846" s="9">
        <v>44686</v>
      </c>
      <c r="O846" s="9">
        <v>44693</v>
      </c>
      <c r="P846" s="9">
        <v>44693</v>
      </c>
      <c r="Q846"/>
      <c r="R846"/>
      <c r="S846"/>
      <c r="T846"/>
      <c r="U846"/>
    </row>
    <row r="847" spans="1:21" hidden="1">
      <c r="A847" s="7" t="s">
        <v>8790</v>
      </c>
      <c r="B847" s="7" t="s">
        <v>8296</v>
      </c>
      <c r="C847" s="8" t="s">
        <v>5317</v>
      </c>
      <c r="D847" t="s">
        <v>266</v>
      </c>
      <c r="E847" t="s">
        <v>915</v>
      </c>
      <c r="F847" t="s">
        <v>117</v>
      </c>
      <c r="G847" t="s">
        <v>961</v>
      </c>
      <c r="H847" s="9">
        <v>44657</v>
      </c>
      <c r="I847" t="s">
        <v>882</v>
      </c>
      <c r="J847" t="s">
        <v>2</v>
      </c>
      <c r="K847" s="9">
        <v>44762</v>
      </c>
      <c r="L847" t="s">
        <v>29</v>
      </c>
      <c r="M847" t="s">
        <v>331</v>
      </c>
      <c r="N847" s="9">
        <v>44686</v>
      </c>
      <c r="O847" s="9">
        <v>44693</v>
      </c>
      <c r="P847" s="9">
        <v>44693</v>
      </c>
      <c r="Q847"/>
      <c r="R847"/>
      <c r="S847"/>
      <c r="T847"/>
      <c r="U847"/>
    </row>
    <row r="848" spans="1:21" hidden="1">
      <c r="A848" s="7" t="s">
        <v>8790</v>
      </c>
      <c r="B848" s="7" t="s">
        <v>8296</v>
      </c>
      <c r="C848" s="8" t="s">
        <v>5317</v>
      </c>
      <c r="D848" t="s">
        <v>266</v>
      </c>
      <c r="E848" t="s">
        <v>915</v>
      </c>
      <c r="F848" t="s">
        <v>117</v>
      </c>
      <c r="G848" t="s">
        <v>962</v>
      </c>
      <c r="H848" s="9">
        <v>44657</v>
      </c>
      <c r="I848" t="s">
        <v>882</v>
      </c>
      <c r="J848" t="s">
        <v>2</v>
      </c>
      <c r="K848" s="9">
        <v>44762</v>
      </c>
      <c r="L848" t="s">
        <v>29</v>
      </c>
      <c r="M848" t="s">
        <v>331</v>
      </c>
      <c r="N848" s="9">
        <v>44686</v>
      </c>
      <c r="O848" s="9">
        <v>44693</v>
      </c>
      <c r="P848" s="9">
        <v>44693</v>
      </c>
      <c r="Q848"/>
      <c r="R848"/>
      <c r="S848"/>
      <c r="T848"/>
      <c r="U848"/>
    </row>
    <row r="849" spans="1:21" hidden="1">
      <c r="A849" s="7" t="s">
        <v>8789</v>
      </c>
      <c r="B849" s="7" t="s">
        <v>6643</v>
      </c>
      <c r="C849" s="8" t="s">
        <v>5317</v>
      </c>
      <c r="D849" t="s">
        <v>266</v>
      </c>
      <c r="E849" t="s">
        <v>908</v>
      </c>
      <c r="F849" t="s">
        <v>83</v>
      </c>
      <c r="G849" t="s">
        <v>963</v>
      </c>
      <c r="H849" s="9">
        <v>44657</v>
      </c>
      <c r="I849" t="s">
        <v>408</v>
      </c>
      <c r="J849" t="s">
        <v>0</v>
      </c>
      <c r="K849" s="9">
        <v>44680</v>
      </c>
      <c r="L849" t="s">
        <v>29</v>
      </c>
      <c r="M849"/>
      <c r="N849"/>
      <c r="O849"/>
      <c r="P849"/>
      <c r="Q849" s="9">
        <v>44680</v>
      </c>
      <c r="R849"/>
      <c r="S849"/>
      <c r="T849"/>
      <c r="U849"/>
    </row>
    <row r="850" spans="1:21" hidden="1">
      <c r="A850" s="7" t="s">
        <v>8789</v>
      </c>
      <c r="B850" s="7" t="s">
        <v>6643</v>
      </c>
      <c r="C850" s="8" t="s">
        <v>5317</v>
      </c>
      <c r="D850" t="s">
        <v>266</v>
      </c>
      <c r="E850" t="s">
        <v>908</v>
      </c>
      <c r="F850" t="s">
        <v>83</v>
      </c>
      <c r="G850" t="s">
        <v>964</v>
      </c>
      <c r="H850" s="9">
        <v>44657</v>
      </c>
      <c r="I850" t="s">
        <v>408</v>
      </c>
      <c r="J850" t="s">
        <v>0</v>
      </c>
      <c r="K850" s="9">
        <v>44680</v>
      </c>
      <c r="L850" t="s">
        <v>29</v>
      </c>
      <c r="M850"/>
      <c r="N850"/>
      <c r="O850"/>
      <c r="P850"/>
      <c r="Q850" s="9">
        <v>44680</v>
      </c>
      <c r="R850"/>
      <c r="S850"/>
      <c r="T850"/>
      <c r="U850"/>
    </row>
    <row r="851" spans="1:21" hidden="1">
      <c r="A851" s="7" t="s">
        <v>8792</v>
      </c>
      <c r="B851" s="7" t="s">
        <v>7427</v>
      </c>
      <c r="C851" s="8" t="s">
        <v>5317</v>
      </c>
      <c r="D851" t="s">
        <v>266</v>
      </c>
      <c r="E851" t="s">
        <v>965</v>
      </c>
      <c r="F851" t="s">
        <v>231</v>
      </c>
      <c r="G851" t="s">
        <v>966</v>
      </c>
      <c r="H851" s="9">
        <v>44657</v>
      </c>
      <c r="I851" t="s">
        <v>408</v>
      </c>
      <c r="J851" t="s">
        <v>276</v>
      </c>
      <c r="K851" s="9">
        <v>44659.4461226852</v>
      </c>
      <c r="L851" t="s">
        <v>29</v>
      </c>
      <c r="M851"/>
      <c r="N851"/>
      <c r="O851"/>
      <c r="P851"/>
      <c r="Q851"/>
      <c r="R851" s="9">
        <v>44659.445844907401</v>
      </c>
      <c r="S851"/>
      <c r="T851"/>
      <c r="U851"/>
    </row>
    <row r="852" spans="1:21" hidden="1">
      <c r="A852" s="7" t="s">
        <v>8790</v>
      </c>
      <c r="B852" s="7" t="s">
        <v>8296</v>
      </c>
      <c r="C852" s="8" t="s">
        <v>5317</v>
      </c>
      <c r="D852" t="s">
        <v>266</v>
      </c>
      <c r="E852" t="s">
        <v>915</v>
      </c>
      <c r="F852" t="s">
        <v>117</v>
      </c>
      <c r="G852" t="s">
        <v>967</v>
      </c>
      <c r="H852" s="9">
        <v>44657</v>
      </c>
      <c r="I852" t="s">
        <v>882</v>
      </c>
      <c r="J852" t="s">
        <v>2</v>
      </c>
      <c r="K852" s="9">
        <v>44762</v>
      </c>
      <c r="L852" t="s">
        <v>29</v>
      </c>
      <c r="M852" t="s">
        <v>331</v>
      </c>
      <c r="N852" s="9">
        <v>44686</v>
      </c>
      <c r="O852" s="9">
        <v>44693</v>
      </c>
      <c r="P852" s="9">
        <v>44693</v>
      </c>
      <c r="Q852"/>
      <c r="R852"/>
      <c r="S852"/>
      <c r="T852"/>
      <c r="U852"/>
    </row>
    <row r="853" spans="1:21" hidden="1">
      <c r="A853" s="7" t="s">
        <v>8790</v>
      </c>
      <c r="B853" s="7" t="s">
        <v>8296</v>
      </c>
      <c r="C853" s="8" t="s">
        <v>5317</v>
      </c>
      <c r="D853" t="s">
        <v>266</v>
      </c>
      <c r="E853" t="s">
        <v>915</v>
      </c>
      <c r="F853" t="s">
        <v>117</v>
      </c>
      <c r="G853" t="s">
        <v>968</v>
      </c>
      <c r="H853" s="9">
        <v>44657</v>
      </c>
      <c r="I853" t="s">
        <v>882</v>
      </c>
      <c r="J853" t="s">
        <v>2</v>
      </c>
      <c r="K853" s="9">
        <v>44762</v>
      </c>
      <c r="L853" t="s">
        <v>29</v>
      </c>
      <c r="M853" t="s">
        <v>331</v>
      </c>
      <c r="N853" s="9">
        <v>44686</v>
      </c>
      <c r="O853" s="9">
        <v>44693</v>
      </c>
      <c r="P853" s="9">
        <v>44693</v>
      </c>
      <c r="Q853"/>
      <c r="R853"/>
      <c r="S853"/>
      <c r="T853"/>
      <c r="U853"/>
    </row>
    <row r="854" spans="1:21" hidden="1">
      <c r="A854" s="7" t="s">
        <v>8791</v>
      </c>
      <c r="B854" s="7" t="s">
        <v>5503</v>
      </c>
      <c r="C854" s="8" t="s">
        <v>5317</v>
      </c>
      <c r="D854" t="s">
        <v>266</v>
      </c>
      <c r="E854" t="s">
        <v>949</v>
      </c>
      <c r="F854" t="s">
        <v>83</v>
      </c>
      <c r="G854" t="s">
        <v>969</v>
      </c>
      <c r="H854" s="9">
        <v>44657</v>
      </c>
      <c r="I854" t="s">
        <v>882</v>
      </c>
      <c r="J854" t="s">
        <v>163</v>
      </c>
      <c r="K854" s="9">
        <v>44693</v>
      </c>
      <c r="L854" t="s">
        <v>29</v>
      </c>
      <c r="M854"/>
      <c r="N854" s="9">
        <v>44686</v>
      </c>
      <c r="O854" s="9">
        <v>44693</v>
      </c>
      <c r="P854" s="9">
        <v>44693</v>
      </c>
      <c r="Q854"/>
      <c r="R854"/>
      <c r="S854"/>
      <c r="T854"/>
      <c r="U854"/>
    </row>
    <row r="855" spans="1:21" hidden="1">
      <c r="A855" s="7" t="s">
        <v>8790</v>
      </c>
      <c r="B855" s="7" t="s">
        <v>8296</v>
      </c>
      <c r="C855" s="8" t="s">
        <v>5317</v>
      </c>
      <c r="D855" t="s">
        <v>266</v>
      </c>
      <c r="E855" t="s">
        <v>915</v>
      </c>
      <c r="F855" t="s">
        <v>117</v>
      </c>
      <c r="G855" t="s">
        <v>970</v>
      </c>
      <c r="H855" s="9">
        <v>44657</v>
      </c>
      <c r="I855" t="s">
        <v>882</v>
      </c>
      <c r="J855" t="s">
        <v>2</v>
      </c>
      <c r="K855" s="9">
        <v>44762</v>
      </c>
      <c r="L855" t="s">
        <v>29</v>
      </c>
      <c r="M855" t="s">
        <v>331</v>
      </c>
      <c r="N855" s="9">
        <v>44686</v>
      </c>
      <c r="O855" s="9">
        <v>44693</v>
      </c>
      <c r="P855" s="9">
        <v>44693</v>
      </c>
      <c r="Q855"/>
      <c r="R855"/>
      <c r="S855"/>
      <c r="T855"/>
      <c r="U855"/>
    </row>
    <row r="856" spans="1:21" hidden="1">
      <c r="A856" s="7" t="s">
        <v>8790</v>
      </c>
      <c r="B856" s="7" t="s">
        <v>8296</v>
      </c>
      <c r="C856" s="8" t="s">
        <v>5317</v>
      </c>
      <c r="D856" t="s">
        <v>266</v>
      </c>
      <c r="E856" t="s">
        <v>915</v>
      </c>
      <c r="F856" t="s">
        <v>117</v>
      </c>
      <c r="G856" t="s">
        <v>971</v>
      </c>
      <c r="H856" s="9">
        <v>44657</v>
      </c>
      <c r="I856" t="s">
        <v>882</v>
      </c>
      <c r="J856" t="s">
        <v>2</v>
      </c>
      <c r="K856" s="9">
        <v>44762</v>
      </c>
      <c r="L856" t="s">
        <v>29</v>
      </c>
      <c r="M856" t="s">
        <v>331</v>
      </c>
      <c r="N856" s="9">
        <v>44686</v>
      </c>
      <c r="O856" s="9">
        <v>44693</v>
      </c>
      <c r="P856" s="9">
        <v>44693</v>
      </c>
      <c r="Q856"/>
      <c r="R856"/>
      <c r="S856"/>
      <c r="T856"/>
      <c r="U856"/>
    </row>
    <row r="857" spans="1:21" hidden="1">
      <c r="A857" s="7" t="s">
        <v>8790</v>
      </c>
      <c r="B857" s="7" t="s">
        <v>8296</v>
      </c>
      <c r="C857" s="8" t="s">
        <v>5317</v>
      </c>
      <c r="D857" t="s">
        <v>266</v>
      </c>
      <c r="E857" t="s">
        <v>915</v>
      </c>
      <c r="F857" t="s">
        <v>117</v>
      </c>
      <c r="G857" t="s">
        <v>972</v>
      </c>
      <c r="H857" s="9">
        <v>44657</v>
      </c>
      <c r="I857" t="s">
        <v>882</v>
      </c>
      <c r="J857" t="s">
        <v>2</v>
      </c>
      <c r="K857" s="9">
        <v>44762</v>
      </c>
      <c r="L857" t="s">
        <v>29</v>
      </c>
      <c r="M857" t="s">
        <v>331</v>
      </c>
      <c r="N857" s="9">
        <v>44686</v>
      </c>
      <c r="O857" s="9">
        <v>44693</v>
      </c>
      <c r="P857" s="9">
        <v>44693</v>
      </c>
      <c r="Q857"/>
      <c r="R857"/>
      <c r="S857"/>
      <c r="T857"/>
      <c r="U857"/>
    </row>
    <row r="858" spans="1:21" hidden="1">
      <c r="A858" s="7" t="s">
        <v>8790</v>
      </c>
      <c r="B858" s="7" t="s">
        <v>8296</v>
      </c>
      <c r="C858" s="8" t="s">
        <v>5317</v>
      </c>
      <c r="D858" t="s">
        <v>266</v>
      </c>
      <c r="E858" t="s">
        <v>915</v>
      </c>
      <c r="F858" t="s">
        <v>117</v>
      </c>
      <c r="G858" t="s">
        <v>973</v>
      </c>
      <c r="H858" s="9">
        <v>44657</v>
      </c>
      <c r="I858" t="s">
        <v>882</v>
      </c>
      <c r="J858" t="s">
        <v>2</v>
      </c>
      <c r="K858" s="9">
        <v>44762</v>
      </c>
      <c r="L858" t="s">
        <v>29</v>
      </c>
      <c r="M858" t="s">
        <v>331</v>
      </c>
      <c r="N858" s="9">
        <v>44686</v>
      </c>
      <c r="O858" s="9">
        <v>44693</v>
      </c>
      <c r="P858" s="9">
        <v>44693</v>
      </c>
      <c r="Q858"/>
      <c r="R858"/>
      <c r="S858"/>
      <c r="T858"/>
      <c r="U858"/>
    </row>
    <row r="859" spans="1:21" hidden="1">
      <c r="A859" s="7" t="s">
        <v>8790</v>
      </c>
      <c r="B859" s="7" t="s">
        <v>8296</v>
      </c>
      <c r="C859" s="8" t="s">
        <v>5317</v>
      </c>
      <c r="D859" t="s">
        <v>266</v>
      </c>
      <c r="E859" t="s">
        <v>915</v>
      </c>
      <c r="F859" t="s">
        <v>117</v>
      </c>
      <c r="G859" t="s">
        <v>974</v>
      </c>
      <c r="H859" s="9">
        <v>44657</v>
      </c>
      <c r="I859" t="s">
        <v>882</v>
      </c>
      <c r="J859" t="s">
        <v>2</v>
      </c>
      <c r="K859" s="9">
        <v>44762</v>
      </c>
      <c r="L859" t="s">
        <v>29</v>
      </c>
      <c r="M859" t="s">
        <v>331</v>
      </c>
      <c r="N859" s="9">
        <v>44686</v>
      </c>
      <c r="O859" s="9">
        <v>44693</v>
      </c>
      <c r="P859" s="9">
        <v>44693</v>
      </c>
      <c r="Q859"/>
      <c r="R859"/>
      <c r="S859"/>
      <c r="T859"/>
      <c r="U859"/>
    </row>
    <row r="860" spans="1:21" hidden="1">
      <c r="A860" s="7" t="s">
        <v>8790</v>
      </c>
      <c r="B860" s="7" t="s">
        <v>8296</v>
      </c>
      <c r="C860" s="8" t="s">
        <v>5317</v>
      </c>
      <c r="D860" t="s">
        <v>266</v>
      </c>
      <c r="E860" t="s">
        <v>915</v>
      </c>
      <c r="F860" t="s">
        <v>117</v>
      </c>
      <c r="G860" t="s">
        <v>975</v>
      </c>
      <c r="H860" s="9">
        <v>44657</v>
      </c>
      <c r="I860" t="s">
        <v>882</v>
      </c>
      <c r="J860" t="s">
        <v>2</v>
      </c>
      <c r="K860" s="9">
        <v>44762</v>
      </c>
      <c r="L860" t="s">
        <v>29</v>
      </c>
      <c r="M860" t="s">
        <v>331</v>
      </c>
      <c r="N860" s="9">
        <v>44686</v>
      </c>
      <c r="O860" s="9">
        <v>44693</v>
      </c>
      <c r="P860" s="9">
        <v>44693</v>
      </c>
      <c r="Q860"/>
      <c r="R860"/>
      <c r="S860"/>
      <c r="T860"/>
      <c r="U860"/>
    </row>
    <row r="861" spans="1:21" hidden="1">
      <c r="A861" s="7" t="s">
        <v>8790</v>
      </c>
      <c r="B861" s="7" t="s">
        <v>8296</v>
      </c>
      <c r="C861" s="8" t="s">
        <v>5317</v>
      </c>
      <c r="D861" t="s">
        <v>266</v>
      </c>
      <c r="E861" t="s">
        <v>915</v>
      </c>
      <c r="F861" t="s">
        <v>117</v>
      </c>
      <c r="G861" t="s">
        <v>976</v>
      </c>
      <c r="H861" s="9">
        <v>44657</v>
      </c>
      <c r="I861" t="s">
        <v>882</v>
      </c>
      <c r="J861" t="s">
        <v>2</v>
      </c>
      <c r="K861" s="9">
        <v>44762</v>
      </c>
      <c r="L861" t="s">
        <v>29</v>
      </c>
      <c r="M861" t="s">
        <v>331</v>
      </c>
      <c r="N861" s="9">
        <v>44686</v>
      </c>
      <c r="O861" s="9">
        <v>44693</v>
      </c>
      <c r="P861" s="9">
        <v>44693</v>
      </c>
      <c r="Q861"/>
      <c r="R861"/>
      <c r="S861"/>
      <c r="T861"/>
      <c r="U861"/>
    </row>
    <row r="862" spans="1:21" hidden="1">
      <c r="A862" s="7" t="s">
        <v>8790</v>
      </c>
      <c r="B862" s="7" t="s">
        <v>8296</v>
      </c>
      <c r="C862" s="8" t="s">
        <v>5317</v>
      </c>
      <c r="D862" t="s">
        <v>266</v>
      </c>
      <c r="E862" t="s">
        <v>915</v>
      </c>
      <c r="F862" t="s">
        <v>117</v>
      </c>
      <c r="G862" t="s">
        <v>977</v>
      </c>
      <c r="H862" s="9">
        <v>44657</v>
      </c>
      <c r="I862" t="s">
        <v>882</v>
      </c>
      <c r="J862" t="s">
        <v>2</v>
      </c>
      <c r="K862" s="9">
        <v>44762</v>
      </c>
      <c r="L862" t="s">
        <v>29</v>
      </c>
      <c r="M862" t="s">
        <v>331</v>
      </c>
      <c r="N862" s="9">
        <v>44686</v>
      </c>
      <c r="O862" s="9">
        <v>44693</v>
      </c>
      <c r="P862" s="9">
        <v>44693</v>
      </c>
      <c r="Q862"/>
      <c r="R862"/>
      <c r="S862"/>
      <c r="T862"/>
      <c r="U862"/>
    </row>
    <row r="863" spans="1:21" hidden="1">
      <c r="A863" s="7" t="s">
        <v>8790</v>
      </c>
      <c r="B863" s="7" t="s">
        <v>8296</v>
      </c>
      <c r="C863" s="8" t="s">
        <v>5317</v>
      </c>
      <c r="D863" t="s">
        <v>266</v>
      </c>
      <c r="E863" t="s">
        <v>915</v>
      </c>
      <c r="F863" t="s">
        <v>117</v>
      </c>
      <c r="G863" t="s">
        <v>978</v>
      </c>
      <c r="H863" s="9">
        <v>44657</v>
      </c>
      <c r="I863" t="s">
        <v>882</v>
      </c>
      <c r="J863" t="s">
        <v>2</v>
      </c>
      <c r="K863" s="9">
        <v>44762</v>
      </c>
      <c r="L863" t="s">
        <v>29</v>
      </c>
      <c r="M863"/>
      <c r="N863" s="9">
        <v>44686</v>
      </c>
      <c r="O863" s="9">
        <v>44693</v>
      </c>
      <c r="P863" s="9">
        <v>44693</v>
      </c>
      <c r="Q863"/>
      <c r="R863"/>
      <c r="S863"/>
      <c r="T863"/>
      <c r="U863"/>
    </row>
    <row r="864" spans="1:21" hidden="1">
      <c r="A864" s="7" t="s">
        <v>8793</v>
      </c>
      <c r="B864" s="7" t="s">
        <v>6938</v>
      </c>
      <c r="C864" s="8" t="s">
        <v>5317</v>
      </c>
      <c r="D864" t="s">
        <v>266</v>
      </c>
      <c r="E864" t="s">
        <v>979</v>
      </c>
      <c r="F864" t="s">
        <v>231</v>
      </c>
      <c r="G864" t="s">
        <v>980</v>
      </c>
      <c r="H864" s="9">
        <v>44657</v>
      </c>
      <c r="I864" t="s">
        <v>408</v>
      </c>
      <c r="J864" t="s">
        <v>0</v>
      </c>
      <c r="K864" s="9">
        <v>44672</v>
      </c>
      <c r="L864" t="s">
        <v>29</v>
      </c>
      <c r="M864"/>
      <c r="N864"/>
      <c r="O864"/>
      <c r="P864"/>
      <c r="Q864" s="9">
        <v>44672</v>
      </c>
      <c r="R864"/>
      <c r="S864"/>
      <c r="T864"/>
      <c r="U864"/>
    </row>
    <row r="865" spans="1:21" hidden="1">
      <c r="A865" s="7" t="s">
        <v>8784</v>
      </c>
      <c r="B865" s="7" t="s">
        <v>7317</v>
      </c>
      <c r="C865" s="8" t="s">
        <v>5317</v>
      </c>
      <c r="D865" t="s">
        <v>266</v>
      </c>
      <c r="E865" t="s">
        <v>890</v>
      </c>
      <c r="F865" t="s">
        <v>209</v>
      </c>
      <c r="G865" t="s">
        <v>981</v>
      </c>
      <c r="H865" s="9">
        <v>44657</v>
      </c>
      <c r="I865" t="s">
        <v>408</v>
      </c>
      <c r="J865" t="s">
        <v>0</v>
      </c>
      <c r="K865" s="9">
        <v>44676</v>
      </c>
      <c r="L865" t="s">
        <v>29</v>
      </c>
      <c r="M865"/>
      <c r="N865"/>
      <c r="O865"/>
      <c r="P865"/>
      <c r="Q865" s="9">
        <v>44676</v>
      </c>
      <c r="R865"/>
      <c r="S865"/>
      <c r="T865"/>
      <c r="U865"/>
    </row>
    <row r="866" spans="1:21" hidden="1">
      <c r="A866" s="7" t="s">
        <v>8794</v>
      </c>
      <c r="B866" s="7" t="s">
        <v>8355</v>
      </c>
      <c r="C866" s="8" t="s">
        <v>5317</v>
      </c>
      <c r="D866" t="s">
        <v>266</v>
      </c>
      <c r="E866" t="s">
        <v>982</v>
      </c>
      <c r="F866" t="s">
        <v>117</v>
      </c>
      <c r="G866" t="s">
        <v>983</v>
      </c>
      <c r="H866" s="9">
        <v>44657</v>
      </c>
      <c r="I866" t="s">
        <v>984</v>
      </c>
      <c r="J866" t="s">
        <v>0</v>
      </c>
      <c r="K866" s="9">
        <v>44662</v>
      </c>
      <c r="L866" t="s">
        <v>29</v>
      </c>
      <c r="M866"/>
      <c r="N866"/>
      <c r="O866"/>
      <c r="P866"/>
      <c r="Q866" s="9">
        <v>44662</v>
      </c>
      <c r="R866"/>
      <c r="S866"/>
      <c r="T866"/>
      <c r="U866"/>
    </row>
    <row r="867" spans="1:21" hidden="1">
      <c r="A867" s="7" t="s">
        <v>8794</v>
      </c>
      <c r="B867" s="7" t="s">
        <v>8355</v>
      </c>
      <c r="C867" s="8" t="s">
        <v>5317</v>
      </c>
      <c r="D867" t="s">
        <v>266</v>
      </c>
      <c r="E867" t="s">
        <v>982</v>
      </c>
      <c r="F867" t="s">
        <v>117</v>
      </c>
      <c r="G867" t="s">
        <v>985</v>
      </c>
      <c r="H867" s="9">
        <v>44657</v>
      </c>
      <c r="I867" t="s">
        <v>984</v>
      </c>
      <c r="J867" t="s">
        <v>0</v>
      </c>
      <c r="K867" s="9">
        <v>44662</v>
      </c>
      <c r="L867" t="s">
        <v>29</v>
      </c>
      <c r="M867"/>
      <c r="N867"/>
      <c r="O867"/>
      <c r="P867"/>
      <c r="Q867" s="9">
        <v>44662</v>
      </c>
      <c r="R867"/>
      <c r="S867"/>
      <c r="T867"/>
      <c r="U867"/>
    </row>
    <row r="868" spans="1:21" hidden="1">
      <c r="A868" s="7" t="s">
        <v>8794</v>
      </c>
      <c r="B868" s="7" t="s">
        <v>8355</v>
      </c>
      <c r="C868" s="8" t="s">
        <v>5317</v>
      </c>
      <c r="D868" t="s">
        <v>266</v>
      </c>
      <c r="E868" t="s">
        <v>982</v>
      </c>
      <c r="F868" t="s">
        <v>117</v>
      </c>
      <c r="G868" t="s">
        <v>986</v>
      </c>
      <c r="H868" s="9">
        <v>44657</v>
      </c>
      <c r="I868" t="s">
        <v>984</v>
      </c>
      <c r="J868" t="s">
        <v>0</v>
      </c>
      <c r="K868" s="9">
        <v>44662</v>
      </c>
      <c r="L868" t="s">
        <v>29</v>
      </c>
      <c r="M868"/>
      <c r="N868"/>
      <c r="O868"/>
      <c r="P868"/>
      <c r="Q868" s="9">
        <v>44662</v>
      </c>
      <c r="R868"/>
      <c r="S868"/>
      <c r="T868"/>
      <c r="U868"/>
    </row>
    <row r="869" spans="1:21" hidden="1">
      <c r="A869" s="7" t="s">
        <v>8784</v>
      </c>
      <c r="B869" s="7" t="s">
        <v>7317</v>
      </c>
      <c r="C869" s="8" t="s">
        <v>5317</v>
      </c>
      <c r="D869" t="s">
        <v>266</v>
      </c>
      <c r="E869" t="s">
        <v>890</v>
      </c>
      <c r="F869" t="s">
        <v>209</v>
      </c>
      <c r="G869" t="s">
        <v>987</v>
      </c>
      <c r="H869" s="9">
        <v>44657</v>
      </c>
      <c r="I869" t="s">
        <v>408</v>
      </c>
      <c r="J869" t="s">
        <v>276</v>
      </c>
      <c r="K869" s="9">
        <v>44676.341597222199</v>
      </c>
      <c r="L869" t="s">
        <v>29</v>
      </c>
      <c r="M869"/>
      <c r="N869"/>
      <c r="O869"/>
      <c r="P869"/>
      <c r="Q869"/>
      <c r="R869" s="9">
        <v>44676.339467592603</v>
      </c>
      <c r="S869"/>
      <c r="T869"/>
      <c r="U869"/>
    </row>
    <row r="870" spans="1:21" hidden="1">
      <c r="A870" s="7" t="s">
        <v>8789</v>
      </c>
      <c r="B870" s="7" t="s">
        <v>6643</v>
      </c>
      <c r="C870" s="8" t="s">
        <v>5317</v>
      </c>
      <c r="D870" t="s">
        <v>266</v>
      </c>
      <c r="E870" t="s">
        <v>908</v>
      </c>
      <c r="F870" t="s">
        <v>83</v>
      </c>
      <c r="G870" t="s">
        <v>988</v>
      </c>
      <c r="H870" s="9">
        <v>44657</v>
      </c>
      <c r="I870" t="s">
        <v>408</v>
      </c>
      <c r="J870" t="s">
        <v>0</v>
      </c>
      <c r="K870" s="9">
        <v>44680</v>
      </c>
      <c r="L870" t="s">
        <v>29</v>
      </c>
      <c r="M870"/>
      <c r="N870"/>
      <c r="O870"/>
      <c r="P870"/>
      <c r="Q870" s="9">
        <v>44680</v>
      </c>
      <c r="R870"/>
      <c r="S870"/>
      <c r="T870"/>
      <c r="U870"/>
    </row>
    <row r="871" spans="1:21" hidden="1">
      <c r="A871" s="7" t="s">
        <v>8782</v>
      </c>
      <c r="B871" s="7" t="s">
        <v>5530</v>
      </c>
      <c r="C871" s="8" t="s">
        <v>5317</v>
      </c>
      <c r="D871" t="s">
        <v>266</v>
      </c>
      <c r="E871" t="s">
        <v>885</v>
      </c>
      <c r="F871" t="s">
        <v>75</v>
      </c>
      <c r="G871" t="s">
        <v>989</v>
      </c>
      <c r="H871" s="9">
        <v>44657</v>
      </c>
      <c r="I871" t="s">
        <v>408</v>
      </c>
      <c r="J871" t="s">
        <v>0</v>
      </c>
      <c r="K871" s="9">
        <v>44697</v>
      </c>
      <c r="L871" t="s">
        <v>29</v>
      </c>
      <c r="M871"/>
      <c r="N871"/>
      <c r="O871"/>
      <c r="P871"/>
      <c r="Q871" s="9">
        <v>44697</v>
      </c>
      <c r="R871"/>
      <c r="S871"/>
      <c r="T871"/>
      <c r="U871"/>
    </row>
    <row r="872" spans="1:21" hidden="1">
      <c r="A872" s="7" t="s">
        <v>8795</v>
      </c>
      <c r="B872" s="7" t="s">
        <v>5590</v>
      </c>
      <c r="C872" s="8" t="s">
        <v>5317</v>
      </c>
      <c r="D872" t="s">
        <v>266</v>
      </c>
      <c r="E872" t="s">
        <v>990</v>
      </c>
      <c r="F872" t="s">
        <v>111</v>
      </c>
      <c r="G872" t="s">
        <v>991</v>
      </c>
      <c r="H872" s="9">
        <v>44657</v>
      </c>
      <c r="I872" t="s">
        <v>408</v>
      </c>
      <c r="J872" t="s">
        <v>0</v>
      </c>
      <c r="K872" s="9">
        <v>44685</v>
      </c>
      <c r="L872" t="s">
        <v>29</v>
      </c>
      <c r="M872"/>
      <c r="N872"/>
      <c r="O872"/>
      <c r="P872"/>
      <c r="Q872" s="9">
        <v>44685</v>
      </c>
      <c r="R872"/>
      <c r="S872"/>
      <c r="T872"/>
      <c r="U872"/>
    </row>
    <row r="873" spans="1:21" hidden="1">
      <c r="A873" s="7" t="s">
        <v>8795</v>
      </c>
      <c r="B873" s="7" t="s">
        <v>5590</v>
      </c>
      <c r="C873" s="8" t="s">
        <v>5317</v>
      </c>
      <c r="D873" t="s">
        <v>266</v>
      </c>
      <c r="E873" t="s">
        <v>990</v>
      </c>
      <c r="F873" t="s">
        <v>111</v>
      </c>
      <c r="G873" t="s">
        <v>992</v>
      </c>
      <c r="H873" s="9">
        <v>44657</v>
      </c>
      <c r="I873" t="s">
        <v>408</v>
      </c>
      <c r="J873" t="s">
        <v>0</v>
      </c>
      <c r="K873" s="9">
        <v>44685</v>
      </c>
      <c r="L873" t="s">
        <v>29</v>
      </c>
      <c r="M873"/>
      <c r="N873"/>
      <c r="O873"/>
      <c r="P873"/>
      <c r="Q873" s="9">
        <v>44685</v>
      </c>
      <c r="R873"/>
      <c r="S873"/>
      <c r="T873"/>
      <c r="U873"/>
    </row>
    <row r="874" spans="1:21" hidden="1">
      <c r="A874" s="7" t="s">
        <v>8796</v>
      </c>
      <c r="B874" s="7" t="s">
        <v>6933</v>
      </c>
      <c r="C874" s="8" t="s">
        <v>5317</v>
      </c>
      <c r="D874" t="s">
        <v>266</v>
      </c>
      <c r="E874" t="s">
        <v>993</v>
      </c>
      <c r="F874" t="s">
        <v>117</v>
      </c>
      <c r="G874" t="s">
        <v>994</v>
      </c>
      <c r="H874" s="9">
        <v>44657</v>
      </c>
      <c r="I874" t="s">
        <v>408</v>
      </c>
      <c r="J874" t="s">
        <v>0</v>
      </c>
      <c r="K874" s="9">
        <v>44664</v>
      </c>
      <c r="L874" t="s">
        <v>29</v>
      </c>
      <c r="M874"/>
      <c r="N874"/>
      <c r="O874"/>
      <c r="P874"/>
      <c r="Q874" s="9">
        <v>44664</v>
      </c>
      <c r="R874"/>
      <c r="S874"/>
      <c r="T874"/>
      <c r="U874"/>
    </row>
    <row r="875" spans="1:21" hidden="1">
      <c r="A875" s="7" t="s">
        <v>8796</v>
      </c>
      <c r="B875" s="7" t="s">
        <v>6933</v>
      </c>
      <c r="C875" s="8" t="s">
        <v>5317</v>
      </c>
      <c r="D875" t="s">
        <v>266</v>
      </c>
      <c r="E875" t="s">
        <v>993</v>
      </c>
      <c r="F875" t="s">
        <v>117</v>
      </c>
      <c r="G875" t="s">
        <v>995</v>
      </c>
      <c r="H875" s="9">
        <v>44657</v>
      </c>
      <c r="I875" t="s">
        <v>408</v>
      </c>
      <c r="J875" t="s">
        <v>0</v>
      </c>
      <c r="K875" s="9">
        <v>44664</v>
      </c>
      <c r="L875" t="s">
        <v>29</v>
      </c>
      <c r="M875"/>
      <c r="N875"/>
      <c r="O875"/>
      <c r="P875"/>
      <c r="Q875" s="9">
        <v>44664</v>
      </c>
      <c r="R875"/>
      <c r="S875"/>
      <c r="T875"/>
      <c r="U875"/>
    </row>
    <row r="876" spans="1:21" hidden="1">
      <c r="A876" s="7" t="s">
        <v>8782</v>
      </c>
      <c r="B876" s="7" t="s">
        <v>5530</v>
      </c>
      <c r="C876" s="8" t="s">
        <v>5317</v>
      </c>
      <c r="D876" t="s">
        <v>266</v>
      </c>
      <c r="E876" t="s">
        <v>885</v>
      </c>
      <c r="F876" t="s">
        <v>75</v>
      </c>
      <c r="G876" t="s">
        <v>996</v>
      </c>
      <c r="H876" s="9">
        <v>44657</v>
      </c>
      <c r="I876" t="s">
        <v>408</v>
      </c>
      <c r="J876" t="s">
        <v>0</v>
      </c>
      <c r="K876" s="9">
        <v>44697</v>
      </c>
      <c r="L876" t="s">
        <v>29</v>
      </c>
      <c r="M876"/>
      <c r="N876"/>
      <c r="O876"/>
      <c r="P876"/>
      <c r="Q876" s="9">
        <v>44697</v>
      </c>
      <c r="R876"/>
      <c r="S876"/>
      <c r="T876"/>
      <c r="U876"/>
    </row>
    <row r="877" spans="1:21" hidden="1">
      <c r="A877" s="7" t="s">
        <v>8782</v>
      </c>
      <c r="B877" s="7" t="s">
        <v>5530</v>
      </c>
      <c r="C877" s="8" t="s">
        <v>5317</v>
      </c>
      <c r="D877" t="s">
        <v>266</v>
      </c>
      <c r="E877" t="s">
        <v>885</v>
      </c>
      <c r="F877" t="s">
        <v>75</v>
      </c>
      <c r="G877" t="s">
        <v>997</v>
      </c>
      <c r="H877" s="9">
        <v>44657</v>
      </c>
      <c r="I877" t="s">
        <v>408</v>
      </c>
      <c r="J877" t="s">
        <v>0</v>
      </c>
      <c r="K877" s="9">
        <v>44697</v>
      </c>
      <c r="L877" t="s">
        <v>29</v>
      </c>
      <c r="M877"/>
      <c r="N877"/>
      <c r="O877"/>
      <c r="P877"/>
      <c r="Q877" s="9">
        <v>44697</v>
      </c>
      <c r="R877"/>
      <c r="S877"/>
      <c r="T877"/>
      <c r="U877"/>
    </row>
    <row r="878" spans="1:21" hidden="1">
      <c r="A878" s="7" t="s">
        <v>8797</v>
      </c>
      <c r="B878" s="7" t="s">
        <v>7343</v>
      </c>
      <c r="C878" s="8" t="s">
        <v>5317</v>
      </c>
      <c r="D878" t="s">
        <v>266</v>
      </c>
      <c r="E878" t="s">
        <v>998</v>
      </c>
      <c r="F878" t="s">
        <v>209</v>
      </c>
      <c r="G878" t="s">
        <v>999</v>
      </c>
      <c r="H878" s="9">
        <v>44657</v>
      </c>
      <c r="I878" t="s">
        <v>408</v>
      </c>
      <c r="J878" t="s">
        <v>2</v>
      </c>
      <c r="K878" s="9">
        <v>44762</v>
      </c>
      <c r="L878" t="s">
        <v>29</v>
      </c>
      <c r="M878" t="s">
        <v>331</v>
      </c>
      <c r="N878" s="9">
        <v>44686</v>
      </c>
      <c r="O878" s="9">
        <v>44693</v>
      </c>
      <c r="P878" s="9">
        <v>44693</v>
      </c>
      <c r="Q878"/>
      <c r="R878"/>
      <c r="S878"/>
      <c r="T878"/>
      <c r="U878"/>
    </row>
    <row r="879" spans="1:21" hidden="1">
      <c r="A879" s="7" t="s">
        <v>8792</v>
      </c>
      <c r="B879" s="7" t="s">
        <v>7427</v>
      </c>
      <c r="C879" s="8" t="s">
        <v>5317</v>
      </c>
      <c r="D879" t="s">
        <v>266</v>
      </c>
      <c r="E879" t="s">
        <v>965</v>
      </c>
      <c r="F879" t="s">
        <v>231</v>
      </c>
      <c r="G879" t="s">
        <v>999</v>
      </c>
      <c r="H879" s="9">
        <v>44657</v>
      </c>
      <c r="I879" t="s">
        <v>408</v>
      </c>
      <c r="J879" t="s">
        <v>0</v>
      </c>
      <c r="K879" s="9">
        <v>44662</v>
      </c>
      <c r="L879" t="s">
        <v>29</v>
      </c>
      <c r="M879"/>
      <c r="N879"/>
      <c r="O879"/>
      <c r="P879"/>
      <c r="Q879" s="9">
        <v>44662</v>
      </c>
      <c r="R879"/>
      <c r="S879"/>
      <c r="T879"/>
      <c r="U879"/>
    </row>
    <row r="880" spans="1:21" hidden="1">
      <c r="A880" s="7" t="s">
        <v>8792</v>
      </c>
      <c r="B880" s="7" t="s">
        <v>7427</v>
      </c>
      <c r="C880" s="8" t="s">
        <v>5317</v>
      </c>
      <c r="D880" t="s">
        <v>266</v>
      </c>
      <c r="E880" t="s">
        <v>965</v>
      </c>
      <c r="F880" t="s">
        <v>231</v>
      </c>
      <c r="G880" t="s">
        <v>1000</v>
      </c>
      <c r="H880" s="9">
        <v>44657</v>
      </c>
      <c r="I880" t="s">
        <v>408</v>
      </c>
      <c r="J880" t="s">
        <v>0</v>
      </c>
      <c r="K880" s="9">
        <v>44662</v>
      </c>
      <c r="L880" t="s">
        <v>29</v>
      </c>
      <c r="M880"/>
      <c r="N880"/>
      <c r="O880"/>
      <c r="P880"/>
      <c r="Q880" s="9">
        <v>44662</v>
      </c>
      <c r="R880"/>
      <c r="S880"/>
      <c r="T880"/>
      <c r="U880"/>
    </row>
    <row r="881" spans="1:21" hidden="1">
      <c r="A881" s="7" t="s">
        <v>8798</v>
      </c>
      <c r="B881" s="7" t="s">
        <v>7439</v>
      </c>
      <c r="C881" s="8" t="s">
        <v>5317</v>
      </c>
      <c r="D881" t="s">
        <v>266</v>
      </c>
      <c r="E881" t="s">
        <v>1001</v>
      </c>
      <c r="F881" t="s">
        <v>117</v>
      </c>
      <c r="G881" t="s">
        <v>1002</v>
      </c>
      <c r="H881" s="9">
        <v>44659</v>
      </c>
      <c r="I881" t="s">
        <v>882</v>
      </c>
      <c r="J881" t="s">
        <v>163</v>
      </c>
      <c r="K881" s="9">
        <v>44693</v>
      </c>
      <c r="L881" t="s">
        <v>29</v>
      </c>
      <c r="M881"/>
      <c r="N881" s="9">
        <v>44686</v>
      </c>
      <c r="O881" s="9">
        <v>44693</v>
      </c>
      <c r="P881" s="9">
        <v>44693</v>
      </c>
      <c r="Q881"/>
      <c r="R881"/>
      <c r="S881"/>
      <c r="T881"/>
      <c r="U881"/>
    </row>
    <row r="882" spans="1:21" hidden="1">
      <c r="A882" s="7" t="s">
        <v>8798</v>
      </c>
      <c r="B882" s="7" t="s">
        <v>7439</v>
      </c>
      <c r="C882" s="8" t="s">
        <v>5317</v>
      </c>
      <c r="D882" t="s">
        <v>266</v>
      </c>
      <c r="E882" t="s">
        <v>1001</v>
      </c>
      <c r="F882" t="s">
        <v>117</v>
      </c>
      <c r="G882" t="s">
        <v>1003</v>
      </c>
      <c r="H882" s="9">
        <v>44659</v>
      </c>
      <c r="I882" t="s">
        <v>882</v>
      </c>
      <c r="J882" t="s">
        <v>163</v>
      </c>
      <c r="K882" s="9">
        <v>44693</v>
      </c>
      <c r="L882" t="s">
        <v>29</v>
      </c>
      <c r="M882"/>
      <c r="N882" s="9">
        <v>44686</v>
      </c>
      <c r="O882" s="9">
        <v>44693</v>
      </c>
      <c r="P882" s="9">
        <v>44693</v>
      </c>
      <c r="Q882"/>
      <c r="R882"/>
      <c r="S882"/>
      <c r="T882"/>
      <c r="U882"/>
    </row>
    <row r="883" spans="1:21" hidden="1">
      <c r="A883" s="7" t="s">
        <v>8798</v>
      </c>
      <c r="B883" s="7" t="s">
        <v>7439</v>
      </c>
      <c r="C883" s="8" t="s">
        <v>5317</v>
      </c>
      <c r="D883" t="s">
        <v>266</v>
      </c>
      <c r="E883" t="s">
        <v>1001</v>
      </c>
      <c r="F883" t="s">
        <v>117</v>
      </c>
      <c r="G883" t="s">
        <v>1004</v>
      </c>
      <c r="H883" s="9">
        <v>44659</v>
      </c>
      <c r="I883" t="s">
        <v>882</v>
      </c>
      <c r="J883" t="s">
        <v>163</v>
      </c>
      <c r="K883" s="9">
        <v>44693</v>
      </c>
      <c r="L883" t="s">
        <v>29</v>
      </c>
      <c r="M883"/>
      <c r="N883" s="9">
        <v>44686</v>
      </c>
      <c r="O883" s="9">
        <v>44693</v>
      </c>
      <c r="P883" s="9">
        <v>44693</v>
      </c>
      <c r="Q883"/>
      <c r="R883"/>
      <c r="S883"/>
      <c r="T883"/>
      <c r="U883"/>
    </row>
    <row r="884" spans="1:21" hidden="1">
      <c r="A884" s="7" t="s">
        <v>8784</v>
      </c>
      <c r="B884" s="7" t="s">
        <v>7317</v>
      </c>
      <c r="C884" s="8" t="s">
        <v>5317</v>
      </c>
      <c r="D884" t="s">
        <v>266</v>
      </c>
      <c r="E884" t="s">
        <v>890</v>
      </c>
      <c r="F884" t="s">
        <v>209</v>
      </c>
      <c r="G884" t="s">
        <v>1005</v>
      </c>
      <c r="H884" s="9">
        <v>44657</v>
      </c>
      <c r="I884" t="s">
        <v>408</v>
      </c>
      <c r="J884" t="s">
        <v>0</v>
      </c>
      <c r="K884" s="9">
        <v>44676</v>
      </c>
      <c r="L884" t="s">
        <v>29</v>
      </c>
      <c r="M884"/>
      <c r="N884"/>
      <c r="O884"/>
      <c r="P884"/>
      <c r="Q884" s="9">
        <v>44676</v>
      </c>
      <c r="R884"/>
      <c r="S884"/>
      <c r="T884"/>
      <c r="U884"/>
    </row>
    <row r="885" spans="1:21" hidden="1">
      <c r="A885" s="7" t="s">
        <v>8789</v>
      </c>
      <c r="B885" s="7" t="s">
        <v>6643</v>
      </c>
      <c r="C885" s="8" t="s">
        <v>5317</v>
      </c>
      <c r="D885" t="s">
        <v>266</v>
      </c>
      <c r="E885" t="s">
        <v>908</v>
      </c>
      <c r="F885" t="s">
        <v>83</v>
      </c>
      <c r="G885" t="s">
        <v>1006</v>
      </c>
      <c r="H885" s="9">
        <v>44657</v>
      </c>
      <c r="I885" t="s">
        <v>408</v>
      </c>
      <c r="J885" t="s">
        <v>0</v>
      </c>
      <c r="K885" s="9">
        <v>44680</v>
      </c>
      <c r="L885" t="s">
        <v>29</v>
      </c>
      <c r="M885"/>
      <c r="N885"/>
      <c r="O885"/>
      <c r="P885"/>
      <c r="Q885" s="9">
        <v>44680</v>
      </c>
      <c r="R885"/>
      <c r="S885"/>
      <c r="T885"/>
      <c r="U885"/>
    </row>
    <row r="886" spans="1:21" hidden="1">
      <c r="A886" s="7" t="s">
        <v>8784</v>
      </c>
      <c r="B886" s="7" t="s">
        <v>7317</v>
      </c>
      <c r="C886" s="8" t="s">
        <v>5317</v>
      </c>
      <c r="D886" t="s">
        <v>266</v>
      </c>
      <c r="E886" t="s">
        <v>890</v>
      </c>
      <c r="F886" t="s">
        <v>209</v>
      </c>
      <c r="G886" t="s">
        <v>1007</v>
      </c>
      <c r="H886" s="9">
        <v>44657</v>
      </c>
      <c r="I886" t="s">
        <v>408</v>
      </c>
      <c r="J886" t="s">
        <v>0</v>
      </c>
      <c r="K886" s="9">
        <v>44676</v>
      </c>
      <c r="L886" t="s">
        <v>29</v>
      </c>
      <c r="M886"/>
      <c r="N886"/>
      <c r="O886"/>
      <c r="P886"/>
      <c r="Q886" s="9">
        <v>44676</v>
      </c>
      <c r="R886"/>
      <c r="S886"/>
      <c r="T886"/>
      <c r="U886"/>
    </row>
    <row r="887" spans="1:21" hidden="1">
      <c r="A887" s="7" t="s">
        <v>8792</v>
      </c>
      <c r="B887" s="7" t="s">
        <v>7427</v>
      </c>
      <c r="C887" s="8" t="s">
        <v>5317</v>
      </c>
      <c r="D887" t="s">
        <v>266</v>
      </c>
      <c r="E887" t="s">
        <v>965</v>
      </c>
      <c r="F887" t="s">
        <v>231</v>
      </c>
      <c r="G887" t="s">
        <v>1008</v>
      </c>
      <c r="H887" s="9">
        <v>44657</v>
      </c>
      <c r="I887" t="s">
        <v>408</v>
      </c>
      <c r="J887" t="s">
        <v>276</v>
      </c>
      <c r="K887" s="9">
        <v>44659.4461226852</v>
      </c>
      <c r="L887" t="s">
        <v>29</v>
      </c>
      <c r="M887"/>
      <c r="N887"/>
      <c r="O887"/>
      <c r="P887"/>
      <c r="Q887"/>
      <c r="R887" s="9">
        <v>44659.445844907401</v>
      </c>
      <c r="S887"/>
      <c r="T887"/>
      <c r="U887"/>
    </row>
    <row r="888" spans="1:21" hidden="1">
      <c r="A888" s="7" t="s">
        <v>8799</v>
      </c>
      <c r="B888" s="7" t="s">
        <v>6671</v>
      </c>
      <c r="C888" s="8" t="s">
        <v>5317</v>
      </c>
      <c r="D888" t="s">
        <v>266</v>
      </c>
      <c r="E888" t="s">
        <v>1009</v>
      </c>
      <c r="F888" t="s">
        <v>117</v>
      </c>
      <c r="G888" t="s">
        <v>1010</v>
      </c>
      <c r="H888" s="9">
        <v>44657</v>
      </c>
      <c r="I888" t="s">
        <v>408</v>
      </c>
      <c r="J888" t="s">
        <v>163</v>
      </c>
      <c r="K888" s="9">
        <v>44693</v>
      </c>
      <c r="L888" t="s">
        <v>29</v>
      </c>
      <c r="M888"/>
      <c r="N888" s="9">
        <v>44686</v>
      </c>
      <c r="O888" s="9">
        <v>44693</v>
      </c>
      <c r="P888" s="9">
        <v>44693</v>
      </c>
      <c r="Q888"/>
      <c r="R888"/>
      <c r="S888"/>
      <c r="T888"/>
      <c r="U888"/>
    </row>
    <row r="889" spans="1:21" hidden="1">
      <c r="A889" s="7" t="s">
        <v>8800</v>
      </c>
      <c r="B889" s="7" t="s">
        <v>6671</v>
      </c>
      <c r="C889" s="8" t="s">
        <v>5317</v>
      </c>
      <c r="D889" t="s">
        <v>266</v>
      </c>
      <c r="E889" t="s">
        <v>1009</v>
      </c>
      <c r="F889" t="s">
        <v>433</v>
      </c>
      <c r="G889" t="s">
        <v>1010</v>
      </c>
      <c r="H889" s="9">
        <v>44657</v>
      </c>
      <c r="I889" t="s">
        <v>408</v>
      </c>
      <c r="J889" t="s">
        <v>163</v>
      </c>
      <c r="K889" s="9">
        <v>44693</v>
      </c>
      <c r="L889" t="s">
        <v>29</v>
      </c>
      <c r="M889"/>
      <c r="N889" s="9">
        <v>44686</v>
      </c>
      <c r="O889" s="9">
        <v>44693</v>
      </c>
      <c r="P889" s="9">
        <v>44693</v>
      </c>
      <c r="Q889"/>
      <c r="R889"/>
      <c r="S889"/>
      <c r="T889"/>
      <c r="U889"/>
    </row>
    <row r="890" spans="1:21" hidden="1">
      <c r="A890" s="7" t="s">
        <v>8789</v>
      </c>
      <c r="B890" s="7" t="s">
        <v>6643</v>
      </c>
      <c r="C890" s="8" t="s">
        <v>5317</v>
      </c>
      <c r="D890" t="s">
        <v>266</v>
      </c>
      <c r="E890" t="s">
        <v>908</v>
      </c>
      <c r="F890" t="s">
        <v>83</v>
      </c>
      <c r="G890" t="s">
        <v>1011</v>
      </c>
      <c r="H890" s="9">
        <v>44657</v>
      </c>
      <c r="I890" t="s">
        <v>408</v>
      </c>
      <c r="J890" t="s">
        <v>0</v>
      </c>
      <c r="K890" s="9">
        <v>44680</v>
      </c>
      <c r="L890" t="s">
        <v>29</v>
      </c>
      <c r="M890"/>
      <c r="N890"/>
      <c r="O890"/>
      <c r="P890"/>
      <c r="Q890" s="9">
        <v>44680</v>
      </c>
      <c r="R890"/>
      <c r="S890"/>
      <c r="T890"/>
      <c r="U890"/>
    </row>
    <row r="891" spans="1:21" hidden="1">
      <c r="A891" s="7" t="s">
        <v>8757</v>
      </c>
      <c r="B891" s="7" t="s">
        <v>5405</v>
      </c>
      <c r="C891" s="8" t="s">
        <v>5317</v>
      </c>
      <c r="D891" t="s">
        <v>266</v>
      </c>
      <c r="E891" t="s">
        <v>25</v>
      </c>
      <c r="F891" t="s">
        <v>491</v>
      </c>
      <c r="G891" t="s">
        <v>1012</v>
      </c>
      <c r="H891" s="9">
        <v>44657</v>
      </c>
      <c r="I891" t="s">
        <v>8634</v>
      </c>
      <c r="J891" t="s">
        <v>0</v>
      </c>
      <c r="K891" s="9">
        <v>44827</v>
      </c>
      <c r="L891" t="s">
        <v>29</v>
      </c>
      <c r="M891"/>
      <c r="N891" s="9">
        <v>44686</v>
      </c>
      <c r="O891" s="9">
        <v>44693</v>
      </c>
      <c r="P891" s="9">
        <v>44693</v>
      </c>
      <c r="Q891" s="9">
        <v>44827</v>
      </c>
      <c r="R891"/>
      <c r="S891"/>
      <c r="T891"/>
      <c r="U891"/>
    </row>
    <row r="892" spans="1:21" hidden="1">
      <c r="A892" s="7" t="s">
        <v>8757</v>
      </c>
      <c r="B892" s="7" t="s">
        <v>5405</v>
      </c>
      <c r="C892" s="8" t="s">
        <v>5317</v>
      </c>
      <c r="D892" t="s">
        <v>266</v>
      </c>
      <c r="E892" t="s">
        <v>25</v>
      </c>
      <c r="F892" t="s">
        <v>491</v>
      </c>
      <c r="G892" t="s">
        <v>1013</v>
      </c>
      <c r="H892" s="9">
        <v>44657</v>
      </c>
      <c r="I892" t="s">
        <v>8634</v>
      </c>
      <c r="J892" t="s">
        <v>0</v>
      </c>
      <c r="K892" s="9">
        <v>44827</v>
      </c>
      <c r="L892" t="s">
        <v>29</v>
      </c>
      <c r="M892"/>
      <c r="N892" s="9">
        <v>44686</v>
      </c>
      <c r="O892" s="9">
        <v>44693</v>
      </c>
      <c r="P892" s="9">
        <v>44693</v>
      </c>
      <c r="Q892" s="9">
        <v>44827</v>
      </c>
      <c r="R892"/>
      <c r="S892"/>
      <c r="T892"/>
      <c r="U892"/>
    </row>
    <row r="893" spans="1:21" hidden="1">
      <c r="A893" s="7" t="s">
        <v>8757</v>
      </c>
      <c r="B893" s="7" t="s">
        <v>5405</v>
      </c>
      <c r="C893" s="8" t="s">
        <v>5317</v>
      </c>
      <c r="D893" t="s">
        <v>266</v>
      </c>
      <c r="E893" t="s">
        <v>25</v>
      </c>
      <c r="F893" t="s">
        <v>491</v>
      </c>
      <c r="G893" t="s">
        <v>1014</v>
      </c>
      <c r="H893" s="9">
        <v>44657</v>
      </c>
      <c r="I893" t="s">
        <v>8634</v>
      </c>
      <c r="J893" t="s">
        <v>163</v>
      </c>
      <c r="K893" s="9">
        <v>44693</v>
      </c>
      <c r="L893" t="s">
        <v>29</v>
      </c>
      <c r="M893"/>
      <c r="N893" s="9">
        <v>44686</v>
      </c>
      <c r="O893" s="9">
        <v>44693</v>
      </c>
      <c r="P893" s="9">
        <v>44693</v>
      </c>
      <c r="Q893"/>
      <c r="R893"/>
      <c r="S893"/>
      <c r="T893"/>
      <c r="U893"/>
    </row>
    <row r="894" spans="1:21" hidden="1">
      <c r="A894" s="7" t="s">
        <v>8801</v>
      </c>
      <c r="B894" s="7" t="s">
        <v>8110</v>
      </c>
      <c r="C894" s="8" t="s">
        <v>5317</v>
      </c>
      <c r="D894" t="s">
        <v>266</v>
      </c>
      <c r="E894" t="s">
        <v>1015</v>
      </c>
      <c r="F894" t="s">
        <v>117</v>
      </c>
      <c r="G894" t="s">
        <v>1016</v>
      </c>
      <c r="H894" s="9">
        <v>44657</v>
      </c>
      <c r="I894" t="s">
        <v>488</v>
      </c>
      <c r="J894" t="s">
        <v>163</v>
      </c>
      <c r="K894" s="9">
        <v>44693</v>
      </c>
      <c r="L894" t="s">
        <v>29</v>
      </c>
      <c r="M894"/>
      <c r="N894" s="9">
        <v>44686</v>
      </c>
      <c r="O894" s="9">
        <v>44693</v>
      </c>
      <c r="P894" s="9">
        <v>44693</v>
      </c>
      <c r="Q894"/>
      <c r="R894"/>
      <c r="S894"/>
      <c r="T894"/>
      <c r="U894"/>
    </row>
    <row r="895" spans="1:21" hidden="1">
      <c r="A895" s="7" t="s">
        <v>8801</v>
      </c>
      <c r="B895" s="7" t="s">
        <v>8110</v>
      </c>
      <c r="C895" s="8" t="s">
        <v>5317</v>
      </c>
      <c r="D895" t="s">
        <v>266</v>
      </c>
      <c r="E895" t="s">
        <v>1015</v>
      </c>
      <c r="F895" t="s">
        <v>117</v>
      </c>
      <c r="G895" t="s">
        <v>1017</v>
      </c>
      <c r="H895" s="9">
        <v>44657</v>
      </c>
      <c r="I895" t="s">
        <v>488</v>
      </c>
      <c r="J895" t="s">
        <v>163</v>
      </c>
      <c r="K895" s="9">
        <v>44693</v>
      </c>
      <c r="L895" t="s">
        <v>29</v>
      </c>
      <c r="M895"/>
      <c r="N895" s="9">
        <v>44686</v>
      </c>
      <c r="O895" s="9">
        <v>44693</v>
      </c>
      <c r="P895" s="9">
        <v>44693</v>
      </c>
      <c r="Q895"/>
      <c r="R895"/>
      <c r="S895"/>
      <c r="T895"/>
      <c r="U895"/>
    </row>
    <row r="896" spans="1:21" hidden="1">
      <c r="A896" s="7" t="s">
        <v>8802</v>
      </c>
      <c r="B896" s="7" t="s">
        <v>7508</v>
      </c>
      <c r="C896" s="8" t="s">
        <v>5317</v>
      </c>
      <c r="D896" t="s">
        <v>266</v>
      </c>
      <c r="E896" t="s">
        <v>1018</v>
      </c>
      <c r="F896" t="s">
        <v>231</v>
      </c>
      <c r="G896" t="s">
        <v>1019</v>
      </c>
      <c r="H896" s="9">
        <v>44657</v>
      </c>
      <c r="I896" t="s">
        <v>322</v>
      </c>
      <c r="J896" t="s">
        <v>0</v>
      </c>
      <c r="K896" s="9">
        <v>44678</v>
      </c>
      <c r="L896" t="s">
        <v>29</v>
      </c>
      <c r="M896"/>
      <c r="N896"/>
      <c r="O896"/>
      <c r="P896"/>
      <c r="Q896" s="9">
        <v>44678</v>
      </c>
      <c r="R896" s="9">
        <v>44677.374988425901</v>
      </c>
      <c r="S896"/>
      <c r="T896"/>
      <c r="U896"/>
    </row>
    <row r="897" spans="1:21" hidden="1">
      <c r="A897" s="7" t="s">
        <v>8803</v>
      </c>
      <c r="B897" s="7" t="s">
        <v>6157</v>
      </c>
      <c r="C897" s="8" t="s">
        <v>5317</v>
      </c>
      <c r="D897" t="s">
        <v>266</v>
      </c>
      <c r="E897" t="s">
        <v>1020</v>
      </c>
      <c r="F897" t="s">
        <v>83</v>
      </c>
      <c r="G897" t="s">
        <v>1021</v>
      </c>
      <c r="H897" s="9">
        <v>44657</v>
      </c>
      <c r="I897" t="s">
        <v>882</v>
      </c>
      <c r="J897" t="s">
        <v>163</v>
      </c>
      <c r="K897" s="9">
        <v>44693</v>
      </c>
      <c r="L897" t="s">
        <v>29</v>
      </c>
      <c r="M897"/>
      <c r="N897" s="9">
        <v>44686</v>
      </c>
      <c r="O897" s="9">
        <v>44693</v>
      </c>
      <c r="P897" s="9">
        <v>44693</v>
      </c>
      <c r="Q897"/>
      <c r="R897"/>
      <c r="S897"/>
      <c r="T897"/>
      <c r="U897"/>
    </row>
    <row r="898" spans="1:21" hidden="1">
      <c r="A898" s="7" t="s">
        <v>8803</v>
      </c>
      <c r="B898" s="7" t="s">
        <v>6157</v>
      </c>
      <c r="C898" s="8" t="s">
        <v>5317</v>
      </c>
      <c r="D898" t="s">
        <v>266</v>
      </c>
      <c r="E898" t="s">
        <v>1020</v>
      </c>
      <c r="F898" t="s">
        <v>83</v>
      </c>
      <c r="G898" t="s">
        <v>1022</v>
      </c>
      <c r="H898" s="9">
        <v>44657</v>
      </c>
      <c r="I898" t="s">
        <v>882</v>
      </c>
      <c r="J898" t="s">
        <v>163</v>
      </c>
      <c r="K898" s="9">
        <v>44693</v>
      </c>
      <c r="L898" t="s">
        <v>29</v>
      </c>
      <c r="M898"/>
      <c r="N898" s="9">
        <v>44686</v>
      </c>
      <c r="O898" s="9">
        <v>44693</v>
      </c>
      <c r="P898" s="9">
        <v>44693</v>
      </c>
      <c r="Q898"/>
      <c r="R898"/>
      <c r="S898"/>
      <c r="T898"/>
      <c r="U898"/>
    </row>
    <row r="899" spans="1:21" hidden="1">
      <c r="A899" s="7" t="s">
        <v>8803</v>
      </c>
      <c r="B899" s="7" t="s">
        <v>6157</v>
      </c>
      <c r="C899" s="8" t="s">
        <v>5317</v>
      </c>
      <c r="D899" t="s">
        <v>266</v>
      </c>
      <c r="E899" t="s">
        <v>1020</v>
      </c>
      <c r="F899" t="s">
        <v>83</v>
      </c>
      <c r="G899" t="s">
        <v>1023</v>
      </c>
      <c r="H899" s="9">
        <v>44657</v>
      </c>
      <c r="I899" t="s">
        <v>882</v>
      </c>
      <c r="J899" t="s">
        <v>163</v>
      </c>
      <c r="K899" s="9">
        <v>44693</v>
      </c>
      <c r="L899" t="s">
        <v>29</v>
      </c>
      <c r="M899"/>
      <c r="N899" s="9">
        <v>44686</v>
      </c>
      <c r="O899" s="9">
        <v>44693</v>
      </c>
      <c r="P899" s="9">
        <v>44693</v>
      </c>
      <c r="Q899"/>
      <c r="R899"/>
      <c r="S899"/>
      <c r="T899"/>
      <c r="U899"/>
    </row>
    <row r="900" spans="1:21" hidden="1">
      <c r="A900" s="7" t="s">
        <v>8803</v>
      </c>
      <c r="B900" s="7" t="s">
        <v>6157</v>
      </c>
      <c r="C900" s="8" t="s">
        <v>5317</v>
      </c>
      <c r="D900" t="s">
        <v>266</v>
      </c>
      <c r="E900" t="s">
        <v>1020</v>
      </c>
      <c r="F900" t="s">
        <v>83</v>
      </c>
      <c r="G900" t="s">
        <v>1024</v>
      </c>
      <c r="H900" s="9">
        <v>44657</v>
      </c>
      <c r="I900" t="s">
        <v>882</v>
      </c>
      <c r="J900" t="s">
        <v>163</v>
      </c>
      <c r="K900" s="9">
        <v>44693</v>
      </c>
      <c r="L900" t="s">
        <v>29</v>
      </c>
      <c r="M900"/>
      <c r="N900" s="9">
        <v>44686</v>
      </c>
      <c r="O900" s="9">
        <v>44693</v>
      </c>
      <c r="P900" s="9">
        <v>44693</v>
      </c>
      <c r="Q900"/>
      <c r="R900"/>
      <c r="S900"/>
      <c r="T900"/>
      <c r="U900"/>
    </row>
    <row r="901" spans="1:21" hidden="1">
      <c r="A901" s="7" t="s">
        <v>8803</v>
      </c>
      <c r="B901" s="7" t="s">
        <v>6157</v>
      </c>
      <c r="C901" s="8" t="s">
        <v>5317</v>
      </c>
      <c r="D901" t="s">
        <v>266</v>
      </c>
      <c r="E901" t="s">
        <v>1020</v>
      </c>
      <c r="F901" t="s">
        <v>83</v>
      </c>
      <c r="G901" t="s">
        <v>1025</v>
      </c>
      <c r="H901" s="9">
        <v>44657</v>
      </c>
      <c r="I901" t="s">
        <v>882</v>
      </c>
      <c r="J901" t="s">
        <v>163</v>
      </c>
      <c r="K901" s="9">
        <v>44693</v>
      </c>
      <c r="L901" t="s">
        <v>29</v>
      </c>
      <c r="M901"/>
      <c r="N901" s="9">
        <v>44686</v>
      </c>
      <c r="O901" s="9">
        <v>44693</v>
      </c>
      <c r="P901" s="9">
        <v>44693</v>
      </c>
      <c r="Q901"/>
      <c r="R901"/>
      <c r="S901"/>
      <c r="T901"/>
      <c r="U901"/>
    </row>
    <row r="902" spans="1:21" hidden="1">
      <c r="A902" s="7" t="s">
        <v>8804</v>
      </c>
      <c r="B902" s="7" t="s">
        <v>7832</v>
      </c>
      <c r="C902" s="8" t="s">
        <v>5317</v>
      </c>
      <c r="D902" t="s">
        <v>266</v>
      </c>
      <c r="E902" t="s">
        <v>1026</v>
      </c>
      <c r="F902" t="s">
        <v>117</v>
      </c>
      <c r="G902" t="s">
        <v>1027</v>
      </c>
      <c r="H902" s="9">
        <v>44657</v>
      </c>
      <c r="I902" t="s">
        <v>488</v>
      </c>
      <c r="J902" t="s">
        <v>0</v>
      </c>
      <c r="K902" s="9">
        <v>44691</v>
      </c>
      <c r="L902" t="s">
        <v>29</v>
      </c>
      <c r="M902"/>
      <c r="N902"/>
      <c r="O902"/>
      <c r="P902"/>
      <c r="Q902" s="9">
        <v>44691</v>
      </c>
      <c r="R902"/>
      <c r="S902"/>
      <c r="T902"/>
      <c r="U902"/>
    </row>
    <row r="903" spans="1:21" hidden="1">
      <c r="A903" s="7" t="s">
        <v>8804</v>
      </c>
      <c r="B903" s="7" t="s">
        <v>7832</v>
      </c>
      <c r="C903" s="8" t="s">
        <v>5317</v>
      </c>
      <c r="D903" t="s">
        <v>266</v>
      </c>
      <c r="E903" t="s">
        <v>1026</v>
      </c>
      <c r="F903" t="s">
        <v>117</v>
      </c>
      <c r="G903" t="s">
        <v>1028</v>
      </c>
      <c r="H903" s="9">
        <v>44657</v>
      </c>
      <c r="I903" t="s">
        <v>488</v>
      </c>
      <c r="J903" t="s">
        <v>0</v>
      </c>
      <c r="K903" s="9">
        <v>44691</v>
      </c>
      <c r="L903" t="s">
        <v>29</v>
      </c>
      <c r="M903"/>
      <c r="N903"/>
      <c r="O903"/>
      <c r="P903"/>
      <c r="Q903" s="9">
        <v>44691</v>
      </c>
      <c r="R903"/>
      <c r="S903"/>
      <c r="T903"/>
      <c r="U903"/>
    </row>
    <row r="904" spans="1:21" hidden="1">
      <c r="A904" s="7" t="s">
        <v>8804</v>
      </c>
      <c r="B904" s="7" t="s">
        <v>7832</v>
      </c>
      <c r="C904" s="8" t="s">
        <v>5317</v>
      </c>
      <c r="D904" t="s">
        <v>266</v>
      </c>
      <c r="E904" t="s">
        <v>1026</v>
      </c>
      <c r="F904" t="s">
        <v>117</v>
      </c>
      <c r="G904" t="s">
        <v>1029</v>
      </c>
      <c r="H904" s="9">
        <v>44657</v>
      </c>
      <c r="I904" t="s">
        <v>488</v>
      </c>
      <c r="J904" t="s">
        <v>0</v>
      </c>
      <c r="K904" s="9">
        <v>44691</v>
      </c>
      <c r="L904" t="s">
        <v>29</v>
      </c>
      <c r="M904"/>
      <c r="N904"/>
      <c r="O904"/>
      <c r="P904"/>
      <c r="Q904" s="9">
        <v>44691</v>
      </c>
      <c r="R904"/>
      <c r="S904"/>
      <c r="T904"/>
      <c r="U904"/>
    </row>
    <row r="905" spans="1:21" hidden="1">
      <c r="A905" s="7" t="s">
        <v>8804</v>
      </c>
      <c r="B905" s="7" t="s">
        <v>7832</v>
      </c>
      <c r="C905" s="8" t="s">
        <v>5317</v>
      </c>
      <c r="D905" t="s">
        <v>266</v>
      </c>
      <c r="E905" t="s">
        <v>1026</v>
      </c>
      <c r="F905" t="s">
        <v>117</v>
      </c>
      <c r="G905" t="s">
        <v>1030</v>
      </c>
      <c r="H905" s="9">
        <v>44657</v>
      </c>
      <c r="I905" t="s">
        <v>488</v>
      </c>
      <c r="J905" t="s">
        <v>0</v>
      </c>
      <c r="K905" s="9">
        <v>44691</v>
      </c>
      <c r="L905" t="s">
        <v>29</v>
      </c>
      <c r="M905"/>
      <c r="N905"/>
      <c r="O905"/>
      <c r="P905"/>
      <c r="Q905" s="9">
        <v>44691</v>
      </c>
      <c r="R905"/>
      <c r="S905"/>
      <c r="T905"/>
      <c r="U905"/>
    </row>
    <row r="906" spans="1:21" hidden="1">
      <c r="A906" s="7" t="s">
        <v>8804</v>
      </c>
      <c r="B906" s="7" t="s">
        <v>7832</v>
      </c>
      <c r="C906" s="8" t="s">
        <v>5317</v>
      </c>
      <c r="D906" t="s">
        <v>266</v>
      </c>
      <c r="E906" t="s">
        <v>1026</v>
      </c>
      <c r="F906" t="s">
        <v>117</v>
      </c>
      <c r="G906" t="s">
        <v>1031</v>
      </c>
      <c r="H906" s="9">
        <v>44657</v>
      </c>
      <c r="I906" t="s">
        <v>488</v>
      </c>
      <c r="J906" t="s">
        <v>0</v>
      </c>
      <c r="K906" s="9">
        <v>44691</v>
      </c>
      <c r="L906" t="s">
        <v>29</v>
      </c>
      <c r="M906"/>
      <c r="N906"/>
      <c r="O906"/>
      <c r="P906"/>
      <c r="Q906" s="9">
        <v>44691</v>
      </c>
      <c r="R906"/>
      <c r="S906"/>
      <c r="T906"/>
      <c r="U906"/>
    </row>
    <row r="907" spans="1:21" hidden="1">
      <c r="A907" s="7" t="s">
        <v>8805</v>
      </c>
      <c r="B907" s="7" t="s">
        <v>6936</v>
      </c>
      <c r="C907" s="8" t="s">
        <v>5317</v>
      </c>
      <c r="D907" t="s">
        <v>266</v>
      </c>
      <c r="E907" t="s">
        <v>1032</v>
      </c>
      <c r="F907" t="s">
        <v>83</v>
      </c>
      <c r="G907" t="s">
        <v>1033</v>
      </c>
      <c r="H907" s="9">
        <v>44657</v>
      </c>
      <c r="I907" t="s">
        <v>984</v>
      </c>
      <c r="J907" t="s">
        <v>276</v>
      </c>
      <c r="K907" s="9">
        <v>44676.426226851901</v>
      </c>
      <c r="L907" t="s">
        <v>29</v>
      </c>
      <c r="M907"/>
      <c r="N907"/>
      <c r="O907"/>
      <c r="P907"/>
      <c r="Q907"/>
      <c r="R907" s="9">
        <v>44676.426076388903</v>
      </c>
      <c r="S907"/>
      <c r="T907"/>
      <c r="U907"/>
    </row>
    <row r="908" spans="1:21" hidden="1">
      <c r="A908" s="7" t="s">
        <v>8806</v>
      </c>
      <c r="B908" s="7" t="s">
        <v>7593</v>
      </c>
      <c r="C908" s="8" t="s">
        <v>5317</v>
      </c>
      <c r="D908" t="s">
        <v>266</v>
      </c>
      <c r="E908" t="s">
        <v>1034</v>
      </c>
      <c r="F908" t="s">
        <v>117</v>
      </c>
      <c r="G908" t="s">
        <v>1035</v>
      </c>
      <c r="H908" s="9">
        <v>44657</v>
      </c>
      <c r="I908" t="s">
        <v>984</v>
      </c>
      <c r="J908" t="s">
        <v>0</v>
      </c>
      <c r="K908" s="9">
        <v>44872</v>
      </c>
      <c r="L908" t="s">
        <v>29</v>
      </c>
      <c r="M908"/>
      <c r="N908"/>
      <c r="O908"/>
      <c r="P908"/>
      <c r="Q908" s="9">
        <v>44872</v>
      </c>
      <c r="R908" s="9">
        <v>44676.339687500003</v>
      </c>
      <c r="S908"/>
      <c r="T908"/>
      <c r="U908"/>
    </row>
    <row r="909" spans="1:21" hidden="1">
      <c r="A909" s="7" t="s">
        <v>8806</v>
      </c>
      <c r="B909" s="7" t="s">
        <v>7593</v>
      </c>
      <c r="C909" s="8" t="s">
        <v>5317</v>
      </c>
      <c r="D909" t="s">
        <v>266</v>
      </c>
      <c r="E909" t="s">
        <v>1034</v>
      </c>
      <c r="F909" t="s">
        <v>117</v>
      </c>
      <c r="G909" t="s">
        <v>1036</v>
      </c>
      <c r="H909" s="9">
        <v>44657</v>
      </c>
      <c r="I909" t="s">
        <v>984</v>
      </c>
      <c r="J909" t="s">
        <v>0</v>
      </c>
      <c r="K909" s="9">
        <v>44872</v>
      </c>
      <c r="L909" t="s">
        <v>29</v>
      </c>
      <c r="M909"/>
      <c r="N909"/>
      <c r="O909"/>
      <c r="P909"/>
      <c r="Q909" s="9">
        <v>44872</v>
      </c>
      <c r="R909" s="9">
        <v>44676.339687500003</v>
      </c>
      <c r="S909"/>
      <c r="T909"/>
      <c r="U909"/>
    </row>
    <row r="910" spans="1:21" hidden="1">
      <c r="A910" s="7" t="s">
        <v>8807</v>
      </c>
      <c r="B910" s="7" t="s">
        <v>6896</v>
      </c>
      <c r="C910" s="8" t="s">
        <v>5317</v>
      </c>
      <c r="D910" t="s">
        <v>266</v>
      </c>
      <c r="E910" t="s">
        <v>1037</v>
      </c>
      <c r="F910" t="s">
        <v>75</v>
      </c>
      <c r="G910" t="s">
        <v>1038</v>
      </c>
      <c r="H910" s="9">
        <v>44657</v>
      </c>
      <c r="I910" t="s">
        <v>984</v>
      </c>
      <c r="J910" t="s">
        <v>0</v>
      </c>
      <c r="K910" s="9">
        <v>44697</v>
      </c>
      <c r="L910" t="s">
        <v>29</v>
      </c>
      <c r="M910"/>
      <c r="N910"/>
      <c r="O910"/>
      <c r="P910"/>
      <c r="Q910" s="9">
        <v>44697</v>
      </c>
      <c r="R910"/>
      <c r="S910"/>
      <c r="T910"/>
      <c r="U910"/>
    </row>
    <row r="911" spans="1:21" hidden="1">
      <c r="A911" s="7" t="s">
        <v>8807</v>
      </c>
      <c r="B911" s="7" t="s">
        <v>6896</v>
      </c>
      <c r="C911" s="8" t="s">
        <v>5317</v>
      </c>
      <c r="D911" t="s">
        <v>266</v>
      </c>
      <c r="E911" t="s">
        <v>1037</v>
      </c>
      <c r="F911" t="s">
        <v>75</v>
      </c>
      <c r="G911" t="s">
        <v>1039</v>
      </c>
      <c r="H911" s="9">
        <v>44657</v>
      </c>
      <c r="I911" t="s">
        <v>984</v>
      </c>
      <c r="J911" t="s">
        <v>0</v>
      </c>
      <c r="K911" s="9">
        <v>44697</v>
      </c>
      <c r="L911" t="s">
        <v>29</v>
      </c>
      <c r="M911"/>
      <c r="N911"/>
      <c r="O911"/>
      <c r="P911"/>
      <c r="Q911" s="9">
        <v>44697</v>
      </c>
      <c r="R911"/>
      <c r="S911"/>
      <c r="T911"/>
      <c r="U911"/>
    </row>
    <row r="912" spans="1:21" hidden="1">
      <c r="A912" s="7" t="s">
        <v>8808</v>
      </c>
      <c r="B912" s="7" t="s">
        <v>7973</v>
      </c>
      <c r="C912" s="8" t="s">
        <v>5317</v>
      </c>
      <c r="D912" t="s">
        <v>266</v>
      </c>
      <c r="E912" t="s">
        <v>1040</v>
      </c>
      <c r="F912" t="s">
        <v>117</v>
      </c>
      <c r="G912" t="s">
        <v>1041</v>
      </c>
      <c r="H912" s="9">
        <v>44657</v>
      </c>
      <c r="I912" t="s">
        <v>984</v>
      </c>
      <c r="J912" t="s">
        <v>0</v>
      </c>
      <c r="K912" s="9">
        <v>44830</v>
      </c>
      <c r="L912" t="s">
        <v>29</v>
      </c>
      <c r="M912"/>
      <c r="N912" s="9">
        <v>44686</v>
      </c>
      <c r="O912" s="9">
        <v>44693</v>
      </c>
      <c r="P912" s="9">
        <v>44693</v>
      </c>
      <c r="Q912" s="9">
        <v>44830</v>
      </c>
      <c r="R912"/>
      <c r="S912"/>
      <c r="T912"/>
      <c r="U912"/>
    </row>
    <row r="913" spans="1:21" hidden="1">
      <c r="A913" s="7" t="s">
        <v>8808</v>
      </c>
      <c r="B913" s="7" t="s">
        <v>7973</v>
      </c>
      <c r="C913" s="8" t="s">
        <v>5317</v>
      </c>
      <c r="D913" t="s">
        <v>266</v>
      </c>
      <c r="E913" t="s">
        <v>1040</v>
      </c>
      <c r="F913" t="s">
        <v>117</v>
      </c>
      <c r="G913" t="s">
        <v>1042</v>
      </c>
      <c r="H913" s="9">
        <v>44657</v>
      </c>
      <c r="I913" t="s">
        <v>984</v>
      </c>
      <c r="J913" t="s">
        <v>0</v>
      </c>
      <c r="K913" s="9">
        <v>44830</v>
      </c>
      <c r="L913" t="s">
        <v>29</v>
      </c>
      <c r="M913"/>
      <c r="N913" s="9">
        <v>44686</v>
      </c>
      <c r="O913" s="9">
        <v>44693</v>
      </c>
      <c r="P913" s="9">
        <v>44693</v>
      </c>
      <c r="Q913" s="9">
        <v>44830</v>
      </c>
      <c r="R913"/>
      <c r="S913"/>
      <c r="T913"/>
      <c r="U913"/>
    </row>
    <row r="914" spans="1:21" hidden="1">
      <c r="A914" s="7" t="s">
        <v>8808</v>
      </c>
      <c r="B914" s="7" t="s">
        <v>7973</v>
      </c>
      <c r="C914" s="8" t="s">
        <v>5317</v>
      </c>
      <c r="D914" t="s">
        <v>266</v>
      </c>
      <c r="E914" t="s">
        <v>1040</v>
      </c>
      <c r="F914" t="s">
        <v>117</v>
      </c>
      <c r="G914" t="s">
        <v>1043</v>
      </c>
      <c r="H914" s="9">
        <v>44657</v>
      </c>
      <c r="I914" t="s">
        <v>984</v>
      </c>
      <c r="J914" t="s">
        <v>0</v>
      </c>
      <c r="K914" s="9">
        <v>44830</v>
      </c>
      <c r="L914" t="s">
        <v>29</v>
      </c>
      <c r="M914"/>
      <c r="N914" s="9">
        <v>44686</v>
      </c>
      <c r="O914" s="9">
        <v>44693</v>
      </c>
      <c r="P914" s="9">
        <v>44693</v>
      </c>
      <c r="Q914" s="9">
        <v>44830</v>
      </c>
      <c r="R914"/>
      <c r="S914"/>
      <c r="T914"/>
      <c r="U914"/>
    </row>
    <row r="915" spans="1:21" hidden="1">
      <c r="A915" s="7" t="s">
        <v>8809</v>
      </c>
      <c r="B915" s="7" t="s">
        <v>7973</v>
      </c>
      <c r="C915" s="8" t="s">
        <v>5317</v>
      </c>
      <c r="D915" t="s">
        <v>266</v>
      </c>
      <c r="E915" t="s">
        <v>1040</v>
      </c>
      <c r="F915" t="s">
        <v>231</v>
      </c>
      <c r="G915" t="s">
        <v>1043</v>
      </c>
      <c r="H915" s="9">
        <v>44657</v>
      </c>
      <c r="I915" t="s">
        <v>984</v>
      </c>
      <c r="J915" t="s">
        <v>0</v>
      </c>
      <c r="K915" s="9">
        <v>44697</v>
      </c>
      <c r="L915" t="s">
        <v>29</v>
      </c>
      <c r="M915"/>
      <c r="N915"/>
      <c r="O915"/>
      <c r="P915"/>
      <c r="Q915" s="9">
        <v>44697</v>
      </c>
      <c r="R915"/>
      <c r="S915"/>
      <c r="T915"/>
      <c r="U915"/>
    </row>
    <row r="916" spans="1:21" hidden="1">
      <c r="A916" s="7" t="s">
        <v>8808</v>
      </c>
      <c r="B916" s="7" t="s">
        <v>7973</v>
      </c>
      <c r="C916" s="8" t="s">
        <v>5317</v>
      </c>
      <c r="D916" t="s">
        <v>266</v>
      </c>
      <c r="E916" t="s">
        <v>1040</v>
      </c>
      <c r="F916" t="s">
        <v>117</v>
      </c>
      <c r="G916" t="s">
        <v>1044</v>
      </c>
      <c r="H916" s="9">
        <v>44657</v>
      </c>
      <c r="I916" t="s">
        <v>984</v>
      </c>
      <c r="J916" t="s">
        <v>0</v>
      </c>
      <c r="K916" s="9">
        <v>44830</v>
      </c>
      <c r="L916" t="s">
        <v>29</v>
      </c>
      <c r="M916"/>
      <c r="N916" s="9">
        <v>44686</v>
      </c>
      <c r="O916" s="9">
        <v>44693</v>
      </c>
      <c r="P916" s="9">
        <v>44693</v>
      </c>
      <c r="Q916" s="9">
        <v>44830</v>
      </c>
      <c r="R916"/>
      <c r="S916"/>
      <c r="T916"/>
      <c r="U916"/>
    </row>
    <row r="917" spans="1:21" hidden="1">
      <c r="A917" s="7" t="s">
        <v>8808</v>
      </c>
      <c r="B917" s="7" t="s">
        <v>7973</v>
      </c>
      <c r="C917" s="8" t="s">
        <v>5317</v>
      </c>
      <c r="D917" t="s">
        <v>266</v>
      </c>
      <c r="E917" t="s">
        <v>1040</v>
      </c>
      <c r="F917" t="s">
        <v>117</v>
      </c>
      <c r="G917" t="s">
        <v>1045</v>
      </c>
      <c r="H917" s="9">
        <v>44657</v>
      </c>
      <c r="I917" t="s">
        <v>984</v>
      </c>
      <c r="J917" t="s">
        <v>0</v>
      </c>
      <c r="K917" s="9">
        <v>44830</v>
      </c>
      <c r="L917" t="s">
        <v>29</v>
      </c>
      <c r="M917"/>
      <c r="N917" s="9">
        <v>44686</v>
      </c>
      <c r="O917" s="9">
        <v>44693</v>
      </c>
      <c r="P917" s="9">
        <v>44693</v>
      </c>
      <c r="Q917" s="9">
        <v>44830</v>
      </c>
      <c r="R917"/>
      <c r="S917"/>
      <c r="T917"/>
      <c r="U917"/>
    </row>
    <row r="918" spans="1:21" hidden="1">
      <c r="A918" s="7" t="s">
        <v>8808</v>
      </c>
      <c r="B918" s="7" t="s">
        <v>7973</v>
      </c>
      <c r="C918" s="8" t="s">
        <v>5317</v>
      </c>
      <c r="D918" t="s">
        <v>266</v>
      </c>
      <c r="E918" t="s">
        <v>1040</v>
      </c>
      <c r="F918" t="s">
        <v>117</v>
      </c>
      <c r="G918" t="s">
        <v>1046</v>
      </c>
      <c r="H918" s="9">
        <v>44657</v>
      </c>
      <c r="I918" t="s">
        <v>984</v>
      </c>
      <c r="J918" t="s">
        <v>0</v>
      </c>
      <c r="K918" s="9">
        <v>44830</v>
      </c>
      <c r="L918" t="s">
        <v>29</v>
      </c>
      <c r="M918"/>
      <c r="N918" s="9">
        <v>44686</v>
      </c>
      <c r="O918" s="9">
        <v>44693</v>
      </c>
      <c r="P918" s="9">
        <v>44693</v>
      </c>
      <c r="Q918" s="9">
        <v>44830</v>
      </c>
      <c r="R918"/>
      <c r="S918"/>
      <c r="T918"/>
      <c r="U918"/>
    </row>
    <row r="919" spans="1:21" hidden="1">
      <c r="A919" s="7" t="s">
        <v>8808</v>
      </c>
      <c r="B919" s="7" t="s">
        <v>7973</v>
      </c>
      <c r="C919" s="8" t="s">
        <v>5317</v>
      </c>
      <c r="D919" t="s">
        <v>266</v>
      </c>
      <c r="E919" t="s">
        <v>1040</v>
      </c>
      <c r="F919" t="s">
        <v>117</v>
      </c>
      <c r="G919" t="s">
        <v>1047</v>
      </c>
      <c r="H919" s="9">
        <v>44657</v>
      </c>
      <c r="I919" t="s">
        <v>984</v>
      </c>
      <c r="J919" t="s">
        <v>0</v>
      </c>
      <c r="K919" s="9">
        <v>44830</v>
      </c>
      <c r="L919" t="s">
        <v>29</v>
      </c>
      <c r="M919"/>
      <c r="N919" s="9">
        <v>44686</v>
      </c>
      <c r="O919" s="9">
        <v>44693</v>
      </c>
      <c r="P919" s="9">
        <v>44693</v>
      </c>
      <c r="Q919" s="9">
        <v>44830</v>
      </c>
      <c r="R919"/>
      <c r="S919"/>
      <c r="T919"/>
      <c r="U919"/>
    </row>
    <row r="920" spans="1:21" hidden="1">
      <c r="A920" s="7" t="s">
        <v>8807</v>
      </c>
      <c r="B920" s="7" t="s">
        <v>6896</v>
      </c>
      <c r="C920" s="8" t="s">
        <v>5317</v>
      </c>
      <c r="D920" t="s">
        <v>266</v>
      </c>
      <c r="E920" t="s">
        <v>1037</v>
      </c>
      <c r="F920" t="s">
        <v>75</v>
      </c>
      <c r="G920" t="s">
        <v>1048</v>
      </c>
      <c r="H920" s="9">
        <v>44657</v>
      </c>
      <c r="I920" t="s">
        <v>984</v>
      </c>
      <c r="J920" t="s">
        <v>0</v>
      </c>
      <c r="K920" s="9">
        <v>44697</v>
      </c>
      <c r="L920" t="s">
        <v>29</v>
      </c>
      <c r="M920"/>
      <c r="N920"/>
      <c r="O920"/>
      <c r="P920"/>
      <c r="Q920" s="9">
        <v>44697</v>
      </c>
      <c r="R920"/>
      <c r="S920"/>
      <c r="T920"/>
      <c r="U920"/>
    </row>
    <row r="921" spans="1:21" hidden="1">
      <c r="A921" s="7" t="s">
        <v>8807</v>
      </c>
      <c r="B921" s="7" t="s">
        <v>6896</v>
      </c>
      <c r="C921" s="8" t="s">
        <v>5317</v>
      </c>
      <c r="D921" t="s">
        <v>266</v>
      </c>
      <c r="E921" t="s">
        <v>1037</v>
      </c>
      <c r="F921" t="s">
        <v>75</v>
      </c>
      <c r="G921" t="s">
        <v>1049</v>
      </c>
      <c r="H921" s="9">
        <v>44657</v>
      </c>
      <c r="I921" t="s">
        <v>984</v>
      </c>
      <c r="J921" t="s">
        <v>0</v>
      </c>
      <c r="K921" s="9">
        <v>44697</v>
      </c>
      <c r="L921" t="s">
        <v>29</v>
      </c>
      <c r="M921"/>
      <c r="N921"/>
      <c r="O921"/>
      <c r="P921"/>
      <c r="Q921" s="9">
        <v>44697</v>
      </c>
      <c r="R921"/>
      <c r="S921"/>
      <c r="T921"/>
      <c r="U921"/>
    </row>
    <row r="922" spans="1:21" hidden="1">
      <c r="A922" s="7" t="s">
        <v>8810</v>
      </c>
      <c r="B922" s="7" t="s">
        <v>6752</v>
      </c>
      <c r="C922" s="8" t="s">
        <v>5317</v>
      </c>
      <c r="D922" t="s">
        <v>266</v>
      </c>
      <c r="E922" t="s">
        <v>1050</v>
      </c>
      <c r="F922" t="s">
        <v>117</v>
      </c>
      <c r="G922" t="s">
        <v>1051</v>
      </c>
      <c r="H922" s="9">
        <v>44657</v>
      </c>
      <c r="I922" t="s">
        <v>984</v>
      </c>
      <c r="J922" t="s">
        <v>163</v>
      </c>
      <c r="K922" s="9">
        <v>44693</v>
      </c>
      <c r="L922" t="s">
        <v>29</v>
      </c>
      <c r="M922"/>
      <c r="N922" s="9">
        <v>44686</v>
      </c>
      <c r="O922" s="9">
        <v>44693</v>
      </c>
      <c r="P922" s="9">
        <v>44693</v>
      </c>
      <c r="Q922"/>
      <c r="R922"/>
      <c r="S922"/>
      <c r="T922"/>
      <c r="U922"/>
    </row>
    <row r="923" spans="1:21" hidden="1">
      <c r="A923" s="7" t="s">
        <v>8810</v>
      </c>
      <c r="B923" s="7" t="s">
        <v>6752</v>
      </c>
      <c r="C923" s="8" t="s">
        <v>5317</v>
      </c>
      <c r="D923" t="s">
        <v>266</v>
      </c>
      <c r="E923" t="s">
        <v>1050</v>
      </c>
      <c r="F923" t="s">
        <v>117</v>
      </c>
      <c r="G923" t="s">
        <v>1052</v>
      </c>
      <c r="H923" s="9">
        <v>44657</v>
      </c>
      <c r="I923" t="s">
        <v>984</v>
      </c>
      <c r="J923" t="s">
        <v>163</v>
      </c>
      <c r="K923" s="9">
        <v>44693</v>
      </c>
      <c r="L923" t="s">
        <v>29</v>
      </c>
      <c r="M923"/>
      <c r="N923" s="9">
        <v>44686</v>
      </c>
      <c r="O923" s="9">
        <v>44693</v>
      </c>
      <c r="P923" s="9">
        <v>44693</v>
      </c>
      <c r="Q923"/>
      <c r="R923"/>
      <c r="S923"/>
      <c r="T923"/>
      <c r="U923"/>
    </row>
    <row r="924" spans="1:21" hidden="1">
      <c r="A924" s="7" t="s">
        <v>8811</v>
      </c>
      <c r="B924" s="7" t="s">
        <v>8293</v>
      </c>
      <c r="C924" s="8" t="s">
        <v>5317</v>
      </c>
      <c r="D924" t="s">
        <v>266</v>
      </c>
      <c r="E924" t="s">
        <v>1053</v>
      </c>
      <c r="F924" t="s">
        <v>117</v>
      </c>
      <c r="G924" t="s">
        <v>1054</v>
      </c>
      <c r="H924" s="9">
        <v>44657</v>
      </c>
      <c r="I924" t="s">
        <v>322</v>
      </c>
      <c r="J924" t="s">
        <v>163</v>
      </c>
      <c r="K924" s="9">
        <v>44693</v>
      </c>
      <c r="L924" t="s">
        <v>29</v>
      </c>
      <c r="M924"/>
      <c r="N924" s="9">
        <v>44686</v>
      </c>
      <c r="O924" s="9">
        <v>44693</v>
      </c>
      <c r="P924" s="9">
        <v>44693</v>
      </c>
      <c r="Q924"/>
      <c r="R924"/>
      <c r="S924"/>
      <c r="T924"/>
      <c r="U924"/>
    </row>
    <row r="925" spans="1:21" hidden="1">
      <c r="A925" s="7" t="s">
        <v>8811</v>
      </c>
      <c r="B925" s="7" t="s">
        <v>8293</v>
      </c>
      <c r="C925" s="8" t="s">
        <v>5317</v>
      </c>
      <c r="D925" t="s">
        <v>266</v>
      </c>
      <c r="E925" t="s">
        <v>1053</v>
      </c>
      <c r="F925" t="s">
        <v>117</v>
      </c>
      <c r="G925" t="s">
        <v>1055</v>
      </c>
      <c r="H925" s="9">
        <v>44657</v>
      </c>
      <c r="I925" t="s">
        <v>322</v>
      </c>
      <c r="J925" t="s">
        <v>163</v>
      </c>
      <c r="K925" s="9">
        <v>44693</v>
      </c>
      <c r="L925" t="s">
        <v>29</v>
      </c>
      <c r="M925"/>
      <c r="N925" s="9">
        <v>44686</v>
      </c>
      <c r="O925" s="9">
        <v>44693</v>
      </c>
      <c r="P925" s="9">
        <v>44693</v>
      </c>
      <c r="Q925"/>
      <c r="R925"/>
      <c r="S925"/>
      <c r="T925"/>
      <c r="U925"/>
    </row>
    <row r="926" spans="1:21" hidden="1">
      <c r="A926" s="7" t="s">
        <v>8812</v>
      </c>
      <c r="B926" s="7" t="s">
        <v>6944</v>
      </c>
      <c r="C926" s="8" t="s">
        <v>5317</v>
      </c>
      <c r="D926" t="s">
        <v>266</v>
      </c>
      <c r="E926" t="s">
        <v>1056</v>
      </c>
      <c r="F926" t="s">
        <v>231</v>
      </c>
      <c r="G926" t="s">
        <v>1057</v>
      </c>
      <c r="H926" s="9">
        <v>44657</v>
      </c>
      <c r="I926" t="s">
        <v>984</v>
      </c>
      <c r="J926" t="s">
        <v>0</v>
      </c>
      <c r="K926" s="9">
        <v>44697</v>
      </c>
      <c r="L926" t="s">
        <v>29</v>
      </c>
      <c r="M926"/>
      <c r="N926" s="9">
        <v>44686</v>
      </c>
      <c r="O926" s="9">
        <v>44693</v>
      </c>
      <c r="P926" s="9">
        <v>44693</v>
      </c>
      <c r="Q926" s="9">
        <v>44697</v>
      </c>
      <c r="R926"/>
      <c r="S926"/>
      <c r="T926"/>
      <c r="U926"/>
    </row>
    <row r="927" spans="1:21" hidden="1">
      <c r="A927" s="7" t="s">
        <v>8812</v>
      </c>
      <c r="B927" s="7" t="s">
        <v>6944</v>
      </c>
      <c r="C927" s="8" t="s">
        <v>5317</v>
      </c>
      <c r="D927" t="s">
        <v>266</v>
      </c>
      <c r="E927" t="s">
        <v>1056</v>
      </c>
      <c r="F927" t="s">
        <v>231</v>
      </c>
      <c r="G927" t="s">
        <v>1058</v>
      </c>
      <c r="H927" s="9">
        <v>44657</v>
      </c>
      <c r="I927" t="s">
        <v>984</v>
      </c>
      <c r="J927" t="s">
        <v>0</v>
      </c>
      <c r="K927" s="9">
        <v>44697</v>
      </c>
      <c r="L927" t="s">
        <v>29</v>
      </c>
      <c r="M927"/>
      <c r="N927" s="9">
        <v>44686</v>
      </c>
      <c r="O927" s="9">
        <v>44693</v>
      </c>
      <c r="P927" s="9">
        <v>44693</v>
      </c>
      <c r="Q927" s="9">
        <v>44697</v>
      </c>
      <c r="R927"/>
      <c r="S927"/>
      <c r="T927"/>
      <c r="U927"/>
    </row>
    <row r="928" spans="1:21" hidden="1">
      <c r="A928" s="7" t="s">
        <v>8786</v>
      </c>
      <c r="B928" s="7" t="s">
        <v>6935</v>
      </c>
      <c r="C928" s="8" t="s">
        <v>5317</v>
      </c>
      <c r="D928" t="s">
        <v>266</v>
      </c>
      <c r="E928" t="s">
        <v>898</v>
      </c>
      <c r="F928" t="s">
        <v>79</v>
      </c>
      <c r="G928" t="s">
        <v>1059</v>
      </c>
      <c r="H928" s="9">
        <v>44657</v>
      </c>
      <c r="I928" t="s">
        <v>85</v>
      </c>
      <c r="J928" t="s">
        <v>0</v>
      </c>
      <c r="K928" s="9">
        <v>44690</v>
      </c>
      <c r="L928" t="s">
        <v>29</v>
      </c>
      <c r="M928"/>
      <c r="N928" s="9">
        <v>44686</v>
      </c>
      <c r="O928"/>
      <c r="P928"/>
      <c r="Q928" s="9">
        <v>44690</v>
      </c>
      <c r="R928"/>
      <c r="S928"/>
      <c r="T928"/>
      <c r="U928"/>
    </row>
    <row r="929" spans="1:21" hidden="1">
      <c r="A929" s="7" t="s">
        <v>8813</v>
      </c>
      <c r="B929" s="7" t="s">
        <v>7763</v>
      </c>
      <c r="C929" s="8" t="s">
        <v>5317</v>
      </c>
      <c r="D929" t="s">
        <v>266</v>
      </c>
      <c r="E929" t="s">
        <v>1060</v>
      </c>
      <c r="F929" t="s">
        <v>117</v>
      </c>
      <c r="G929" t="s">
        <v>1061</v>
      </c>
      <c r="H929" s="9">
        <v>44657</v>
      </c>
      <c r="I929" t="s">
        <v>488</v>
      </c>
      <c r="J929" t="s">
        <v>0</v>
      </c>
      <c r="K929" s="9">
        <v>44691</v>
      </c>
      <c r="L929" t="s">
        <v>29</v>
      </c>
      <c r="M929"/>
      <c r="N929" s="9">
        <v>44686</v>
      </c>
      <c r="O929"/>
      <c r="P929"/>
      <c r="Q929" s="9">
        <v>44691</v>
      </c>
      <c r="R929"/>
      <c r="S929"/>
      <c r="T929"/>
      <c r="U929"/>
    </row>
    <row r="930" spans="1:21" hidden="1">
      <c r="A930" s="7" t="s">
        <v>8813</v>
      </c>
      <c r="B930" s="7" t="s">
        <v>7763</v>
      </c>
      <c r="C930" s="8" t="s">
        <v>5317</v>
      </c>
      <c r="D930" t="s">
        <v>266</v>
      </c>
      <c r="E930" t="s">
        <v>1060</v>
      </c>
      <c r="F930" t="s">
        <v>117</v>
      </c>
      <c r="G930" t="s">
        <v>1062</v>
      </c>
      <c r="H930" s="9">
        <v>44657</v>
      </c>
      <c r="I930" t="s">
        <v>488</v>
      </c>
      <c r="J930" t="s">
        <v>0</v>
      </c>
      <c r="K930" s="9">
        <v>44691</v>
      </c>
      <c r="L930" t="s">
        <v>29</v>
      </c>
      <c r="M930"/>
      <c r="N930" s="9">
        <v>44686</v>
      </c>
      <c r="O930"/>
      <c r="P930"/>
      <c r="Q930" s="9">
        <v>44691</v>
      </c>
      <c r="R930"/>
      <c r="S930"/>
      <c r="T930"/>
      <c r="U930"/>
    </row>
    <row r="931" spans="1:21" hidden="1">
      <c r="A931" s="7" t="s">
        <v>8813</v>
      </c>
      <c r="B931" s="7" t="s">
        <v>7763</v>
      </c>
      <c r="C931" s="8" t="s">
        <v>5317</v>
      </c>
      <c r="D931" t="s">
        <v>266</v>
      </c>
      <c r="E931" t="s">
        <v>1060</v>
      </c>
      <c r="F931" t="s">
        <v>117</v>
      </c>
      <c r="G931" t="s">
        <v>1063</v>
      </c>
      <c r="H931" s="9">
        <v>44657</v>
      </c>
      <c r="I931" t="s">
        <v>488</v>
      </c>
      <c r="J931" t="s">
        <v>0</v>
      </c>
      <c r="K931" s="9">
        <v>44691</v>
      </c>
      <c r="L931" t="s">
        <v>29</v>
      </c>
      <c r="M931"/>
      <c r="N931" s="9">
        <v>44686</v>
      </c>
      <c r="O931"/>
      <c r="P931"/>
      <c r="Q931" s="9">
        <v>44691</v>
      </c>
      <c r="R931"/>
      <c r="S931"/>
      <c r="T931"/>
      <c r="U931"/>
    </row>
    <row r="932" spans="1:21" hidden="1">
      <c r="A932" s="7" t="s">
        <v>8813</v>
      </c>
      <c r="B932" s="7" t="s">
        <v>7763</v>
      </c>
      <c r="C932" s="8" t="s">
        <v>5317</v>
      </c>
      <c r="D932" t="s">
        <v>266</v>
      </c>
      <c r="E932" t="s">
        <v>1060</v>
      </c>
      <c r="F932" t="s">
        <v>117</v>
      </c>
      <c r="G932" t="s">
        <v>1064</v>
      </c>
      <c r="H932" s="9">
        <v>44657</v>
      </c>
      <c r="I932" t="s">
        <v>488</v>
      </c>
      <c r="J932" t="s">
        <v>0</v>
      </c>
      <c r="K932" s="9">
        <v>44691</v>
      </c>
      <c r="L932" t="s">
        <v>29</v>
      </c>
      <c r="M932"/>
      <c r="N932" s="9">
        <v>44686</v>
      </c>
      <c r="O932"/>
      <c r="P932"/>
      <c r="Q932" s="9">
        <v>44691</v>
      </c>
      <c r="R932"/>
      <c r="S932"/>
      <c r="T932"/>
      <c r="U932"/>
    </row>
    <row r="933" spans="1:21" hidden="1">
      <c r="A933" s="7" t="s">
        <v>8814</v>
      </c>
      <c r="B933" s="7" t="s">
        <v>6936</v>
      </c>
      <c r="C933" s="8" t="s">
        <v>5317</v>
      </c>
      <c r="D933" t="s">
        <v>266</v>
      </c>
      <c r="E933" t="s">
        <v>1032</v>
      </c>
      <c r="F933" t="s">
        <v>280</v>
      </c>
      <c r="G933" t="s">
        <v>1065</v>
      </c>
      <c r="H933" s="9">
        <v>44657</v>
      </c>
      <c r="I933" t="s">
        <v>984</v>
      </c>
      <c r="J933" t="s">
        <v>2</v>
      </c>
      <c r="K933" s="9">
        <v>44694</v>
      </c>
      <c r="L933" t="s">
        <v>29</v>
      </c>
      <c r="M933" t="s">
        <v>1066</v>
      </c>
      <c r="N933" s="9">
        <v>44686</v>
      </c>
      <c r="O933" s="9">
        <v>44693</v>
      </c>
      <c r="P933" s="9">
        <v>44693</v>
      </c>
      <c r="Q933"/>
      <c r="R933"/>
      <c r="S933"/>
      <c r="T933"/>
      <c r="U933"/>
    </row>
    <row r="934" spans="1:21" hidden="1">
      <c r="A934" s="7" t="s">
        <v>8805</v>
      </c>
      <c r="B934" s="7" t="s">
        <v>6936</v>
      </c>
      <c r="C934" s="8" t="s">
        <v>5317</v>
      </c>
      <c r="D934" t="s">
        <v>266</v>
      </c>
      <c r="E934" t="s">
        <v>1032</v>
      </c>
      <c r="F934" t="s">
        <v>83</v>
      </c>
      <c r="G934" t="s">
        <v>1067</v>
      </c>
      <c r="H934" s="9">
        <v>44657</v>
      </c>
      <c r="I934" t="s">
        <v>984</v>
      </c>
      <c r="J934" t="s">
        <v>2</v>
      </c>
      <c r="K934" s="9">
        <v>44697</v>
      </c>
      <c r="L934" t="s">
        <v>29</v>
      </c>
      <c r="M934" t="s">
        <v>1066</v>
      </c>
      <c r="N934" s="9">
        <v>44686</v>
      </c>
      <c r="O934" s="9">
        <v>44693</v>
      </c>
      <c r="P934" s="9">
        <v>44693</v>
      </c>
      <c r="Q934"/>
      <c r="R934"/>
      <c r="S934"/>
      <c r="T934"/>
      <c r="U934"/>
    </row>
    <row r="935" spans="1:21" hidden="1">
      <c r="A935" s="7" t="s">
        <v>8815</v>
      </c>
      <c r="B935" s="7" t="s">
        <v>7310</v>
      </c>
      <c r="C935" s="8" t="s">
        <v>5317</v>
      </c>
      <c r="D935" t="s">
        <v>216</v>
      </c>
      <c r="E935" t="s">
        <v>1068</v>
      </c>
      <c r="F935" t="s">
        <v>117</v>
      </c>
      <c r="G935" t="s">
        <v>1069</v>
      </c>
      <c r="H935" s="9">
        <v>44657</v>
      </c>
      <c r="I935" t="s">
        <v>1070</v>
      </c>
      <c r="J935" t="s">
        <v>0</v>
      </c>
      <c r="K935" s="9">
        <v>44699</v>
      </c>
      <c r="L935" t="s">
        <v>29</v>
      </c>
      <c r="M935"/>
      <c r="N935"/>
      <c r="O935"/>
      <c r="P935"/>
      <c r="Q935" s="9">
        <v>44699</v>
      </c>
      <c r="R935" s="9">
        <v>44673.4628240741</v>
      </c>
      <c r="S935"/>
      <c r="T935"/>
      <c r="U935"/>
    </row>
    <row r="936" spans="1:21" hidden="1">
      <c r="A936" s="7" t="s">
        <v>8815</v>
      </c>
      <c r="B936" s="7" t="s">
        <v>7310</v>
      </c>
      <c r="C936" s="8" t="s">
        <v>5317</v>
      </c>
      <c r="D936" t="s">
        <v>216</v>
      </c>
      <c r="E936" t="s">
        <v>1068</v>
      </c>
      <c r="F936" t="s">
        <v>117</v>
      </c>
      <c r="G936" t="s">
        <v>1071</v>
      </c>
      <c r="H936" s="9">
        <v>44657</v>
      </c>
      <c r="I936" t="s">
        <v>1070</v>
      </c>
      <c r="J936" t="s">
        <v>0</v>
      </c>
      <c r="K936" s="9">
        <v>44699</v>
      </c>
      <c r="L936" t="s">
        <v>29</v>
      </c>
      <c r="M936"/>
      <c r="N936"/>
      <c r="O936"/>
      <c r="P936"/>
      <c r="Q936" s="9">
        <v>44699</v>
      </c>
      <c r="R936" s="9">
        <v>44673.4628240741</v>
      </c>
      <c r="S936"/>
      <c r="T936"/>
      <c r="U936"/>
    </row>
    <row r="937" spans="1:21" hidden="1">
      <c r="A937" s="7" t="s">
        <v>8816</v>
      </c>
      <c r="B937" s="7" t="s">
        <v>7729</v>
      </c>
      <c r="C937" s="8" t="s">
        <v>5317</v>
      </c>
      <c r="D937" t="s">
        <v>216</v>
      </c>
      <c r="E937" t="s">
        <v>1072</v>
      </c>
      <c r="F937" t="s">
        <v>117</v>
      </c>
      <c r="G937" t="s">
        <v>1073</v>
      </c>
      <c r="H937" s="9">
        <v>44657</v>
      </c>
      <c r="I937" t="s">
        <v>1070</v>
      </c>
      <c r="J937" t="s">
        <v>163</v>
      </c>
      <c r="K937" s="9">
        <v>44693</v>
      </c>
      <c r="L937" t="s">
        <v>29</v>
      </c>
      <c r="M937"/>
      <c r="N937" s="9">
        <v>44686</v>
      </c>
      <c r="O937" s="9">
        <v>44693</v>
      </c>
      <c r="P937" s="9">
        <v>44693</v>
      </c>
      <c r="Q937"/>
      <c r="R937"/>
      <c r="S937"/>
      <c r="T937"/>
      <c r="U937"/>
    </row>
    <row r="938" spans="1:21" hidden="1">
      <c r="A938" s="7" t="s">
        <v>8816</v>
      </c>
      <c r="B938" s="7" t="s">
        <v>7729</v>
      </c>
      <c r="C938" s="8" t="s">
        <v>5317</v>
      </c>
      <c r="D938" t="s">
        <v>216</v>
      </c>
      <c r="E938" t="s">
        <v>1072</v>
      </c>
      <c r="F938" t="s">
        <v>117</v>
      </c>
      <c r="G938" t="s">
        <v>1074</v>
      </c>
      <c r="H938" s="9">
        <v>44657</v>
      </c>
      <c r="I938" t="s">
        <v>1070</v>
      </c>
      <c r="J938" t="s">
        <v>163</v>
      </c>
      <c r="K938" s="9">
        <v>44693</v>
      </c>
      <c r="L938" t="s">
        <v>29</v>
      </c>
      <c r="M938"/>
      <c r="N938" s="9">
        <v>44686</v>
      </c>
      <c r="O938" s="9">
        <v>44693</v>
      </c>
      <c r="P938" s="9">
        <v>44693</v>
      </c>
      <c r="Q938"/>
      <c r="R938"/>
      <c r="S938"/>
      <c r="T938"/>
      <c r="U938"/>
    </row>
    <row r="939" spans="1:21" hidden="1">
      <c r="A939" s="7" t="s">
        <v>8817</v>
      </c>
      <c r="B939" s="7" t="s">
        <v>7831</v>
      </c>
      <c r="C939" s="8" t="s">
        <v>5317</v>
      </c>
      <c r="D939" t="s">
        <v>216</v>
      </c>
      <c r="E939" t="s">
        <v>1075</v>
      </c>
      <c r="F939" t="s">
        <v>117</v>
      </c>
      <c r="G939" t="s">
        <v>1076</v>
      </c>
      <c r="H939" s="9">
        <v>44657</v>
      </c>
      <c r="I939" t="s">
        <v>1077</v>
      </c>
      <c r="J939" t="s">
        <v>163</v>
      </c>
      <c r="K939" s="9">
        <v>44693</v>
      </c>
      <c r="L939" t="s">
        <v>29</v>
      </c>
      <c r="M939"/>
      <c r="N939" s="9">
        <v>44686</v>
      </c>
      <c r="O939" s="9">
        <v>44693</v>
      </c>
      <c r="P939" s="9">
        <v>44693</v>
      </c>
      <c r="Q939"/>
      <c r="R939"/>
      <c r="S939"/>
      <c r="T939"/>
      <c r="U939"/>
    </row>
    <row r="940" spans="1:21" hidden="1">
      <c r="A940" s="7" t="s">
        <v>8817</v>
      </c>
      <c r="B940" s="7" t="s">
        <v>7831</v>
      </c>
      <c r="C940" s="8" t="s">
        <v>5317</v>
      </c>
      <c r="D940" t="s">
        <v>216</v>
      </c>
      <c r="E940" t="s">
        <v>1075</v>
      </c>
      <c r="F940" t="s">
        <v>117</v>
      </c>
      <c r="G940" t="s">
        <v>1078</v>
      </c>
      <c r="H940" s="9">
        <v>44657</v>
      </c>
      <c r="I940" t="s">
        <v>1077</v>
      </c>
      <c r="J940" t="s">
        <v>163</v>
      </c>
      <c r="K940" s="9">
        <v>44693</v>
      </c>
      <c r="L940" t="s">
        <v>29</v>
      </c>
      <c r="M940"/>
      <c r="N940" s="9">
        <v>44686</v>
      </c>
      <c r="O940" s="9">
        <v>44693</v>
      </c>
      <c r="P940" s="9">
        <v>44693</v>
      </c>
      <c r="Q940"/>
      <c r="R940"/>
      <c r="S940"/>
      <c r="T940"/>
      <c r="U940"/>
    </row>
    <row r="941" spans="1:21" hidden="1">
      <c r="A941" s="7" t="s">
        <v>8817</v>
      </c>
      <c r="B941" s="7" t="s">
        <v>7831</v>
      </c>
      <c r="C941" s="8" t="s">
        <v>5317</v>
      </c>
      <c r="D941" t="s">
        <v>216</v>
      </c>
      <c r="E941" t="s">
        <v>1075</v>
      </c>
      <c r="F941" t="s">
        <v>117</v>
      </c>
      <c r="G941" t="s">
        <v>1079</v>
      </c>
      <c r="H941" s="9">
        <v>44657</v>
      </c>
      <c r="I941" t="s">
        <v>1077</v>
      </c>
      <c r="J941" t="s">
        <v>163</v>
      </c>
      <c r="K941" s="9">
        <v>44693</v>
      </c>
      <c r="L941" t="s">
        <v>29</v>
      </c>
      <c r="M941"/>
      <c r="N941" s="9">
        <v>44686</v>
      </c>
      <c r="O941" s="9">
        <v>44693</v>
      </c>
      <c r="P941" s="9">
        <v>44693</v>
      </c>
      <c r="Q941"/>
      <c r="R941"/>
      <c r="S941"/>
      <c r="T941"/>
      <c r="U941"/>
    </row>
    <row r="942" spans="1:21" hidden="1">
      <c r="A942" s="7" t="s">
        <v>8817</v>
      </c>
      <c r="B942" s="7" t="s">
        <v>7831</v>
      </c>
      <c r="C942" s="8" t="s">
        <v>5317</v>
      </c>
      <c r="D942" t="s">
        <v>216</v>
      </c>
      <c r="E942" t="s">
        <v>1075</v>
      </c>
      <c r="F942" t="s">
        <v>117</v>
      </c>
      <c r="G942" t="s">
        <v>1080</v>
      </c>
      <c r="H942" s="9">
        <v>44657</v>
      </c>
      <c r="I942" t="s">
        <v>1077</v>
      </c>
      <c r="J942" t="s">
        <v>163</v>
      </c>
      <c r="K942" s="9">
        <v>44693</v>
      </c>
      <c r="L942" t="s">
        <v>29</v>
      </c>
      <c r="M942"/>
      <c r="N942" s="9">
        <v>44686</v>
      </c>
      <c r="O942" s="9">
        <v>44693</v>
      </c>
      <c r="P942" s="9">
        <v>44693</v>
      </c>
      <c r="Q942"/>
      <c r="R942"/>
      <c r="S942"/>
      <c r="T942"/>
      <c r="U942"/>
    </row>
    <row r="943" spans="1:21" hidden="1">
      <c r="A943" s="7" t="s">
        <v>8817</v>
      </c>
      <c r="B943" s="7" t="s">
        <v>7831</v>
      </c>
      <c r="C943" s="8" t="s">
        <v>5317</v>
      </c>
      <c r="D943" t="s">
        <v>216</v>
      </c>
      <c r="E943" t="s">
        <v>1075</v>
      </c>
      <c r="F943" t="s">
        <v>117</v>
      </c>
      <c r="G943" t="s">
        <v>1081</v>
      </c>
      <c r="H943" s="9">
        <v>44657</v>
      </c>
      <c r="I943" t="s">
        <v>1077</v>
      </c>
      <c r="J943" t="s">
        <v>163</v>
      </c>
      <c r="K943" s="9">
        <v>44693</v>
      </c>
      <c r="L943" t="s">
        <v>29</v>
      </c>
      <c r="M943"/>
      <c r="N943" s="9">
        <v>44686</v>
      </c>
      <c r="O943" s="9">
        <v>44693</v>
      </c>
      <c r="P943" s="9">
        <v>44693</v>
      </c>
      <c r="Q943"/>
      <c r="R943"/>
      <c r="S943"/>
      <c r="T943"/>
      <c r="U943"/>
    </row>
    <row r="944" spans="1:21" hidden="1">
      <c r="A944" s="7" t="s">
        <v>8817</v>
      </c>
      <c r="B944" s="7" t="s">
        <v>7831</v>
      </c>
      <c r="C944" s="8" t="s">
        <v>5317</v>
      </c>
      <c r="D944" t="s">
        <v>216</v>
      </c>
      <c r="E944" t="s">
        <v>1075</v>
      </c>
      <c r="F944" t="s">
        <v>117</v>
      </c>
      <c r="G944" t="s">
        <v>1082</v>
      </c>
      <c r="H944" s="9">
        <v>44657</v>
      </c>
      <c r="I944" t="s">
        <v>1077</v>
      </c>
      <c r="J944" t="s">
        <v>163</v>
      </c>
      <c r="K944" s="9">
        <v>44693</v>
      </c>
      <c r="L944" t="s">
        <v>29</v>
      </c>
      <c r="M944"/>
      <c r="N944" s="9">
        <v>44686</v>
      </c>
      <c r="O944" s="9">
        <v>44693</v>
      </c>
      <c r="P944" s="9">
        <v>44693</v>
      </c>
      <c r="Q944"/>
      <c r="R944"/>
      <c r="S944"/>
      <c r="T944"/>
      <c r="U944"/>
    </row>
    <row r="945" spans="1:21" hidden="1">
      <c r="A945" s="7" t="s">
        <v>8817</v>
      </c>
      <c r="B945" s="7" t="s">
        <v>7831</v>
      </c>
      <c r="C945" s="8" t="s">
        <v>5317</v>
      </c>
      <c r="D945" t="s">
        <v>216</v>
      </c>
      <c r="E945" t="s">
        <v>1075</v>
      </c>
      <c r="F945" t="s">
        <v>117</v>
      </c>
      <c r="G945" t="s">
        <v>1083</v>
      </c>
      <c r="H945" s="9">
        <v>44657</v>
      </c>
      <c r="I945" t="s">
        <v>1077</v>
      </c>
      <c r="J945" t="s">
        <v>163</v>
      </c>
      <c r="K945" s="9">
        <v>44693</v>
      </c>
      <c r="L945" t="s">
        <v>29</v>
      </c>
      <c r="M945"/>
      <c r="N945" s="9">
        <v>44686</v>
      </c>
      <c r="O945" s="9">
        <v>44693</v>
      </c>
      <c r="P945" s="9">
        <v>44693</v>
      </c>
      <c r="Q945"/>
      <c r="R945"/>
      <c r="S945"/>
      <c r="T945"/>
      <c r="U945"/>
    </row>
    <row r="946" spans="1:21" hidden="1">
      <c r="A946" s="7" t="s">
        <v>8817</v>
      </c>
      <c r="B946" s="7" t="s">
        <v>7831</v>
      </c>
      <c r="C946" s="8" t="s">
        <v>5317</v>
      </c>
      <c r="D946" t="s">
        <v>216</v>
      </c>
      <c r="E946" t="s">
        <v>1075</v>
      </c>
      <c r="F946" t="s">
        <v>117</v>
      </c>
      <c r="G946" t="s">
        <v>1084</v>
      </c>
      <c r="H946" s="9">
        <v>44657</v>
      </c>
      <c r="I946" t="s">
        <v>1077</v>
      </c>
      <c r="J946" t="s">
        <v>163</v>
      </c>
      <c r="K946" s="9">
        <v>44693</v>
      </c>
      <c r="L946" t="s">
        <v>29</v>
      </c>
      <c r="M946"/>
      <c r="N946" s="9">
        <v>44686</v>
      </c>
      <c r="O946" s="9">
        <v>44693</v>
      </c>
      <c r="P946" s="9">
        <v>44693</v>
      </c>
      <c r="Q946"/>
      <c r="R946"/>
      <c r="S946"/>
      <c r="T946"/>
      <c r="U946"/>
    </row>
    <row r="947" spans="1:21" hidden="1">
      <c r="A947" s="7" t="s">
        <v>8817</v>
      </c>
      <c r="B947" s="7" t="s">
        <v>7831</v>
      </c>
      <c r="C947" s="8" t="s">
        <v>5317</v>
      </c>
      <c r="D947" t="s">
        <v>216</v>
      </c>
      <c r="E947" t="s">
        <v>1075</v>
      </c>
      <c r="F947" t="s">
        <v>117</v>
      </c>
      <c r="G947" t="s">
        <v>1085</v>
      </c>
      <c r="H947" s="9">
        <v>44657</v>
      </c>
      <c r="I947" t="s">
        <v>1077</v>
      </c>
      <c r="J947" t="s">
        <v>163</v>
      </c>
      <c r="K947" s="9">
        <v>44693</v>
      </c>
      <c r="L947" t="s">
        <v>29</v>
      </c>
      <c r="M947"/>
      <c r="N947" s="9">
        <v>44686</v>
      </c>
      <c r="O947" s="9">
        <v>44693</v>
      </c>
      <c r="P947" s="9">
        <v>44693</v>
      </c>
      <c r="Q947"/>
      <c r="R947"/>
      <c r="S947"/>
      <c r="T947"/>
      <c r="U947"/>
    </row>
    <row r="948" spans="1:21" hidden="1">
      <c r="A948" s="7" t="s">
        <v>8817</v>
      </c>
      <c r="B948" s="7" t="s">
        <v>7831</v>
      </c>
      <c r="C948" s="8" t="s">
        <v>5317</v>
      </c>
      <c r="D948" t="s">
        <v>216</v>
      </c>
      <c r="E948" t="s">
        <v>1075</v>
      </c>
      <c r="F948" t="s">
        <v>117</v>
      </c>
      <c r="G948" t="s">
        <v>1086</v>
      </c>
      <c r="H948" s="9">
        <v>44657</v>
      </c>
      <c r="I948" t="s">
        <v>1077</v>
      </c>
      <c r="J948" t="s">
        <v>163</v>
      </c>
      <c r="K948" s="9">
        <v>44693</v>
      </c>
      <c r="L948" t="s">
        <v>29</v>
      </c>
      <c r="M948"/>
      <c r="N948" s="9">
        <v>44686</v>
      </c>
      <c r="O948" s="9">
        <v>44693</v>
      </c>
      <c r="P948" s="9">
        <v>44693</v>
      </c>
      <c r="Q948"/>
      <c r="R948"/>
      <c r="S948"/>
      <c r="T948"/>
      <c r="U948"/>
    </row>
    <row r="949" spans="1:21" hidden="1">
      <c r="A949" s="7" t="s">
        <v>8817</v>
      </c>
      <c r="B949" s="7" t="s">
        <v>7831</v>
      </c>
      <c r="C949" s="8" t="s">
        <v>5317</v>
      </c>
      <c r="D949" t="s">
        <v>216</v>
      </c>
      <c r="E949" t="s">
        <v>1075</v>
      </c>
      <c r="F949" t="s">
        <v>117</v>
      </c>
      <c r="G949" t="s">
        <v>1087</v>
      </c>
      <c r="H949" s="9">
        <v>44657</v>
      </c>
      <c r="I949" t="s">
        <v>1077</v>
      </c>
      <c r="J949" t="s">
        <v>163</v>
      </c>
      <c r="K949" s="9">
        <v>44693</v>
      </c>
      <c r="L949" t="s">
        <v>29</v>
      </c>
      <c r="M949"/>
      <c r="N949" s="9">
        <v>44686</v>
      </c>
      <c r="O949" s="9">
        <v>44693</v>
      </c>
      <c r="P949" s="9">
        <v>44693</v>
      </c>
      <c r="Q949"/>
      <c r="R949"/>
      <c r="S949"/>
      <c r="T949"/>
      <c r="U949"/>
    </row>
    <row r="950" spans="1:21" hidden="1">
      <c r="A950" s="7" t="s">
        <v>8763</v>
      </c>
      <c r="B950" s="7" t="s">
        <v>5405</v>
      </c>
      <c r="C950" s="8" t="s">
        <v>5317</v>
      </c>
      <c r="D950" t="s">
        <v>216</v>
      </c>
      <c r="E950" t="s">
        <v>25</v>
      </c>
      <c r="F950" t="s">
        <v>280</v>
      </c>
      <c r="G950" t="s">
        <v>1088</v>
      </c>
      <c r="H950" s="9">
        <v>44657</v>
      </c>
      <c r="I950" t="s">
        <v>8634</v>
      </c>
      <c r="J950" t="s">
        <v>163</v>
      </c>
      <c r="K950" s="9">
        <v>44693</v>
      </c>
      <c r="L950" t="s">
        <v>29</v>
      </c>
      <c r="M950"/>
      <c r="N950" s="9">
        <v>44686</v>
      </c>
      <c r="O950" s="9">
        <v>44693</v>
      </c>
      <c r="P950" s="9">
        <v>44693</v>
      </c>
      <c r="Q950"/>
      <c r="R950"/>
      <c r="S950"/>
      <c r="T950"/>
      <c r="U950"/>
    </row>
    <row r="951" spans="1:21" hidden="1">
      <c r="A951" s="7" t="s">
        <v>8763</v>
      </c>
      <c r="B951" s="7" t="s">
        <v>5405</v>
      </c>
      <c r="C951" s="8" t="s">
        <v>5317</v>
      </c>
      <c r="D951" t="s">
        <v>216</v>
      </c>
      <c r="E951" t="s">
        <v>25</v>
      </c>
      <c r="F951" t="s">
        <v>280</v>
      </c>
      <c r="G951" t="s">
        <v>1089</v>
      </c>
      <c r="H951" s="9">
        <v>44657</v>
      </c>
      <c r="I951" t="s">
        <v>8634</v>
      </c>
      <c r="J951" t="s">
        <v>163</v>
      </c>
      <c r="K951" s="9">
        <v>44693</v>
      </c>
      <c r="L951" t="s">
        <v>29</v>
      </c>
      <c r="M951"/>
      <c r="N951" s="9">
        <v>44686</v>
      </c>
      <c r="O951" s="9">
        <v>44693</v>
      </c>
      <c r="P951" s="9">
        <v>44693</v>
      </c>
      <c r="Q951"/>
      <c r="R951"/>
      <c r="S951"/>
      <c r="T951"/>
      <c r="U951"/>
    </row>
    <row r="952" spans="1:21" hidden="1">
      <c r="A952" s="7" t="s">
        <v>8763</v>
      </c>
      <c r="B952" s="7" t="s">
        <v>5405</v>
      </c>
      <c r="C952" s="8" t="s">
        <v>5317</v>
      </c>
      <c r="D952" t="s">
        <v>216</v>
      </c>
      <c r="E952" t="s">
        <v>25</v>
      </c>
      <c r="F952" t="s">
        <v>280</v>
      </c>
      <c r="G952" t="s">
        <v>1090</v>
      </c>
      <c r="H952" s="9">
        <v>44657</v>
      </c>
      <c r="I952" t="s">
        <v>8634</v>
      </c>
      <c r="J952" t="s">
        <v>163</v>
      </c>
      <c r="K952" s="9">
        <v>44693</v>
      </c>
      <c r="L952" t="s">
        <v>29</v>
      </c>
      <c r="M952"/>
      <c r="N952" s="9">
        <v>44686</v>
      </c>
      <c r="O952" s="9">
        <v>44693</v>
      </c>
      <c r="P952" s="9">
        <v>44693</v>
      </c>
      <c r="Q952"/>
      <c r="R952"/>
      <c r="S952"/>
      <c r="T952"/>
      <c r="U952"/>
    </row>
    <row r="953" spans="1:21" hidden="1">
      <c r="A953" s="7" t="s">
        <v>8763</v>
      </c>
      <c r="B953" s="7" t="s">
        <v>5405</v>
      </c>
      <c r="C953" s="8" t="s">
        <v>5317</v>
      </c>
      <c r="D953" t="s">
        <v>216</v>
      </c>
      <c r="E953" t="s">
        <v>25</v>
      </c>
      <c r="F953" t="s">
        <v>280</v>
      </c>
      <c r="G953" t="s">
        <v>1091</v>
      </c>
      <c r="H953" s="9">
        <v>44657</v>
      </c>
      <c r="I953" t="s">
        <v>8634</v>
      </c>
      <c r="J953" t="s">
        <v>163</v>
      </c>
      <c r="K953" s="9">
        <v>44693</v>
      </c>
      <c r="L953" t="s">
        <v>29</v>
      </c>
      <c r="M953"/>
      <c r="N953" s="9">
        <v>44686</v>
      </c>
      <c r="O953" s="9">
        <v>44693</v>
      </c>
      <c r="P953" s="9">
        <v>44693</v>
      </c>
      <c r="Q953"/>
      <c r="R953"/>
      <c r="S953"/>
      <c r="T953"/>
      <c r="U953"/>
    </row>
    <row r="954" spans="1:21" hidden="1">
      <c r="A954" s="7" t="s">
        <v>8763</v>
      </c>
      <c r="B954" s="7" t="s">
        <v>5405</v>
      </c>
      <c r="C954" s="8" t="s">
        <v>5317</v>
      </c>
      <c r="D954" t="s">
        <v>216</v>
      </c>
      <c r="E954" t="s">
        <v>25</v>
      </c>
      <c r="F954" t="s">
        <v>280</v>
      </c>
      <c r="G954" t="s">
        <v>1092</v>
      </c>
      <c r="H954" s="9">
        <v>44657</v>
      </c>
      <c r="I954" t="s">
        <v>8634</v>
      </c>
      <c r="J954" t="s">
        <v>163</v>
      </c>
      <c r="K954" s="9">
        <v>44693</v>
      </c>
      <c r="L954" t="s">
        <v>29</v>
      </c>
      <c r="M954"/>
      <c r="N954" s="9">
        <v>44686</v>
      </c>
      <c r="O954" s="9">
        <v>44693</v>
      </c>
      <c r="P954" s="9">
        <v>44693</v>
      </c>
      <c r="Q954"/>
      <c r="R954"/>
      <c r="S954"/>
      <c r="T954"/>
      <c r="U954"/>
    </row>
    <row r="955" spans="1:21" hidden="1">
      <c r="A955" s="7" t="s">
        <v>8818</v>
      </c>
      <c r="B955" s="7" t="s">
        <v>7332</v>
      </c>
      <c r="C955" s="8" t="s">
        <v>5317</v>
      </c>
      <c r="D955" t="s">
        <v>216</v>
      </c>
      <c r="E955" t="s">
        <v>1093</v>
      </c>
      <c r="F955" t="s">
        <v>117</v>
      </c>
      <c r="G955" t="s">
        <v>1094</v>
      </c>
      <c r="H955" s="9">
        <v>44657</v>
      </c>
      <c r="I955" t="s">
        <v>1077</v>
      </c>
      <c r="J955" t="s">
        <v>163</v>
      </c>
      <c r="K955" s="9">
        <v>44693</v>
      </c>
      <c r="L955" t="s">
        <v>29</v>
      </c>
      <c r="M955"/>
      <c r="N955" s="9">
        <v>44686</v>
      </c>
      <c r="O955" s="9">
        <v>44693</v>
      </c>
      <c r="P955" s="9">
        <v>44693</v>
      </c>
      <c r="Q955"/>
      <c r="R955"/>
      <c r="S955"/>
      <c r="T955"/>
      <c r="U955"/>
    </row>
    <row r="956" spans="1:21" hidden="1">
      <c r="A956" s="7" t="s">
        <v>8818</v>
      </c>
      <c r="B956" s="7" t="s">
        <v>7332</v>
      </c>
      <c r="C956" s="8" t="s">
        <v>5317</v>
      </c>
      <c r="D956" t="s">
        <v>216</v>
      </c>
      <c r="E956" t="s">
        <v>1093</v>
      </c>
      <c r="F956" t="s">
        <v>117</v>
      </c>
      <c r="G956" t="s">
        <v>1095</v>
      </c>
      <c r="H956" s="9">
        <v>44657</v>
      </c>
      <c r="I956" t="s">
        <v>1077</v>
      </c>
      <c r="J956" t="s">
        <v>163</v>
      </c>
      <c r="K956" s="9">
        <v>44693</v>
      </c>
      <c r="L956" t="s">
        <v>29</v>
      </c>
      <c r="M956"/>
      <c r="N956" s="9">
        <v>44686</v>
      </c>
      <c r="O956" s="9">
        <v>44693</v>
      </c>
      <c r="P956" s="9">
        <v>44693</v>
      </c>
      <c r="Q956"/>
      <c r="R956"/>
      <c r="S956"/>
      <c r="T956"/>
      <c r="U956"/>
    </row>
    <row r="957" spans="1:21" hidden="1">
      <c r="A957" s="7" t="s">
        <v>8818</v>
      </c>
      <c r="B957" s="7" t="s">
        <v>7332</v>
      </c>
      <c r="C957" s="8" t="s">
        <v>5317</v>
      </c>
      <c r="D957" t="s">
        <v>216</v>
      </c>
      <c r="E957" t="s">
        <v>1093</v>
      </c>
      <c r="F957" t="s">
        <v>117</v>
      </c>
      <c r="G957" t="s">
        <v>1096</v>
      </c>
      <c r="H957" s="9">
        <v>44657</v>
      </c>
      <c r="I957" t="s">
        <v>1077</v>
      </c>
      <c r="J957" t="s">
        <v>163</v>
      </c>
      <c r="K957" s="9">
        <v>44693</v>
      </c>
      <c r="L957" t="s">
        <v>29</v>
      </c>
      <c r="M957"/>
      <c r="N957" s="9">
        <v>44686</v>
      </c>
      <c r="O957" s="9">
        <v>44693</v>
      </c>
      <c r="P957" s="9">
        <v>44693</v>
      </c>
      <c r="Q957"/>
      <c r="R957"/>
      <c r="S957"/>
      <c r="T957"/>
      <c r="U957"/>
    </row>
    <row r="958" spans="1:21" hidden="1">
      <c r="A958" s="7" t="s">
        <v>8818</v>
      </c>
      <c r="B958" s="7" t="s">
        <v>7332</v>
      </c>
      <c r="C958" s="8" t="s">
        <v>5317</v>
      </c>
      <c r="D958" t="s">
        <v>216</v>
      </c>
      <c r="E958" t="s">
        <v>1093</v>
      </c>
      <c r="F958" t="s">
        <v>117</v>
      </c>
      <c r="G958" t="s">
        <v>1097</v>
      </c>
      <c r="H958" s="9">
        <v>44657</v>
      </c>
      <c r="I958" t="s">
        <v>1077</v>
      </c>
      <c r="J958" t="s">
        <v>163</v>
      </c>
      <c r="K958" s="9">
        <v>44693</v>
      </c>
      <c r="L958" t="s">
        <v>29</v>
      </c>
      <c r="M958"/>
      <c r="N958" s="9">
        <v>44686</v>
      </c>
      <c r="O958" s="9">
        <v>44693</v>
      </c>
      <c r="P958" s="9">
        <v>44693</v>
      </c>
      <c r="Q958"/>
      <c r="R958"/>
      <c r="S958"/>
      <c r="T958"/>
      <c r="U958"/>
    </row>
    <row r="959" spans="1:21" hidden="1">
      <c r="A959" s="7" t="s">
        <v>8818</v>
      </c>
      <c r="B959" s="7" t="s">
        <v>7332</v>
      </c>
      <c r="C959" s="8" t="s">
        <v>5317</v>
      </c>
      <c r="D959" t="s">
        <v>216</v>
      </c>
      <c r="E959" t="s">
        <v>1093</v>
      </c>
      <c r="F959" t="s">
        <v>117</v>
      </c>
      <c r="G959" t="s">
        <v>1098</v>
      </c>
      <c r="H959" s="9">
        <v>44657</v>
      </c>
      <c r="I959" t="s">
        <v>1077</v>
      </c>
      <c r="J959" t="s">
        <v>163</v>
      </c>
      <c r="K959" s="9">
        <v>44693</v>
      </c>
      <c r="L959" t="s">
        <v>29</v>
      </c>
      <c r="M959"/>
      <c r="N959" s="9">
        <v>44686</v>
      </c>
      <c r="O959" s="9">
        <v>44693</v>
      </c>
      <c r="P959" s="9">
        <v>44693</v>
      </c>
      <c r="Q959"/>
      <c r="R959"/>
      <c r="S959"/>
      <c r="T959"/>
      <c r="U959"/>
    </row>
    <row r="960" spans="1:21" hidden="1">
      <c r="A960" s="7" t="s">
        <v>8818</v>
      </c>
      <c r="B960" s="7" t="s">
        <v>7332</v>
      </c>
      <c r="C960" s="8" t="s">
        <v>5317</v>
      </c>
      <c r="D960" t="s">
        <v>216</v>
      </c>
      <c r="E960" t="s">
        <v>1093</v>
      </c>
      <c r="F960" t="s">
        <v>117</v>
      </c>
      <c r="G960" t="s">
        <v>1099</v>
      </c>
      <c r="H960" s="9">
        <v>44657</v>
      </c>
      <c r="I960" t="s">
        <v>1077</v>
      </c>
      <c r="J960" t="s">
        <v>163</v>
      </c>
      <c r="K960" s="9">
        <v>44693</v>
      </c>
      <c r="L960" t="s">
        <v>29</v>
      </c>
      <c r="M960"/>
      <c r="N960" s="9">
        <v>44686</v>
      </c>
      <c r="O960" s="9">
        <v>44693</v>
      </c>
      <c r="P960" s="9">
        <v>44693</v>
      </c>
      <c r="Q960"/>
      <c r="R960"/>
      <c r="S960"/>
      <c r="T960"/>
      <c r="U960"/>
    </row>
    <row r="961" spans="1:21" hidden="1">
      <c r="A961" s="7" t="s">
        <v>8818</v>
      </c>
      <c r="B961" s="7" t="s">
        <v>7332</v>
      </c>
      <c r="C961" s="8" t="s">
        <v>5317</v>
      </c>
      <c r="D961" t="s">
        <v>216</v>
      </c>
      <c r="E961" t="s">
        <v>1093</v>
      </c>
      <c r="F961" t="s">
        <v>117</v>
      </c>
      <c r="G961" t="s">
        <v>1100</v>
      </c>
      <c r="H961" s="9">
        <v>44657</v>
      </c>
      <c r="I961" t="s">
        <v>1077</v>
      </c>
      <c r="J961" t="s">
        <v>163</v>
      </c>
      <c r="K961" s="9">
        <v>44693</v>
      </c>
      <c r="L961" t="s">
        <v>29</v>
      </c>
      <c r="M961"/>
      <c r="N961" s="9">
        <v>44686</v>
      </c>
      <c r="O961" s="9">
        <v>44693</v>
      </c>
      <c r="P961" s="9">
        <v>44693</v>
      </c>
      <c r="Q961"/>
      <c r="R961"/>
      <c r="S961"/>
      <c r="T961"/>
      <c r="U961"/>
    </row>
    <row r="962" spans="1:21" hidden="1">
      <c r="A962" s="7" t="s">
        <v>8818</v>
      </c>
      <c r="B962" s="7" t="s">
        <v>7332</v>
      </c>
      <c r="C962" s="8" t="s">
        <v>5317</v>
      </c>
      <c r="D962" t="s">
        <v>216</v>
      </c>
      <c r="E962" t="s">
        <v>1093</v>
      </c>
      <c r="F962" t="s">
        <v>117</v>
      </c>
      <c r="G962" t="s">
        <v>1101</v>
      </c>
      <c r="H962" s="9">
        <v>44657</v>
      </c>
      <c r="I962" t="s">
        <v>1077</v>
      </c>
      <c r="J962" t="s">
        <v>163</v>
      </c>
      <c r="K962" s="9">
        <v>44693</v>
      </c>
      <c r="L962" t="s">
        <v>29</v>
      </c>
      <c r="M962"/>
      <c r="N962" s="9">
        <v>44686</v>
      </c>
      <c r="O962" s="9">
        <v>44693</v>
      </c>
      <c r="P962" s="9">
        <v>44693</v>
      </c>
      <c r="Q962"/>
      <c r="R962"/>
      <c r="S962"/>
      <c r="T962"/>
      <c r="U962"/>
    </row>
    <row r="963" spans="1:21" hidden="1">
      <c r="A963" s="7" t="s">
        <v>8818</v>
      </c>
      <c r="B963" s="7" t="s">
        <v>7332</v>
      </c>
      <c r="C963" s="8" t="s">
        <v>5317</v>
      </c>
      <c r="D963" t="s">
        <v>216</v>
      </c>
      <c r="E963" t="s">
        <v>1093</v>
      </c>
      <c r="F963" t="s">
        <v>117</v>
      </c>
      <c r="G963" t="s">
        <v>1102</v>
      </c>
      <c r="H963" s="9">
        <v>44657</v>
      </c>
      <c r="I963" t="s">
        <v>1077</v>
      </c>
      <c r="J963" t="s">
        <v>163</v>
      </c>
      <c r="K963" s="9">
        <v>44693</v>
      </c>
      <c r="L963" t="s">
        <v>29</v>
      </c>
      <c r="M963"/>
      <c r="N963" s="9">
        <v>44686</v>
      </c>
      <c r="O963" s="9">
        <v>44693</v>
      </c>
      <c r="P963" s="9">
        <v>44693</v>
      </c>
      <c r="Q963"/>
      <c r="R963"/>
      <c r="S963"/>
      <c r="T963"/>
      <c r="U963"/>
    </row>
    <row r="964" spans="1:21" hidden="1">
      <c r="A964" s="7" t="s">
        <v>8818</v>
      </c>
      <c r="B964" s="7" t="s">
        <v>7332</v>
      </c>
      <c r="C964" s="8" t="s">
        <v>5317</v>
      </c>
      <c r="D964" t="s">
        <v>216</v>
      </c>
      <c r="E964" t="s">
        <v>1093</v>
      </c>
      <c r="F964" t="s">
        <v>117</v>
      </c>
      <c r="G964" t="s">
        <v>1103</v>
      </c>
      <c r="H964" s="9">
        <v>44657</v>
      </c>
      <c r="I964" t="s">
        <v>1077</v>
      </c>
      <c r="J964" t="s">
        <v>163</v>
      </c>
      <c r="K964" s="9">
        <v>44693</v>
      </c>
      <c r="L964" t="s">
        <v>29</v>
      </c>
      <c r="M964"/>
      <c r="N964" s="9">
        <v>44686</v>
      </c>
      <c r="O964" s="9">
        <v>44693</v>
      </c>
      <c r="P964" s="9">
        <v>44693</v>
      </c>
      <c r="Q964"/>
      <c r="R964"/>
      <c r="S964"/>
      <c r="T964"/>
      <c r="U964"/>
    </row>
    <row r="965" spans="1:21" hidden="1">
      <c r="A965" s="7" t="s">
        <v>8818</v>
      </c>
      <c r="B965" s="7" t="s">
        <v>7332</v>
      </c>
      <c r="C965" s="8" t="s">
        <v>5317</v>
      </c>
      <c r="D965" t="s">
        <v>216</v>
      </c>
      <c r="E965" t="s">
        <v>1093</v>
      </c>
      <c r="F965" t="s">
        <v>117</v>
      </c>
      <c r="G965" t="s">
        <v>1104</v>
      </c>
      <c r="H965" s="9">
        <v>44657</v>
      </c>
      <c r="I965" t="s">
        <v>1077</v>
      </c>
      <c r="J965" t="s">
        <v>163</v>
      </c>
      <c r="K965" s="9">
        <v>44693</v>
      </c>
      <c r="L965" t="s">
        <v>29</v>
      </c>
      <c r="M965"/>
      <c r="N965" s="9">
        <v>44686</v>
      </c>
      <c r="O965" s="9">
        <v>44693</v>
      </c>
      <c r="P965" s="9">
        <v>44693</v>
      </c>
      <c r="Q965"/>
      <c r="R965"/>
      <c r="S965"/>
      <c r="T965"/>
      <c r="U965"/>
    </row>
    <row r="966" spans="1:21" hidden="1">
      <c r="A966" s="7" t="s">
        <v>8818</v>
      </c>
      <c r="B966" s="7" t="s">
        <v>7332</v>
      </c>
      <c r="C966" s="8" t="s">
        <v>5317</v>
      </c>
      <c r="D966" t="s">
        <v>216</v>
      </c>
      <c r="E966" t="s">
        <v>1093</v>
      </c>
      <c r="F966" t="s">
        <v>117</v>
      </c>
      <c r="G966" t="s">
        <v>1105</v>
      </c>
      <c r="H966" s="9">
        <v>44657</v>
      </c>
      <c r="I966" t="s">
        <v>1077</v>
      </c>
      <c r="J966" t="s">
        <v>163</v>
      </c>
      <c r="K966" s="9">
        <v>44693</v>
      </c>
      <c r="L966" t="s">
        <v>29</v>
      </c>
      <c r="M966"/>
      <c r="N966" s="9">
        <v>44686</v>
      </c>
      <c r="O966" s="9">
        <v>44693</v>
      </c>
      <c r="P966" s="9">
        <v>44693</v>
      </c>
      <c r="Q966"/>
      <c r="R966"/>
      <c r="S966"/>
      <c r="T966"/>
      <c r="U966"/>
    </row>
    <row r="967" spans="1:21" hidden="1">
      <c r="A967" s="7" t="s">
        <v>8818</v>
      </c>
      <c r="B967" s="7" t="s">
        <v>7332</v>
      </c>
      <c r="C967" s="8" t="s">
        <v>5317</v>
      </c>
      <c r="D967" t="s">
        <v>216</v>
      </c>
      <c r="E967" t="s">
        <v>1093</v>
      </c>
      <c r="F967" t="s">
        <v>117</v>
      </c>
      <c r="G967" t="s">
        <v>1106</v>
      </c>
      <c r="H967" s="9">
        <v>44657</v>
      </c>
      <c r="I967" t="s">
        <v>1077</v>
      </c>
      <c r="J967" t="s">
        <v>163</v>
      </c>
      <c r="K967" s="9">
        <v>44693</v>
      </c>
      <c r="L967" t="s">
        <v>29</v>
      </c>
      <c r="M967"/>
      <c r="N967" s="9">
        <v>44686</v>
      </c>
      <c r="O967" s="9">
        <v>44693</v>
      </c>
      <c r="P967" s="9">
        <v>44693</v>
      </c>
      <c r="Q967"/>
      <c r="R967"/>
      <c r="S967"/>
      <c r="T967"/>
      <c r="U967"/>
    </row>
    <row r="968" spans="1:21" hidden="1">
      <c r="A968" s="7" t="s">
        <v>8818</v>
      </c>
      <c r="B968" s="7" t="s">
        <v>7332</v>
      </c>
      <c r="C968" s="8" t="s">
        <v>5317</v>
      </c>
      <c r="D968" t="s">
        <v>216</v>
      </c>
      <c r="E968" t="s">
        <v>1093</v>
      </c>
      <c r="F968" t="s">
        <v>117</v>
      </c>
      <c r="G968" t="s">
        <v>1107</v>
      </c>
      <c r="H968" s="9">
        <v>44657</v>
      </c>
      <c r="I968" t="s">
        <v>1077</v>
      </c>
      <c r="J968" t="s">
        <v>163</v>
      </c>
      <c r="K968" s="9">
        <v>44693</v>
      </c>
      <c r="L968" t="s">
        <v>29</v>
      </c>
      <c r="M968"/>
      <c r="N968" s="9">
        <v>44686</v>
      </c>
      <c r="O968" s="9">
        <v>44693</v>
      </c>
      <c r="P968" s="9">
        <v>44693</v>
      </c>
      <c r="Q968"/>
      <c r="R968"/>
      <c r="S968"/>
      <c r="T968"/>
      <c r="U968"/>
    </row>
    <row r="969" spans="1:21" hidden="1">
      <c r="A969" s="7" t="s">
        <v>8818</v>
      </c>
      <c r="B969" s="7" t="s">
        <v>7332</v>
      </c>
      <c r="C969" s="8" t="s">
        <v>5317</v>
      </c>
      <c r="D969" t="s">
        <v>216</v>
      </c>
      <c r="E969" t="s">
        <v>1093</v>
      </c>
      <c r="F969" t="s">
        <v>117</v>
      </c>
      <c r="G969" t="s">
        <v>1108</v>
      </c>
      <c r="H969" s="9">
        <v>44657</v>
      </c>
      <c r="I969" t="s">
        <v>1077</v>
      </c>
      <c r="J969" t="s">
        <v>163</v>
      </c>
      <c r="K969" s="9">
        <v>44693</v>
      </c>
      <c r="L969" t="s">
        <v>29</v>
      </c>
      <c r="M969"/>
      <c r="N969" s="9">
        <v>44686</v>
      </c>
      <c r="O969" s="9">
        <v>44693</v>
      </c>
      <c r="P969" s="9">
        <v>44693</v>
      </c>
      <c r="Q969"/>
      <c r="R969"/>
      <c r="S969"/>
      <c r="T969"/>
      <c r="U969"/>
    </row>
    <row r="970" spans="1:21" hidden="1">
      <c r="A970" s="7" t="s">
        <v>8818</v>
      </c>
      <c r="B970" s="7" t="s">
        <v>7332</v>
      </c>
      <c r="C970" s="8" t="s">
        <v>5317</v>
      </c>
      <c r="D970" t="s">
        <v>216</v>
      </c>
      <c r="E970" t="s">
        <v>1093</v>
      </c>
      <c r="F970" t="s">
        <v>117</v>
      </c>
      <c r="G970" t="s">
        <v>1109</v>
      </c>
      <c r="H970" s="9">
        <v>44657</v>
      </c>
      <c r="I970" t="s">
        <v>1077</v>
      </c>
      <c r="J970" t="s">
        <v>163</v>
      </c>
      <c r="K970" s="9">
        <v>44693</v>
      </c>
      <c r="L970" t="s">
        <v>29</v>
      </c>
      <c r="M970"/>
      <c r="N970" s="9">
        <v>44686</v>
      </c>
      <c r="O970" s="9">
        <v>44693</v>
      </c>
      <c r="P970" s="9">
        <v>44693</v>
      </c>
      <c r="Q970"/>
      <c r="R970"/>
      <c r="S970"/>
      <c r="T970"/>
      <c r="U970"/>
    </row>
    <row r="971" spans="1:21" hidden="1">
      <c r="A971" s="7" t="s">
        <v>8818</v>
      </c>
      <c r="B971" s="7" t="s">
        <v>7332</v>
      </c>
      <c r="C971" s="8" t="s">
        <v>5317</v>
      </c>
      <c r="D971" t="s">
        <v>216</v>
      </c>
      <c r="E971" t="s">
        <v>1093</v>
      </c>
      <c r="F971" t="s">
        <v>117</v>
      </c>
      <c r="G971" t="s">
        <v>1110</v>
      </c>
      <c r="H971" s="9">
        <v>44657</v>
      </c>
      <c r="I971" t="s">
        <v>1077</v>
      </c>
      <c r="J971" t="s">
        <v>163</v>
      </c>
      <c r="K971" s="9">
        <v>44693</v>
      </c>
      <c r="L971" t="s">
        <v>29</v>
      </c>
      <c r="M971"/>
      <c r="N971" s="9">
        <v>44686</v>
      </c>
      <c r="O971" s="9">
        <v>44693</v>
      </c>
      <c r="P971" s="9">
        <v>44693</v>
      </c>
      <c r="Q971"/>
      <c r="R971"/>
      <c r="S971"/>
      <c r="T971"/>
      <c r="U971"/>
    </row>
    <row r="972" spans="1:21" hidden="1">
      <c r="A972" s="7" t="s">
        <v>8818</v>
      </c>
      <c r="B972" s="7" t="s">
        <v>7332</v>
      </c>
      <c r="C972" s="8" t="s">
        <v>5317</v>
      </c>
      <c r="D972" t="s">
        <v>216</v>
      </c>
      <c r="E972" t="s">
        <v>1093</v>
      </c>
      <c r="F972" t="s">
        <v>117</v>
      </c>
      <c r="G972" t="s">
        <v>1111</v>
      </c>
      <c r="H972" s="9">
        <v>44657</v>
      </c>
      <c r="I972" t="s">
        <v>1077</v>
      </c>
      <c r="J972" t="s">
        <v>163</v>
      </c>
      <c r="K972" s="9">
        <v>44693</v>
      </c>
      <c r="L972" t="s">
        <v>29</v>
      </c>
      <c r="M972"/>
      <c r="N972" s="9">
        <v>44686</v>
      </c>
      <c r="O972" s="9">
        <v>44693</v>
      </c>
      <c r="P972" s="9">
        <v>44693</v>
      </c>
      <c r="Q972"/>
      <c r="R972"/>
      <c r="S972"/>
      <c r="T972"/>
      <c r="U972"/>
    </row>
    <row r="973" spans="1:21" hidden="1">
      <c r="A973" s="7" t="s">
        <v>8818</v>
      </c>
      <c r="B973" s="7" t="s">
        <v>7332</v>
      </c>
      <c r="C973" s="8" t="s">
        <v>5317</v>
      </c>
      <c r="D973" t="s">
        <v>216</v>
      </c>
      <c r="E973" t="s">
        <v>1093</v>
      </c>
      <c r="F973" t="s">
        <v>117</v>
      </c>
      <c r="G973" t="s">
        <v>1112</v>
      </c>
      <c r="H973" s="9">
        <v>44657</v>
      </c>
      <c r="I973" t="s">
        <v>1077</v>
      </c>
      <c r="J973" t="s">
        <v>163</v>
      </c>
      <c r="K973" s="9">
        <v>44693</v>
      </c>
      <c r="L973" t="s">
        <v>29</v>
      </c>
      <c r="M973"/>
      <c r="N973" s="9">
        <v>44686</v>
      </c>
      <c r="O973" s="9">
        <v>44693</v>
      </c>
      <c r="P973" s="9">
        <v>44693</v>
      </c>
      <c r="Q973"/>
      <c r="R973"/>
      <c r="S973"/>
      <c r="T973"/>
      <c r="U973"/>
    </row>
    <row r="974" spans="1:21" hidden="1">
      <c r="A974" s="7" t="s">
        <v>8818</v>
      </c>
      <c r="B974" s="7" t="s">
        <v>7332</v>
      </c>
      <c r="C974" s="8" t="s">
        <v>5317</v>
      </c>
      <c r="D974" t="s">
        <v>216</v>
      </c>
      <c r="E974" t="s">
        <v>1093</v>
      </c>
      <c r="F974" t="s">
        <v>117</v>
      </c>
      <c r="G974" t="s">
        <v>1113</v>
      </c>
      <c r="H974" s="9">
        <v>44657</v>
      </c>
      <c r="I974" t="s">
        <v>1077</v>
      </c>
      <c r="J974" t="s">
        <v>163</v>
      </c>
      <c r="K974" s="9">
        <v>44693</v>
      </c>
      <c r="L974" t="s">
        <v>29</v>
      </c>
      <c r="M974"/>
      <c r="N974" s="9">
        <v>44686</v>
      </c>
      <c r="O974" s="9">
        <v>44693</v>
      </c>
      <c r="P974" s="9">
        <v>44693</v>
      </c>
      <c r="Q974"/>
      <c r="R974"/>
      <c r="S974"/>
      <c r="T974"/>
      <c r="U974"/>
    </row>
    <row r="975" spans="1:21" hidden="1">
      <c r="A975" s="7" t="s">
        <v>8818</v>
      </c>
      <c r="B975" s="7" t="s">
        <v>7332</v>
      </c>
      <c r="C975" s="8" t="s">
        <v>5317</v>
      </c>
      <c r="D975" t="s">
        <v>216</v>
      </c>
      <c r="E975" t="s">
        <v>1093</v>
      </c>
      <c r="F975" t="s">
        <v>117</v>
      </c>
      <c r="G975" t="s">
        <v>1114</v>
      </c>
      <c r="H975" s="9">
        <v>44657</v>
      </c>
      <c r="I975" t="s">
        <v>1077</v>
      </c>
      <c r="J975" t="s">
        <v>163</v>
      </c>
      <c r="K975" s="9">
        <v>44693</v>
      </c>
      <c r="L975" t="s">
        <v>29</v>
      </c>
      <c r="M975"/>
      <c r="N975" s="9">
        <v>44686</v>
      </c>
      <c r="O975" s="9">
        <v>44693</v>
      </c>
      <c r="P975" s="9">
        <v>44693</v>
      </c>
      <c r="Q975"/>
      <c r="R975"/>
      <c r="S975"/>
      <c r="T975"/>
      <c r="U975"/>
    </row>
    <row r="976" spans="1:21" hidden="1">
      <c r="A976" s="7" t="s">
        <v>8818</v>
      </c>
      <c r="B976" s="7" t="s">
        <v>7332</v>
      </c>
      <c r="C976" s="8" t="s">
        <v>5317</v>
      </c>
      <c r="D976" t="s">
        <v>216</v>
      </c>
      <c r="E976" t="s">
        <v>1093</v>
      </c>
      <c r="F976" t="s">
        <v>117</v>
      </c>
      <c r="G976" t="s">
        <v>1115</v>
      </c>
      <c r="H976" s="9">
        <v>44657</v>
      </c>
      <c r="I976" t="s">
        <v>1077</v>
      </c>
      <c r="J976" t="s">
        <v>163</v>
      </c>
      <c r="K976" s="9">
        <v>44693</v>
      </c>
      <c r="L976" t="s">
        <v>29</v>
      </c>
      <c r="M976"/>
      <c r="N976" s="9">
        <v>44686</v>
      </c>
      <c r="O976" s="9">
        <v>44693</v>
      </c>
      <c r="P976" s="9">
        <v>44693</v>
      </c>
      <c r="Q976"/>
      <c r="R976"/>
      <c r="S976"/>
      <c r="T976"/>
      <c r="U976"/>
    </row>
    <row r="977" spans="1:21" hidden="1">
      <c r="A977" s="7" t="s">
        <v>8818</v>
      </c>
      <c r="B977" s="7" t="s">
        <v>7332</v>
      </c>
      <c r="C977" s="8" t="s">
        <v>5317</v>
      </c>
      <c r="D977" t="s">
        <v>216</v>
      </c>
      <c r="E977" t="s">
        <v>1093</v>
      </c>
      <c r="F977" t="s">
        <v>117</v>
      </c>
      <c r="G977" t="s">
        <v>1116</v>
      </c>
      <c r="H977" s="9">
        <v>44657</v>
      </c>
      <c r="I977" t="s">
        <v>1077</v>
      </c>
      <c r="J977" t="s">
        <v>163</v>
      </c>
      <c r="K977" s="9">
        <v>44693</v>
      </c>
      <c r="L977" t="s">
        <v>29</v>
      </c>
      <c r="M977"/>
      <c r="N977" s="9">
        <v>44686</v>
      </c>
      <c r="O977" s="9">
        <v>44693</v>
      </c>
      <c r="P977" s="9">
        <v>44693</v>
      </c>
      <c r="Q977"/>
      <c r="R977"/>
      <c r="S977"/>
      <c r="T977"/>
      <c r="U977"/>
    </row>
    <row r="978" spans="1:21" hidden="1">
      <c r="A978" s="7" t="s">
        <v>8818</v>
      </c>
      <c r="B978" s="7" t="s">
        <v>7332</v>
      </c>
      <c r="C978" s="8" t="s">
        <v>5317</v>
      </c>
      <c r="D978" t="s">
        <v>216</v>
      </c>
      <c r="E978" t="s">
        <v>1093</v>
      </c>
      <c r="F978" t="s">
        <v>117</v>
      </c>
      <c r="G978" t="s">
        <v>1117</v>
      </c>
      <c r="H978" s="9">
        <v>44657</v>
      </c>
      <c r="I978" t="s">
        <v>1077</v>
      </c>
      <c r="J978" t="s">
        <v>163</v>
      </c>
      <c r="K978" s="9">
        <v>44693</v>
      </c>
      <c r="L978" t="s">
        <v>29</v>
      </c>
      <c r="M978"/>
      <c r="N978" s="9">
        <v>44686</v>
      </c>
      <c r="O978" s="9">
        <v>44693</v>
      </c>
      <c r="P978" s="9">
        <v>44693</v>
      </c>
      <c r="Q978"/>
      <c r="R978"/>
      <c r="S978"/>
      <c r="T978"/>
      <c r="U978"/>
    </row>
    <row r="979" spans="1:21" hidden="1">
      <c r="A979" s="7" t="s">
        <v>8818</v>
      </c>
      <c r="B979" s="7" t="s">
        <v>7332</v>
      </c>
      <c r="C979" s="8" t="s">
        <v>5317</v>
      </c>
      <c r="D979" t="s">
        <v>216</v>
      </c>
      <c r="E979" t="s">
        <v>1093</v>
      </c>
      <c r="F979" t="s">
        <v>117</v>
      </c>
      <c r="G979" t="s">
        <v>1118</v>
      </c>
      <c r="H979" s="9">
        <v>44657</v>
      </c>
      <c r="I979" t="s">
        <v>1077</v>
      </c>
      <c r="J979" t="s">
        <v>163</v>
      </c>
      <c r="K979" s="9">
        <v>44693</v>
      </c>
      <c r="L979" t="s">
        <v>29</v>
      </c>
      <c r="M979"/>
      <c r="N979" s="9">
        <v>44686</v>
      </c>
      <c r="O979" s="9">
        <v>44693</v>
      </c>
      <c r="P979" s="9">
        <v>44693</v>
      </c>
      <c r="Q979"/>
      <c r="R979"/>
      <c r="S979"/>
      <c r="T979"/>
      <c r="U979"/>
    </row>
    <row r="980" spans="1:21" hidden="1">
      <c r="A980" s="7" t="s">
        <v>8818</v>
      </c>
      <c r="B980" s="7" t="s">
        <v>7332</v>
      </c>
      <c r="C980" s="8" t="s">
        <v>5317</v>
      </c>
      <c r="D980" t="s">
        <v>216</v>
      </c>
      <c r="E980" t="s">
        <v>1093</v>
      </c>
      <c r="F980" t="s">
        <v>117</v>
      </c>
      <c r="G980" t="s">
        <v>1119</v>
      </c>
      <c r="H980" s="9">
        <v>44657</v>
      </c>
      <c r="I980" t="s">
        <v>1077</v>
      </c>
      <c r="J980" t="s">
        <v>163</v>
      </c>
      <c r="K980" s="9">
        <v>44693</v>
      </c>
      <c r="L980" t="s">
        <v>29</v>
      </c>
      <c r="M980"/>
      <c r="N980" s="9">
        <v>44686</v>
      </c>
      <c r="O980" s="9">
        <v>44693</v>
      </c>
      <c r="P980" s="9">
        <v>44693</v>
      </c>
      <c r="Q980"/>
      <c r="R980"/>
      <c r="S980"/>
      <c r="T980"/>
      <c r="U980"/>
    </row>
    <row r="981" spans="1:21" hidden="1">
      <c r="A981" s="7" t="s">
        <v>8751</v>
      </c>
      <c r="B981" s="7" t="s">
        <v>5405</v>
      </c>
      <c r="C981" s="8" t="s">
        <v>5317</v>
      </c>
      <c r="D981" t="s">
        <v>216</v>
      </c>
      <c r="E981" t="s">
        <v>25</v>
      </c>
      <c r="F981" t="s">
        <v>435</v>
      </c>
      <c r="G981" t="s">
        <v>1120</v>
      </c>
      <c r="H981" s="9">
        <v>44657</v>
      </c>
      <c r="I981" t="s">
        <v>8634</v>
      </c>
      <c r="J981" t="s">
        <v>0</v>
      </c>
      <c r="K981" s="9">
        <v>44881</v>
      </c>
      <c r="L981" t="s">
        <v>29</v>
      </c>
      <c r="M981"/>
      <c r="N981" s="9">
        <v>44686</v>
      </c>
      <c r="O981" s="9">
        <v>44693</v>
      </c>
      <c r="P981" s="9">
        <v>44693</v>
      </c>
      <c r="Q981" s="9">
        <v>44881</v>
      </c>
      <c r="R981"/>
      <c r="S981"/>
      <c r="T981"/>
      <c r="U981"/>
    </row>
    <row r="982" spans="1:21" hidden="1">
      <c r="A982" s="7" t="s">
        <v>8737</v>
      </c>
      <c r="B982" s="7" t="s">
        <v>6549</v>
      </c>
      <c r="C982" s="8" t="s">
        <v>5317</v>
      </c>
      <c r="D982" t="s">
        <v>216</v>
      </c>
      <c r="E982" t="s">
        <v>273</v>
      </c>
      <c r="F982" t="s">
        <v>280</v>
      </c>
      <c r="G982" t="s">
        <v>1121</v>
      </c>
      <c r="H982" s="9">
        <v>44657</v>
      </c>
      <c r="I982" t="s">
        <v>282</v>
      </c>
      <c r="J982" t="s">
        <v>2</v>
      </c>
      <c r="K982" s="9">
        <v>44726</v>
      </c>
      <c r="L982" t="s">
        <v>29</v>
      </c>
      <c r="M982" t="s">
        <v>331</v>
      </c>
      <c r="N982" s="9">
        <v>44686</v>
      </c>
      <c r="O982" s="9">
        <v>44693</v>
      </c>
      <c r="P982" s="9">
        <v>44693</v>
      </c>
      <c r="Q982" s="9">
        <v>44873</v>
      </c>
      <c r="R982"/>
      <c r="S982"/>
      <c r="T982"/>
      <c r="U982"/>
    </row>
    <row r="983" spans="1:21" hidden="1">
      <c r="A983" s="7" t="s">
        <v>8737</v>
      </c>
      <c r="B983" s="7" t="s">
        <v>6549</v>
      </c>
      <c r="C983" s="8" t="s">
        <v>5317</v>
      </c>
      <c r="D983" t="s">
        <v>216</v>
      </c>
      <c r="E983" t="s">
        <v>273</v>
      </c>
      <c r="F983" t="s">
        <v>280</v>
      </c>
      <c r="G983" t="s">
        <v>1122</v>
      </c>
      <c r="H983" s="9">
        <v>44657</v>
      </c>
      <c r="I983" t="s">
        <v>282</v>
      </c>
      <c r="J983" t="s">
        <v>2</v>
      </c>
      <c r="K983" s="9">
        <v>44726</v>
      </c>
      <c r="L983" t="s">
        <v>29</v>
      </c>
      <c r="M983" t="s">
        <v>331</v>
      </c>
      <c r="N983" s="9">
        <v>44686</v>
      </c>
      <c r="O983" s="9">
        <v>44693</v>
      </c>
      <c r="P983" s="9">
        <v>44693</v>
      </c>
      <c r="Q983" s="9">
        <v>44873</v>
      </c>
      <c r="R983"/>
      <c r="S983"/>
      <c r="T983"/>
      <c r="U983"/>
    </row>
    <row r="984" spans="1:21" hidden="1">
      <c r="A984" s="7" t="s">
        <v>8819</v>
      </c>
      <c r="B984" s="7" t="s">
        <v>6549</v>
      </c>
      <c r="C984" s="8" t="s">
        <v>5317</v>
      </c>
      <c r="D984" t="s">
        <v>216</v>
      </c>
      <c r="E984" t="s">
        <v>273</v>
      </c>
      <c r="F984" t="s">
        <v>26</v>
      </c>
      <c r="G984" t="s">
        <v>1123</v>
      </c>
      <c r="H984" s="9">
        <v>44657</v>
      </c>
      <c r="I984" t="s">
        <v>1077</v>
      </c>
      <c r="J984" t="s">
        <v>0</v>
      </c>
      <c r="K984" s="9">
        <v>44697</v>
      </c>
      <c r="L984" t="s">
        <v>29</v>
      </c>
      <c r="M984"/>
      <c r="N984" s="9">
        <v>44686</v>
      </c>
      <c r="O984" s="9">
        <v>44693</v>
      </c>
      <c r="P984" s="9">
        <v>44693</v>
      </c>
      <c r="Q984" s="9">
        <v>44697</v>
      </c>
      <c r="R984"/>
      <c r="S984"/>
      <c r="T984"/>
      <c r="U984"/>
    </row>
    <row r="985" spans="1:21" hidden="1">
      <c r="A985" s="7" t="s">
        <v>8737</v>
      </c>
      <c r="B985" s="7" t="s">
        <v>6549</v>
      </c>
      <c r="C985" s="8" t="s">
        <v>5317</v>
      </c>
      <c r="D985" t="s">
        <v>216</v>
      </c>
      <c r="E985" t="s">
        <v>273</v>
      </c>
      <c r="F985" t="s">
        <v>280</v>
      </c>
      <c r="G985" t="s">
        <v>1124</v>
      </c>
      <c r="H985" s="9">
        <v>44657</v>
      </c>
      <c r="I985" t="s">
        <v>282</v>
      </c>
      <c r="J985" t="s">
        <v>2</v>
      </c>
      <c r="K985" s="9">
        <v>44726</v>
      </c>
      <c r="L985" t="s">
        <v>29</v>
      </c>
      <c r="M985" t="s">
        <v>331</v>
      </c>
      <c r="N985" s="9">
        <v>44686</v>
      </c>
      <c r="O985" s="9">
        <v>44693</v>
      </c>
      <c r="P985" s="9">
        <v>44693</v>
      </c>
      <c r="Q985" s="9">
        <v>44873</v>
      </c>
      <c r="R985"/>
      <c r="S985"/>
      <c r="T985"/>
      <c r="U985"/>
    </row>
    <row r="986" spans="1:21" hidden="1">
      <c r="A986" s="7" t="s">
        <v>8739</v>
      </c>
      <c r="B986" s="7" t="s">
        <v>6549</v>
      </c>
      <c r="C986" s="8" t="s">
        <v>5317</v>
      </c>
      <c r="D986" t="s">
        <v>216</v>
      </c>
      <c r="E986" t="s">
        <v>273</v>
      </c>
      <c r="F986" t="s">
        <v>103</v>
      </c>
      <c r="G986" t="s">
        <v>1124</v>
      </c>
      <c r="H986" s="9">
        <v>44657</v>
      </c>
      <c r="I986" t="s">
        <v>282</v>
      </c>
      <c r="J986" t="s">
        <v>2</v>
      </c>
      <c r="K986" s="9">
        <v>44726</v>
      </c>
      <c r="L986" t="s">
        <v>29</v>
      </c>
      <c r="M986" t="s">
        <v>331</v>
      </c>
      <c r="N986" s="9">
        <v>44686</v>
      </c>
      <c r="O986" s="9">
        <v>44693</v>
      </c>
      <c r="P986" s="9">
        <v>44693</v>
      </c>
      <c r="Q986"/>
      <c r="R986"/>
      <c r="S986"/>
      <c r="T986"/>
      <c r="U986"/>
    </row>
    <row r="987" spans="1:21" hidden="1">
      <c r="A987" s="7" t="s">
        <v>8737</v>
      </c>
      <c r="B987" s="7" t="s">
        <v>6549</v>
      </c>
      <c r="C987" s="8" t="s">
        <v>5317</v>
      </c>
      <c r="D987" t="s">
        <v>216</v>
      </c>
      <c r="E987" t="s">
        <v>273</v>
      </c>
      <c r="F987" t="s">
        <v>280</v>
      </c>
      <c r="G987" t="s">
        <v>283</v>
      </c>
      <c r="H987" s="9">
        <v>44657</v>
      </c>
      <c r="I987" t="s">
        <v>282</v>
      </c>
      <c r="J987" t="s">
        <v>2</v>
      </c>
      <c r="K987" s="9">
        <v>44726</v>
      </c>
      <c r="L987" t="s">
        <v>29</v>
      </c>
      <c r="M987" t="s">
        <v>331</v>
      </c>
      <c r="N987" s="9">
        <v>44686</v>
      </c>
      <c r="O987" s="9">
        <v>44693</v>
      </c>
      <c r="P987" s="9">
        <v>44693</v>
      </c>
      <c r="Q987" s="9">
        <v>44873</v>
      </c>
      <c r="R987"/>
      <c r="S987"/>
      <c r="T987"/>
      <c r="U987"/>
    </row>
    <row r="988" spans="1:21" hidden="1">
      <c r="A988" s="7" t="s">
        <v>8737</v>
      </c>
      <c r="B988" s="7" t="s">
        <v>6549</v>
      </c>
      <c r="C988" s="8" t="s">
        <v>5317</v>
      </c>
      <c r="D988" t="s">
        <v>216</v>
      </c>
      <c r="E988" t="s">
        <v>273</v>
      </c>
      <c r="F988" t="s">
        <v>280</v>
      </c>
      <c r="G988" t="s">
        <v>1125</v>
      </c>
      <c r="H988" s="9">
        <v>44657</v>
      </c>
      <c r="I988" t="s">
        <v>282</v>
      </c>
      <c r="J988" t="s">
        <v>2</v>
      </c>
      <c r="K988" s="9">
        <v>44726</v>
      </c>
      <c r="L988" t="s">
        <v>29</v>
      </c>
      <c r="M988" t="s">
        <v>331</v>
      </c>
      <c r="N988" s="9">
        <v>44686</v>
      </c>
      <c r="O988" s="9">
        <v>44693</v>
      </c>
      <c r="P988" s="9">
        <v>44693</v>
      </c>
      <c r="Q988" s="9">
        <v>44873</v>
      </c>
      <c r="R988"/>
      <c r="S988"/>
      <c r="T988"/>
      <c r="U988"/>
    </row>
    <row r="989" spans="1:21" hidden="1">
      <c r="A989" s="7" t="s">
        <v>8737</v>
      </c>
      <c r="B989" s="7" t="s">
        <v>6549</v>
      </c>
      <c r="C989" s="8" t="s">
        <v>5317</v>
      </c>
      <c r="D989" t="s">
        <v>216</v>
      </c>
      <c r="E989" t="s">
        <v>273</v>
      </c>
      <c r="F989" t="s">
        <v>280</v>
      </c>
      <c r="G989" t="s">
        <v>1126</v>
      </c>
      <c r="H989" s="9">
        <v>44657</v>
      </c>
      <c r="I989" t="s">
        <v>282</v>
      </c>
      <c r="J989" t="s">
        <v>2</v>
      </c>
      <c r="K989" s="9">
        <v>44726</v>
      </c>
      <c r="L989" t="s">
        <v>29</v>
      </c>
      <c r="M989" t="s">
        <v>331</v>
      </c>
      <c r="N989" s="9">
        <v>44686</v>
      </c>
      <c r="O989" s="9">
        <v>44693</v>
      </c>
      <c r="P989" s="9">
        <v>44693</v>
      </c>
      <c r="Q989" s="9">
        <v>44873</v>
      </c>
      <c r="R989"/>
      <c r="S989"/>
      <c r="T989"/>
      <c r="U989"/>
    </row>
    <row r="990" spans="1:21" hidden="1">
      <c r="A990" s="7" t="s">
        <v>8737</v>
      </c>
      <c r="B990" s="7" t="s">
        <v>6549</v>
      </c>
      <c r="C990" s="8" t="s">
        <v>5317</v>
      </c>
      <c r="D990" t="s">
        <v>216</v>
      </c>
      <c r="E990" t="s">
        <v>273</v>
      </c>
      <c r="F990" t="s">
        <v>280</v>
      </c>
      <c r="G990" t="s">
        <v>1127</v>
      </c>
      <c r="H990" s="9">
        <v>44657</v>
      </c>
      <c r="I990" t="s">
        <v>282</v>
      </c>
      <c r="J990" t="s">
        <v>2</v>
      </c>
      <c r="K990" s="9">
        <v>44726</v>
      </c>
      <c r="L990" t="s">
        <v>29</v>
      </c>
      <c r="M990" t="s">
        <v>331</v>
      </c>
      <c r="N990" s="9">
        <v>44686</v>
      </c>
      <c r="O990" s="9">
        <v>44693</v>
      </c>
      <c r="P990" s="9">
        <v>44693</v>
      </c>
      <c r="Q990" s="9">
        <v>44873</v>
      </c>
      <c r="R990"/>
      <c r="S990"/>
      <c r="T990"/>
      <c r="U990"/>
    </row>
    <row r="991" spans="1:21" hidden="1">
      <c r="A991" s="7" t="s">
        <v>8737</v>
      </c>
      <c r="B991" s="7" t="s">
        <v>6549</v>
      </c>
      <c r="C991" s="8" t="s">
        <v>5317</v>
      </c>
      <c r="D991" t="s">
        <v>216</v>
      </c>
      <c r="E991" t="s">
        <v>273</v>
      </c>
      <c r="F991" t="s">
        <v>280</v>
      </c>
      <c r="G991" t="s">
        <v>1128</v>
      </c>
      <c r="H991" s="9">
        <v>44657</v>
      </c>
      <c r="I991" t="s">
        <v>282</v>
      </c>
      <c r="J991" t="s">
        <v>2</v>
      </c>
      <c r="K991" s="9">
        <v>44726</v>
      </c>
      <c r="L991" t="s">
        <v>29</v>
      </c>
      <c r="M991" t="s">
        <v>331</v>
      </c>
      <c r="N991" s="9">
        <v>44686</v>
      </c>
      <c r="O991" s="9">
        <v>44693</v>
      </c>
      <c r="P991" s="9">
        <v>44693</v>
      </c>
      <c r="Q991" s="9">
        <v>44873</v>
      </c>
      <c r="R991"/>
      <c r="S991"/>
      <c r="T991"/>
      <c r="U991"/>
    </row>
    <row r="992" spans="1:21" hidden="1">
      <c r="A992" s="7" t="s">
        <v>8739</v>
      </c>
      <c r="B992" s="7" t="s">
        <v>6549</v>
      </c>
      <c r="C992" s="8" t="s">
        <v>5317</v>
      </c>
      <c r="D992" t="s">
        <v>216</v>
      </c>
      <c r="E992" t="s">
        <v>273</v>
      </c>
      <c r="F992" t="s">
        <v>103</v>
      </c>
      <c r="G992" t="s">
        <v>1129</v>
      </c>
      <c r="H992" s="9">
        <v>44657</v>
      </c>
      <c r="I992" t="s">
        <v>282</v>
      </c>
      <c r="J992" t="s">
        <v>2</v>
      </c>
      <c r="K992" s="9">
        <v>44726</v>
      </c>
      <c r="L992" t="s">
        <v>29</v>
      </c>
      <c r="M992" t="s">
        <v>331</v>
      </c>
      <c r="N992" s="9">
        <v>44686</v>
      </c>
      <c r="O992" s="9">
        <v>44693</v>
      </c>
      <c r="P992" s="9">
        <v>44693</v>
      </c>
      <c r="Q992"/>
      <c r="R992"/>
      <c r="S992"/>
      <c r="T992"/>
      <c r="U992"/>
    </row>
    <row r="993" spans="1:21" hidden="1">
      <c r="A993" s="7" t="s">
        <v>8739</v>
      </c>
      <c r="B993" s="7" t="s">
        <v>6549</v>
      </c>
      <c r="C993" s="8" t="s">
        <v>5317</v>
      </c>
      <c r="D993" t="s">
        <v>216</v>
      </c>
      <c r="E993" t="s">
        <v>273</v>
      </c>
      <c r="F993" t="s">
        <v>103</v>
      </c>
      <c r="G993" t="s">
        <v>1130</v>
      </c>
      <c r="H993" s="9">
        <v>44657</v>
      </c>
      <c r="I993" t="s">
        <v>282</v>
      </c>
      <c r="J993" t="s">
        <v>2</v>
      </c>
      <c r="K993" s="9">
        <v>44726</v>
      </c>
      <c r="L993" t="s">
        <v>29</v>
      </c>
      <c r="M993" t="s">
        <v>331</v>
      </c>
      <c r="N993" s="9">
        <v>44686</v>
      </c>
      <c r="O993" s="9">
        <v>44693</v>
      </c>
      <c r="P993" s="9">
        <v>44693</v>
      </c>
      <c r="Q993"/>
      <c r="R993"/>
      <c r="S993"/>
      <c r="T993"/>
      <c r="U993"/>
    </row>
    <row r="994" spans="1:21" hidden="1">
      <c r="A994" s="7" t="s">
        <v>8739</v>
      </c>
      <c r="B994" s="7" t="s">
        <v>6549</v>
      </c>
      <c r="C994" s="8" t="s">
        <v>5317</v>
      </c>
      <c r="D994" t="s">
        <v>216</v>
      </c>
      <c r="E994" t="s">
        <v>273</v>
      </c>
      <c r="F994" t="s">
        <v>103</v>
      </c>
      <c r="G994" t="s">
        <v>1131</v>
      </c>
      <c r="H994" s="9">
        <v>44657</v>
      </c>
      <c r="I994" t="s">
        <v>282</v>
      </c>
      <c r="J994" t="s">
        <v>2</v>
      </c>
      <c r="K994" s="9">
        <v>44726</v>
      </c>
      <c r="L994" t="s">
        <v>29</v>
      </c>
      <c r="M994" t="s">
        <v>331</v>
      </c>
      <c r="N994" s="9">
        <v>44686</v>
      </c>
      <c r="O994" s="9">
        <v>44693</v>
      </c>
      <c r="P994" s="9">
        <v>44693</v>
      </c>
      <c r="Q994"/>
      <c r="R994"/>
      <c r="S994"/>
      <c r="T994"/>
      <c r="U994"/>
    </row>
    <row r="995" spans="1:21" hidden="1">
      <c r="A995" s="7" t="s">
        <v>8819</v>
      </c>
      <c r="B995" s="7" t="s">
        <v>6549</v>
      </c>
      <c r="C995" s="8" t="s">
        <v>5317</v>
      </c>
      <c r="D995" t="s">
        <v>216</v>
      </c>
      <c r="E995" t="s">
        <v>273</v>
      </c>
      <c r="F995" t="s">
        <v>26</v>
      </c>
      <c r="G995" t="s">
        <v>1132</v>
      </c>
      <c r="H995" s="9">
        <v>44657</v>
      </c>
      <c r="I995" t="s">
        <v>1077</v>
      </c>
      <c r="J995" t="s">
        <v>0</v>
      </c>
      <c r="K995" s="9">
        <v>44697</v>
      </c>
      <c r="L995" t="s">
        <v>29</v>
      </c>
      <c r="M995"/>
      <c r="N995" s="9">
        <v>44686</v>
      </c>
      <c r="O995" s="9">
        <v>44693</v>
      </c>
      <c r="P995" s="9">
        <v>44693</v>
      </c>
      <c r="Q995" s="9">
        <v>44697</v>
      </c>
      <c r="R995"/>
      <c r="S995"/>
      <c r="T995"/>
      <c r="U995"/>
    </row>
    <row r="996" spans="1:21" hidden="1">
      <c r="A996" s="7" t="s">
        <v>8737</v>
      </c>
      <c r="B996" s="7" t="s">
        <v>6549</v>
      </c>
      <c r="C996" s="8" t="s">
        <v>5317</v>
      </c>
      <c r="D996" t="s">
        <v>216</v>
      </c>
      <c r="E996" t="s">
        <v>273</v>
      </c>
      <c r="F996" t="s">
        <v>280</v>
      </c>
      <c r="G996" t="s">
        <v>287</v>
      </c>
      <c r="H996" s="9">
        <v>44657</v>
      </c>
      <c r="I996" t="s">
        <v>282</v>
      </c>
      <c r="J996" t="s">
        <v>2</v>
      </c>
      <c r="K996" s="9">
        <v>44726</v>
      </c>
      <c r="L996" t="s">
        <v>29</v>
      </c>
      <c r="M996" t="s">
        <v>331</v>
      </c>
      <c r="N996" s="9">
        <v>44686</v>
      </c>
      <c r="O996" s="9">
        <v>44693</v>
      </c>
      <c r="P996" s="9">
        <v>44693</v>
      </c>
      <c r="Q996" s="9">
        <v>44873</v>
      </c>
      <c r="R996"/>
      <c r="S996"/>
      <c r="T996"/>
      <c r="U996"/>
    </row>
    <row r="997" spans="1:21" hidden="1">
      <c r="A997" s="7" t="s">
        <v>8737</v>
      </c>
      <c r="B997" s="7" t="s">
        <v>6549</v>
      </c>
      <c r="C997" s="8" t="s">
        <v>5317</v>
      </c>
      <c r="D997" t="s">
        <v>216</v>
      </c>
      <c r="E997" t="s">
        <v>273</v>
      </c>
      <c r="F997" t="s">
        <v>280</v>
      </c>
      <c r="G997" t="s">
        <v>288</v>
      </c>
      <c r="H997" s="9">
        <v>44657</v>
      </c>
      <c r="I997" t="s">
        <v>282</v>
      </c>
      <c r="J997" t="s">
        <v>2</v>
      </c>
      <c r="K997" s="9">
        <v>44726</v>
      </c>
      <c r="L997" t="s">
        <v>29</v>
      </c>
      <c r="M997" t="s">
        <v>331</v>
      </c>
      <c r="N997" s="9">
        <v>44686</v>
      </c>
      <c r="O997" s="9">
        <v>44693</v>
      </c>
      <c r="P997" s="9">
        <v>44693</v>
      </c>
      <c r="Q997" s="9">
        <v>44873</v>
      </c>
      <c r="R997"/>
      <c r="S997"/>
      <c r="T997"/>
      <c r="U997"/>
    </row>
    <row r="998" spans="1:21" hidden="1">
      <c r="A998" s="7" t="s">
        <v>8737</v>
      </c>
      <c r="B998" s="7" t="s">
        <v>6549</v>
      </c>
      <c r="C998" s="8" t="s">
        <v>5317</v>
      </c>
      <c r="D998" t="s">
        <v>216</v>
      </c>
      <c r="E998" t="s">
        <v>273</v>
      </c>
      <c r="F998" t="s">
        <v>280</v>
      </c>
      <c r="G998" t="s">
        <v>1133</v>
      </c>
      <c r="H998" s="9">
        <v>44657</v>
      </c>
      <c r="I998" t="s">
        <v>282</v>
      </c>
      <c r="J998" t="s">
        <v>2</v>
      </c>
      <c r="K998" s="9">
        <v>44726</v>
      </c>
      <c r="L998" t="s">
        <v>29</v>
      </c>
      <c r="M998" t="s">
        <v>331</v>
      </c>
      <c r="N998" s="9">
        <v>44686</v>
      </c>
      <c r="O998" s="9">
        <v>44693</v>
      </c>
      <c r="P998" s="9">
        <v>44693</v>
      </c>
      <c r="Q998" s="9">
        <v>44873</v>
      </c>
      <c r="R998"/>
      <c r="S998"/>
      <c r="T998"/>
      <c r="U998"/>
    </row>
    <row r="999" spans="1:21" hidden="1">
      <c r="A999" s="7" t="s">
        <v>8737</v>
      </c>
      <c r="B999" s="7" t="s">
        <v>6549</v>
      </c>
      <c r="C999" s="8" t="s">
        <v>5317</v>
      </c>
      <c r="D999" t="s">
        <v>216</v>
      </c>
      <c r="E999" t="s">
        <v>273</v>
      </c>
      <c r="F999" t="s">
        <v>280</v>
      </c>
      <c r="G999" t="s">
        <v>289</v>
      </c>
      <c r="H999" s="9">
        <v>44657</v>
      </c>
      <c r="I999" t="s">
        <v>282</v>
      </c>
      <c r="J999" t="s">
        <v>2</v>
      </c>
      <c r="K999" s="9">
        <v>44726</v>
      </c>
      <c r="L999" t="s">
        <v>29</v>
      </c>
      <c r="M999" t="s">
        <v>331</v>
      </c>
      <c r="N999" s="9">
        <v>44686</v>
      </c>
      <c r="O999" s="9">
        <v>44693</v>
      </c>
      <c r="P999" s="9">
        <v>44693</v>
      </c>
      <c r="Q999" s="9">
        <v>44873</v>
      </c>
      <c r="R999"/>
      <c r="S999"/>
      <c r="T999"/>
      <c r="U999"/>
    </row>
    <row r="1000" spans="1:21" hidden="1">
      <c r="A1000" s="7" t="s">
        <v>8737</v>
      </c>
      <c r="B1000" s="7" t="s">
        <v>6549</v>
      </c>
      <c r="C1000" s="8" t="s">
        <v>5317</v>
      </c>
      <c r="D1000" t="s">
        <v>216</v>
      </c>
      <c r="E1000" t="s">
        <v>273</v>
      </c>
      <c r="F1000" t="s">
        <v>280</v>
      </c>
      <c r="G1000" t="s">
        <v>290</v>
      </c>
      <c r="H1000" s="9">
        <v>44657</v>
      </c>
      <c r="I1000" t="s">
        <v>282</v>
      </c>
      <c r="J1000" t="s">
        <v>2</v>
      </c>
      <c r="K1000" s="9">
        <v>44726</v>
      </c>
      <c r="L1000" t="s">
        <v>29</v>
      </c>
      <c r="M1000" t="s">
        <v>331</v>
      </c>
      <c r="N1000" s="9">
        <v>44686</v>
      </c>
      <c r="O1000" s="9">
        <v>44693</v>
      </c>
      <c r="P1000" s="9">
        <v>44693</v>
      </c>
      <c r="Q1000" s="9">
        <v>44873</v>
      </c>
      <c r="R1000"/>
      <c r="S1000"/>
      <c r="T1000"/>
      <c r="U1000"/>
    </row>
    <row r="1001" spans="1:21" hidden="1">
      <c r="A1001" s="7" t="s">
        <v>8737</v>
      </c>
      <c r="B1001" s="7" t="s">
        <v>6549</v>
      </c>
      <c r="C1001" s="8" t="s">
        <v>5317</v>
      </c>
      <c r="D1001" t="s">
        <v>216</v>
      </c>
      <c r="E1001" t="s">
        <v>273</v>
      </c>
      <c r="F1001" t="s">
        <v>280</v>
      </c>
      <c r="G1001" t="s">
        <v>1134</v>
      </c>
      <c r="H1001" s="9">
        <v>44657</v>
      </c>
      <c r="I1001" t="s">
        <v>282</v>
      </c>
      <c r="J1001" t="s">
        <v>2</v>
      </c>
      <c r="K1001" s="9">
        <v>44726</v>
      </c>
      <c r="L1001" t="s">
        <v>29</v>
      </c>
      <c r="M1001" t="s">
        <v>331</v>
      </c>
      <c r="N1001" s="9">
        <v>44686</v>
      </c>
      <c r="O1001" s="9">
        <v>44693</v>
      </c>
      <c r="P1001" s="9">
        <v>44693</v>
      </c>
      <c r="Q1001" s="9">
        <v>44873</v>
      </c>
      <c r="R1001"/>
      <c r="S1001"/>
      <c r="T1001"/>
      <c r="U1001"/>
    </row>
    <row r="1002" spans="1:21" hidden="1">
      <c r="A1002" s="7" t="s">
        <v>8737</v>
      </c>
      <c r="B1002" s="7" t="s">
        <v>6549</v>
      </c>
      <c r="C1002" s="8" t="s">
        <v>5317</v>
      </c>
      <c r="D1002" t="s">
        <v>216</v>
      </c>
      <c r="E1002" t="s">
        <v>273</v>
      </c>
      <c r="F1002" t="s">
        <v>280</v>
      </c>
      <c r="G1002" t="s">
        <v>1135</v>
      </c>
      <c r="H1002" s="9">
        <v>44657</v>
      </c>
      <c r="I1002" t="s">
        <v>282</v>
      </c>
      <c r="J1002" t="s">
        <v>2</v>
      </c>
      <c r="K1002" s="9">
        <v>44726</v>
      </c>
      <c r="L1002" t="s">
        <v>29</v>
      </c>
      <c r="M1002" t="s">
        <v>331</v>
      </c>
      <c r="N1002" s="9">
        <v>44686</v>
      </c>
      <c r="O1002" s="9">
        <v>44693</v>
      </c>
      <c r="P1002" s="9">
        <v>44693</v>
      </c>
      <c r="Q1002" s="9">
        <v>44873</v>
      </c>
      <c r="R1002"/>
      <c r="S1002"/>
      <c r="T1002"/>
      <c r="U1002"/>
    </row>
    <row r="1003" spans="1:21" hidden="1">
      <c r="A1003" s="7" t="s">
        <v>8737</v>
      </c>
      <c r="B1003" s="7" t="s">
        <v>6549</v>
      </c>
      <c r="C1003" s="8" t="s">
        <v>5317</v>
      </c>
      <c r="D1003" t="s">
        <v>216</v>
      </c>
      <c r="E1003" t="s">
        <v>273</v>
      </c>
      <c r="F1003" t="s">
        <v>280</v>
      </c>
      <c r="G1003" t="s">
        <v>1136</v>
      </c>
      <c r="H1003" s="9">
        <v>44657</v>
      </c>
      <c r="I1003" t="s">
        <v>282</v>
      </c>
      <c r="J1003" t="s">
        <v>2</v>
      </c>
      <c r="K1003" s="9">
        <v>44726</v>
      </c>
      <c r="L1003" t="s">
        <v>29</v>
      </c>
      <c r="M1003" t="s">
        <v>331</v>
      </c>
      <c r="N1003" s="9">
        <v>44686</v>
      </c>
      <c r="O1003" s="9">
        <v>44693</v>
      </c>
      <c r="P1003" s="9">
        <v>44693</v>
      </c>
      <c r="Q1003" s="9">
        <v>44873</v>
      </c>
      <c r="R1003"/>
      <c r="S1003"/>
      <c r="T1003"/>
      <c r="U1003"/>
    </row>
    <row r="1004" spans="1:21" hidden="1">
      <c r="A1004" s="7" t="s">
        <v>8737</v>
      </c>
      <c r="B1004" s="7" t="s">
        <v>6549</v>
      </c>
      <c r="C1004" s="8" t="s">
        <v>5317</v>
      </c>
      <c r="D1004" t="s">
        <v>216</v>
      </c>
      <c r="E1004" t="s">
        <v>273</v>
      </c>
      <c r="F1004" t="s">
        <v>280</v>
      </c>
      <c r="G1004" t="s">
        <v>1137</v>
      </c>
      <c r="H1004" s="9">
        <v>44657</v>
      </c>
      <c r="I1004" t="s">
        <v>282</v>
      </c>
      <c r="J1004" t="s">
        <v>2</v>
      </c>
      <c r="K1004" s="9">
        <v>44726</v>
      </c>
      <c r="L1004" t="s">
        <v>29</v>
      </c>
      <c r="M1004" t="s">
        <v>331</v>
      </c>
      <c r="N1004" s="9">
        <v>44686</v>
      </c>
      <c r="O1004" s="9">
        <v>44693</v>
      </c>
      <c r="P1004" s="9">
        <v>44693</v>
      </c>
      <c r="Q1004" s="9">
        <v>44873</v>
      </c>
      <c r="R1004"/>
      <c r="S1004"/>
      <c r="T1004"/>
      <c r="U1004"/>
    </row>
    <row r="1005" spans="1:21" hidden="1">
      <c r="A1005" s="7" t="s">
        <v>8737</v>
      </c>
      <c r="B1005" s="7" t="s">
        <v>6549</v>
      </c>
      <c r="C1005" s="8" t="s">
        <v>5317</v>
      </c>
      <c r="D1005" t="s">
        <v>216</v>
      </c>
      <c r="E1005" t="s">
        <v>273</v>
      </c>
      <c r="F1005" t="s">
        <v>280</v>
      </c>
      <c r="G1005" t="s">
        <v>292</v>
      </c>
      <c r="H1005" s="9">
        <v>44657</v>
      </c>
      <c r="I1005" t="s">
        <v>282</v>
      </c>
      <c r="J1005" t="s">
        <v>2</v>
      </c>
      <c r="K1005" s="9">
        <v>44726</v>
      </c>
      <c r="L1005" t="s">
        <v>29</v>
      </c>
      <c r="M1005" t="s">
        <v>331</v>
      </c>
      <c r="N1005" s="9">
        <v>44686</v>
      </c>
      <c r="O1005" s="9">
        <v>44693</v>
      </c>
      <c r="P1005" s="9">
        <v>44693</v>
      </c>
      <c r="Q1005" s="9">
        <v>44873</v>
      </c>
      <c r="R1005"/>
      <c r="S1005"/>
      <c r="T1005"/>
      <c r="U1005"/>
    </row>
    <row r="1006" spans="1:21" hidden="1">
      <c r="A1006" s="7" t="s">
        <v>8737</v>
      </c>
      <c r="B1006" s="7" t="s">
        <v>6549</v>
      </c>
      <c r="C1006" s="8" t="s">
        <v>5317</v>
      </c>
      <c r="D1006" t="s">
        <v>216</v>
      </c>
      <c r="E1006" t="s">
        <v>273</v>
      </c>
      <c r="F1006" t="s">
        <v>280</v>
      </c>
      <c r="G1006" t="s">
        <v>301</v>
      </c>
      <c r="H1006" s="9">
        <v>44657</v>
      </c>
      <c r="I1006" t="s">
        <v>282</v>
      </c>
      <c r="J1006" t="s">
        <v>2</v>
      </c>
      <c r="K1006" s="9">
        <v>44726</v>
      </c>
      <c r="L1006" t="s">
        <v>29</v>
      </c>
      <c r="M1006" t="s">
        <v>331</v>
      </c>
      <c r="N1006" s="9">
        <v>44686</v>
      </c>
      <c r="O1006" s="9">
        <v>44693</v>
      </c>
      <c r="P1006" s="9">
        <v>44693</v>
      </c>
      <c r="Q1006" s="9">
        <v>44873</v>
      </c>
      <c r="R1006"/>
      <c r="S1006"/>
      <c r="T1006"/>
      <c r="U1006"/>
    </row>
    <row r="1007" spans="1:21" hidden="1">
      <c r="A1007" s="7" t="s">
        <v>8739</v>
      </c>
      <c r="B1007" s="7" t="s">
        <v>6549</v>
      </c>
      <c r="C1007" s="8" t="s">
        <v>5317</v>
      </c>
      <c r="D1007" t="s">
        <v>216</v>
      </c>
      <c r="E1007" t="s">
        <v>273</v>
      </c>
      <c r="F1007" t="s">
        <v>103</v>
      </c>
      <c r="G1007" t="s">
        <v>301</v>
      </c>
      <c r="H1007" s="9">
        <v>44657</v>
      </c>
      <c r="I1007" t="s">
        <v>282</v>
      </c>
      <c r="J1007" t="s">
        <v>2</v>
      </c>
      <c r="K1007" s="9">
        <v>44726</v>
      </c>
      <c r="L1007" t="s">
        <v>29</v>
      </c>
      <c r="M1007" t="s">
        <v>331</v>
      </c>
      <c r="N1007" s="9">
        <v>44686</v>
      </c>
      <c r="O1007" s="9">
        <v>44693</v>
      </c>
      <c r="P1007" s="9">
        <v>44693</v>
      </c>
      <c r="Q1007"/>
      <c r="R1007"/>
      <c r="S1007"/>
      <c r="T1007"/>
      <c r="U1007"/>
    </row>
    <row r="1008" spans="1:21" hidden="1">
      <c r="A1008" s="7" t="s">
        <v>8737</v>
      </c>
      <c r="B1008" s="7" t="s">
        <v>6549</v>
      </c>
      <c r="C1008" s="8" t="s">
        <v>5317</v>
      </c>
      <c r="D1008" t="s">
        <v>216</v>
      </c>
      <c r="E1008" t="s">
        <v>273</v>
      </c>
      <c r="F1008" t="s">
        <v>280</v>
      </c>
      <c r="G1008" t="s">
        <v>295</v>
      </c>
      <c r="H1008" s="9">
        <v>44657</v>
      </c>
      <c r="I1008" t="s">
        <v>282</v>
      </c>
      <c r="J1008" t="s">
        <v>2</v>
      </c>
      <c r="K1008" s="9">
        <v>44726</v>
      </c>
      <c r="L1008" t="s">
        <v>29</v>
      </c>
      <c r="M1008" t="s">
        <v>331</v>
      </c>
      <c r="N1008" s="9">
        <v>44686</v>
      </c>
      <c r="O1008" s="9">
        <v>44693</v>
      </c>
      <c r="P1008" s="9">
        <v>44693</v>
      </c>
      <c r="Q1008" s="9">
        <v>44873</v>
      </c>
      <c r="R1008"/>
      <c r="S1008"/>
      <c r="T1008"/>
      <c r="U1008"/>
    </row>
    <row r="1009" spans="1:21" hidden="1">
      <c r="A1009" s="7" t="s">
        <v>8739</v>
      </c>
      <c r="B1009" s="7" t="s">
        <v>6549</v>
      </c>
      <c r="C1009" s="8" t="s">
        <v>5317</v>
      </c>
      <c r="D1009" t="s">
        <v>216</v>
      </c>
      <c r="E1009" t="s">
        <v>273</v>
      </c>
      <c r="F1009" t="s">
        <v>103</v>
      </c>
      <c r="G1009" t="s">
        <v>1138</v>
      </c>
      <c r="H1009" s="9">
        <v>44657</v>
      </c>
      <c r="I1009" t="s">
        <v>282</v>
      </c>
      <c r="J1009" t="s">
        <v>2</v>
      </c>
      <c r="K1009" s="9">
        <v>44726</v>
      </c>
      <c r="L1009" t="s">
        <v>29</v>
      </c>
      <c r="M1009"/>
      <c r="N1009" s="9">
        <v>44686</v>
      </c>
      <c r="O1009" s="9">
        <v>44693</v>
      </c>
      <c r="P1009" s="9">
        <v>44693</v>
      </c>
      <c r="Q1009"/>
      <c r="R1009"/>
      <c r="S1009"/>
      <c r="T1009"/>
      <c r="U1009"/>
    </row>
    <row r="1010" spans="1:21" hidden="1">
      <c r="A1010" s="7" t="s">
        <v>8737</v>
      </c>
      <c r="B1010" s="7" t="s">
        <v>6549</v>
      </c>
      <c r="C1010" s="8" t="s">
        <v>5317</v>
      </c>
      <c r="D1010" t="s">
        <v>216</v>
      </c>
      <c r="E1010" t="s">
        <v>273</v>
      </c>
      <c r="F1010" t="s">
        <v>280</v>
      </c>
      <c r="G1010" t="s">
        <v>441</v>
      </c>
      <c r="H1010" s="9">
        <v>44657</v>
      </c>
      <c r="I1010" t="s">
        <v>282</v>
      </c>
      <c r="J1010" t="s">
        <v>2</v>
      </c>
      <c r="K1010" s="9">
        <v>44726</v>
      </c>
      <c r="L1010" t="s">
        <v>29</v>
      </c>
      <c r="M1010" t="s">
        <v>331</v>
      </c>
      <c r="N1010" s="9">
        <v>44686</v>
      </c>
      <c r="O1010" s="9">
        <v>44693</v>
      </c>
      <c r="P1010" s="9">
        <v>44693</v>
      </c>
      <c r="Q1010" s="9">
        <v>44873</v>
      </c>
      <c r="R1010"/>
      <c r="S1010"/>
      <c r="T1010"/>
      <c r="U1010"/>
    </row>
    <row r="1011" spans="1:21" hidden="1">
      <c r="A1011" s="7" t="s">
        <v>8737</v>
      </c>
      <c r="B1011" s="7" t="s">
        <v>6549</v>
      </c>
      <c r="C1011" s="8" t="s">
        <v>5317</v>
      </c>
      <c r="D1011" t="s">
        <v>216</v>
      </c>
      <c r="E1011" t="s">
        <v>273</v>
      </c>
      <c r="F1011" t="s">
        <v>280</v>
      </c>
      <c r="G1011" t="s">
        <v>1139</v>
      </c>
      <c r="H1011" s="9">
        <v>44657</v>
      </c>
      <c r="I1011" t="s">
        <v>282</v>
      </c>
      <c r="J1011" t="s">
        <v>2</v>
      </c>
      <c r="K1011" s="9">
        <v>44726</v>
      </c>
      <c r="L1011" t="s">
        <v>29</v>
      </c>
      <c r="M1011" t="s">
        <v>331</v>
      </c>
      <c r="N1011" s="9">
        <v>44686</v>
      </c>
      <c r="O1011" s="9">
        <v>44693</v>
      </c>
      <c r="P1011" s="9">
        <v>44693</v>
      </c>
      <c r="Q1011" s="9">
        <v>44873</v>
      </c>
      <c r="R1011"/>
      <c r="S1011"/>
      <c r="T1011"/>
      <c r="U1011"/>
    </row>
    <row r="1012" spans="1:21" hidden="1">
      <c r="A1012" s="7" t="s">
        <v>8740</v>
      </c>
      <c r="B1012" s="7" t="s">
        <v>6627</v>
      </c>
      <c r="C1012" s="8" t="s">
        <v>5317</v>
      </c>
      <c r="D1012" t="s">
        <v>216</v>
      </c>
      <c r="E1012" t="s">
        <v>304</v>
      </c>
      <c r="F1012" t="s">
        <v>117</v>
      </c>
      <c r="G1012" t="s">
        <v>1140</v>
      </c>
      <c r="H1012" s="9">
        <v>44657</v>
      </c>
      <c r="I1012" t="s">
        <v>306</v>
      </c>
      <c r="J1012" t="s">
        <v>0</v>
      </c>
      <c r="K1012" s="9">
        <v>44711</v>
      </c>
      <c r="L1012" t="s">
        <v>29</v>
      </c>
      <c r="M1012"/>
      <c r="N1012" s="9">
        <v>44686</v>
      </c>
      <c r="O1012"/>
      <c r="P1012"/>
      <c r="Q1012" s="9">
        <v>44711</v>
      </c>
      <c r="R1012"/>
      <c r="S1012"/>
      <c r="T1012"/>
      <c r="U1012"/>
    </row>
    <row r="1013" spans="1:21" hidden="1">
      <c r="A1013" s="7" t="s">
        <v>8740</v>
      </c>
      <c r="B1013" s="7" t="s">
        <v>6627</v>
      </c>
      <c r="C1013" s="8" t="s">
        <v>5317</v>
      </c>
      <c r="D1013" t="s">
        <v>216</v>
      </c>
      <c r="E1013" t="s">
        <v>304</v>
      </c>
      <c r="F1013" t="s">
        <v>117</v>
      </c>
      <c r="G1013" t="s">
        <v>1141</v>
      </c>
      <c r="H1013" s="9">
        <v>44657</v>
      </c>
      <c r="I1013" t="s">
        <v>306</v>
      </c>
      <c r="J1013" t="s">
        <v>0</v>
      </c>
      <c r="K1013" s="9">
        <v>44711</v>
      </c>
      <c r="L1013" t="s">
        <v>29</v>
      </c>
      <c r="M1013"/>
      <c r="N1013" s="9">
        <v>44686</v>
      </c>
      <c r="O1013"/>
      <c r="P1013"/>
      <c r="Q1013" s="9">
        <v>44711</v>
      </c>
      <c r="R1013"/>
      <c r="S1013"/>
      <c r="T1013"/>
      <c r="U1013"/>
    </row>
    <row r="1014" spans="1:21" hidden="1">
      <c r="A1014" s="7" t="s">
        <v>8740</v>
      </c>
      <c r="B1014" s="7" t="s">
        <v>6627</v>
      </c>
      <c r="C1014" s="8" t="s">
        <v>5317</v>
      </c>
      <c r="D1014" t="s">
        <v>216</v>
      </c>
      <c r="E1014" t="s">
        <v>304</v>
      </c>
      <c r="F1014" t="s">
        <v>117</v>
      </c>
      <c r="G1014" t="s">
        <v>1142</v>
      </c>
      <c r="H1014" s="9">
        <v>44657</v>
      </c>
      <c r="I1014" t="s">
        <v>306</v>
      </c>
      <c r="J1014" t="s">
        <v>0</v>
      </c>
      <c r="K1014" s="9">
        <v>44711</v>
      </c>
      <c r="L1014" t="s">
        <v>29</v>
      </c>
      <c r="M1014"/>
      <c r="N1014" s="9">
        <v>44686</v>
      </c>
      <c r="O1014"/>
      <c r="P1014"/>
      <c r="Q1014" s="9">
        <v>44711</v>
      </c>
      <c r="R1014"/>
      <c r="S1014"/>
      <c r="T1014"/>
      <c r="U1014"/>
    </row>
    <row r="1015" spans="1:21" hidden="1">
      <c r="A1015" s="7" t="s">
        <v>8740</v>
      </c>
      <c r="B1015" s="7" t="s">
        <v>6627</v>
      </c>
      <c r="C1015" s="8" t="s">
        <v>5317</v>
      </c>
      <c r="D1015" t="s">
        <v>216</v>
      </c>
      <c r="E1015" t="s">
        <v>304</v>
      </c>
      <c r="F1015" t="s">
        <v>117</v>
      </c>
      <c r="G1015" t="s">
        <v>1143</v>
      </c>
      <c r="H1015" s="9">
        <v>44657</v>
      </c>
      <c r="I1015" t="s">
        <v>306</v>
      </c>
      <c r="J1015" t="s">
        <v>0</v>
      </c>
      <c r="K1015" s="9">
        <v>44711</v>
      </c>
      <c r="L1015" t="s">
        <v>29</v>
      </c>
      <c r="M1015"/>
      <c r="N1015" s="9">
        <v>44686</v>
      </c>
      <c r="O1015"/>
      <c r="P1015"/>
      <c r="Q1015" s="9">
        <v>44711</v>
      </c>
      <c r="R1015"/>
      <c r="S1015"/>
      <c r="T1015"/>
      <c r="U1015"/>
    </row>
    <row r="1016" spans="1:21" hidden="1">
      <c r="A1016" s="7" t="s">
        <v>8740</v>
      </c>
      <c r="B1016" s="7" t="s">
        <v>6627</v>
      </c>
      <c r="C1016" s="8" t="s">
        <v>5317</v>
      </c>
      <c r="D1016" t="s">
        <v>216</v>
      </c>
      <c r="E1016" t="s">
        <v>304</v>
      </c>
      <c r="F1016" t="s">
        <v>117</v>
      </c>
      <c r="G1016" t="s">
        <v>307</v>
      </c>
      <c r="H1016" s="9">
        <v>44657</v>
      </c>
      <c r="I1016" t="s">
        <v>306</v>
      </c>
      <c r="J1016" t="s">
        <v>0</v>
      </c>
      <c r="K1016" s="9">
        <v>44711</v>
      </c>
      <c r="L1016" t="s">
        <v>29</v>
      </c>
      <c r="M1016"/>
      <c r="N1016" s="9">
        <v>44686</v>
      </c>
      <c r="O1016"/>
      <c r="P1016"/>
      <c r="Q1016" s="9">
        <v>44711</v>
      </c>
      <c r="R1016"/>
      <c r="S1016"/>
      <c r="T1016"/>
      <c r="U1016"/>
    </row>
    <row r="1017" spans="1:21" hidden="1">
      <c r="A1017" s="7" t="s">
        <v>8740</v>
      </c>
      <c r="B1017" s="7" t="s">
        <v>6627</v>
      </c>
      <c r="C1017" s="8" t="s">
        <v>5317</v>
      </c>
      <c r="D1017" t="s">
        <v>216</v>
      </c>
      <c r="E1017" t="s">
        <v>304</v>
      </c>
      <c r="F1017" t="s">
        <v>117</v>
      </c>
      <c r="G1017" t="s">
        <v>1144</v>
      </c>
      <c r="H1017" s="9">
        <v>44657</v>
      </c>
      <c r="I1017" t="s">
        <v>306</v>
      </c>
      <c r="J1017" t="s">
        <v>0</v>
      </c>
      <c r="K1017" s="9">
        <v>44711</v>
      </c>
      <c r="L1017" t="s">
        <v>29</v>
      </c>
      <c r="M1017"/>
      <c r="N1017" s="9">
        <v>44686</v>
      </c>
      <c r="O1017"/>
      <c r="P1017"/>
      <c r="Q1017" s="9">
        <v>44711</v>
      </c>
      <c r="R1017"/>
      <c r="S1017"/>
      <c r="T1017"/>
      <c r="U1017"/>
    </row>
    <row r="1018" spans="1:21" hidden="1">
      <c r="A1018" s="7" t="s">
        <v>8740</v>
      </c>
      <c r="B1018" s="7" t="s">
        <v>6627</v>
      </c>
      <c r="C1018" s="8" t="s">
        <v>5317</v>
      </c>
      <c r="D1018" t="s">
        <v>216</v>
      </c>
      <c r="E1018" t="s">
        <v>304</v>
      </c>
      <c r="F1018" t="s">
        <v>117</v>
      </c>
      <c r="G1018" t="s">
        <v>1145</v>
      </c>
      <c r="H1018" s="9">
        <v>44657</v>
      </c>
      <c r="I1018" t="s">
        <v>306</v>
      </c>
      <c r="J1018" t="s">
        <v>0</v>
      </c>
      <c r="K1018" s="9">
        <v>44711</v>
      </c>
      <c r="L1018" t="s">
        <v>29</v>
      </c>
      <c r="M1018"/>
      <c r="N1018" s="9">
        <v>44686</v>
      </c>
      <c r="O1018"/>
      <c r="P1018"/>
      <c r="Q1018" s="9">
        <v>44711</v>
      </c>
      <c r="R1018"/>
      <c r="S1018"/>
      <c r="T1018"/>
      <c r="U1018"/>
    </row>
    <row r="1019" spans="1:21" hidden="1">
      <c r="A1019" s="7" t="s">
        <v>8740</v>
      </c>
      <c r="B1019" s="7" t="s">
        <v>6627</v>
      </c>
      <c r="C1019" s="8" t="s">
        <v>5317</v>
      </c>
      <c r="D1019" t="s">
        <v>216</v>
      </c>
      <c r="E1019" t="s">
        <v>304</v>
      </c>
      <c r="F1019" t="s">
        <v>117</v>
      </c>
      <c r="G1019" t="s">
        <v>308</v>
      </c>
      <c r="H1019" s="9">
        <v>44657</v>
      </c>
      <c r="I1019" t="s">
        <v>306</v>
      </c>
      <c r="J1019" t="s">
        <v>0</v>
      </c>
      <c r="K1019" s="9">
        <v>44711</v>
      </c>
      <c r="L1019" t="s">
        <v>29</v>
      </c>
      <c r="M1019"/>
      <c r="N1019" s="9">
        <v>44686</v>
      </c>
      <c r="O1019"/>
      <c r="P1019"/>
      <c r="Q1019" s="9">
        <v>44711</v>
      </c>
      <c r="R1019"/>
      <c r="S1019"/>
      <c r="T1019"/>
      <c r="U1019"/>
    </row>
    <row r="1020" spans="1:21" hidden="1">
      <c r="A1020" s="7" t="s">
        <v>8740</v>
      </c>
      <c r="B1020" s="7" t="s">
        <v>6627</v>
      </c>
      <c r="C1020" s="8" t="s">
        <v>5317</v>
      </c>
      <c r="D1020" t="s">
        <v>216</v>
      </c>
      <c r="E1020" t="s">
        <v>304</v>
      </c>
      <c r="F1020" t="s">
        <v>117</v>
      </c>
      <c r="G1020" t="s">
        <v>1146</v>
      </c>
      <c r="H1020" s="9">
        <v>44657</v>
      </c>
      <c r="I1020" t="s">
        <v>306</v>
      </c>
      <c r="J1020" t="s">
        <v>0</v>
      </c>
      <c r="K1020" s="9">
        <v>44711</v>
      </c>
      <c r="L1020" t="s">
        <v>29</v>
      </c>
      <c r="M1020"/>
      <c r="N1020" s="9">
        <v>44686</v>
      </c>
      <c r="O1020"/>
      <c r="P1020"/>
      <c r="Q1020" s="9">
        <v>44711</v>
      </c>
      <c r="R1020"/>
      <c r="S1020"/>
      <c r="T1020"/>
      <c r="U1020"/>
    </row>
    <row r="1021" spans="1:21" hidden="1">
      <c r="A1021" s="7" t="s">
        <v>8740</v>
      </c>
      <c r="B1021" s="7" t="s">
        <v>6627</v>
      </c>
      <c r="C1021" s="8" t="s">
        <v>5317</v>
      </c>
      <c r="D1021" t="s">
        <v>216</v>
      </c>
      <c r="E1021" t="s">
        <v>304</v>
      </c>
      <c r="F1021" t="s">
        <v>117</v>
      </c>
      <c r="G1021" t="s">
        <v>1147</v>
      </c>
      <c r="H1021" s="9">
        <v>44657</v>
      </c>
      <c r="I1021" t="s">
        <v>306</v>
      </c>
      <c r="J1021" t="s">
        <v>0</v>
      </c>
      <c r="K1021" s="9">
        <v>44711</v>
      </c>
      <c r="L1021" t="s">
        <v>29</v>
      </c>
      <c r="M1021"/>
      <c r="N1021" s="9">
        <v>44686</v>
      </c>
      <c r="O1021"/>
      <c r="P1021"/>
      <c r="Q1021" s="9">
        <v>44711</v>
      </c>
      <c r="R1021"/>
      <c r="S1021"/>
      <c r="T1021"/>
      <c r="U1021"/>
    </row>
    <row r="1022" spans="1:21" hidden="1">
      <c r="A1022" s="7" t="s">
        <v>8740</v>
      </c>
      <c r="B1022" s="7" t="s">
        <v>6627</v>
      </c>
      <c r="C1022" s="8" t="s">
        <v>5317</v>
      </c>
      <c r="D1022" t="s">
        <v>216</v>
      </c>
      <c r="E1022" t="s">
        <v>304</v>
      </c>
      <c r="F1022" t="s">
        <v>117</v>
      </c>
      <c r="G1022" t="s">
        <v>1148</v>
      </c>
      <c r="H1022" s="9">
        <v>44657</v>
      </c>
      <c r="I1022" t="s">
        <v>306</v>
      </c>
      <c r="J1022" t="s">
        <v>0</v>
      </c>
      <c r="K1022" s="9">
        <v>44711</v>
      </c>
      <c r="L1022" t="s">
        <v>29</v>
      </c>
      <c r="M1022"/>
      <c r="N1022" s="9">
        <v>44686</v>
      </c>
      <c r="O1022"/>
      <c r="P1022"/>
      <c r="Q1022" s="9">
        <v>44711</v>
      </c>
      <c r="R1022"/>
      <c r="S1022"/>
      <c r="T1022"/>
      <c r="U1022"/>
    </row>
    <row r="1023" spans="1:21" hidden="1">
      <c r="A1023" s="7" t="s">
        <v>8740</v>
      </c>
      <c r="B1023" s="7" t="s">
        <v>6627</v>
      </c>
      <c r="C1023" s="8" t="s">
        <v>5317</v>
      </c>
      <c r="D1023" t="s">
        <v>216</v>
      </c>
      <c r="E1023" t="s">
        <v>304</v>
      </c>
      <c r="F1023" t="s">
        <v>117</v>
      </c>
      <c r="G1023" t="s">
        <v>309</v>
      </c>
      <c r="H1023" s="9">
        <v>44657</v>
      </c>
      <c r="I1023" t="s">
        <v>306</v>
      </c>
      <c r="J1023" t="s">
        <v>0</v>
      </c>
      <c r="K1023" s="9">
        <v>44711</v>
      </c>
      <c r="L1023" t="s">
        <v>29</v>
      </c>
      <c r="M1023"/>
      <c r="N1023" s="9">
        <v>44686</v>
      </c>
      <c r="O1023"/>
      <c r="P1023"/>
      <c r="Q1023" s="9">
        <v>44711</v>
      </c>
      <c r="R1023"/>
      <c r="S1023"/>
      <c r="T1023"/>
      <c r="U1023"/>
    </row>
    <row r="1024" spans="1:21" hidden="1">
      <c r="A1024" s="7" t="s">
        <v>8740</v>
      </c>
      <c r="B1024" s="7" t="s">
        <v>6627</v>
      </c>
      <c r="C1024" s="8" t="s">
        <v>5317</v>
      </c>
      <c r="D1024" t="s">
        <v>216</v>
      </c>
      <c r="E1024" t="s">
        <v>304</v>
      </c>
      <c r="F1024" t="s">
        <v>117</v>
      </c>
      <c r="G1024" t="s">
        <v>1149</v>
      </c>
      <c r="H1024" s="9">
        <v>44657</v>
      </c>
      <c r="I1024" t="s">
        <v>306</v>
      </c>
      <c r="J1024" t="s">
        <v>0</v>
      </c>
      <c r="K1024" s="9">
        <v>44711</v>
      </c>
      <c r="L1024" t="s">
        <v>29</v>
      </c>
      <c r="M1024"/>
      <c r="N1024" s="9">
        <v>44686</v>
      </c>
      <c r="O1024"/>
      <c r="P1024"/>
      <c r="Q1024" s="9">
        <v>44711</v>
      </c>
      <c r="R1024"/>
      <c r="S1024"/>
      <c r="T1024"/>
      <c r="U1024"/>
    </row>
    <row r="1025" spans="1:21" hidden="1">
      <c r="A1025" s="7" t="s">
        <v>8740</v>
      </c>
      <c r="B1025" s="7" t="s">
        <v>6627</v>
      </c>
      <c r="C1025" s="8" t="s">
        <v>5317</v>
      </c>
      <c r="D1025" t="s">
        <v>216</v>
      </c>
      <c r="E1025" t="s">
        <v>304</v>
      </c>
      <c r="F1025" t="s">
        <v>117</v>
      </c>
      <c r="G1025" t="s">
        <v>1150</v>
      </c>
      <c r="H1025" s="9">
        <v>44657</v>
      </c>
      <c r="I1025" t="s">
        <v>306</v>
      </c>
      <c r="J1025" t="s">
        <v>0</v>
      </c>
      <c r="K1025" s="9">
        <v>44711</v>
      </c>
      <c r="L1025" t="s">
        <v>29</v>
      </c>
      <c r="M1025"/>
      <c r="N1025" s="9">
        <v>44686</v>
      </c>
      <c r="O1025"/>
      <c r="P1025"/>
      <c r="Q1025" s="9">
        <v>44711</v>
      </c>
      <c r="R1025"/>
      <c r="S1025"/>
      <c r="T1025"/>
      <c r="U1025"/>
    </row>
    <row r="1026" spans="1:21" hidden="1">
      <c r="A1026" s="7" t="s">
        <v>8740</v>
      </c>
      <c r="B1026" s="7" t="s">
        <v>6627</v>
      </c>
      <c r="C1026" s="8" t="s">
        <v>5317</v>
      </c>
      <c r="D1026" t="s">
        <v>216</v>
      </c>
      <c r="E1026" t="s">
        <v>304</v>
      </c>
      <c r="F1026" t="s">
        <v>117</v>
      </c>
      <c r="G1026" t="s">
        <v>1151</v>
      </c>
      <c r="H1026" s="9">
        <v>44657</v>
      </c>
      <c r="I1026" t="s">
        <v>306</v>
      </c>
      <c r="J1026" t="s">
        <v>0</v>
      </c>
      <c r="K1026" s="9">
        <v>44711</v>
      </c>
      <c r="L1026" t="s">
        <v>29</v>
      </c>
      <c r="M1026"/>
      <c r="N1026" s="9">
        <v>44686</v>
      </c>
      <c r="O1026"/>
      <c r="P1026"/>
      <c r="Q1026" s="9">
        <v>44711</v>
      </c>
      <c r="R1026"/>
      <c r="S1026"/>
      <c r="T1026"/>
      <c r="U1026"/>
    </row>
    <row r="1027" spans="1:21" hidden="1">
      <c r="A1027" s="7" t="s">
        <v>8740</v>
      </c>
      <c r="B1027" s="7" t="s">
        <v>6627</v>
      </c>
      <c r="C1027" s="8" t="s">
        <v>5317</v>
      </c>
      <c r="D1027" t="s">
        <v>216</v>
      </c>
      <c r="E1027" t="s">
        <v>304</v>
      </c>
      <c r="F1027" t="s">
        <v>117</v>
      </c>
      <c r="G1027" t="s">
        <v>1152</v>
      </c>
      <c r="H1027" s="9">
        <v>44657</v>
      </c>
      <c r="I1027" t="s">
        <v>306</v>
      </c>
      <c r="J1027" t="s">
        <v>0</v>
      </c>
      <c r="K1027" s="9">
        <v>44711</v>
      </c>
      <c r="L1027" t="s">
        <v>29</v>
      </c>
      <c r="M1027"/>
      <c r="N1027" s="9">
        <v>44686</v>
      </c>
      <c r="O1027"/>
      <c r="P1027"/>
      <c r="Q1027" s="9">
        <v>44711</v>
      </c>
      <c r="R1027"/>
      <c r="S1027"/>
      <c r="T1027"/>
      <c r="U1027"/>
    </row>
    <row r="1028" spans="1:21" hidden="1">
      <c r="A1028" s="7" t="s">
        <v>8740</v>
      </c>
      <c r="B1028" s="7" t="s">
        <v>6627</v>
      </c>
      <c r="C1028" s="8" t="s">
        <v>5317</v>
      </c>
      <c r="D1028" t="s">
        <v>216</v>
      </c>
      <c r="E1028" t="s">
        <v>304</v>
      </c>
      <c r="F1028" t="s">
        <v>117</v>
      </c>
      <c r="G1028" t="s">
        <v>1153</v>
      </c>
      <c r="H1028" s="9">
        <v>44657</v>
      </c>
      <c r="I1028" t="s">
        <v>306</v>
      </c>
      <c r="J1028" t="s">
        <v>0</v>
      </c>
      <c r="K1028" s="9">
        <v>44711</v>
      </c>
      <c r="L1028" t="s">
        <v>29</v>
      </c>
      <c r="M1028"/>
      <c r="N1028" s="9">
        <v>44686</v>
      </c>
      <c r="O1028"/>
      <c r="P1028"/>
      <c r="Q1028" s="9">
        <v>44711</v>
      </c>
      <c r="R1028"/>
      <c r="S1028"/>
      <c r="T1028"/>
      <c r="U1028"/>
    </row>
    <row r="1029" spans="1:21" hidden="1">
      <c r="A1029" s="7" t="s">
        <v>8740</v>
      </c>
      <c r="B1029" s="7" t="s">
        <v>6627</v>
      </c>
      <c r="C1029" s="8" t="s">
        <v>5317</v>
      </c>
      <c r="D1029" t="s">
        <v>216</v>
      </c>
      <c r="E1029" t="s">
        <v>304</v>
      </c>
      <c r="F1029" t="s">
        <v>117</v>
      </c>
      <c r="G1029" t="s">
        <v>1154</v>
      </c>
      <c r="H1029" s="9">
        <v>44657</v>
      </c>
      <c r="I1029" t="s">
        <v>306</v>
      </c>
      <c r="J1029" t="s">
        <v>0</v>
      </c>
      <c r="K1029" s="9">
        <v>44711</v>
      </c>
      <c r="L1029" t="s">
        <v>29</v>
      </c>
      <c r="M1029"/>
      <c r="N1029" s="9">
        <v>44686</v>
      </c>
      <c r="O1029"/>
      <c r="P1029"/>
      <c r="Q1029" s="9">
        <v>44711</v>
      </c>
      <c r="R1029"/>
      <c r="S1029"/>
      <c r="T1029"/>
      <c r="U1029"/>
    </row>
    <row r="1030" spans="1:21" hidden="1">
      <c r="A1030" s="7" t="s">
        <v>8740</v>
      </c>
      <c r="B1030" s="7" t="s">
        <v>6627</v>
      </c>
      <c r="C1030" s="8" t="s">
        <v>5317</v>
      </c>
      <c r="D1030" t="s">
        <v>216</v>
      </c>
      <c r="E1030" t="s">
        <v>304</v>
      </c>
      <c r="F1030" t="s">
        <v>117</v>
      </c>
      <c r="G1030" t="s">
        <v>1155</v>
      </c>
      <c r="H1030" s="9">
        <v>44657</v>
      </c>
      <c r="I1030" t="s">
        <v>306</v>
      </c>
      <c r="J1030" t="s">
        <v>0</v>
      </c>
      <c r="K1030" s="9">
        <v>44711</v>
      </c>
      <c r="L1030" t="s">
        <v>29</v>
      </c>
      <c r="M1030"/>
      <c r="N1030" s="9">
        <v>44686</v>
      </c>
      <c r="O1030"/>
      <c r="P1030"/>
      <c r="Q1030" s="9">
        <v>44711</v>
      </c>
      <c r="R1030"/>
      <c r="S1030"/>
      <c r="T1030"/>
      <c r="U1030"/>
    </row>
    <row r="1031" spans="1:21" hidden="1">
      <c r="A1031" s="7" t="s">
        <v>8740</v>
      </c>
      <c r="B1031" s="7" t="s">
        <v>6627</v>
      </c>
      <c r="C1031" s="8" t="s">
        <v>5317</v>
      </c>
      <c r="D1031" t="s">
        <v>216</v>
      </c>
      <c r="E1031" t="s">
        <v>304</v>
      </c>
      <c r="F1031" t="s">
        <v>117</v>
      </c>
      <c r="G1031" t="s">
        <v>1156</v>
      </c>
      <c r="H1031" s="9">
        <v>44657</v>
      </c>
      <c r="I1031" t="s">
        <v>306</v>
      </c>
      <c r="J1031" t="s">
        <v>0</v>
      </c>
      <c r="K1031" s="9">
        <v>44711</v>
      </c>
      <c r="L1031" t="s">
        <v>29</v>
      </c>
      <c r="M1031"/>
      <c r="N1031" s="9">
        <v>44686</v>
      </c>
      <c r="O1031"/>
      <c r="P1031"/>
      <c r="Q1031" s="9">
        <v>44711</v>
      </c>
      <c r="R1031"/>
      <c r="S1031"/>
      <c r="T1031"/>
      <c r="U1031"/>
    </row>
    <row r="1032" spans="1:21" hidden="1">
      <c r="A1032" s="7" t="s">
        <v>8740</v>
      </c>
      <c r="B1032" s="7" t="s">
        <v>6627</v>
      </c>
      <c r="C1032" s="8" t="s">
        <v>5317</v>
      </c>
      <c r="D1032" t="s">
        <v>216</v>
      </c>
      <c r="E1032" t="s">
        <v>304</v>
      </c>
      <c r="F1032" t="s">
        <v>117</v>
      </c>
      <c r="G1032" t="s">
        <v>1157</v>
      </c>
      <c r="H1032" s="9">
        <v>44657</v>
      </c>
      <c r="I1032" t="s">
        <v>306</v>
      </c>
      <c r="J1032" t="s">
        <v>0</v>
      </c>
      <c r="K1032" s="9">
        <v>44711</v>
      </c>
      <c r="L1032" t="s">
        <v>29</v>
      </c>
      <c r="M1032"/>
      <c r="N1032" s="9">
        <v>44686</v>
      </c>
      <c r="O1032"/>
      <c r="P1032"/>
      <c r="Q1032" s="9">
        <v>44711</v>
      </c>
      <c r="R1032"/>
      <c r="S1032"/>
      <c r="T1032"/>
      <c r="U1032"/>
    </row>
    <row r="1033" spans="1:21" hidden="1">
      <c r="A1033" s="7" t="s">
        <v>8740</v>
      </c>
      <c r="B1033" s="7" t="s">
        <v>6627</v>
      </c>
      <c r="C1033" s="8" t="s">
        <v>5317</v>
      </c>
      <c r="D1033" t="s">
        <v>216</v>
      </c>
      <c r="E1033" t="s">
        <v>304</v>
      </c>
      <c r="F1033" t="s">
        <v>117</v>
      </c>
      <c r="G1033" t="s">
        <v>1158</v>
      </c>
      <c r="H1033" s="9">
        <v>44657</v>
      </c>
      <c r="I1033" t="s">
        <v>306</v>
      </c>
      <c r="J1033" t="s">
        <v>0</v>
      </c>
      <c r="K1033" s="9">
        <v>44711</v>
      </c>
      <c r="L1033" t="s">
        <v>29</v>
      </c>
      <c r="M1033"/>
      <c r="N1033" s="9">
        <v>44686</v>
      </c>
      <c r="O1033"/>
      <c r="P1033"/>
      <c r="Q1033" s="9">
        <v>44711</v>
      </c>
      <c r="R1033"/>
      <c r="S1033"/>
      <c r="T1033"/>
      <c r="U1033"/>
    </row>
    <row r="1034" spans="1:21" hidden="1">
      <c r="A1034" s="7" t="s">
        <v>8740</v>
      </c>
      <c r="B1034" s="7" t="s">
        <v>6627</v>
      </c>
      <c r="C1034" s="8" t="s">
        <v>5317</v>
      </c>
      <c r="D1034" t="s">
        <v>216</v>
      </c>
      <c r="E1034" t="s">
        <v>304</v>
      </c>
      <c r="F1034" t="s">
        <v>117</v>
      </c>
      <c r="G1034" t="s">
        <v>1159</v>
      </c>
      <c r="H1034" s="9">
        <v>44657</v>
      </c>
      <c r="I1034" t="s">
        <v>306</v>
      </c>
      <c r="J1034" t="s">
        <v>0</v>
      </c>
      <c r="K1034" s="9">
        <v>44711</v>
      </c>
      <c r="L1034" t="s">
        <v>29</v>
      </c>
      <c r="M1034"/>
      <c r="N1034" s="9">
        <v>44686</v>
      </c>
      <c r="O1034"/>
      <c r="P1034"/>
      <c r="Q1034" s="9">
        <v>44711</v>
      </c>
      <c r="R1034"/>
      <c r="S1034"/>
      <c r="T1034"/>
      <c r="U1034"/>
    </row>
    <row r="1035" spans="1:21" hidden="1">
      <c r="A1035" s="7" t="s">
        <v>8740</v>
      </c>
      <c r="B1035" s="7" t="s">
        <v>6627</v>
      </c>
      <c r="C1035" s="8" t="s">
        <v>5317</v>
      </c>
      <c r="D1035" t="s">
        <v>216</v>
      </c>
      <c r="E1035" t="s">
        <v>304</v>
      </c>
      <c r="F1035" t="s">
        <v>117</v>
      </c>
      <c r="G1035" t="s">
        <v>1160</v>
      </c>
      <c r="H1035" s="9">
        <v>44657</v>
      </c>
      <c r="I1035" t="s">
        <v>306</v>
      </c>
      <c r="J1035" t="s">
        <v>0</v>
      </c>
      <c r="K1035" s="9">
        <v>44711</v>
      </c>
      <c r="L1035" t="s">
        <v>29</v>
      </c>
      <c r="M1035"/>
      <c r="N1035" s="9">
        <v>44686</v>
      </c>
      <c r="O1035"/>
      <c r="P1035"/>
      <c r="Q1035" s="9">
        <v>44711</v>
      </c>
      <c r="R1035"/>
      <c r="S1035"/>
      <c r="T1035"/>
      <c r="U1035"/>
    </row>
    <row r="1036" spans="1:21" hidden="1">
      <c r="A1036" s="7" t="s">
        <v>8740</v>
      </c>
      <c r="B1036" s="7" t="s">
        <v>6627</v>
      </c>
      <c r="C1036" s="8" t="s">
        <v>5317</v>
      </c>
      <c r="D1036" t="s">
        <v>216</v>
      </c>
      <c r="E1036" t="s">
        <v>304</v>
      </c>
      <c r="F1036" t="s">
        <v>117</v>
      </c>
      <c r="G1036" t="s">
        <v>1161</v>
      </c>
      <c r="H1036" s="9">
        <v>44657</v>
      </c>
      <c r="I1036" t="s">
        <v>306</v>
      </c>
      <c r="J1036" t="s">
        <v>0</v>
      </c>
      <c r="K1036" s="9">
        <v>44711</v>
      </c>
      <c r="L1036" t="s">
        <v>29</v>
      </c>
      <c r="M1036"/>
      <c r="N1036" s="9">
        <v>44686</v>
      </c>
      <c r="O1036"/>
      <c r="P1036"/>
      <c r="Q1036" s="9">
        <v>44711</v>
      </c>
      <c r="R1036"/>
      <c r="S1036"/>
      <c r="T1036"/>
      <c r="U1036"/>
    </row>
    <row r="1037" spans="1:21" hidden="1">
      <c r="A1037" s="7" t="s">
        <v>8740</v>
      </c>
      <c r="B1037" s="7" t="s">
        <v>6627</v>
      </c>
      <c r="C1037" s="8" t="s">
        <v>5317</v>
      </c>
      <c r="D1037" t="s">
        <v>216</v>
      </c>
      <c r="E1037" t="s">
        <v>304</v>
      </c>
      <c r="F1037" t="s">
        <v>117</v>
      </c>
      <c r="G1037" t="s">
        <v>1162</v>
      </c>
      <c r="H1037" s="9">
        <v>44657</v>
      </c>
      <c r="I1037" t="s">
        <v>306</v>
      </c>
      <c r="J1037" t="s">
        <v>0</v>
      </c>
      <c r="K1037" s="9">
        <v>44711</v>
      </c>
      <c r="L1037" t="s">
        <v>29</v>
      </c>
      <c r="M1037"/>
      <c r="N1037" s="9">
        <v>44686</v>
      </c>
      <c r="O1037"/>
      <c r="P1037"/>
      <c r="Q1037" s="9">
        <v>44711</v>
      </c>
      <c r="R1037"/>
      <c r="S1037"/>
      <c r="T1037"/>
      <c r="U1037"/>
    </row>
    <row r="1038" spans="1:21" hidden="1">
      <c r="A1038" s="7" t="s">
        <v>8740</v>
      </c>
      <c r="B1038" s="7" t="s">
        <v>6627</v>
      </c>
      <c r="C1038" s="8" t="s">
        <v>5317</v>
      </c>
      <c r="D1038" t="s">
        <v>216</v>
      </c>
      <c r="E1038" t="s">
        <v>304</v>
      </c>
      <c r="F1038" t="s">
        <v>117</v>
      </c>
      <c r="G1038" t="s">
        <v>1163</v>
      </c>
      <c r="H1038" s="9">
        <v>44657</v>
      </c>
      <c r="I1038" t="s">
        <v>306</v>
      </c>
      <c r="J1038" t="s">
        <v>0</v>
      </c>
      <c r="K1038" s="9">
        <v>44711</v>
      </c>
      <c r="L1038" t="s">
        <v>29</v>
      </c>
      <c r="M1038"/>
      <c r="N1038" s="9">
        <v>44686</v>
      </c>
      <c r="O1038"/>
      <c r="P1038"/>
      <c r="Q1038" s="9">
        <v>44711</v>
      </c>
      <c r="R1038"/>
      <c r="S1038"/>
      <c r="T1038"/>
      <c r="U1038"/>
    </row>
    <row r="1039" spans="1:21" hidden="1">
      <c r="A1039" s="7" t="s">
        <v>8740</v>
      </c>
      <c r="B1039" s="7" t="s">
        <v>6627</v>
      </c>
      <c r="C1039" s="8" t="s">
        <v>5317</v>
      </c>
      <c r="D1039" t="s">
        <v>216</v>
      </c>
      <c r="E1039" t="s">
        <v>304</v>
      </c>
      <c r="F1039" t="s">
        <v>117</v>
      </c>
      <c r="G1039" t="s">
        <v>1164</v>
      </c>
      <c r="H1039" s="9">
        <v>44657</v>
      </c>
      <c r="I1039" t="s">
        <v>306</v>
      </c>
      <c r="J1039" t="s">
        <v>0</v>
      </c>
      <c r="K1039" s="9">
        <v>44711</v>
      </c>
      <c r="L1039" t="s">
        <v>29</v>
      </c>
      <c r="M1039"/>
      <c r="N1039" s="9">
        <v>44686</v>
      </c>
      <c r="O1039"/>
      <c r="P1039"/>
      <c r="Q1039" s="9">
        <v>44711</v>
      </c>
      <c r="R1039"/>
      <c r="S1039"/>
      <c r="T1039"/>
      <c r="U1039"/>
    </row>
    <row r="1040" spans="1:21" hidden="1">
      <c r="A1040" s="7" t="s">
        <v>8740</v>
      </c>
      <c r="B1040" s="7" t="s">
        <v>6627</v>
      </c>
      <c r="C1040" s="8" t="s">
        <v>5317</v>
      </c>
      <c r="D1040" t="s">
        <v>216</v>
      </c>
      <c r="E1040" t="s">
        <v>304</v>
      </c>
      <c r="F1040" t="s">
        <v>117</v>
      </c>
      <c r="G1040" t="s">
        <v>1165</v>
      </c>
      <c r="H1040" s="9">
        <v>44657</v>
      </c>
      <c r="I1040" t="s">
        <v>306</v>
      </c>
      <c r="J1040" t="s">
        <v>0</v>
      </c>
      <c r="K1040" s="9">
        <v>44711</v>
      </c>
      <c r="L1040" t="s">
        <v>29</v>
      </c>
      <c r="M1040"/>
      <c r="N1040" s="9">
        <v>44686</v>
      </c>
      <c r="O1040"/>
      <c r="P1040"/>
      <c r="Q1040" s="9">
        <v>44711</v>
      </c>
      <c r="R1040"/>
      <c r="S1040"/>
      <c r="T1040"/>
      <c r="U1040"/>
    </row>
    <row r="1041" spans="1:21" hidden="1">
      <c r="A1041" s="7" t="s">
        <v>8740</v>
      </c>
      <c r="B1041" s="7" t="s">
        <v>6627</v>
      </c>
      <c r="C1041" s="8" t="s">
        <v>5317</v>
      </c>
      <c r="D1041" t="s">
        <v>216</v>
      </c>
      <c r="E1041" t="s">
        <v>304</v>
      </c>
      <c r="F1041" t="s">
        <v>117</v>
      </c>
      <c r="G1041" t="s">
        <v>1166</v>
      </c>
      <c r="H1041" s="9">
        <v>44657</v>
      </c>
      <c r="I1041" t="s">
        <v>306</v>
      </c>
      <c r="J1041" t="s">
        <v>0</v>
      </c>
      <c r="K1041" s="9">
        <v>44711</v>
      </c>
      <c r="L1041" t="s">
        <v>29</v>
      </c>
      <c r="M1041"/>
      <c r="N1041" s="9">
        <v>44686</v>
      </c>
      <c r="O1041"/>
      <c r="P1041"/>
      <c r="Q1041" s="9">
        <v>44711</v>
      </c>
      <c r="R1041"/>
      <c r="S1041"/>
      <c r="T1041"/>
      <c r="U1041"/>
    </row>
    <row r="1042" spans="1:21" hidden="1">
      <c r="A1042" s="7" t="s">
        <v>8740</v>
      </c>
      <c r="B1042" s="7" t="s">
        <v>6627</v>
      </c>
      <c r="C1042" s="8" t="s">
        <v>5317</v>
      </c>
      <c r="D1042" t="s">
        <v>216</v>
      </c>
      <c r="E1042" t="s">
        <v>304</v>
      </c>
      <c r="F1042" t="s">
        <v>117</v>
      </c>
      <c r="G1042" t="s">
        <v>1167</v>
      </c>
      <c r="H1042" s="9">
        <v>44657</v>
      </c>
      <c r="I1042" t="s">
        <v>306</v>
      </c>
      <c r="J1042" t="s">
        <v>0</v>
      </c>
      <c r="K1042" s="9">
        <v>44711</v>
      </c>
      <c r="L1042" t="s">
        <v>29</v>
      </c>
      <c r="M1042"/>
      <c r="N1042" s="9">
        <v>44686</v>
      </c>
      <c r="O1042"/>
      <c r="P1042"/>
      <c r="Q1042" s="9">
        <v>44711</v>
      </c>
      <c r="R1042"/>
      <c r="S1042"/>
      <c r="T1042"/>
      <c r="U1042"/>
    </row>
    <row r="1043" spans="1:21" hidden="1">
      <c r="A1043" s="7" t="s">
        <v>8740</v>
      </c>
      <c r="B1043" s="7" t="s">
        <v>6627</v>
      </c>
      <c r="C1043" s="8" t="s">
        <v>5317</v>
      </c>
      <c r="D1043" t="s">
        <v>216</v>
      </c>
      <c r="E1043" t="s">
        <v>304</v>
      </c>
      <c r="F1043" t="s">
        <v>117</v>
      </c>
      <c r="G1043" t="s">
        <v>1168</v>
      </c>
      <c r="H1043" s="9">
        <v>44657</v>
      </c>
      <c r="I1043" t="s">
        <v>306</v>
      </c>
      <c r="J1043" t="s">
        <v>0</v>
      </c>
      <c r="K1043" s="9">
        <v>44711</v>
      </c>
      <c r="L1043" t="s">
        <v>29</v>
      </c>
      <c r="M1043"/>
      <c r="N1043" s="9">
        <v>44686</v>
      </c>
      <c r="O1043"/>
      <c r="P1043"/>
      <c r="Q1043" s="9">
        <v>44711</v>
      </c>
      <c r="R1043"/>
      <c r="S1043"/>
      <c r="T1043"/>
      <c r="U1043"/>
    </row>
    <row r="1044" spans="1:21" hidden="1">
      <c r="A1044" s="7" t="s">
        <v>8740</v>
      </c>
      <c r="B1044" s="7" t="s">
        <v>6627</v>
      </c>
      <c r="C1044" s="8" t="s">
        <v>5317</v>
      </c>
      <c r="D1044" t="s">
        <v>216</v>
      </c>
      <c r="E1044" t="s">
        <v>304</v>
      </c>
      <c r="F1044" t="s">
        <v>117</v>
      </c>
      <c r="G1044" t="s">
        <v>310</v>
      </c>
      <c r="H1044" s="9">
        <v>44657</v>
      </c>
      <c r="I1044" t="s">
        <v>306</v>
      </c>
      <c r="J1044" t="s">
        <v>0</v>
      </c>
      <c r="K1044" s="9">
        <v>44711</v>
      </c>
      <c r="L1044" t="s">
        <v>29</v>
      </c>
      <c r="M1044"/>
      <c r="N1044" s="9">
        <v>44686</v>
      </c>
      <c r="O1044"/>
      <c r="P1044"/>
      <c r="Q1044" s="9">
        <v>44711</v>
      </c>
      <c r="R1044"/>
      <c r="S1044"/>
      <c r="T1044"/>
      <c r="U1044"/>
    </row>
    <row r="1045" spans="1:21" hidden="1">
      <c r="A1045" s="7" t="s">
        <v>8740</v>
      </c>
      <c r="B1045" s="7" t="s">
        <v>6627</v>
      </c>
      <c r="C1045" s="8" t="s">
        <v>5317</v>
      </c>
      <c r="D1045" t="s">
        <v>216</v>
      </c>
      <c r="E1045" t="s">
        <v>304</v>
      </c>
      <c r="F1045" t="s">
        <v>117</v>
      </c>
      <c r="G1045" t="s">
        <v>1169</v>
      </c>
      <c r="H1045" s="9">
        <v>44657</v>
      </c>
      <c r="I1045" t="s">
        <v>306</v>
      </c>
      <c r="J1045" t="s">
        <v>0</v>
      </c>
      <c r="K1045" s="9">
        <v>44711</v>
      </c>
      <c r="L1045" t="s">
        <v>29</v>
      </c>
      <c r="M1045"/>
      <c r="N1045" s="9">
        <v>44686</v>
      </c>
      <c r="O1045"/>
      <c r="P1045"/>
      <c r="Q1045" s="9">
        <v>44711</v>
      </c>
      <c r="R1045"/>
      <c r="S1045"/>
      <c r="T1045"/>
      <c r="U1045"/>
    </row>
    <row r="1046" spans="1:21" hidden="1">
      <c r="A1046" s="7" t="s">
        <v>8740</v>
      </c>
      <c r="B1046" s="7" t="s">
        <v>6627</v>
      </c>
      <c r="C1046" s="8" t="s">
        <v>5317</v>
      </c>
      <c r="D1046" t="s">
        <v>216</v>
      </c>
      <c r="E1046" t="s">
        <v>304</v>
      </c>
      <c r="F1046" t="s">
        <v>117</v>
      </c>
      <c r="G1046" t="s">
        <v>1170</v>
      </c>
      <c r="H1046" s="9">
        <v>44657</v>
      </c>
      <c r="I1046" t="s">
        <v>306</v>
      </c>
      <c r="J1046" t="s">
        <v>0</v>
      </c>
      <c r="K1046" s="9">
        <v>44711</v>
      </c>
      <c r="L1046" t="s">
        <v>29</v>
      </c>
      <c r="M1046"/>
      <c r="N1046" s="9">
        <v>44686</v>
      </c>
      <c r="O1046"/>
      <c r="P1046"/>
      <c r="Q1046" s="9">
        <v>44711</v>
      </c>
      <c r="R1046"/>
      <c r="S1046"/>
      <c r="T1046"/>
      <c r="U1046"/>
    </row>
    <row r="1047" spans="1:21" hidden="1">
      <c r="A1047" s="7" t="s">
        <v>8740</v>
      </c>
      <c r="B1047" s="7" t="s">
        <v>6627</v>
      </c>
      <c r="C1047" s="8" t="s">
        <v>5317</v>
      </c>
      <c r="D1047" t="s">
        <v>216</v>
      </c>
      <c r="E1047" t="s">
        <v>304</v>
      </c>
      <c r="F1047" t="s">
        <v>117</v>
      </c>
      <c r="G1047" t="s">
        <v>1171</v>
      </c>
      <c r="H1047" s="9">
        <v>44657</v>
      </c>
      <c r="I1047" t="s">
        <v>306</v>
      </c>
      <c r="J1047" t="s">
        <v>0</v>
      </c>
      <c r="K1047" s="9">
        <v>44711</v>
      </c>
      <c r="L1047" t="s">
        <v>29</v>
      </c>
      <c r="M1047"/>
      <c r="N1047" s="9">
        <v>44686</v>
      </c>
      <c r="O1047"/>
      <c r="P1047"/>
      <c r="Q1047" s="9">
        <v>44711</v>
      </c>
      <c r="R1047"/>
      <c r="S1047"/>
      <c r="T1047"/>
      <c r="U1047"/>
    </row>
    <row r="1048" spans="1:21" hidden="1">
      <c r="A1048" s="7" t="s">
        <v>8740</v>
      </c>
      <c r="B1048" s="7" t="s">
        <v>6627</v>
      </c>
      <c r="C1048" s="8" t="s">
        <v>5317</v>
      </c>
      <c r="D1048" t="s">
        <v>216</v>
      </c>
      <c r="E1048" t="s">
        <v>304</v>
      </c>
      <c r="F1048" t="s">
        <v>117</v>
      </c>
      <c r="G1048" t="s">
        <v>1172</v>
      </c>
      <c r="H1048" s="9">
        <v>44657</v>
      </c>
      <c r="I1048" t="s">
        <v>306</v>
      </c>
      <c r="J1048" t="s">
        <v>0</v>
      </c>
      <c r="K1048" s="9">
        <v>44711</v>
      </c>
      <c r="L1048" t="s">
        <v>29</v>
      </c>
      <c r="M1048"/>
      <c r="N1048" s="9">
        <v>44686</v>
      </c>
      <c r="O1048"/>
      <c r="P1048"/>
      <c r="Q1048" s="9">
        <v>44711</v>
      </c>
      <c r="R1048"/>
      <c r="S1048"/>
      <c r="T1048"/>
      <c r="U1048"/>
    </row>
    <row r="1049" spans="1:21" hidden="1">
      <c r="A1049" s="7" t="s">
        <v>8740</v>
      </c>
      <c r="B1049" s="7" t="s">
        <v>6627</v>
      </c>
      <c r="C1049" s="8" t="s">
        <v>5317</v>
      </c>
      <c r="D1049" t="s">
        <v>216</v>
      </c>
      <c r="E1049" t="s">
        <v>304</v>
      </c>
      <c r="F1049" t="s">
        <v>117</v>
      </c>
      <c r="G1049" t="s">
        <v>1173</v>
      </c>
      <c r="H1049" s="9">
        <v>44657</v>
      </c>
      <c r="I1049" t="s">
        <v>306</v>
      </c>
      <c r="J1049" t="s">
        <v>0</v>
      </c>
      <c r="K1049" s="9">
        <v>44711</v>
      </c>
      <c r="L1049" t="s">
        <v>29</v>
      </c>
      <c r="M1049"/>
      <c r="N1049" s="9">
        <v>44686</v>
      </c>
      <c r="O1049"/>
      <c r="P1049"/>
      <c r="Q1049" s="9">
        <v>44711</v>
      </c>
      <c r="R1049"/>
      <c r="S1049"/>
      <c r="T1049"/>
      <c r="U1049"/>
    </row>
    <row r="1050" spans="1:21" hidden="1">
      <c r="A1050" s="7" t="s">
        <v>8740</v>
      </c>
      <c r="B1050" s="7" t="s">
        <v>6627</v>
      </c>
      <c r="C1050" s="8" t="s">
        <v>5317</v>
      </c>
      <c r="D1050" t="s">
        <v>216</v>
      </c>
      <c r="E1050" t="s">
        <v>304</v>
      </c>
      <c r="F1050" t="s">
        <v>117</v>
      </c>
      <c r="G1050" t="s">
        <v>1174</v>
      </c>
      <c r="H1050" s="9">
        <v>44657</v>
      </c>
      <c r="I1050" t="s">
        <v>306</v>
      </c>
      <c r="J1050" t="s">
        <v>0</v>
      </c>
      <c r="K1050" s="9">
        <v>44711</v>
      </c>
      <c r="L1050" t="s">
        <v>29</v>
      </c>
      <c r="M1050"/>
      <c r="N1050" s="9">
        <v>44686</v>
      </c>
      <c r="O1050"/>
      <c r="P1050"/>
      <c r="Q1050" s="9">
        <v>44711</v>
      </c>
      <c r="R1050"/>
      <c r="S1050"/>
      <c r="T1050"/>
      <c r="U1050"/>
    </row>
    <row r="1051" spans="1:21" hidden="1">
      <c r="A1051" s="7" t="s">
        <v>8740</v>
      </c>
      <c r="B1051" s="7" t="s">
        <v>6627</v>
      </c>
      <c r="C1051" s="8" t="s">
        <v>5317</v>
      </c>
      <c r="D1051" t="s">
        <v>216</v>
      </c>
      <c r="E1051" t="s">
        <v>304</v>
      </c>
      <c r="F1051" t="s">
        <v>117</v>
      </c>
      <c r="G1051" t="s">
        <v>1175</v>
      </c>
      <c r="H1051" s="9">
        <v>44657</v>
      </c>
      <c r="I1051" t="s">
        <v>306</v>
      </c>
      <c r="J1051" t="s">
        <v>0</v>
      </c>
      <c r="K1051" s="9">
        <v>44711</v>
      </c>
      <c r="L1051" t="s">
        <v>29</v>
      </c>
      <c r="M1051"/>
      <c r="N1051" s="9">
        <v>44686</v>
      </c>
      <c r="O1051"/>
      <c r="P1051"/>
      <c r="Q1051" s="9">
        <v>44711</v>
      </c>
      <c r="R1051"/>
      <c r="S1051"/>
      <c r="T1051"/>
      <c r="U1051"/>
    </row>
    <row r="1052" spans="1:21" hidden="1">
      <c r="A1052" s="7" t="s">
        <v>8740</v>
      </c>
      <c r="B1052" s="7" t="s">
        <v>6627</v>
      </c>
      <c r="C1052" s="8" t="s">
        <v>5317</v>
      </c>
      <c r="D1052" t="s">
        <v>216</v>
      </c>
      <c r="E1052" t="s">
        <v>304</v>
      </c>
      <c r="F1052" t="s">
        <v>117</v>
      </c>
      <c r="G1052" t="s">
        <v>1176</v>
      </c>
      <c r="H1052" s="9">
        <v>44657</v>
      </c>
      <c r="I1052" t="s">
        <v>306</v>
      </c>
      <c r="J1052" t="s">
        <v>0</v>
      </c>
      <c r="K1052" s="9">
        <v>44711</v>
      </c>
      <c r="L1052" t="s">
        <v>29</v>
      </c>
      <c r="M1052"/>
      <c r="N1052" s="9">
        <v>44686</v>
      </c>
      <c r="O1052"/>
      <c r="P1052"/>
      <c r="Q1052" s="9">
        <v>44711</v>
      </c>
      <c r="R1052"/>
      <c r="S1052"/>
      <c r="T1052"/>
      <c r="U1052"/>
    </row>
    <row r="1053" spans="1:21" hidden="1">
      <c r="A1053" s="7" t="s">
        <v>8740</v>
      </c>
      <c r="B1053" s="7" t="s">
        <v>6627</v>
      </c>
      <c r="C1053" s="8" t="s">
        <v>5317</v>
      </c>
      <c r="D1053" t="s">
        <v>216</v>
      </c>
      <c r="E1053" t="s">
        <v>304</v>
      </c>
      <c r="F1053" t="s">
        <v>117</v>
      </c>
      <c r="G1053" t="s">
        <v>1177</v>
      </c>
      <c r="H1053" s="9">
        <v>44657</v>
      </c>
      <c r="I1053" t="s">
        <v>306</v>
      </c>
      <c r="J1053" t="s">
        <v>0</v>
      </c>
      <c r="K1053" s="9">
        <v>44711</v>
      </c>
      <c r="L1053" t="s">
        <v>29</v>
      </c>
      <c r="M1053"/>
      <c r="N1053" s="9">
        <v>44686</v>
      </c>
      <c r="O1053"/>
      <c r="P1053"/>
      <c r="Q1053" s="9">
        <v>44711</v>
      </c>
      <c r="R1053"/>
      <c r="S1053"/>
      <c r="T1053"/>
      <c r="U1053"/>
    </row>
    <row r="1054" spans="1:21" hidden="1">
      <c r="A1054" s="7" t="s">
        <v>8740</v>
      </c>
      <c r="B1054" s="7" t="s">
        <v>6627</v>
      </c>
      <c r="C1054" s="8" t="s">
        <v>5317</v>
      </c>
      <c r="D1054" t="s">
        <v>216</v>
      </c>
      <c r="E1054" t="s">
        <v>304</v>
      </c>
      <c r="F1054" t="s">
        <v>117</v>
      </c>
      <c r="G1054" t="s">
        <v>1178</v>
      </c>
      <c r="H1054" s="9">
        <v>44657</v>
      </c>
      <c r="I1054" t="s">
        <v>306</v>
      </c>
      <c r="J1054" t="s">
        <v>0</v>
      </c>
      <c r="K1054" s="9">
        <v>44711</v>
      </c>
      <c r="L1054" t="s">
        <v>29</v>
      </c>
      <c r="M1054"/>
      <c r="N1054" s="9">
        <v>44686</v>
      </c>
      <c r="O1054"/>
      <c r="P1054"/>
      <c r="Q1054" s="9">
        <v>44711</v>
      </c>
      <c r="R1054"/>
      <c r="S1054"/>
      <c r="T1054"/>
      <c r="U1054"/>
    </row>
    <row r="1055" spans="1:21" hidden="1">
      <c r="A1055" s="7" t="s">
        <v>8740</v>
      </c>
      <c r="B1055" s="7" t="s">
        <v>6627</v>
      </c>
      <c r="C1055" s="8" t="s">
        <v>5317</v>
      </c>
      <c r="D1055" t="s">
        <v>216</v>
      </c>
      <c r="E1055" t="s">
        <v>304</v>
      </c>
      <c r="F1055" t="s">
        <v>117</v>
      </c>
      <c r="G1055" t="s">
        <v>1179</v>
      </c>
      <c r="H1055" s="9">
        <v>44657</v>
      </c>
      <c r="I1055" t="s">
        <v>306</v>
      </c>
      <c r="J1055" t="s">
        <v>0</v>
      </c>
      <c r="K1055" s="9">
        <v>44711</v>
      </c>
      <c r="L1055" t="s">
        <v>29</v>
      </c>
      <c r="M1055"/>
      <c r="N1055" s="9">
        <v>44686</v>
      </c>
      <c r="O1055"/>
      <c r="P1055"/>
      <c r="Q1055" s="9">
        <v>44711</v>
      </c>
      <c r="R1055"/>
      <c r="S1055"/>
      <c r="T1055"/>
      <c r="U1055"/>
    </row>
    <row r="1056" spans="1:21" hidden="1">
      <c r="A1056" s="7" t="s">
        <v>8740</v>
      </c>
      <c r="B1056" s="7" t="s">
        <v>6627</v>
      </c>
      <c r="C1056" s="8" t="s">
        <v>5317</v>
      </c>
      <c r="D1056" t="s">
        <v>216</v>
      </c>
      <c r="E1056" t="s">
        <v>304</v>
      </c>
      <c r="F1056" t="s">
        <v>117</v>
      </c>
      <c r="G1056" t="s">
        <v>1180</v>
      </c>
      <c r="H1056" s="9">
        <v>44657</v>
      </c>
      <c r="I1056" t="s">
        <v>306</v>
      </c>
      <c r="J1056" t="s">
        <v>0</v>
      </c>
      <c r="K1056" s="9">
        <v>44711</v>
      </c>
      <c r="L1056" t="s">
        <v>29</v>
      </c>
      <c r="M1056"/>
      <c r="N1056" s="9">
        <v>44686</v>
      </c>
      <c r="O1056"/>
      <c r="P1056"/>
      <c r="Q1056" s="9">
        <v>44711</v>
      </c>
      <c r="R1056"/>
      <c r="S1056"/>
      <c r="T1056"/>
      <c r="U1056"/>
    </row>
    <row r="1057" spans="1:21" hidden="1">
      <c r="A1057" s="7" t="s">
        <v>8740</v>
      </c>
      <c r="B1057" s="7" t="s">
        <v>6627</v>
      </c>
      <c r="C1057" s="8" t="s">
        <v>5317</v>
      </c>
      <c r="D1057" t="s">
        <v>216</v>
      </c>
      <c r="E1057" t="s">
        <v>304</v>
      </c>
      <c r="F1057" t="s">
        <v>117</v>
      </c>
      <c r="G1057" t="s">
        <v>1181</v>
      </c>
      <c r="H1057" s="9">
        <v>44657</v>
      </c>
      <c r="I1057" t="s">
        <v>306</v>
      </c>
      <c r="J1057" t="s">
        <v>0</v>
      </c>
      <c r="K1057" s="9">
        <v>44711</v>
      </c>
      <c r="L1057" t="s">
        <v>29</v>
      </c>
      <c r="M1057"/>
      <c r="N1057" s="9">
        <v>44686</v>
      </c>
      <c r="O1057"/>
      <c r="P1057"/>
      <c r="Q1057" s="9">
        <v>44711</v>
      </c>
      <c r="R1057"/>
      <c r="S1057"/>
      <c r="T1057"/>
      <c r="U1057"/>
    </row>
    <row r="1058" spans="1:21" hidden="1">
      <c r="A1058" s="7" t="s">
        <v>8740</v>
      </c>
      <c r="B1058" s="7" t="s">
        <v>6627</v>
      </c>
      <c r="C1058" s="8" t="s">
        <v>5317</v>
      </c>
      <c r="D1058" t="s">
        <v>216</v>
      </c>
      <c r="E1058" t="s">
        <v>304</v>
      </c>
      <c r="F1058" t="s">
        <v>117</v>
      </c>
      <c r="G1058" t="s">
        <v>311</v>
      </c>
      <c r="H1058" s="9">
        <v>44657</v>
      </c>
      <c r="I1058" t="s">
        <v>306</v>
      </c>
      <c r="J1058" t="s">
        <v>0</v>
      </c>
      <c r="K1058" s="9">
        <v>44711</v>
      </c>
      <c r="L1058" t="s">
        <v>29</v>
      </c>
      <c r="M1058"/>
      <c r="N1058" s="9">
        <v>44686</v>
      </c>
      <c r="O1058"/>
      <c r="P1058"/>
      <c r="Q1058" s="9">
        <v>44711</v>
      </c>
      <c r="R1058"/>
      <c r="S1058"/>
      <c r="T1058"/>
      <c r="U1058"/>
    </row>
    <row r="1059" spans="1:21" hidden="1">
      <c r="A1059" s="7" t="s">
        <v>8740</v>
      </c>
      <c r="B1059" s="7" t="s">
        <v>6627</v>
      </c>
      <c r="C1059" s="8" t="s">
        <v>5317</v>
      </c>
      <c r="D1059" t="s">
        <v>216</v>
      </c>
      <c r="E1059" t="s">
        <v>304</v>
      </c>
      <c r="F1059" t="s">
        <v>117</v>
      </c>
      <c r="G1059" t="s">
        <v>1182</v>
      </c>
      <c r="H1059" s="9">
        <v>44657</v>
      </c>
      <c r="I1059" t="s">
        <v>306</v>
      </c>
      <c r="J1059" t="s">
        <v>0</v>
      </c>
      <c r="K1059" s="9">
        <v>44711</v>
      </c>
      <c r="L1059" t="s">
        <v>29</v>
      </c>
      <c r="M1059"/>
      <c r="N1059" s="9">
        <v>44686</v>
      </c>
      <c r="O1059"/>
      <c r="P1059"/>
      <c r="Q1059" s="9">
        <v>44711</v>
      </c>
      <c r="R1059"/>
      <c r="S1059"/>
      <c r="T1059"/>
      <c r="U1059"/>
    </row>
    <row r="1060" spans="1:21" hidden="1">
      <c r="A1060" s="7" t="s">
        <v>8740</v>
      </c>
      <c r="B1060" s="7" t="s">
        <v>6627</v>
      </c>
      <c r="C1060" s="8" t="s">
        <v>5317</v>
      </c>
      <c r="D1060" t="s">
        <v>216</v>
      </c>
      <c r="E1060" t="s">
        <v>304</v>
      </c>
      <c r="F1060" t="s">
        <v>117</v>
      </c>
      <c r="G1060" t="s">
        <v>1183</v>
      </c>
      <c r="H1060" s="9">
        <v>44657</v>
      </c>
      <c r="I1060" t="s">
        <v>306</v>
      </c>
      <c r="J1060" t="s">
        <v>0</v>
      </c>
      <c r="K1060" s="9">
        <v>44711</v>
      </c>
      <c r="L1060" t="s">
        <v>29</v>
      </c>
      <c r="M1060"/>
      <c r="N1060" s="9">
        <v>44686</v>
      </c>
      <c r="O1060"/>
      <c r="P1060"/>
      <c r="Q1060" s="9">
        <v>44711</v>
      </c>
      <c r="R1060"/>
      <c r="S1060"/>
      <c r="T1060"/>
      <c r="U1060"/>
    </row>
    <row r="1061" spans="1:21" hidden="1">
      <c r="A1061" s="7" t="s">
        <v>8740</v>
      </c>
      <c r="B1061" s="7" t="s">
        <v>6627</v>
      </c>
      <c r="C1061" s="8" t="s">
        <v>5317</v>
      </c>
      <c r="D1061" t="s">
        <v>216</v>
      </c>
      <c r="E1061" t="s">
        <v>304</v>
      </c>
      <c r="F1061" t="s">
        <v>117</v>
      </c>
      <c r="G1061" t="s">
        <v>1184</v>
      </c>
      <c r="H1061" s="9">
        <v>44657</v>
      </c>
      <c r="I1061" t="s">
        <v>306</v>
      </c>
      <c r="J1061" t="s">
        <v>0</v>
      </c>
      <c r="K1061" s="9">
        <v>44711</v>
      </c>
      <c r="L1061" t="s">
        <v>29</v>
      </c>
      <c r="M1061"/>
      <c r="N1061" s="9">
        <v>44686</v>
      </c>
      <c r="O1061"/>
      <c r="P1061"/>
      <c r="Q1061" s="9">
        <v>44711</v>
      </c>
      <c r="R1061"/>
      <c r="S1061"/>
      <c r="T1061"/>
      <c r="U1061"/>
    </row>
    <row r="1062" spans="1:21" hidden="1">
      <c r="A1062" s="7" t="s">
        <v>8740</v>
      </c>
      <c r="B1062" s="7" t="s">
        <v>6627</v>
      </c>
      <c r="C1062" s="8" t="s">
        <v>5317</v>
      </c>
      <c r="D1062" t="s">
        <v>216</v>
      </c>
      <c r="E1062" t="s">
        <v>304</v>
      </c>
      <c r="F1062" t="s">
        <v>117</v>
      </c>
      <c r="G1062" t="s">
        <v>1185</v>
      </c>
      <c r="H1062" s="9">
        <v>44657</v>
      </c>
      <c r="I1062" t="s">
        <v>306</v>
      </c>
      <c r="J1062" t="s">
        <v>0</v>
      </c>
      <c r="K1062" s="9">
        <v>44711</v>
      </c>
      <c r="L1062" t="s">
        <v>29</v>
      </c>
      <c r="M1062"/>
      <c r="N1062" s="9">
        <v>44686</v>
      </c>
      <c r="O1062"/>
      <c r="P1062"/>
      <c r="Q1062" s="9">
        <v>44711</v>
      </c>
      <c r="R1062"/>
      <c r="S1062"/>
      <c r="T1062"/>
      <c r="U1062"/>
    </row>
    <row r="1063" spans="1:21" hidden="1">
      <c r="A1063" s="7" t="s">
        <v>8740</v>
      </c>
      <c r="B1063" s="7" t="s">
        <v>6627</v>
      </c>
      <c r="C1063" s="8" t="s">
        <v>5317</v>
      </c>
      <c r="D1063" t="s">
        <v>216</v>
      </c>
      <c r="E1063" t="s">
        <v>304</v>
      </c>
      <c r="F1063" t="s">
        <v>117</v>
      </c>
      <c r="G1063" t="s">
        <v>1186</v>
      </c>
      <c r="H1063" s="9">
        <v>44657</v>
      </c>
      <c r="I1063" t="s">
        <v>306</v>
      </c>
      <c r="J1063" t="s">
        <v>0</v>
      </c>
      <c r="K1063" s="9">
        <v>44711</v>
      </c>
      <c r="L1063" t="s">
        <v>29</v>
      </c>
      <c r="M1063"/>
      <c r="N1063" s="9">
        <v>44686</v>
      </c>
      <c r="O1063"/>
      <c r="P1063"/>
      <c r="Q1063" s="9">
        <v>44711</v>
      </c>
      <c r="R1063"/>
      <c r="S1063"/>
      <c r="T1063"/>
      <c r="U1063"/>
    </row>
    <row r="1064" spans="1:21" hidden="1">
      <c r="A1064" s="7" t="s">
        <v>8740</v>
      </c>
      <c r="B1064" s="7" t="s">
        <v>6627</v>
      </c>
      <c r="C1064" s="8" t="s">
        <v>5317</v>
      </c>
      <c r="D1064" t="s">
        <v>216</v>
      </c>
      <c r="E1064" t="s">
        <v>304</v>
      </c>
      <c r="F1064" t="s">
        <v>117</v>
      </c>
      <c r="G1064" t="s">
        <v>1187</v>
      </c>
      <c r="H1064" s="9">
        <v>44657</v>
      </c>
      <c r="I1064" t="s">
        <v>306</v>
      </c>
      <c r="J1064" t="s">
        <v>0</v>
      </c>
      <c r="K1064" s="9">
        <v>44711</v>
      </c>
      <c r="L1064" t="s">
        <v>29</v>
      </c>
      <c r="M1064"/>
      <c r="N1064" s="9">
        <v>44686</v>
      </c>
      <c r="O1064"/>
      <c r="P1064"/>
      <c r="Q1064" s="9">
        <v>44711</v>
      </c>
      <c r="R1064"/>
      <c r="S1064"/>
      <c r="T1064"/>
      <c r="U1064"/>
    </row>
    <row r="1065" spans="1:21" hidden="1">
      <c r="A1065" s="7" t="s">
        <v>8740</v>
      </c>
      <c r="B1065" s="7" t="s">
        <v>6627</v>
      </c>
      <c r="C1065" s="8" t="s">
        <v>5317</v>
      </c>
      <c r="D1065" t="s">
        <v>216</v>
      </c>
      <c r="E1065" t="s">
        <v>304</v>
      </c>
      <c r="F1065" t="s">
        <v>117</v>
      </c>
      <c r="G1065" t="s">
        <v>1188</v>
      </c>
      <c r="H1065" s="9">
        <v>44657</v>
      </c>
      <c r="I1065" t="s">
        <v>306</v>
      </c>
      <c r="J1065" t="s">
        <v>0</v>
      </c>
      <c r="K1065" s="9">
        <v>44711</v>
      </c>
      <c r="L1065" t="s">
        <v>29</v>
      </c>
      <c r="M1065"/>
      <c r="N1065" s="9">
        <v>44686</v>
      </c>
      <c r="O1065"/>
      <c r="P1065"/>
      <c r="Q1065" s="9">
        <v>44711</v>
      </c>
      <c r="R1065"/>
      <c r="S1065"/>
      <c r="T1065"/>
      <c r="U1065"/>
    </row>
    <row r="1066" spans="1:21" hidden="1">
      <c r="A1066" s="7" t="s">
        <v>8740</v>
      </c>
      <c r="B1066" s="7" t="s">
        <v>6627</v>
      </c>
      <c r="C1066" s="8" t="s">
        <v>5317</v>
      </c>
      <c r="D1066" t="s">
        <v>216</v>
      </c>
      <c r="E1066" t="s">
        <v>304</v>
      </c>
      <c r="F1066" t="s">
        <v>117</v>
      </c>
      <c r="G1066" t="s">
        <v>442</v>
      </c>
      <c r="H1066" s="9">
        <v>44657</v>
      </c>
      <c r="I1066" t="s">
        <v>306</v>
      </c>
      <c r="J1066" t="s">
        <v>0</v>
      </c>
      <c r="K1066" s="9">
        <v>44711</v>
      </c>
      <c r="L1066" t="s">
        <v>29</v>
      </c>
      <c r="M1066"/>
      <c r="N1066" s="9">
        <v>44686</v>
      </c>
      <c r="O1066"/>
      <c r="P1066"/>
      <c r="Q1066" s="9">
        <v>44711</v>
      </c>
      <c r="R1066"/>
      <c r="S1066"/>
      <c r="T1066"/>
      <c r="U1066"/>
    </row>
    <row r="1067" spans="1:21" hidden="1">
      <c r="A1067" s="7" t="s">
        <v>8740</v>
      </c>
      <c r="B1067" s="7" t="s">
        <v>6627</v>
      </c>
      <c r="C1067" s="8" t="s">
        <v>5317</v>
      </c>
      <c r="D1067" t="s">
        <v>216</v>
      </c>
      <c r="E1067" t="s">
        <v>304</v>
      </c>
      <c r="F1067" t="s">
        <v>117</v>
      </c>
      <c r="G1067" t="s">
        <v>1189</v>
      </c>
      <c r="H1067" s="9">
        <v>44657</v>
      </c>
      <c r="I1067" t="s">
        <v>306</v>
      </c>
      <c r="J1067" t="s">
        <v>0</v>
      </c>
      <c r="K1067" s="9">
        <v>44711</v>
      </c>
      <c r="L1067" t="s">
        <v>29</v>
      </c>
      <c r="M1067"/>
      <c r="N1067" s="9">
        <v>44686</v>
      </c>
      <c r="O1067"/>
      <c r="P1067"/>
      <c r="Q1067" s="9">
        <v>44711</v>
      </c>
      <c r="R1067"/>
      <c r="S1067"/>
      <c r="T1067"/>
      <c r="U1067"/>
    </row>
    <row r="1068" spans="1:21" hidden="1">
      <c r="A1068" s="7" t="s">
        <v>8740</v>
      </c>
      <c r="B1068" s="7" t="s">
        <v>6627</v>
      </c>
      <c r="C1068" s="8" t="s">
        <v>5317</v>
      </c>
      <c r="D1068" t="s">
        <v>216</v>
      </c>
      <c r="E1068" t="s">
        <v>304</v>
      </c>
      <c r="F1068" t="s">
        <v>117</v>
      </c>
      <c r="G1068" t="s">
        <v>1190</v>
      </c>
      <c r="H1068" s="9">
        <v>44657</v>
      </c>
      <c r="I1068" t="s">
        <v>306</v>
      </c>
      <c r="J1068" t="s">
        <v>0</v>
      </c>
      <c r="K1068" s="9">
        <v>44711</v>
      </c>
      <c r="L1068" t="s">
        <v>29</v>
      </c>
      <c r="M1068"/>
      <c r="N1068" s="9">
        <v>44686</v>
      </c>
      <c r="O1068"/>
      <c r="P1068"/>
      <c r="Q1068" s="9">
        <v>44711</v>
      </c>
      <c r="R1068"/>
      <c r="S1068"/>
      <c r="T1068"/>
      <c r="U1068"/>
    </row>
    <row r="1069" spans="1:21" hidden="1">
      <c r="A1069" s="7" t="s">
        <v>8740</v>
      </c>
      <c r="B1069" s="7" t="s">
        <v>6627</v>
      </c>
      <c r="C1069" s="8" t="s">
        <v>5317</v>
      </c>
      <c r="D1069" t="s">
        <v>216</v>
      </c>
      <c r="E1069" t="s">
        <v>304</v>
      </c>
      <c r="F1069" t="s">
        <v>117</v>
      </c>
      <c r="G1069" t="s">
        <v>1191</v>
      </c>
      <c r="H1069" s="9">
        <v>44657</v>
      </c>
      <c r="I1069" t="s">
        <v>306</v>
      </c>
      <c r="J1069" t="s">
        <v>0</v>
      </c>
      <c r="K1069" s="9">
        <v>44711</v>
      </c>
      <c r="L1069" t="s">
        <v>29</v>
      </c>
      <c r="M1069"/>
      <c r="N1069" s="9">
        <v>44686</v>
      </c>
      <c r="O1069"/>
      <c r="P1069"/>
      <c r="Q1069" s="9">
        <v>44711</v>
      </c>
      <c r="R1069"/>
      <c r="S1069"/>
      <c r="T1069"/>
      <c r="U1069"/>
    </row>
    <row r="1070" spans="1:21" hidden="1">
      <c r="A1070" s="7" t="s">
        <v>8740</v>
      </c>
      <c r="B1070" s="7" t="s">
        <v>6627</v>
      </c>
      <c r="C1070" s="8" t="s">
        <v>5317</v>
      </c>
      <c r="D1070" t="s">
        <v>216</v>
      </c>
      <c r="E1070" t="s">
        <v>304</v>
      </c>
      <c r="F1070" t="s">
        <v>117</v>
      </c>
      <c r="G1070" t="s">
        <v>1192</v>
      </c>
      <c r="H1070" s="9">
        <v>44657</v>
      </c>
      <c r="I1070" t="s">
        <v>306</v>
      </c>
      <c r="J1070" t="s">
        <v>0</v>
      </c>
      <c r="K1070" s="9">
        <v>44711</v>
      </c>
      <c r="L1070" t="s">
        <v>29</v>
      </c>
      <c r="M1070"/>
      <c r="N1070" s="9">
        <v>44686</v>
      </c>
      <c r="O1070"/>
      <c r="P1070"/>
      <c r="Q1070" s="9">
        <v>44711</v>
      </c>
      <c r="R1070"/>
      <c r="S1070"/>
      <c r="T1070"/>
      <c r="U1070"/>
    </row>
    <row r="1071" spans="1:21" hidden="1">
      <c r="A1071" s="7" t="s">
        <v>8740</v>
      </c>
      <c r="B1071" s="7" t="s">
        <v>6627</v>
      </c>
      <c r="C1071" s="8" t="s">
        <v>5317</v>
      </c>
      <c r="D1071" t="s">
        <v>216</v>
      </c>
      <c r="E1071" t="s">
        <v>304</v>
      </c>
      <c r="F1071" t="s">
        <v>117</v>
      </c>
      <c r="G1071" t="s">
        <v>1193</v>
      </c>
      <c r="H1071" s="9">
        <v>44657</v>
      </c>
      <c r="I1071" t="s">
        <v>306</v>
      </c>
      <c r="J1071" t="s">
        <v>0</v>
      </c>
      <c r="K1071" s="9">
        <v>44711</v>
      </c>
      <c r="L1071" t="s">
        <v>29</v>
      </c>
      <c r="M1071"/>
      <c r="N1071" s="9">
        <v>44686</v>
      </c>
      <c r="O1071"/>
      <c r="P1071"/>
      <c r="Q1071" s="9">
        <v>44711</v>
      </c>
      <c r="R1071"/>
      <c r="S1071"/>
      <c r="T1071"/>
      <c r="U1071"/>
    </row>
    <row r="1072" spans="1:21" hidden="1">
      <c r="A1072" s="7" t="s">
        <v>8740</v>
      </c>
      <c r="B1072" s="7" t="s">
        <v>6627</v>
      </c>
      <c r="C1072" s="8" t="s">
        <v>5317</v>
      </c>
      <c r="D1072" t="s">
        <v>216</v>
      </c>
      <c r="E1072" t="s">
        <v>304</v>
      </c>
      <c r="F1072" t="s">
        <v>117</v>
      </c>
      <c r="G1072" t="s">
        <v>1194</v>
      </c>
      <c r="H1072" s="9">
        <v>44657</v>
      </c>
      <c r="I1072" t="s">
        <v>306</v>
      </c>
      <c r="J1072" t="s">
        <v>0</v>
      </c>
      <c r="K1072" s="9">
        <v>44711</v>
      </c>
      <c r="L1072" t="s">
        <v>29</v>
      </c>
      <c r="M1072"/>
      <c r="N1072" s="9">
        <v>44686</v>
      </c>
      <c r="O1072"/>
      <c r="P1072"/>
      <c r="Q1072" s="9">
        <v>44711</v>
      </c>
      <c r="R1072"/>
      <c r="S1072"/>
      <c r="T1072"/>
      <c r="U1072"/>
    </row>
    <row r="1073" spans="1:21" hidden="1">
      <c r="A1073" s="7" t="s">
        <v>8740</v>
      </c>
      <c r="B1073" s="7" t="s">
        <v>6627</v>
      </c>
      <c r="C1073" s="8" t="s">
        <v>5317</v>
      </c>
      <c r="D1073" t="s">
        <v>216</v>
      </c>
      <c r="E1073" t="s">
        <v>304</v>
      </c>
      <c r="F1073" t="s">
        <v>117</v>
      </c>
      <c r="G1073" t="s">
        <v>1195</v>
      </c>
      <c r="H1073" s="9">
        <v>44657</v>
      </c>
      <c r="I1073" t="s">
        <v>306</v>
      </c>
      <c r="J1073" t="s">
        <v>0</v>
      </c>
      <c r="K1073" s="9">
        <v>44711</v>
      </c>
      <c r="L1073" t="s">
        <v>29</v>
      </c>
      <c r="M1073"/>
      <c r="N1073" s="9">
        <v>44686</v>
      </c>
      <c r="O1073"/>
      <c r="P1073"/>
      <c r="Q1073" s="9">
        <v>44711</v>
      </c>
      <c r="R1073"/>
      <c r="S1073"/>
      <c r="T1073"/>
      <c r="U1073"/>
    </row>
    <row r="1074" spans="1:21" hidden="1">
      <c r="A1074" s="7" t="s">
        <v>8740</v>
      </c>
      <c r="B1074" s="7" t="s">
        <v>6627</v>
      </c>
      <c r="C1074" s="8" t="s">
        <v>5317</v>
      </c>
      <c r="D1074" t="s">
        <v>216</v>
      </c>
      <c r="E1074" t="s">
        <v>304</v>
      </c>
      <c r="F1074" t="s">
        <v>117</v>
      </c>
      <c r="G1074" t="s">
        <v>1196</v>
      </c>
      <c r="H1074" s="9">
        <v>44657</v>
      </c>
      <c r="I1074" t="s">
        <v>306</v>
      </c>
      <c r="J1074" t="s">
        <v>0</v>
      </c>
      <c r="K1074" s="9">
        <v>44711</v>
      </c>
      <c r="L1074" t="s">
        <v>29</v>
      </c>
      <c r="M1074"/>
      <c r="N1074" s="9">
        <v>44686</v>
      </c>
      <c r="O1074"/>
      <c r="P1074"/>
      <c r="Q1074" s="9">
        <v>44711</v>
      </c>
      <c r="R1074"/>
      <c r="S1074"/>
      <c r="T1074"/>
      <c r="U1074"/>
    </row>
    <row r="1075" spans="1:21" hidden="1">
      <c r="A1075" s="7" t="s">
        <v>8740</v>
      </c>
      <c r="B1075" s="7" t="s">
        <v>6627</v>
      </c>
      <c r="C1075" s="8" t="s">
        <v>5317</v>
      </c>
      <c r="D1075" t="s">
        <v>216</v>
      </c>
      <c r="E1075" t="s">
        <v>304</v>
      </c>
      <c r="F1075" t="s">
        <v>117</v>
      </c>
      <c r="G1075" t="s">
        <v>1197</v>
      </c>
      <c r="H1075" s="9">
        <v>44657</v>
      </c>
      <c r="I1075" t="s">
        <v>306</v>
      </c>
      <c r="J1075" t="s">
        <v>0</v>
      </c>
      <c r="K1075" s="9">
        <v>44711</v>
      </c>
      <c r="L1075" t="s">
        <v>29</v>
      </c>
      <c r="M1075"/>
      <c r="N1075" s="9">
        <v>44686</v>
      </c>
      <c r="O1075"/>
      <c r="P1075"/>
      <c r="Q1075" s="9">
        <v>44711</v>
      </c>
      <c r="R1075"/>
      <c r="S1075"/>
      <c r="T1075"/>
      <c r="U1075"/>
    </row>
    <row r="1076" spans="1:21" hidden="1">
      <c r="A1076" s="7" t="s">
        <v>8740</v>
      </c>
      <c r="B1076" s="7" t="s">
        <v>6627</v>
      </c>
      <c r="C1076" s="8" t="s">
        <v>5317</v>
      </c>
      <c r="D1076" t="s">
        <v>216</v>
      </c>
      <c r="E1076" t="s">
        <v>304</v>
      </c>
      <c r="F1076" t="s">
        <v>117</v>
      </c>
      <c r="G1076" t="s">
        <v>1198</v>
      </c>
      <c r="H1076" s="9">
        <v>44657</v>
      </c>
      <c r="I1076" t="s">
        <v>306</v>
      </c>
      <c r="J1076" t="s">
        <v>0</v>
      </c>
      <c r="K1076" s="9">
        <v>44711</v>
      </c>
      <c r="L1076" t="s">
        <v>29</v>
      </c>
      <c r="M1076"/>
      <c r="N1076" s="9">
        <v>44686</v>
      </c>
      <c r="O1076"/>
      <c r="P1076"/>
      <c r="Q1076" s="9">
        <v>44711</v>
      </c>
      <c r="R1076"/>
      <c r="S1076"/>
      <c r="T1076"/>
      <c r="U1076"/>
    </row>
    <row r="1077" spans="1:21" hidden="1">
      <c r="A1077" s="7" t="s">
        <v>8740</v>
      </c>
      <c r="B1077" s="7" t="s">
        <v>6627</v>
      </c>
      <c r="C1077" s="8" t="s">
        <v>5317</v>
      </c>
      <c r="D1077" t="s">
        <v>216</v>
      </c>
      <c r="E1077" t="s">
        <v>304</v>
      </c>
      <c r="F1077" t="s">
        <v>117</v>
      </c>
      <c r="G1077" t="s">
        <v>1199</v>
      </c>
      <c r="H1077" s="9">
        <v>44657</v>
      </c>
      <c r="I1077" t="s">
        <v>306</v>
      </c>
      <c r="J1077" t="s">
        <v>0</v>
      </c>
      <c r="K1077" s="9">
        <v>44711</v>
      </c>
      <c r="L1077" t="s">
        <v>29</v>
      </c>
      <c r="M1077"/>
      <c r="N1077" s="9">
        <v>44686</v>
      </c>
      <c r="O1077"/>
      <c r="P1077"/>
      <c r="Q1077" s="9">
        <v>44711</v>
      </c>
      <c r="R1077"/>
      <c r="S1077"/>
      <c r="T1077"/>
      <c r="U1077"/>
    </row>
    <row r="1078" spans="1:21" hidden="1">
      <c r="A1078" s="7" t="s">
        <v>8740</v>
      </c>
      <c r="B1078" s="7" t="s">
        <v>6627</v>
      </c>
      <c r="C1078" s="8" t="s">
        <v>5317</v>
      </c>
      <c r="D1078" t="s">
        <v>216</v>
      </c>
      <c r="E1078" t="s">
        <v>304</v>
      </c>
      <c r="F1078" t="s">
        <v>117</v>
      </c>
      <c r="G1078" t="s">
        <v>1200</v>
      </c>
      <c r="H1078" s="9">
        <v>44657</v>
      </c>
      <c r="I1078" t="s">
        <v>306</v>
      </c>
      <c r="J1078" t="s">
        <v>0</v>
      </c>
      <c r="K1078" s="9">
        <v>44711</v>
      </c>
      <c r="L1078" t="s">
        <v>29</v>
      </c>
      <c r="M1078"/>
      <c r="N1078" s="9">
        <v>44686</v>
      </c>
      <c r="O1078"/>
      <c r="P1078"/>
      <c r="Q1078" s="9">
        <v>44711</v>
      </c>
      <c r="R1078"/>
      <c r="S1078"/>
      <c r="T1078"/>
      <c r="U1078"/>
    </row>
    <row r="1079" spans="1:21" hidden="1">
      <c r="A1079" s="7" t="s">
        <v>8740</v>
      </c>
      <c r="B1079" s="7" t="s">
        <v>6627</v>
      </c>
      <c r="C1079" s="8" t="s">
        <v>5317</v>
      </c>
      <c r="D1079" t="s">
        <v>216</v>
      </c>
      <c r="E1079" t="s">
        <v>304</v>
      </c>
      <c r="F1079" t="s">
        <v>117</v>
      </c>
      <c r="G1079" t="s">
        <v>1201</v>
      </c>
      <c r="H1079" s="9">
        <v>44657</v>
      </c>
      <c r="I1079" t="s">
        <v>306</v>
      </c>
      <c r="J1079" t="s">
        <v>0</v>
      </c>
      <c r="K1079" s="9">
        <v>44711</v>
      </c>
      <c r="L1079" t="s">
        <v>29</v>
      </c>
      <c r="M1079"/>
      <c r="N1079" s="9">
        <v>44686</v>
      </c>
      <c r="O1079"/>
      <c r="P1079"/>
      <c r="Q1079" s="9">
        <v>44711</v>
      </c>
      <c r="R1079"/>
      <c r="S1079"/>
      <c r="T1079"/>
      <c r="U1079"/>
    </row>
    <row r="1080" spans="1:21" hidden="1">
      <c r="A1080" s="7" t="s">
        <v>8740</v>
      </c>
      <c r="B1080" s="7" t="s">
        <v>6627</v>
      </c>
      <c r="C1080" s="8" t="s">
        <v>5317</v>
      </c>
      <c r="D1080" t="s">
        <v>216</v>
      </c>
      <c r="E1080" t="s">
        <v>304</v>
      </c>
      <c r="F1080" t="s">
        <v>117</v>
      </c>
      <c r="G1080" t="s">
        <v>1202</v>
      </c>
      <c r="H1080" s="9">
        <v>44657</v>
      </c>
      <c r="I1080" t="s">
        <v>306</v>
      </c>
      <c r="J1080" t="s">
        <v>0</v>
      </c>
      <c r="K1080" s="9">
        <v>44711</v>
      </c>
      <c r="L1080" t="s">
        <v>29</v>
      </c>
      <c r="M1080"/>
      <c r="N1080" s="9">
        <v>44686</v>
      </c>
      <c r="O1080"/>
      <c r="P1080"/>
      <c r="Q1080" s="9">
        <v>44711</v>
      </c>
      <c r="R1080"/>
      <c r="S1080"/>
      <c r="T1080"/>
      <c r="U1080"/>
    </row>
    <row r="1081" spans="1:21" hidden="1">
      <c r="A1081" s="7" t="s">
        <v>8740</v>
      </c>
      <c r="B1081" s="7" t="s">
        <v>6627</v>
      </c>
      <c r="C1081" s="8" t="s">
        <v>5317</v>
      </c>
      <c r="D1081" t="s">
        <v>216</v>
      </c>
      <c r="E1081" t="s">
        <v>304</v>
      </c>
      <c r="F1081" t="s">
        <v>117</v>
      </c>
      <c r="G1081" t="s">
        <v>1203</v>
      </c>
      <c r="H1081" s="9">
        <v>44657</v>
      </c>
      <c r="I1081" t="s">
        <v>306</v>
      </c>
      <c r="J1081" t="s">
        <v>0</v>
      </c>
      <c r="K1081" s="9">
        <v>44711</v>
      </c>
      <c r="L1081" t="s">
        <v>29</v>
      </c>
      <c r="M1081"/>
      <c r="N1081" s="9">
        <v>44686</v>
      </c>
      <c r="O1081"/>
      <c r="P1081"/>
      <c r="Q1081" s="9">
        <v>44711</v>
      </c>
      <c r="R1081"/>
      <c r="S1081"/>
      <c r="T1081"/>
      <c r="U1081"/>
    </row>
    <row r="1082" spans="1:21" hidden="1">
      <c r="A1082" s="7" t="s">
        <v>8740</v>
      </c>
      <c r="B1082" s="7" t="s">
        <v>6627</v>
      </c>
      <c r="C1082" s="8" t="s">
        <v>5317</v>
      </c>
      <c r="D1082" t="s">
        <v>216</v>
      </c>
      <c r="E1082" t="s">
        <v>304</v>
      </c>
      <c r="F1082" t="s">
        <v>117</v>
      </c>
      <c r="G1082" t="s">
        <v>1204</v>
      </c>
      <c r="H1082" s="9">
        <v>44657</v>
      </c>
      <c r="I1082" t="s">
        <v>306</v>
      </c>
      <c r="J1082" t="s">
        <v>0</v>
      </c>
      <c r="K1082" s="9">
        <v>44711</v>
      </c>
      <c r="L1082" t="s">
        <v>29</v>
      </c>
      <c r="M1082"/>
      <c r="N1082" s="9">
        <v>44686</v>
      </c>
      <c r="O1082"/>
      <c r="P1082"/>
      <c r="Q1082" s="9">
        <v>44711</v>
      </c>
      <c r="R1082"/>
      <c r="S1082"/>
      <c r="T1082"/>
      <c r="U1082"/>
    </row>
    <row r="1083" spans="1:21" hidden="1">
      <c r="A1083" s="7" t="s">
        <v>8740</v>
      </c>
      <c r="B1083" s="7" t="s">
        <v>6627</v>
      </c>
      <c r="C1083" s="8" t="s">
        <v>5317</v>
      </c>
      <c r="D1083" t="s">
        <v>216</v>
      </c>
      <c r="E1083" t="s">
        <v>304</v>
      </c>
      <c r="F1083" t="s">
        <v>117</v>
      </c>
      <c r="G1083" t="s">
        <v>1205</v>
      </c>
      <c r="H1083" s="9">
        <v>44657</v>
      </c>
      <c r="I1083" t="s">
        <v>306</v>
      </c>
      <c r="J1083" t="s">
        <v>0</v>
      </c>
      <c r="K1083" s="9">
        <v>44711</v>
      </c>
      <c r="L1083" t="s">
        <v>29</v>
      </c>
      <c r="M1083"/>
      <c r="N1083" s="9">
        <v>44686</v>
      </c>
      <c r="O1083"/>
      <c r="P1083"/>
      <c r="Q1083" s="9">
        <v>44711</v>
      </c>
      <c r="R1083"/>
      <c r="S1083"/>
      <c r="T1083"/>
      <c r="U1083"/>
    </row>
    <row r="1084" spans="1:21" hidden="1">
      <c r="A1084" s="7" t="s">
        <v>8740</v>
      </c>
      <c r="B1084" s="7" t="s">
        <v>6627</v>
      </c>
      <c r="C1084" s="8" t="s">
        <v>5317</v>
      </c>
      <c r="D1084" t="s">
        <v>216</v>
      </c>
      <c r="E1084" t="s">
        <v>304</v>
      </c>
      <c r="F1084" t="s">
        <v>117</v>
      </c>
      <c r="G1084" t="s">
        <v>1206</v>
      </c>
      <c r="H1084" s="9">
        <v>44657</v>
      </c>
      <c r="I1084" t="s">
        <v>306</v>
      </c>
      <c r="J1084" t="s">
        <v>0</v>
      </c>
      <c r="K1084" s="9">
        <v>44711</v>
      </c>
      <c r="L1084" t="s">
        <v>29</v>
      </c>
      <c r="M1084"/>
      <c r="N1084" s="9">
        <v>44686</v>
      </c>
      <c r="O1084"/>
      <c r="P1084"/>
      <c r="Q1084" s="9">
        <v>44711</v>
      </c>
      <c r="R1084"/>
      <c r="S1084"/>
      <c r="T1084"/>
      <c r="U1084"/>
    </row>
    <row r="1085" spans="1:21" hidden="1">
      <c r="A1085" s="7" t="s">
        <v>8740</v>
      </c>
      <c r="B1085" s="7" t="s">
        <v>6627</v>
      </c>
      <c r="C1085" s="8" t="s">
        <v>5317</v>
      </c>
      <c r="D1085" t="s">
        <v>216</v>
      </c>
      <c r="E1085" t="s">
        <v>304</v>
      </c>
      <c r="F1085" t="s">
        <v>117</v>
      </c>
      <c r="G1085" t="s">
        <v>1207</v>
      </c>
      <c r="H1085" s="9">
        <v>44657</v>
      </c>
      <c r="I1085" t="s">
        <v>306</v>
      </c>
      <c r="J1085" t="s">
        <v>0</v>
      </c>
      <c r="K1085" s="9">
        <v>44711</v>
      </c>
      <c r="L1085" t="s">
        <v>29</v>
      </c>
      <c r="M1085"/>
      <c r="N1085" s="9">
        <v>44686</v>
      </c>
      <c r="O1085"/>
      <c r="P1085"/>
      <c r="Q1085" s="9">
        <v>44711</v>
      </c>
      <c r="R1085"/>
      <c r="S1085"/>
      <c r="T1085"/>
      <c r="U1085"/>
    </row>
    <row r="1086" spans="1:21" hidden="1">
      <c r="A1086" s="7" t="s">
        <v>8740</v>
      </c>
      <c r="B1086" s="7" t="s">
        <v>6627</v>
      </c>
      <c r="C1086" s="8" t="s">
        <v>5317</v>
      </c>
      <c r="D1086" t="s">
        <v>216</v>
      </c>
      <c r="E1086" t="s">
        <v>304</v>
      </c>
      <c r="F1086" t="s">
        <v>117</v>
      </c>
      <c r="G1086" t="s">
        <v>1208</v>
      </c>
      <c r="H1086" s="9">
        <v>44657</v>
      </c>
      <c r="I1086" t="s">
        <v>306</v>
      </c>
      <c r="J1086" t="s">
        <v>0</v>
      </c>
      <c r="K1086" s="9">
        <v>44711</v>
      </c>
      <c r="L1086" t="s">
        <v>29</v>
      </c>
      <c r="M1086"/>
      <c r="N1086" s="9">
        <v>44686</v>
      </c>
      <c r="O1086"/>
      <c r="P1086"/>
      <c r="Q1086" s="9">
        <v>44711</v>
      </c>
      <c r="R1086"/>
      <c r="S1086"/>
      <c r="T1086"/>
      <c r="U1086"/>
    </row>
    <row r="1087" spans="1:21" hidden="1">
      <c r="A1087" s="7" t="s">
        <v>8740</v>
      </c>
      <c r="B1087" s="7" t="s">
        <v>6627</v>
      </c>
      <c r="C1087" s="8" t="s">
        <v>5317</v>
      </c>
      <c r="D1087" t="s">
        <v>216</v>
      </c>
      <c r="E1087" t="s">
        <v>304</v>
      </c>
      <c r="F1087" t="s">
        <v>117</v>
      </c>
      <c r="G1087" t="s">
        <v>1209</v>
      </c>
      <c r="H1087" s="9">
        <v>44657</v>
      </c>
      <c r="I1087" t="s">
        <v>306</v>
      </c>
      <c r="J1087" t="s">
        <v>0</v>
      </c>
      <c r="K1087" s="9">
        <v>44711</v>
      </c>
      <c r="L1087" t="s">
        <v>29</v>
      </c>
      <c r="M1087"/>
      <c r="N1087" s="9">
        <v>44686</v>
      </c>
      <c r="O1087"/>
      <c r="P1087"/>
      <c r="Q1087" s="9">
        <v>44711</v>
      </c>
      <c r="R1087"/>
      <c r="S1087"/>
      <c r="T1087"/>
      <c r="U1087"/>
    </row>
    <row r="1088" spans="1:21" hidden="1">
      <c r="A1088" s="7" t="s">
        <v>8740</v>
      </c>
      <c r="B1088" s="7" t="s">
        <v>6627</v>
      </c>
      <c r="C1088" s="8" t="s">
        <v>5317</v>
      </c>
      <c r="D1088" t="s">
        <v>216</v>
      </c>
      <c r="E1088" t="s">
        <v>304</v>
      </c>
      <c r="F1088" t="s">
        <v>117</v>
      </c>
      <c r="G1088" t="s">
        <v>312</v>
      </c>
      <c r="H1088" s="9">
        <v>44657</v>
      </c>
      <c r="I1088" t="s">
        <v>306</v>
      </c>
      <c r="J1088" t="s">
        <v>0</v>
      </c>
      <c r="K1088" s="9">
        <v>44711</v>
      </c>
      <c r="L1088" t="s">
        <v>29</v>
      </c>
      <c r="M1088"/>
      <c r="N1088" s="9">
        <v>44686</v>
      </c>
      <c r="O1088"/>
      <c r="P1088"/>
      <c r="Q1088" s="9">
        <v>44711</v>
      </c>
      <c r="R1088"/>
      <c r="S1088"/>
      <c r="T1088"/>
      <c r="U1088"/>
    </row>
    <row r="1089" spans="1:21" hidden="1">
      <c r="A1089" s="7" t="s">
        <v>8740</v>
      </c>
      <c r="B1089" s="7" t="s">
        <v>6627</v>
      </c>
      <c r="C1089" s="8" t="s">
        <v>5317</v>
      </c>
      <c r="D1089" t="s">
        <v>216</v>
      </c>
      <c r="E1089" t="s">
        <v>304</v>
      </c>
      <c r="F1089" t="s">
        <v>117</v>
      </c>
      <c r="G1089" t="s">
        <v>1210</v>
      </c>
      <c r="H1089" s="9">
        <v>44657</v>
      </c>
      <c r="I1089" t="s">
        <v>306</v>
      </c>
      <c r="J1089" t="s">
        <v>0</v>
      </c>
      <c r="K1089" s="9">
        <v>44711</v>
      </c>
      <c r="L1089" t="s">
        <v>29</v>
      </c>
      <c r="M1089"/>
      <c r="N1089" s="9">
        <v>44686</v>
      </c>
      <c r="O1089"/>
      <c r="P1089"/>
      <c r="Q1089" s="9">
        <v>44711</v>
      </c>
      <c r="R1089"/>
      <c r="S1089"/>
      <c r="T1089"/>
      <c r="U1089"/>
    </row>
    <row r="1090" spans="1:21" hidden="1">
      <c r="A1090" s="7" t="s">
        <v>8740</v>
      </c>
      <c r="B1090" s="7" t="s">
        <v>6627</v>
      </c>
      <c r="C1090" s="8" t="s">
        <v>5317</v>
      </c>
      <c r="D1090" t="s">
        <v>216</v>
      </c>
      <c r="E1090" t="s">
        <v>304</v>
      </c>
      <c r="F1090" t="s">
        <v>117</v>
      </c>
      <c r="G1090" t="s">
        <v>1211</v>
      </c>
      <c r="H1090" s="9">
        <v>44657</v>
      </c>
      <c r="I1090" t="s">
        <v>306</v>
      </c>
      <c r="J1090" t="s">
        <v>0</v>
      </c>
      <c r="K1090" s="9">
        <v>44711</v>
      </c>
      <c r="L1090" t="s">
        <v>29</v>
      </c>
      <c r="M1090"/>
      <c r="N1090" s="9">
        <v>44686</v>
      </c>
      <c r="O1090"/>
      <c r="P1090"/>
      <c r="Q1090" s="9">
        <v>44711</v>
      </c>
      <c r="R1090"/>
      <c r="S1090"/>
      <c r="T1090"/>
      <c r="U1090"/>
    </row>
    <row r="1091" spans="1:21" hidden="1">
      <c r="A1091" s="7" t="s">
        <v>8740</v>
      </c>
      <c r="B1091" s="7" t="s">
        <v>6627</v>
      </c>
      <c r="C1091" s="8" t="s">
        <v>5317</v>
      </c>
      <c r="D1091" t="s">
        <v>216</v>
      </c>
      <c r="E1091" t="s">
        <v>304</v>
      </c>
      <c r="F1091" t="s">
        <v>117</v>
      </c>
      <c r="G1091" t="s">
        <v>313</v>
      </c>
      <c r="H1091" s="9">
        <v>44657</v>
      </c>
      <c r="I1091" t="s">
        <v>306</v>
      </c>
      <c r="J1091" t="s">
        <v>0</v>
      </c>
      <c r="K1091" s="9">
        <v>44711</v>
      </c>
      <c r="L1091" t="s">
        <v>29</v>
      </c>
      <c r="M1091"/>
      <c r="N1091" s="9">
        <v>44686</v>
      </c>
      <c r="O1091"/>
      <c r="P1091"/>
      <c r="Q1091" s="9">
        <v>44711</v>
      </c>
      <c r="R1091"/>
      <c r="S1091"/>
      <c r="T1091"/>
      <c r="U1091"/>
    </row>
    <row r="1092" spans="1:21" hidden="1">
      <c r="A1092" s="7" t="s">
        <v>8740</v>
      </c>
      <c r="B1092" s="7" t="s">
        <v>6627</v>
      </c>
      <c r="C1092" s="8" t="s">
        <v>5317</v>
      </c>
      <c r="D1092" t="s">
        <v>216</v>
      </c>
      <c r="E1092" t="s">
        <v>304</v>
      </c>
      <c r="F1092" t="s">
        <v>117</v>
      </c>
      <c r="G1092" t="s">
        <v>314</v>
      </c>
      <c r="H1092" s="9">
        <v>44657</v>
      </c>
      <c r="I1092" t="s">
        <v>306</v>
      </c>
      <c r="J1092" t="s">
        <v>0</v>
      </c>
      <c r="K1092" s="9">
        <v>44711</v>
      </c>
      <c r="L1092" t="s">
        <v>29</v>
      </c>
      <c r="M1092"/>
      <c r="N1092" s="9">
        <v>44686</v>
      </c>
      <c r="O1092"/>
      <c r="P1092"/>
      <c r="Q1092" s="9">
        <v>44711</v>
      </c>
      <c r="R1092"/>
      <c r="S1092"/>
      <c r="T1092"/>
      <c r="U1092"/>
    </row>
    <row r="1093" spans="1:21" hidden="1">
      <c r="A1093" s="7" t="s">
        <v>8740</v>
      </c>
      <c r="B1093" s="7" t="s">
        <v>6627</v>
      </c>
      <c r="C1093" s="8" t="s">
        <v>5317</v>
      </c>
      <c r="D1093" t="s">
        <v>216</v>
      </c>
      <c r="E1093" t="s">
        <v>304</v>
      </c>
      <c r="F1093" t="s">
        <v>117</v>
      </c>
      <c r="G1093" t="s">
        <v>315</v>
      </c>
      <c r="H1093" s="9">
        <v>44657</v>
      </c>
      <c r="I1093" t="s">
        <v>306</v>
      </c>
      <c r="J1093" t="s">
        <v>0</v>
      </c>
      <c r="K1093" s="9">
        <v>44711</v>
      </c>
      <c r="L1093" t="s">
        <v>29</v>
      </c>
      <c r="M1093"/>
      <c r="N1093" s="9">
        <v>44686</v>
      </c>
      <c r="O1093"/>
      <c r="P1093"/>
      <c r="Q1093" s="9">
        <v>44711</v>
      </c>
      <c r="R1093"/>
      <c r="S1093"/>
      <c r="T1093"/>
      <c r="U1093"/>
    </row>
    <row r="1094" spans="1:21" hidden="1">
      <c r="A1094" s="7" t="s">
        <v>8740</v>
      </c>
      <c r="B1094" s="7" t="s">
        <v>6627</v>
      </c>
      <c r="C1094" s="8" t="s">
        <v>5317</v>
      </c>
      <c r="D1094" t="s">
        <v>216</v>
      </c>
      <c r="E1094" t="s">
        <v>304</v>
      </c>
      <c r="F1094" t="s">
        <v>117</v>
      </c>
      <c r="G1094" t="s">
        <v>1212</v>
      </c>
      <c r="H1094" s="9">
        <v>44657</v>
      </c>
      <c r="I1094" t="s">
        <v>306</v>
      </c>
      <c r="J1094" t="s">
        <v>0</v>
      </c>
      <c r="K1094" s="9">
        <v>44711</v>
      </c>
      <c r="L1094" t="s">
        <v>29</v>
      </c>
      <c r="M1094"/>
      <c r="N1094" s="9">
        <v>44686</v>
      </c>
      <c r="O1094"/>
      <c r="P1094"/>
      <c r="Q1094" s="9">
        <v>44711</v>
      </c>
      <c r="R1094"/>
      <c r="S1094"/>
      <c r="T1094"/>
      <c r="U1094"/>
    </row>
    <row r="1095" spans="1:21" hidden="1">
      <c r="A1095" s="7" t="s">
        <v>8740</v>
      </c>
      <c r="B1095" s="7" t="s">
        <v>6627</v>
      </c>
      <c r="C1095" s="8" t="s">
        <v>5317</v>
      </c>
      <c r="D1095" t="s">
        <v>216</v>
      </c>
      <c r="E1095" t="s">
        <v>304</v>
      </c>
      <c r="F1095" t="s">
        <v>117</v>
      </c>
      <c r="G1095" t="s">
        <v>1213</v>
      </c>
      <c r="H1095" s="9">
        <v>44657</v>
      </c>
      <c r="I1095" t="s">
        <v>306</v>
      </c>
      <c r="J1095" t="s">
        <v>0</v>
      </c>
      <c r="K1095" s="9">
        <v>44711</v>
      </c>
      <c r="L1095" t="s">
        <v>29</v>
      </c>
      <c r="M1095"/>
      <c r="N1095" s="9">
        <v>44686</v>
      </c>
      <c r="O1095"/>
      <c r="P1095"/>
      <c r="Q1095" s="9">
        <v>44711</v>
      </c>
      <c r="R1095"/>
      <c r="S1095"/>
      <c r="T1095"/>
      <c r="U1095"/>
    </row>
    <row r="1096" spans="1:21" hidden="1">
      <c r="A1096" s="7" t="s">
        <v>8740</v>
      </c>
      <c r="B1096" s="7" t="s">
        <v>6627</v>
      </c>
      <c r="C1096" s="8" t="s">
        <v>5317</v>
      </c>
      <c r="D1096" t="s">
        <v>216</v>
      </c>
      <c r="E1096" t="s">
        <v>304</v>
      </c>
      <c r="F1096" t="s">
        <v>117</v>
      </c>
      <c r="G1096" t="s">
        <v>1214</v>
      </c>
      <c r="H1096" s="9">
        <v>44657</v>
      </c>
      <c r="I1096" t="s">
        <v>306</v>
      </c>
      <c r="J1096" t="s">
        <v>0</v>
      </c>
      <c r="K1096" s="9">
        <v>44711</v>
      </c>
      <c r="L1096" t="s">
        <v>29</v>
      </c>
      <c r="M1096"/>
      <c r="N1096" s="9">
        <v>44686</v>
      </c>
      <c r="O1096"/>
      <c r="P1096"/>
      <c r="Q1096" s="9">
        <v>44711</v>
      </c>
      <c r="R1096"/>
      <c r="S1096"/>
      <c r="T1096"/>
      <c r="U1096"/>
    </row>
    <row r="1097" spans="1:21" hidden="1">
      <c r="A1097" s="7" t="s">
        <v>8740</v>
      </c>
      <c r="B1097" s="7" t="s">
        <v>6627</v>
      </c>
      <c r="C1097" s="8" t="s">
        <v>5317</v>
      </c>
      <c r="D1097" t="s">
        <v>216</v>
      </c>
      <c r="E1097" t="s">
        <v>304</v>
      </c>
      <c r="F1097" t="s">
        <v>117</v>
      </c>
      <c r="G1097" t="s">
        <v>1215</v>
      </c>
      <c r="H1097" s="9">
        <v>44657</v>
      </c>
      <c r="I1097" t="s">
        <v>306</v>
      </c>
      <c r="J1097" t="s">
        <v>0</v>
      </c>
      <c r="K1097" s="9">
        <v>44711</v>
      </c>
      <c r="L1097" t="s">
        <v>29</v>
      </c>
      <c r="M1097"/>
      <c r="N1097" s="9">
        <v>44686</v>
      </c>
      <c r="O1097"/>
      <c r="P1097"/>
      <c r="Q1097" s="9">
        <v>44711</v>
      </c>
      <c r="R1097"/>
      <c r="S1097"/>
      <c r="T1097"/>
      <c r="U1097"/>
    </row>
    <row r="1098" spans="1:21" hidden="1">
      <c r="A1098" s="7" t="s">
        <v>8740</v>
      </c>
      <c r="B1098" s="7" t="s">
        <v>6627</v>
      </c>
      <c r="C1098" s="8" t="s">
        <v>5317</v>
      </c>
      <c r="D1098" t="s">
        <v>216</v>
      </c>
      <c r="E1098" t="s">
        <v>304</v>
      </c>
      <c r="F1098" t="s">
        <v>117</v>
      </c>
      <c r="G1098" t="s">
        <v>317</v>
      </c>
      <c r="H1098" s="9">
        <v>44657</v>
      </c>
      <c r="I1098" t="s">
        <v>306</v>
      </c>
      <c r="J1098" t="s">
        <v>0</v>
      </c>
      <c r="K1098" s="9">
        <v>44711</v>
      </c>
      <c r="L1098" t="s">
        <v>29</v>
      </c>
      <c r="M1098"/>
      <c r="N1098" s="9">
        <v>44686</v>
      </c>
      <c r="O1098"/>
      <c r="P1098"/>
      <c r="Q1098" s="9">
        <v>44711</v>
      </c>
      <c r="R1098"/>
      <c r="S1098"/>
      <c r="T1098"/>
      <c r="U1098"/>
    </row>
    <row r="1099" spans="1:21" hidden="1">
      <c r="A1099" s="7" t="s">
        <v>8740</v>
      </c>
      <c r="B1099" s="7" t="s">
        <v>6627</v>
      </c>
      <c r="C1099" s="8" t="s">
        <v>5317</v>
      </c>
      <c r="D1099" t="s">
        <v>216</v>
      </c>
      <c r="E1099" t="s">
        <v>304</v>
      </c>
      <c r="F1099" t="s">
        <v>117</v>
      </c>
      <c r="G1099" t="s">
        <v>1216</v>
      </c>
      <c r="H1099" s="9">
        <v>44657</v>
      </c>
      <c r="I1099" t="s">
        <v>306</v>
      </c>
      <c r="J1099" t="s">
        <v>0</v>
      </c>
      <c r="K1099" s="9">
        <v>44711</v>
      </c>
      <c r="L1099" t="s">
        <v>29</v>
      </c>
      <c r="M1099"/>
      <c r="N1099" s="9">
        <v>44686</v>
      </c>
      <c r="O1099"/>
      <c r="P1099"/>
      <c r="Q1099" s="9">
        <v>44711</v>
      </c>
      <c r="R1099"/>
      <c r="S1099"/>
      <c r="T1099"/>
      <c r="U1099"/>
    </row>
    <row r="1100" spans="1:21" hidden="1">
      <c r="A1100" s="7" t="s">
        <v>8740</v>
      </c>
      <c r="B1100" s="7" t="s">
        <v>6627</v>
      </c>
      <c r="C1100" s="8" t="s">
        <v>5317</v>
      </c>
      <c r="D1100" t="s">
        <v>216</v>
      </c>
      <c r="E1100" t="s">
        <v>304</v>
      </c>
      <c r="F1100" t="s">
        <v>117</v>
      </c>
      <c r="G1100" t="s">
        <v>1217</v>
      </c>
      <c r="H1100" s="9">
        <v>44657</v>
      </c>
      <c r="I1100" t="s">
        <v>306</v>
      </c>
      <c r="J1100" t="s">
        <v>0</v>
      </c>
      <c r="K1100" s="9">
        <v>44711</v>
      </c>
      <c r="L1100" t="s">
        <v>29</v>
      </c>
      <c r="M1100"/>
      <c r="N1100" s="9">
        <v>44686</v>
      </c>
      <c r="O1100"/>
      <c r="P1100"/>
      <c r="Q1100" s="9">
        <v>44711</v>
      </c>
      <c r="R1100"/>
      <c r="S1100"/>
      <c r="T1100"/>
      <c r="U1100"/>
    </row>
    <row r="1101" spans="1:21" hidden="1">
      <c r="A1101" s="7" t="s">
        <v>8740</v>
      </c>
      <c r="B1101" s="7" t="s">
        <v>6627</v>
      </c>
      <c r="C1101" s="8" t="s">
        <v>5317</v>
      </c>
      <c r="D1101" t="s">
        <v>216</v>
      </c>
      <c r="E1101" t="s">
        <v>304</v>
      </c>
      <c r="F1101" t="s">
        <v>117</v>
      </c>
      <c r="G1101" t="s">
        <v>1218</v>
      </c>
      <c r="H1101" s="9">
        <v>44657</v>
      </c>
      <c r="I1101" t="s">
        <v>306</v>
      </c>
      <c r="J1101" t="s">
        <v>0</v>
      </c>
      <c r="K1101" s="9">
        <v>44711</v>
      </c>
      <c r="L1101" t="s">
        <v>29</v>
      </c>
      <c r="M1101"/>
      <c r="N1101" s="9">
        <v>44686</v>
      </c>
      <c r="O1101"/>
      <c r="P1101"/>
      <c r="Q1101" s="9">
        <v>44711</v>
      </c>
      <c r="R1101"/>
      <c r="S1101"/>
      <c r="T1101"/>
      <c r="U1101"/>
    </row>
    <row r="1102" spans="1:21" hidden="1">
      <c r="A1102" s="7" t="s">
        <v>8740</v>
      </c>
      <c r="B1102" s="7" t="s">
        <v>6627</v>
      </c>
      <c r="C1102" s="8" t="s">
        <v>5317</v>
      </c>
      <c r="D1102" t="s">
        <v>216</v>
      </c>
      <c r="E1102" t="s">
        <v>304</v>
      </c>
      <c r="F1102" t="s">
        <v>117</v>
      </c>
      <c r="G1102" t="s">
        <v>318</v>
      </c>
      <c r="H1102" s="9">
        <v>44657</v>
      </c>
      <c r="I1102" t="s">
        <v>306</v>
      </c>
      <c r="J1102" t="s">
        <v>0</v>
      </c>
      <c r="K1102" s="9">
        <v>44711</v>
      </c>
      <c r="L1102" t="s">
        <v>29</v>
      </c>
      <c r="M1102"/>
      <c r="N1102" s="9">
        <v>44686</v>
      </c>
      <c r="O1102"/>
      <c r="P1102"/>
      <c r="Q1102" s="9">
        <v>44711</v>
      </c>
      <c r="R1102"/>
      <c r="S1102"/>
      <c r="T1102"/>
      <c r="U1102"/>
    </row>
    <row r="1103" spans="1:21" hidden="1">
      <c r="A1103" s="7" t="s">
        <v>8740</v>
      </c>
      <c r="B1103" s="7" t="s">
        <v>6627</v>
      </c>
      <c r="C1103" s="8" t="s">
        <v>5317</v>
      </c>
      <c r="D1103" t="s">
        <v>216</v>
      </c>
      <c r="E1103" t="s">
        <v>304</v>
      </c>
      <c r="F1103" t="s">
        <v>117</v>
      </c>
      <c r="G1103" t="s">
        <v>319</v>
      </c>
      <c r="H1103" s="9">
        <v>44657</v>
      </c>
      <c r="I1103" t="s">
        <v>306</v>
      </c>
      <c r="J1103" t="s">
        <v>0</v>
      </c>
      <c r="K1103" s="9">
        <v>44711</v>
      </c>
      <c r="L1103" t="s">
        <v>29</v>
      </c>
      <c r="M1103"/>
      <c r="N1103" s="9">
        <v>44686</v>
      </c>
      <c r="O1103"/>
      <c r="P1103"/>
      <c r="Q1103" s="9">
        <v>44711</v>
      </c>
      <c r="R1103"/>
      <c r="S1103"/>
      <c r="T1103"/>
      <c r="U1103"/>
    </row>
    <row r="1104" spans="1:21" hidden="1">
      <c r="A1104" s="7" t="s">
        <v>8740</v>
      </c>
      <c r="B1104" s="7" t="s">
        <v>6627</v>
      </c>
      <c r="C1104" s="8" t="s">
        <v>5317</v>
      </c>
      <c r="D1104" t="s">
        <v>216</v>
      </c>
      <c r="E1104" t="s">
        <v>304</v>
      </c>
      <c r="F1104" t="s">
        <v>117</v>
      </c>
      <c r="G1104" t="s">
        <v>1219</v>
      </c>
      <c r="H1104" s="9">
        <v>44657</v>
      </c>
      <c r="I1104" t="s">
        <v>306</v>
      </c>
      <c r="J1104" t="s">
        <v>0</v>
      </c>
      <c r="K1104" s="9">
        <v>44711</v>
      </c>
      <c r="L1104" t="s">
        <v>29</v>
      </c>
      <c r="M1104"/>
      <c r="N1104" s="9">
        <v>44686</v>
      </c>
      <c r="O1104"/>
      <c r="P1104"/>
      <c r="Q1104" s="9">
        <v>44711</v>
      </c>
      <c r="R1104"/>
      <c r="S1104"/>
      <c r="T1104"/>
      <c r="U1104"/>
    </row>
    <row r="1105" spans="1:21" hidden="1">
      <c r="A1105" s="7" t="s">
        <v>8740</v>
      </c>
      <c r="B1105" s="7" t="s">
        <v>6627</v>
      </c>
      <c r="C1105" s="8" t="s">
        <v>5317</v>
      </c>
      <c r="D1105" t="s">
        <v>216</v>
      </c>
      <c r="E1105" t="s">
        <v>304</v>
      </c>
      <c r="F1105" t="s">
        <v>117</v>
      </c>
      <c r="G1105" t="s">
        <v>1220</v>
      </c>
      <c r="H1105" s="9">
        <v>44657</v>
      </c>
      <c r="I1105" t="s">
        <v>306</v>
      </c>
      <c r="J1105" t="s">
        <v>0</v>
      </c>
      <c r="K1105" s="9">
        <v>44711</v>
      </c>
      <c r="L1105" t="s">
        <v>29</v>
      </c>
      <c r="M1105"/>
      <c r="N1105" s="9">
        <v>44686</v>
      </c>
      <c r="O1105"/>
      <c r="P1105"/>
      <c r="Q1105" s="9">
        <v>44711</v>
      </c>
      <c r="R1105"/>
      <c r="S1105"/>
      <c r="T1105"/>
      <c r="U1105"/>
    </row>
    <row r="1106" spans="1:21" hidden="1">
      <c r="A1106" s="7" t="s">
        <v>8740</v>
      </c>
      <c r="B1106" s="7" t="s">
        <v>6627</v>
      </c>
      <c r="C1106" s="8" t="s">
        <v>5317</v>
      </c>
      <c r="D1106" t="s">
        <v>216</v>
      </c>
      <c r="E1106" t="s">
        <v>304</v>
      </c>
      <c r="F1106" t="s">
        <v>117</v>
      </c>
      <c r="G1106" t="s">
        <v>1221</v>
      </c>
      <c r="H1106" s="9">
        <v>44657</v>
      </c>
      <c r="I1106" t="s">
        <v>306</v>
      </c>
      <c r="J1106" t="s">
        <v>0</v>
      </c>
      <c r="K1106" s="9">
        <v>44711</v>
      </c>
      <c r="L1106" t="s">
        <v>29</v>
      </c>
      <c r="M1106"/>
      <c r="N1106" s="9">
        <v>44686</v>
      </c>
      <c r="O1106"/>
      <c r="P1106"/>
      <c r="Q1106" s="9">
        <v>44711</v>
      </c>
      <c r="R1106"/>
      <c r="S1106"/>
      <c r="T1106"/>
      <c r="U1106"/>
    </row>
    <row r="1107" spans="1:21" hidden="1">
      <c r="A1107" s="7" t="s">
        <v>8740</v>
      </c>
      <c r="B1107" s="7" t="s">
        <v>6627</v>
      </c>
      <c r="C1107" s="8" t="s">
        <v>5317</v>
      </c>
      <c r="D1107" t="s">
        <v>216</v>
      </c>
      <c r="E1107" t="s">
        <v>304</v>
      </c>
      <c r="F1107" t="s">
        <v>117</v>
      </c>
      <c r="G1107" t="s">
        <v>1222</v>
      </c>
      <c r="H1107" s="9">
        <v>44657</v>
      </c>
      <c r="I1107" t="s">
        <v>306</v>
      </c>
      <c r="J1107" t="s">
        <v>0</v>
      </c>
      <c r="K1107" s="9">
        <v>44711</v>
      </c>
      <c r="L1107" t="s">
        <v>29</v>
      </c>
      <c r="M1107"/>
      <c r="N1107" s="9">
        <v>44686</v>
      </c>
      <c r="O1107"/>
      <c r="P1107"/>
      <c r="Q1107" s="9">
        <v>44711</v>
      </c>
      <c r="R1107"/>
      <c r="S1107"/>
      <c r="T1107"/>
      <c r="U1107"/>
    </row>
    <row r="1108" spans="1:21" hidden="1">
      <c r="A1108" s="7" t="s">
        <v>8740</v>
      </c>
      <c r="B1108" s="7" t="s">
        <v>6627</v>
      </c>
      <c r="C1108" s="8" t="s">
        <v>5317</v>
      </c>
      <c r="D1108" t="s">
        <v>216</v>
      </c>
      <c r="E1108" t="s">
        <v>304</v>
      </c>
      <c r="F1108" t="s">
        <v>117</v>
      </c>
      <c r="G1108" t="s">
        <v>1223</v>
      </c>
      <c r="H1108" s="9">
        <v>44657</v>
      </c>
      <c r="I1108" t="s">
        <v>306</v>
      </c>
      <c r="J1108" t="s">
        <v>0</v>
      </c>
      <c r="K1108" s="9">
        <v>44711</v>
      </c>
      <c r="L1108" t="s">
        <v>29</v>
      </c>
      <c r="M1108"/>
      <c r="N1108" s="9">
        <v>44686</v>
      </c>
      <c r="O1108"/>
      <c r="P1108"/>
      <c r="Q1108" s="9">
        <v>44711</v>
      </c>
      <c r="R1108"/>
      <c r="S1108"/>
      <c r="T1108"/>
      <c r="U1108"/>
    </row>
    <row r="1109" spans="1:21" hidden="1">
      <c r="A1109" s="7" t="s">
        <v>8740</v>
      </c>
      <c r="B1109" s="7" t="s">
        <v>6627</v>
      </c>
      <c r="C1109" s="8" t="s">
        <v>5317</v>
      </c>
      <c r="D1109" t="s">
        <v>216</v>
      </c>
      <c r="E1109" t="s">
        <v>304</v>
      </c>
      <c r="F1109" t="s">
        <v>117</v>
      </c>
      <c r="G1109" t="s">
        <v>1224</v>
      </c>
      <c r="H1109" s="9">
        <v>44657</v>
      </c>
      <c r="I1109" t="s">
        <v>306</v>
      </c>
      <c r="J1109" t="s">
        <v>0</v>
      </c>
      <c r="K1109" s="9">
        <v>44711</v>
      </c>
      <c r="L1109" t="s">
        <v>29</v>
      </c>
      <c r="M1109"/>
      <c r="N1109" s="9">
        <v>44686</v>
      </c>
      <c r="O1109"/>
      <c r="P1109"/>
      <c r="Q1109" s="9">
        <v>44711</v>
      </c>
      <c r="R1109"/>
      <c r="S1109"/>
      <c r="T1109"/>
      <c r="U1109"/>
    </row>
    <row r="1110" spans="1:21" hidden="1">
      <c r="A1110" s="7" t="s">
        <v>8740</v>
      </c>
      <c r="B1110" s="7" t="s">
        <v>6627</v>
      </c>
      <c r="C1110" s="8" t="s">
        <v>5317</v>
      </c>
      <c r="D1110" t="s">
        <v>216</v>
      </c>
      <c r="E1110" t="s">
        <v>304</v>
      </c>
      <c r="F1110" t="s">
        <v>117</v>
      </c>
      <c r="G1110" t="s">
        <v>1225</v>
      </c>
      <c r="H1110" s="9">
        <v>44657</v>
      </c>
      <c r="I1110" t="s">
        <v>306</v>
      </c>
      <c r="J1110" t="s">
        <v>0</v>
      </c>
      <c r="K1110" s="9">
        <v>44711</v>
      </c>
      <c r="L1110" t="s">
        <v>29</v>
      </c>
      <c r="M1110"/>
      <c r="N1110" s="9">
        <v>44686</v>
      </c>
      <c r="O1110"/>
      <c r="P1110"/>
      <c r="Q1110" s="9">
        <v>44711</v>
      </c>
      <c r="R1110"/>
      <c r="S1110"/>
      <c r="T1110"/>
      <c r="U1110"/>
    </row>
    <row r="1111" spans="1:21" hidden="1">
      <c r="A1111" s="7" t="s">
        <v>8740</v>
      </c>
      <c r="B1111" s="7" t="s">
        <v>6627</v>
      </c>
      <c r="C1111" s="8" t="s">
        <v>5317</v>
      </c>
      <c r="D1111" t="s">
        <v>216</v>
      </c>
      <c r="E1111" t="s">
        <v>304</v>
      </c>
      <c r="F1111" t="s">
        <v>117</v>
      </c>
      <c r="G1111" t="s">
        <v>1226</v>
      </c>
      <c r="H1111" s="9">
        <v>44657</v>
      </c>
      <c r="I1111" t="s">
        <v>306</v>
      </c>
      <c r="J1111" t="s">
        <v>0</v>
      </c>
      <c r="K1111" s="9">
        <v>44711</v>
      </c>
      <c r="L1111" t="s">
        <v>29</v>
      </c>
      <c r="M1111"/>
      <c r="N1111" s="9">
        <v>44686</v>
      </c>
      <c r="O1111"/>
      <c r="P1111"/>
      <c r="Q1111" s="9">
        <v>44711</v>
      </c>
      <c r="R1111"/>
      <c r="S1111"/>
      <c r="T1111"/>
      <c r="U1111"/>
    </row>
    <row r="1112" spans="1:21" hidden="1">
      <c r="A1112" s="7" t="s">
        <v>8740</v>
      </c>
      <c r="B1112" s="7" t="s">
        <v>6627</v>
      </c>
      <c r="C1112" s="8" t="s">
        <v>5317</v>
      </c>
      <c r="D1112" t="s">
        <v>216</v>
      </c>
      <c r="E1112" t="s">
        <v>304</v>
      </c>
      <c r="F1112" t="s">
        <v>117</v>
      </c>
      <c r="G1112" t="s">
        <v>1227</v>
      </c>
      <c r="H1112" s="9">
        <v>44657</v>
      </c>
      <c r="I1112" t="s">
        <v>306</v>
      </c>
      <c r="J1112" t="s">
        <v>0</v>
      </c>
      <c r="K1112" s="9">
        <v>44711</v>
      </c>
      <c r="L1112" t="s">
        <v>29</v>
      </c>
      <c r="M1112"/>
      <c r="N1112" s="9">
        <v>44686</v>
      </c>
      <c r="O1112"/>
      <c r="P1112"/>
      <c r="Q1112" s="9">
        <v>44711</v>
      </c>
      <c r="R1112"/>
      <c r="S1112"/>
      <c r="T1112"/>
      <c r="U1112"/>
    </row>
    <row r="1113" spans="1:21" hidden="1">
      <c r="A1113" s="7" t="s">
        <v>8740</v>
      </c>
      <c r="B1113" s="7" t="s">
        <v>6627</v>
      </c>
      <c r="C1113" s="8" t="s">
        <v>5317</v>
      </c>
      <c r="D1113" t="s">
        <v>216</v>
      </c>
      <c r="E1113" t="s">
        <v>304</v>
      </c>
      <c r="F1113" t="s">
        <v>117</v>
      </c>
      <c r="G1113" t="s">
        <v>1228</v>
      </c>
      <c r="H1113" s="9">
        <v>44657</v>
      </c>
      <c r="I1113" t="s">
        <v>306</v>
      </c>
      <c r="J1113" t="s">
        <v>0</v>
      </c>
      <c r="K1113" s="9">
        <v>44711</v>
      </c>
      <c r="L1113" t="s">
        <v>29</v>
      </c>
      <c r="M1113"/>
      <c r="N1113" s="9">
        <v>44686</v>
      </c>
      <c r="O1113"/>
      <c r="P1113"/>
      <c r="Q1113" s="9">
        <v>44711</v>
      </c>
      <c r="R1113"/>
      <c r="S1113"/>
      <c r="T1113"/>
      <c r="U1113"/>
    </row>
    <row r="1114" spans="1:21" hidden="1">
      <c r="A1114" s="7" t="s">
        <v>8740</v>
      </c>
      <c r="B1114" s="7" t="s">
        <v>6627</v>
      </c>
      <c r="C1114" s="8" t="s">
        <v>5317</v>
      </c>
      <c r="D1114" t="s">
        <v>216</v>
      </c>
      <c r="E1114" t="s">
        <v>304</v>
      </c>
      <c r="F1114" t="s">
        <v>117</v>
      </c>
      <c r="G1114" t="s">
        <v>1229</v>
      </c>
      <c r="H1114" s="9">
        <v>44657</v>
      </c>
      <c r="I1114" t="s">
        <v>306</v>
      </c>
      <c r="J1114" t="s">
        <v>0</v>
      </c>
      <c r="K1114" s="9">
        <v>44711</v>
      </c>
      <c r="L1114" t="s">
        <v>29</v>
      </c>
      <c r="M1114"/>
      <c r="N1114" s="9">
        <v>44686</v>
      </c>
      <c r="O1114"/>
      <c r="P1114"/>
      <c r="Q1114" s="9">
        <v>44711</v>
      </c>
      <c r="R1114"/>
      <c r="S1114"/>
      <c r="T1114"/>
      <c r="U1114"/>
    </row>
    <row r="1115" spans="1:21" hidden="1">
      <c r="A1115" s="7" t="s">
        <v>8740</v>
      </c>
      <c r="B1115" s="7" t="s">
        <v>6627</v>
      </c>
      <c r="C1115" s="8" t="s">
        <v>5317</v>
      </c>
      <c r="D1115" t="s">
        <v>216</v>
      </c>
      <c r="E1115" t="s">
        <v>304</v>
      </c>
      <c r="F1115" t="s">
        <v>117</v>
      </c>
      <c r="G1115" t="s">
        <v>1230</v>
      </c>
      <c r="H1115" s="9">
        <v>44657</v>
      </c>
      <c r="I1115" t="s">
        <v>306</v>
      </c>
      <c r="J1115" t="s">
        <v>0</v>
      </c>
      <c r="K1115" s="9">
        <v>44711</v>
      </c>
      <c r="L1115" t="s">
        <v>29</v>
      </c>
      <c r="M1115"/>
      <c r="N1115" s="9">
        <v>44686</v>
      </c>
      <c r="O1115"/>
      <c r="P1115"/>
      <c r="Q1115" s="9">
        <v>44711</v>
      </c>
      <c r="R1115"/>
      <c r="S1115"/>
      <c r="T1115"/>
      <c r="U1115"/>
    </row>
    <row r="1116" spans="1:21" hidden="1">
      <c r="A1116" s="7" t="s">
        <v>8740</v>
      </c>
      <c r="B1116" s="7" t="s">
        <v>6627</v>
      </c>
      <c r="C1116" s="8" t="s">
        <v>5317</v>
      </c>
      <c r="D1116" t="s">
        <v>216</v>
      </c>
      <c r="E1116" t="s">
        <v>304</v>
      </c>
      <c r="F1116" t="s">
        <v>117</v>
      </c>
      <c r="G1116" t="s">
        <v>1231</v>
      </c>
      <c r="H1116" s="9">
        <v>44657</v>
      </c>
      <c r="I1116" t="s">
        <v>306</v>
      </c>
      <c r="J1116" t="s">
        <v>0</v>
      </c>
      <c r="K1116" s="9">
        <v>44711</v>
      </c>
      <c r="L1116" t="s">
        <v>29</v>
      </c>
      <c r="M1116"/>
      <c r="N1116" s="9">
        <v>44686</v>
      </c>
      <c r="O1116"/>
      <c r="P1116"/>
      <c r="Q1116" s="9">
        <v>44711</v>
      </c>
      <c r="R1116"/>
      <c r="S1116"/>
      <c r="T1116"/>
      <c r="U1116"/>
    </row>
    <row r="1117" spans="1:21" hidden="1">
      <c r="A1117" s="7" t="s">
        <v>8740</v>
      </c>
      <c r="B1117" s="7" t="s">
        <v>6627</v>
      </c>
      <c r="C1117" s="8" t="s">
        <v>5317</v>
      </c>
      <c r="D1117" t="s">
        <v>216</v>
      </c>
      <c r="E1117" t="s">
        <v>304</v>
      </c>
      <c r="F1117" t="s">
        <v>117</v>
      </c>
      <c r="G1117" t="s">
        <v>1232</v>
      </c>
      <c r="H1117" s="9">
        <v>44657</v>
      </c>
      <c r="I1117" t="s">
        <v>306</v>
      </c>
      <c r="J1117" t="s">
        <v>0</v>
      </c>
      <c r="K1117" s="9">
        <v>44711</v>
      </c>
      <c r="L1117" t="s">
        <v>29</v>
      </c>
      <c r="M1117"/>
      <c r="N1117" s="9">
        <v>44686</v>
      </c>
      <c r="O1117"/>
      <c r="P1117"/>
      <c r="Q1117" s="9">
        <v>44711</v>
      </c>
      <c r="R1117"/>
      <c r="S1117"/>
      <c r="T1117"/>
      <c r="U1117"/>
    </row>
    <row r="1118" spans="1:21" hidden="1">
      <c r="A1118" s="7" t="s">
        <v>8740</v>
      </c>
      <c r="B1118" s="7" t="s">
        <v>6627</v>
      </c>
      <c r="C1118" s="8" t="s">
        <v>5317</v>
      </c>
      <c r="D1118" t="s">
        <v>216</v>
      </c>
      <c r="E1118" t="s">
        <v>304</v>
      </c>
      <c r="F1118" t="s">
        <v>117</v>
      </c>
      <c r="G1118" t="s">
        <v>1233</v>
      </c>
      <c r="H1118" s="9">
        <v>44657</v>
      </c>
      <c r="I1118" t="s">
        <v>306</v>
      </c>
      <c r="J1118" t="s">
        <v>0</v>
      </c>
      <c r="K1118" s="9">
        <v>44711</v>
      </c>
      <c r="L1118" t="s">
        <v>29</v>
      </c>
      <c r="M1118"/>
      <c r="N1118" s="9">
        <v>44686</v>
      </c>
      <c r="O1118"/>
      <c r="P1118"/>
      <c r="Q1118" s="9">
        <v>44711</v>
      </c>
      <c r="R1118"/>
      <c r="S1118"/>
      <c r="T1118"/>
      <c r="U1118"/>
    </row>
    <row r="1119" spans="1:21" hidden="1">
      <c r="A1119" s="7" t="s">
        <v>8740</v>
      </c>
      <c r="B1119" s="7" t="s">
        <v>6627</v>
      </c>
      <c r="C1119" s="8" t="s">
        <v>5317</v>
      </c>
      <c r="D1119" t="s">
        <v>216</v>
      </c>
      <c r="E1119" t="s">
        <v>304</v>
      </c>
      <c r="F1119" t="s">
        <v>117</v>
      </c>
      <c r="G1119" t="s">
        <v>1234</v>
      </c>
      <c r="H1119" s="9">
        <v>44657</v>
      </c>
      <c r="I1119" t="s">
        <v>306</v>
      </c>
      <c r="J1119" t="s">
        <v>0</v>
      </c>
      <c r="K1119" s="9">
        <v>44711</v>
      </c>
      <c r="L1119" t="s">
        <v>29</v>
      </c>
      <c r="M1119"/>
      <c r="N1119" s="9">
        <v>44686</v>
      </c>
      <c r="O1119"/>
      <c r="P1119"/>
      <c r="Q1119" s="9">
        <v>44711</v>
      </c>
      <c r="R1119"/>
      <c r="S1119"/>
      <c r="T1119"/>
      <c r="U1119"/>
    </row>
    <row r="1120" spans="1:21" hidden="1">
      <c r="A1120" s="7" t="s">
        <v>8740</v>
      </c>
      <c r="B1120" s="7" t="s">
        <v>6627</v>
      </c>
      <c r="C1120" s="8" t="s">
        <v>5317</v>
      </c>
      <c r="D1120" t="s">
        <v>216</v>
      </c>
      <c r="E1120" t="s">
        <v>304</v>
      </c>
      <c r="F1120" t="s">
        <v>117</v>
      </c>
      <c r="G1120" t="s">
        <v>1235</v>
      </c>
      <c r="H1120" s="9">
        <v>44657</v>
      </c>
      <c r="I1120" t="s">
        <v>306</v>
      </c>
      <c r="J1120" t="s">
        <v>0</v>
      </c>
      <c r="K1120" s="9">
        <v>44711</v>
      </c>
      <c r="L1120" t="s">
        <v>29</v>
      </c>
      <c r="M1120"/>
      <c r="N1120" s="9">
        <v>44686</v>
      </c>
      <c r="O1120"/>
      <c r="P1120"/>
      <c r="Q1120" s="9">
        <v>44711</v>
      </c>
      <c r="R1120"/>
      <c r="S1120"/>
      <c r="T1120"/>
      <c r="U1120"/>
    </row>
    <row r="1121" spans="1:21" hidden="1">
      <c r="A1121" s="7" t="s">
        <v>8740</v>
      </c>
      <c r="B1121" s="7" t="s">
        <v>6627</v>
      </c>
      <c r="C1121" s="8" t="s">
        <v>5317</v>
      </c>
      <c r="D1121" t="s">
        <v>216</v>
      </c>
      <c r="E1121" t="s">
        <v>304</v>
      </c>
      <c r="F1121" t="s">
        <v>117</v>
      </c>
      <c r="G1121" t="s">
        <v>1236</v>
      </c>
      <c r="H1121" s="9">
        <v>44657</v>
      </c>
      <c r="I1121" t="s">
        <v>306</v>
      </c>
      <c r="J1121" t="s">
        <v>0</v>
      </c>
      <c r="K1121" s="9">
        <v>44711</v>
      </c>
      <c r="L1121" t="s">
        <v>29</v>
      </c>
      <c r="M1121"/>
      <c r="N1121" s="9">
        <v>44686</v>
      </c>
      <c r="O1121"/>
      <c r="P1121"/>
      <c r="Q1121" s="9">
        <v>44711</v>
      </c>
      <c r="R1121"/>
      <c r="S1121"/>
      <c r="T1121"/>
      <c r="U1121"/>
    </row>
    <row r="1122" spans="1:21" hidden="1">
      <c r="A1122" s="7" t="s">
        <v>8740</v>
      </c>
      <c r="B1122" s="7" t="s">
        <v>6627</v>
      </c>
      <c r="C1122" s="8" t="s">
        <v>5317</v>
      </c>
      <c r="D1122" t="s">
        <v>216</v>
      </c>
      <c r="E1122" t="s">
        <v>304</v>
      </c>
      <c r="F1122" t="s">
        <v>117</v>
      </c>
      <c r="G1122" t="s">
        <v>1237</v>
      </c>
      <c r="H1122" s="9">
        <v>44657</v>
      </c>
      <c r="I1122" t="s">
        <v>306</v>
      </c>
      <c r="J1122" t="s">
        <v>0</v>
      </c>
      <c r="K1122" s="9">
        <v>44711</v>
      </c>
      <c r="L1122" t="s">
        <v>29</v>
      </c>
      <c r="M1122"/>
      <c r="N1122" s="9">
        <v>44686</v>
      </c>
      <c r="O1122"/>
      <c r="P1122"/>
      <c r="Q1122" s="9">
        <v>44711</v>
      </c>
      <c r="R1122"/>
      <c r="S1122"/>
      <c r="T1122"/>
      <c r="U1122"/>
    </row>
    <row r="1123" spans="1:21" hidden="1">
      <c r="A1123" s="7" t="s">
        <v>8740</v>
      </c>
      <c r="B1123" s="7" t="s">
        <v>6627</v>
      </c>
      <c r="C1123" s="8" t="s">
        <v>5317</v>
      </c>
      <c r="D1123" t="s">
        <v>216</v>
      </c>
      <c r="E1123" t="s">
        <v>304</v>
      </c>
      <c r="F1123" t="s">
        <v>117</v>
      </c>
      <c r="G1123" t="s">
        <v>1238</v>
      </c>
      <c r="H1123" s="9">
        <v>44657</v>
      </c>
      <c r="I1123" t="s">
        <v>306</v>
      </c>
      <c r="J1123" t="s">
        <v>0</v>
      </c>
      <c r="K1123" s="9">
        <v>44711</v>
      </c>
      <c r="L1123" t="s">
        <v>29</v>
      </c>
      <c r="M1123"/>
      <c r="N1123" s="9">
        <v>44686</v>
      </c>
      <c r="O1123"/>
      <c r="P1123"/>
      <c r="Q1123" s="9">
        <v>44711</v>
      </c>
      <c r="R1123"/>
      <c r="S1123"/>
      <c r="T1123"/>
      <c r="U1123"/>
    </row>
    <row r="1124" spans="1:21" hidden="1">
      <c r="A1124" s="7" t="s">
        <v>8740</v>
      </c>
      <c r="B1124" s="7" t="s">
        <v>6627</v>
      </c>
      <c r="C1124" s="8" t="s">
        <v>5317</v>
      </c>
      <c r="D1124" t="s">
        <v>216</v>
      </c>
      <c r="E1124" t="s">
        <v>304</v>
      </c>
      <c r="F1124" t="s">
        <v>117</v>
      </c>
      <c r="G1124" t="s">
        <v>1239</v>
      </c>
      <c r="H1124" s="9">
        <v>44657</v>
      </c>
      <c r="I1124" t="s">
        <v>306</v>
      </c>
      <c r="J1124" t="s">
        <v>0</v>
      </c>
      <c r="K1124" s="9">
        <v>44711</v>
      </c>
      <c r="L1124" t="s">
        <v>29</v>
      </c>
      <c r="M1124"/>
      <c r="N1124" s="9">
        <v>44686</v>
      </c>
      <c r="O1124"/>
      <c r="P1124"/>
      <c r="Q1124" s="9">
        <v>44711</v>
      </c>
      <c r="R1124"/>
      <c r="S1124"/>
      <c r="T1124"/>
      <c r="U1124"/>
    </row>
    <row r="1125" spans="1:21" hidden="1">
      <c r="A1125" s="7" t="s">
        <v>8740</v>
      </c>
      <c r="B1125" s="7" t="s">
        <v>6627</v>
      </c>
      <c r="C1125" s="8" t="s">
        <v>5317</v>
      </c>
      <c r="D1125" t="s">
        <v>216</v>
      </c>
      <c r="E1125" t="s">
        <v>304</v>
      </c>
      <c r="F1125" t="s">
        <v>117</v>
      </c>
      <c r="G1125" t="s">
        <v>1240</v>
      </c>
      <c r="H1125" s="9">
        <v>44657</v>
      </c>
      <c r="I1125" t="s">
        <v>306</v>
      </c>
      <c r="J1125" t="s">
        <v>0</v>
      </c>
      <c r="K1125" s="9">
        <v>44711</v>
      </c>
      <c r="L1125" t="s">
        <v>29</v>
      </c>
      <c r="M1125"/>
      <c r="N1125" s="9">
        <v>44686</v>
      </c>
      <c r="O1125"/>
      <c r="P1125"/>
      <c r="Q1125" s="9">
        <v>44711</v>
      </c>
      <c r="R1125"/>
      <c r="S1125"/>
      <c r="T1125"/>
      <c r="U1125"/>
    </row>
    <row r="1126" spans="1:21" hidden="1">
      <c r="A1126" s="7" t="s">
        <v>8740</v>
      </c>
      <c r="B1126" s="7" t="s">
        <v>6627</v>
      </c>
      <c r="C1126" s="8" t="s">
        <v>5317</v>
      </c>
      <c r="D1126" t="s">
        <v>216</v>
      </c>
      <c r="E1126" t="s">
        <v>304</v>
      </c>
      <c r="F1126" t="s">
        <v>117</v>
      </c>
      <c r="G1126" t="s">
        <v>1241</v>
      </c>
      <c r="H1126" s="9">
        <v>44657</v>
      </c>
      <c r="I1126" t="s">
        <v>306</v>
      </c>
      <c r="J1126" t="s">
        <v>0</v>
      </c>
      <c r="K1126" s="9">
        <v>44711</v>
      </c>
      <c r="L1126" t="s">
        <v>29</v>
      </c>
      <c r="M1126"/>
      <c r="N1126" s="9">
        <v>44686</v>
      </c>
      <c r="O1126"/>
      <c r="P1126"/>
      <c r="Q1126" s="9">
        <v>44711</v>
      </c>
      <c r="R1126"/>
      <c r="S1126"/>
      <c r="T1126"/>
      <c r="U1126"/>
    </row>
    <row r="1127" spans="1:21" hidden="1">
      <c r="A1127" s="7" t="s">
        <v>8740</v>
      </c>
      <c r="B1127" s="7" t="s">
        <v>6627</v>
      </c>
      <c r="C1127" s="8" t="s">
        <v>5317</v>
      </c>
      <c r="D1127" t="s">
        <v>216</v>
      </c>
      <c r="E1127" t="s">
        <v>304</v>
      </c>
      <c r="F1127" t="s">
        <v>117</v>
      </c>
      <c r="G1127" t="s">
        <v>1242</v>
      </c>
      <c r="H1127" s="9">
        <v>44657</v>
      </c>
      <c r="I1127" t="s">
        <v>306</v>
      </c>
      <c r="J1127" t="s">
        <v>0</v>
      </c>
      <c r="K1127" s="9">
        <v>44711</v>
      </c>
      <c r="L1127" t="s">
        <v>29</v>
      </c>
      <c r="M1127"/>
      <c r="N1127" s="9">
        <v>44686</v>
      </c>
      <c r="O1127"/>
      <c r="P1127"/>
      <c r="Q1127" s="9">
        <v>44711</v>
      </c>
      <c r="R1127"/>
      <c r="S1127"/>
      <c r="T1127"/>
      <c r="U1127"/>
    </row>
    <row r="1128" spans="1:21" hidden="1">
      <c r="A1128" s="7" t="s">
        <v>8740</v>
      </c>
      <c r="B1128" s="7" t="s">
        <v>6627</v>
      </c>
      <c r="C1128" s="8" t="s">
        <v>5317</v>
      </c>
      <c r="D1128" t="s">
        <v>216</v>
      </c>
      <c r="E1128" t="s">
        <v>304</v>
      </c>
      <c r="F1128" t="s">
        <v>117</v>
      </c>
      <c r="G1128" t="s">
        <v>1243</v>
      </c>
      <c r="H1128" s="9">
        <v>44657</v>
      </c>
      <c r="I1128" t="s">
        <v>306</v>
      </c>
      <c r="J1128" t="s">
        <v>0</v>
      </c>
      <c r="K1128" s="9">
        <v>44711</v>
      </c>
      <c r="L1128" t="s">
        <v>29</v>
      </c>
      <c r="M1128"/>
      <c r="N1128" s="9">
        <v>44686</v>
      </c>
      <c r="O1128"/>
      <c r="P1128"/>
      <c r="Q1128" s="9">
        <v>44711</v>
      </c>
      <c r="R1128"/>
      <c r="S1128"/>
      <c r="T1128"/>
      <c r="U1128"/>
    </row>
    <row r="1129" spans="1:21" hidden="1">
      <c r="A1129" s="7" t="s">
        <v>8740</v>
      </c>
      <c r="B1129" s="7" t="s">
        <v>6627</v>
      </c>
      <c r="C1129" s="8" t="s">
        <v>5317</v>
      </c>
      <c r="D1129" t="s">
        <v>216</v>
      </c>
      <c r="E1129" t="s">
        <v>304</v>
      </c>
      <c r="F1129" t="s">
        <v>117</v>
      </c>
      <c r="G1129" t="s">
        <v>1244</v>
      </c>
      <c r="H1129" s="9">
        <v>44657</v>
      </c>
      <c r="I1129" t="s">
        <v>306</v>
      </c>
      <c r="J1129" t="s">
        <v>0</v>
      </c>
      <c r="K1129" s="9">
        <v>44711</v>
      </c>
      <c r="L1129" t="s">
        <v>29</v>
      </c>
      <c r="M1129"/>
      <c r="N1129" s="9">
        <v>44686</v>
      </c>
      <c r="O1129"/>
      <c r="P1129"/>
      <c r="Q1129" s="9">
        <v>44711</v>
      </c>
      <c r="R1129"/>
      <c r="S1129"/>
      <c r="T1129"/>
      <c r="U1129"/>
    </row>
    <row r="1130" spans="1:21" hidden="1">
      <c r="A1130" s="7" t="s">
        <v>8740</v>
      </c>
      <c r="B1130" s="7" t="s">
        <v>6627</v>
      </c>
      <c r="C1130" s="8" t="s">
        <v>5317</v>
      </c>
      <c r="D1130" t="s">
        <v>216</v>
      </c>
      <c r="E1130" t="s">
        <v>304</v>
      </c>
      <c r="F1130" t="s">
        <v>117</v>
      </c>
      <c r="G1130" t="s">
        <v>1245</v>
      </c>
      <c r="H1130" s="9">
        <v>44657</v>
      </c>
      <c r="I1130" t="s">
        <v>306</v>
      </c>
      <c r="J1130" t="s">
        <v>0</v>
      </c>
      <c r="K1130" s="9">
        <v>44711</v>
      </c>
      <c r="L1130" t="s">
        <v>29</v>
      </c>
      <c r="M1130"/>
      <c r="N1130" s="9">
        <v>44686</v>
      </c>
      <c r="O1130"/>
      <c r="P1130"/>
      <c r="Q1130" s="9">
        <v>44711</v>
      </c>
      <c r="R1130"/>
      <c r="S1130"/>
      <c r="T1130"/>
      <c r="U1130"/>
    </row>
    <row r="1131" spans="1:21" hidden="1">
      <c r="A1131" s="7" t="s">
        <v>8740</v>
      </c>
      <c r="B1131" s="7" t="s">
        <v>6627</v>
      </c>
      <c r="C1131" s="8" t="s">
        <v>5317</v>
      </c>
      <c r="D1131" t="s">
        <v>216</v>
      </c>
      <c r="E1131" t="s">
        <v>304</v>
      </c>
      <c r="F1131" t="s">
        <v>117</v>
      </c>
      <c r="G1131" t="s">
        <v>1246</v>
      </c>
      <c r="H1131" s="9">
        <v>44657</v>
      </c>
      <c r="I1131" t="s">
        <v>306</v>
      </c>
      <c r="J1131" t="s">
        <v>0</v>
      </c>
      <c r="K1131" s="9">
        <v>44711</v>
      </c>
      <c r="L1131" t="s">
        <v>29</v>
      </c>
      <c r="M1131"/>
      <c r="N1131" s="9">
        <v>44686</v>
      </c>
      <c r="O1131"/>
      <c r="P1131"/>
      <c r="Q1131" s="9">
        <v>44711</v>
      </c>
      <c r="R1131"/>
      <c r="S1131"/>
      <c r="T1131"/>
      <c r="U1131"/>
    </row>
    <row r="1132" spans="1:21" hidden="1">
      <c r="A1132" s="7" t="s">
        <v>8740</v>
      </c>
      <c r="B1132" s="7" t="s">
        <v>6627</v>
      </c>
      <c r="C1132" s="8" t="s">
        <v>5317</v>
      </c>
      <c r="D1132" t="s">
        <v>216</v>
      </c>
      <c r="E1132" t="s">
        <v>304</v>
      </c>
      <c r="F1132" t="s">
        <v>117</v>
      </c>
      <c r="G1132" t="s">
        <v>1247</v>
      </c>
      <c r="H1132" s="9">
        <v>44657</v>
      </c>
      <c r="I1132" t="s">
        <v>306</v>
      </c>
      <c r="J1132" t="s">
        <v>0</v>
      </c>
      <c r="K1132" s="9">
        <v>44711</v>
      </c>
      <c r="L1132" t="s">
        <v>29</v>
      </c>
      <c r="M1132"/>
      <c r="N1132" s="9">
        <v>44686</v>
      </c>
      <c r="O1132"/>
      <c r="P1132"/>
      <c r="Q1132" s="9">
        <v>44711</v>
      </c>
      <c r="R1132"/>
      <c r="S1132"/>
      <c r="T1132"/>
      <c r="U1132"/>
    </row>
    <row r="1133" spans="1:21" hidden="1">
      <c r="A1133" s="7" t="s">
        <v>8740</v>
      </c>
      <c r="B1133" s="7" t="s">
        <v>6627</v>
      </c>
      <c r="C1133" s="8" t="s">
        <v>5317</v>
      </c>
      <c r="D1133" t="s">
        <v>216</v>
      </c>
      <c r="E1133" t="s">
        <v>304</v>
      </c>
      <c r="F1133" t="s">
        <v>117</v>
      </c>
      <c r="G1133" t="s">
        <v>1248</v>
      </c>
      <c r="H1133" s="9">
        <v>44657</v>
      </c>
      <c r="I1133" t="s">
        <v>306</v>
      </c>
      <c r="J1133" t="s">
        <v>0</v>
      </c>
      <c r="K1133" s="9">
        <v>44711</v>
      </c>
      <c r="L1133" t="s">
        <v>29</v>
      </c>
      <c r="M1133"/>
      <c r="N1133" s="9">
        <v>44686</v>
      </c>
      <c r="O1133"/>
      <c r="P1133"/>
      <c r="Q1133" s="9">
        <v>44711</v>
      </c>
      <c r="R1133"/>
      <c r="S1133"/>
      <c r="T1133"/>
      <c r="U1133"/>
    </row>
    <row r="1134" spans="1:21" hidden="1">
      <c r="A1134" s="7" t="s">
        <v>8740</v>
      </c>
      <c r="B1134" s="7" t="s">
        <v>6627</v>
      </c>
      <c r="C1134" s="8" t="s">
        <v>5317</v>
      </c>
      <c r="D1134" t="s">
        <v>216</v>
      </c>
      <c r="E1134" t="s">
        <v>304</v>
      </c>
      <c r="F1134" t="s">
        <v>117</v>
      </c>
      <c r="G1134" t="s">
        <v>1249</v>
      </c>
      <c r="H1134" s="9">
        <v>44657</v>
      </c>
      <c r="I1134" t="s">
        <v>306</v>
      </c>
      <c r="J1134" t="s">
        <v>0</v>
      </c>
      <c r="K1134" s="9">
        <v>44711</v>
      </c>
      <c r="L1134" t="s">
        <v>29</v>
      </c>
      <c r="M1134"/>
      <c r="N1134" s="9">
        <v>44686</v>
      </c>
      <c r="O1134"/>
      <c r="P1134"/>
      <c r="Q1134" s="9">
        <v>44711</v>
      </c>
      <c r="R1134"/>
      <c r="S1134"/>
      <c r="T1134"/>
      <c r="U1134"/>
    </row>
    <row r="1135" spans="1:21" hidden="1">
      <c r="A1135" s="7" t="s">
        <v>8740</v>
      </c>
      <c r="B1135" s="7" t="s">
        <v>6627</v>
      </c>
      <c r="C1135" s="8" t="s">
        <v>5317</v>
      </c>
      <c r="D1135" t="s">
        <v>216</v>
      </c>
      <c r="E1135" t="s">
        <v>304</v>
      </c>
      <c r="F1135" t="s">
        <v>117</v>
      </c>
      <c r="G1135" t="s">
        <v>1250</v>
      </c>
      <c r="H1135" s="9">
        <v>44657</v>
      </c>
      <c r="I1135" t="s">
        <v>306</v>
      </c>
      <c r="J1135" t="s">
        <v>0</v>
      </c>
      <c r="K1135" s="9">
        <v>44711</v>
      </c>
      <c r="L1135" t="s">
        <v>29</v>
      </c>
      <c r="M1135"/>
      <c r="N1135" s="9">
        <v>44686</v>
      </c>
      <c r="O1135"/>
      <c r="P1135"/>
      <c r="Q1135" s="9">
        <v>44711</v>
      </c>
      <c r="R1135"/>
      <c r="S1135"/>
      <c r="T1135"/>
      <c r="U1135"/>
    </row>
    <row r="1136" spans="1:21" hidden="1">
      <c r="A1136" s="7" t="s">
        <v>8740</v>
      </c>
      <c r="B1136" s="7" t="s">
        <v>6627</v>
      </c>
      <c r="C1136" s="8" t="s">
        <v>5317</v>
      </c>
      <c r="D1136" t="s">
        <v>216</v>
      </c>
      <c r="E1136" t="s">
        <v>304</v>
      </c>
      <c r="F1136" t="s">
        <v>117</v>
      </c>
      <c r="G1136" t="s">
        <v>1251</v>
      </c>
      <c r="H1136" s="9">
        <v>44657</v>
      </c>
      <c r="I1136" t="s">
        <v>306</v>
      </c>
      <c r="J1136" t="s">
        <v>0</v>
      </c>
      <c r="K1136" s="9">
        <v>44711</v>
      </c>
      <c r="L1136" t="s">
        <v>29</v>
      </c>
      <c r="M1136"/>
      <c r="N1136" s="9">
        <v>44686</v>
      </c>
      <c r="O1136"/>
      <c r="P1136"/>
      <c r="Q1136" s="9">
        <v>44711</v>
      </c>
      <c r="R1136"/>
      <c r="S1136"/>
      <c r="T1136"/>
      <c r="U1136"/>
    </row>
    <row r="1137" spans="1:21" hidden="1">
      <c r="A1137" s="7" t="s">
        <v>8740</v>
      </c>
      <c r="B1137" s="7" t="s">
        <v>6627</v>
      </c>
      <c r="C1137" s="8" t="s">
        <v>5317</v>
      </c>
      <c r="D1137" t="s">
        <v>216</v>
      </c>
      <c r="E1137" t="s">
        <v>304</v>
      </c>
      <c r="F1137" t="s">
        <v>117</v>
      </c>
      <c r="G1137" t="s">
        <v>1252</v>
      </c>
      <c r="H1137" s="9">
        <v>44657</v>
      </c>
      <c r="I1137" t="s">
        <v>306</v>
      </c>
      <c r="J1137" t="s">
        <v>0</v>
      </c>
      <c r="K1137" s="9">
        <v>44711</v>
      </c>
      <c r="L1137" t="s">
        <v>29</v>
      </c>
      <c r="M1137"/>
      <c r="N1137" s="9">
        <v>44686</v>
      </c>
      <c r="O1137"/>
      <c r="P1137"/>
      <c r="Q1137" s="9">
        <v>44711</v>
      </c>
      <c r="R1137"/>
      <c r="S1137"/>
      <c r="T1137"/>
      <c r="U1137"/>
    </row>
    <row r="1138" spans="1:21" hidden="1">
      <c r="A1138" s="7" t="s">
        <v>8740</v>
      </c>
      <c r="B1138" s="7" t="s">
        <v>6627</v>
      </c>
      <c r="C1138" s="8" t="s">
        <v>5317</v>
      </c>
      <c r="D1138" t="s">
        <v>216</v>
      </c>
      <c r="E1138" t="s">
        <v>304</v>
      </c>
      <c r="F1138" t="s">
        <v>117</v>
      </c>
      <c r="G1138" t="s">
        <v>1253</v>
      </c>
      <c r="H1138" s="9">
        <v>44657</v>
      </c>
      <c r="I1138" t="s">
        <v>306</v>
      </c>
      <c r="J1138" t="s">
        <v>0</v>
      </c>
      <c r="K1138" s="9">
        <v>44711</v>
      </c>
      <c r="L1138" t="s">
        <v>29</v>
      </c>
      <c r="M1138"/>
      <c r="N1138" s="9">
        <v>44686</v>
      </c>
      <c r="O1138"/>
      <c r="P1138"/>
      <c r="Q1138" s="9">
        <v>44711</v>
      </c>
      <c r="R1138"/>
      <c r="S1138"/>
      <c r="T1138"/>
      <c r="U1138"/>
    </row>
    <row r="1139" spans="1:21" hidden="1">
      <c r="A1139" s="7" t="s">
        <v>8740</v>
      </c>
      <c r="B1139" s="7" t="s">
        <v>6627</v>
      </c>
      <c r="C1139" s="8" t="s">
        <v>5317</v>
      </c>
      <c r="D1139" t="s">
        <v>216</v>
      </c>
      <c r="E1139" t="s">
        <v>304</v>
      </c>
      <c r="F1139" t="s">
        <v>117</v>
      </c>
      <c r="G1139" t="s">
        <v>1254</v>
      </c>
      <c r="H1139" s="9">
        <v>44657</v>
      </c>
      <c r="I1139" t="s">
        <v>306</v>
      </c>
      <c r="J1139" t="s">
        <v>0</v>
      </c>
      <c r="K1139" s="9">
        <v>44711</v>
      </c>
      <c r="L1139" t="s">
        <v>29</v>
      </c>
      <c r="M1139"/>
      <c r="N1139" s="9">
        <v>44686</v>
      </c>
      <c r="O1139"/>
      <c r="P1139"/>
      <c r="Q1139" s="9">
        <v>44711</v>
      </c>
      <c r="R1139"/>
      <c r="S1139"/>
      <c r="T1139"/>
      <c r="U1139"/>
    </row>
    <row r="1140" spans="1:21" hidden="1">
      <c r="A1140" s="7" t="s">
        <v>8740</v>
      </c>
      <c r="B1140" s="7" t="s">
        <v>6627</v>
      </c>
      <c r="C1140" s="8" t="s">
        <v>5317</v>
      </c>
      <c r="D1140" t="s">
        <v>216</v>
      </c>
      <c r="E1140" t="s">
        <v>304</v>
      </c>
      <c r="F1140" t="s">
        <v>117</v>
      </c>
      <c r="G1140" t="s">
        <v>1255</v>
      </c>
      <c r="H1140" s="9">
        <v>44657</v>
      </c>
      <c r="I1140" t="s">
        <v>306</v>
      </c>
      <c r="J1140" t="s">
        <v>0</v>
      </c>
      <c r="K1140" s="9">
        <v>44711</v>
      </c>
      <c r="L1140" t="s">
        <v>29</v>
      </c>
      <c r="M1140"/>
      <c r="N1140" s="9">
        <v>44686</v>
      </c>
      <c r="O1140"/>
      <c r="P1140"/>
      <c r="Q1140" s="9">
        <v>44711</v>
      </c>
      <c r="R1140"/>
      <c r="S1140"/>
      <c r="T1140"/>
      <c r="U1140"/>
    </row>
    <row r="1141" spans="1:21" hidden="1">
      <c r="A1141" s="7" t="s">
        <v>8740</v>
      </c>
      <c r="B1141" s="7" t="s">
        <v>6627</v>
      </c>
      <c r="C1141" s="8" t="s">
        <v>5317</v>
      </c>
      <c r="D1141" t="s">
        <v>216</v>
      </c>
      <c r="E1141" t="s">
        <v>304</v>
      </c>
      <c r="F1141" t="s">
        <v>117</v>
      </c>
      <c r="G1141" t="s">
        <v>1256</v>
      </c>
      <c r="H1141" s="9">
        <v>44657</v>
      </c>
      <c r="I1141" t="s">
        <v>306</v>
      </c>
      <c r="J1141" t="s">
        <v>0</v>
      </c>
      <c r="K1141" s="9">
        <v>44711</v>
      </c>
      <c r="L1141" t="s">
        <v>29</v>
      </c>
      <c r="M1141"/>
      <c r="N1141" s="9">
        <v>44686</v>
      </c>
      <c r="O1141"/>
      <c r="P1141"/>
      <c r="Q1141" s="9">
        <v>44711</v>
      </c>
      <c r="R1141"/>
      <c r="S1141"/>
      <c r="T1141"/>
      <c r="U1141"/>
    </row>
    <row r="1142" spans="1:21" hidden="1">
      <c r="A1142" s="7" t="s">
        <v>8740</v>
      </c>
      <c r="B1142" s="7" t="s">
        <v>6627</v>
      </c>
      <c r="C1142" s="8" t="s">
        <v>5317</v>
      </c>
      <c r="D1142" t="s">
        <v>216</v>
      </c>
      <c r="E1142" t="s">
        <v>304</v>
      </c>
      <c r="F1142" t="s">
        <v>117</v>
      </c>
      <c r="G1142" t="s">
        <v>1257</v>
      </c>
      <c r="H1142" s="9">
        <v>44657</v>
      </c>
      <c r="I1142" t="s">
        <v>306</v>
      </c>
      <c r="J1142" t="s">
        <v>0</v>
      </c>
      <c r="K1142" s="9">
        <v>44711</v>
      </c>
      <c r="L1142" t="s">
        <v>29</v>
      </c>
      <c r="M1142"/>
      <c r="N1142" s="9">
        <v>44686</v>
      </c>
      <c r="O1142"/>
      <c r="P1142"/>
      <c r="Q1142" s="9">
        <v>44711</v>
      </c>
      <c r="R1142"/>
      <c r="S1142"/>
      <c r="T1142"/>
      <c r="U1142"/>
    </row>
    <row r="1143" spans="1:21" hidden="1">
      <c r="A1143" s="7" t="s">
        <v>8740</v>
      </c>
      <c r="B1143" s="7" t="s">
        <v>6627</v>
      </c>
      <c r="C1143" s="8" t="s">
        <v>5317</v>
      </c>
      <c r="D1143" t="s">
        <v>216</v>
      </c>
      <c r="E1143" t="s">
        <v>304</v>
      </c>
      <c r="F1143" t="s">
        <v>117</v>
      </c>
      <c r="G1143" t="s">
        <v>1258</v>
      </c>
      <c r="H1143" s="9">
        <v>44657</v>
      </c>
      <c r="I1143" t="s">
        <v>306</v>
      </c>
      <c r="J1143" t="s">
        <v>0</v>
      </c>
      <c r="K1143" s="9">
        <v>44711</v>
      </c>
      <c r="L1143" t="s">
        <v>29</v>
      </c>
      <c r="M1143"/>
      <c r="N1143" s="9">
        <v>44686</v>
      </c>
      <c r="O1143"/>
      <c r="P1143"/>
      <c r="Q1143" s="9">
        <v>44711</v>
      </c>
      <c r="R1143"/>
      <c r="S1143"/>
      <c r="T1143"/>
      <c r="U1143"/>
    </row>
    <row r="1144" spans="1:21" hidden="1">
      <c r="A1144" s="7" t="s">
        <v>8740</v>
      </c>
      <c r="B1144" s="7" t="s">
        <v>6627</v>
      </c>
      <c r="C1144" s="8" t="s">
        <v>5317</v>
      </c>
      <c r="D1144" t="s">
        <v>216</v>
      </c>
      <c r="E1144" t="s">
        <v>304</v>
      </c>
      <c r="F1144" t="s">
        <v>117</v>
      </c>
      <c r="G1144" t="s">
        <v>1259</v>
      </c>
      <c r="H1144" s="9">
        <v>44657</v>
      </c>
      <c r="I1144" t="s">
        <v>306</v>
      </c>
      <c r="J1144" t="s">
        <v>0</v>
      </c>
      <c r="K1144" s="9">
        <v>44711</v>
      </c>
      <c r="L1144" t="s">
        <v>29</v>
      </c>
      <c r="M1144"/>
      <c r="N1144" s="9">
        <v>44686</v>
      </c>
      <c r="O1144"/>
      <c r="P1144"/>
      <c r="Q1144" s="9">
        <v>44711</v>
      </c>
      <c r="R1144"/>
      <c r="S1144"/>
      <c r="T1144"/>
      <c r="U1144"/>
    </row>
    <row r="1145" spans="1:21" hidden="1">
      <c r="A1145" s="7" t="s">
        <v>8740</v>
      </c>
      <c r="B1145" s="7" t="s">
        <v>6627</v>
      </c>
      <c r="C1145" s="8" t="s">
        <v>5317</v>
      </c>
      <c r="D1145" t="s">
        <v>216</v>
      </c>
      <c r="E1145" t="s">
        <v>304</v>
      </c>
      <c r="F1145" t="s">
        <v>117</v>
      </c>
      <c r="G1145" t="s">
        <v>1260</v>
      </c>
      <c r="H1145" s="9">
        <v>44657</v>
      </c>
      <c r="I1145" t="s">
        <v>306</v>
      </c>
      <c r="J1145" t="s">
        <v>0</v>
      </c>
      <c r="K1145" s="9">
        <v>44711</v>
      </c>
      <c r="L1145" t="s">
        <v>29</v>
      </c>
      <c r="M1145"/>
      <c r="N1145" s="9">
        <v>44686</v>
      </c>
      <c r="O1145"/>
      <c r="P1145"/>
      <c r="Q1145" s="9">
        <v>44711</v>
      </c>
      <c r="R1145"/>
      <c r="S1145"/>
      <c r="T1145"/>
      <c r="U1145"/>
    </row>
    <row r="1146" spans="1:21" hidden="1">
      <c r="A1146" s="7" t="s">
        <v>8740</v>
      </c>
      <c r="B1146" s="7" t="s">
        <v>6627</v>
      </c>
      <c r="C1146" s="8" t="s">
        <v>5317</v>
      </c>
      <c r="D1146" t="s">
        <v>216</v>
      </c>
      <c r="E1146" t="s">
        <v>304</v>
      </c>
      <c r="F1146" t="s">
        <v>117</v>
      </c>
      <c r="G1146" t="s">
        <v>1261</v>
      </c>
      <c r="H1146" s="9">
        <v>44657</v>
      </c>
      <c r="I1146" t="s">
        <v>306</v>
      </c>
      <c r="J1146" t="s">
        <v>0</v>
      </c>
      <c r="K1146" s="9">
        <v>44711</v>
      </c>
      <c r="L1146" t="s">
        <v>29</v>
      </c>
      <c r="M1146"/>
      <c r="N1146" s="9">
        <v>44686</v>
      </c>
      <c r="O1146"/>
      <c r="P1146"/>
      <c r="Q1146" s="9">
        <v>44711</v>
      </c>
      <c r="R1146"/>
      <c r="S1146"/>
      <c r="T1146"/>
      <c r="U1146"/>
    </row>
    <row r="1147" spans="1:21" hidden="1">
      <c r="A1147" s="7" t="s">
        <v>8740</v>
      </c>
      <c r="B1147" s="7" t="s">
        <v>6627</v>
      </c>
      <c r="C1147" s="8" t="s">
        <v>5317</v>
      </c>
      <c r="D1147" t="s">
        <v>216</v>
      </c>
      <c r="E1147" t="s">
        <v>304</v>
      </c>
      <c r="F1147" t="s">
        <v>117</v>
      </c>
      <c r="G1147" t="s">
        <v>1262</v>
      </c>
      <c r="H1147" s="9">
        <v>44657</v>
      </c>
      <c r="I1147" t="s">
        <v>306</v>
      </c>
      <c r="J1147" t="s">
        <v>0</v>
      </c>
      <c r="K1147" s="9">
        <v>44711</v>
      </c>
      <c r="L1147" t="s">
        <v>29</v>
      </c>
      <c r="M1147"/>
      <c r="N1147" s="9">
        <v>44686</v>
      </c>
      <c r="O1147"/>
      <c r="P1147"/>
      <c r="Q1147" s="9">
        <v>44711</v>
      </c>
      <c r="R1147"/>
      <c r="S1147"/>
      <c r="T1147"/>
      <c r="U1147"/>
    </row>
    <row r="1148" spans="1:21" hidden="1">
      <c r="A1148" s="7" t="s">
        <v>8740</v>
      </c>
      <c r="B1148" s="7" t="s">
        <v>6627</v>
      </c>
      <c r="C1148" s="8" t="s">
        <v>5317</v>
      </c>
      <c r="D1148" t="s">
        <v>216</v>
      </c>
      <c r="E1148" t="s">
        <v>304</v>
      </c>
      <c r="F1148" t="s">
        <v>117</v>
      </c>
      <c r="G1148" t="s">
        <v>1263</v>
      </c>
      <c r="H1148" s="9">
        <v>44657</v>
      </c>
      <c r="I1148" t="s">
        <v>306</v>
      </c>
      <c r="J1148" t="s">
        <v>0</v>
      </c>
      <c r="K1148" s="9">
        <v>44711</v>
      </c>
      <c r="L1148" t="s">
        <v>29</v>
      </c>
      <c r="M1148"/>
      <c r="N1148" s="9">
        <v>44686</v>
      </c>
      <c r="O1148"/>
      <c r="P1148"/>
      <c r="Q1148" s="9">
        <v>44711</v>
      </c>
      <c r="R1148"/>
      <c r="S1148"/>
      <c r="T1148"/>
      <c r="U1148"/>
    </row>
    <row r="1149" spans="1:21" hidden="1">
      <c r="A1149" s="7" t="s">
        <v>8740</v>
      </c>
      <c r="B1149" s="7" t="s">
        <v>6627</v>
      </c>
      <c r="C1149" s="8" t="s">
        <v>5317</v>
      </c>
      <c r="D1149" t="s">
        <v>216</v>
      </c>
      <c r="E1149" t="s">
        <v>304</v>
      </c>
      <c r="F1149" t="s">
        <v>117</v>
      </c>
      <c r="G1149" t="s">
        <v>1264</v>
      </c>
      <c r="H1149" s="9">
        <v>44657</v>
      </c>
      <c r="I1149" t="s">
        <v>306</v>
      </c>
      <c r="J1149" t="s">
        <v>0</v>
      </c>
      <c r="K1149" s="9">
        <v>44711</v>
      </c>
      <c r="L1149" t="s">
        <v>29</v>
      </c>
      <c r="M1149"/>
      <c r="N1149" s="9">
        <v>44686</v>
      </c>
      <c r="O1149"/>
      <c r="P1149"/>
      <c r="Q1149" s="9">
        <v>44711</v>
      </c>
      <c r="R1149"/>
      <c r="S1149"/>
      <c r="T1149"/>
      <c r="U1149"/>
    </row>
    <row r="1150" spans="1:21" hidden="1">
      <c r="A1150" s="7" t="s">
        <v>8740</v>
      </c>
      <c r="B1150" s="7" t="s">
        <v>6627</v>
      </c>
      <c r="C1150" s="8" t="s">
        <v>5317</v>
      </c>
      <c r="D1150" t="s">
        <v>216</v>
      </c>
      <c r="E1150" t="s">
        <v>304</v>
      </c>
      <c r="F1150" t="s">
        <v>117</v>
      </c>
      <c r="G1150" t="s">
        <v>1265</v>
      </c>
      <c r="H1150" s="9">
        <v>44657</v>
      </c>
      <c r="I1150" t="s">
        <v>306</v>
      </c>
      <c r="J1150" t="s">
        <v>0</v>
      </c>
      <c r="K1150" s="9">
        <v>44711</v>
      </c>
      <c r="L1150" t="s">
        <v>29</v>
      </c>
      <c r="M1150"/>
      <c r="N1150" s="9">
        <v>44686</v>
      </c>
      <c r="O1150"/>
      <c r="P1150"/>
      <c r="Q1150" s="9">
        <v>44711</v>
      </c>
      <c r="R1150"/>
      <c r="S1150"/>
      <c r="T1150"/>
      <c r="U1150"/>
    </row>
    <row r="1151" spans="1:21" hidden="1">
      <c r="A1151" s="7" t="s">
        <v>8740</v>
      </c>
      <c r="B1151" s="7" t="s">
        <v>6627</v>
      </c>
      <c r="C1151" s="8" t="s">
        <v>5317</v>
      </c>
      <c r="D1151" t="s">
        <v>216</v>
      </c>
      <c r="E1151" t="s">
        <v>304</v>
      </c>
      <c r="F1151" t="s">
        <v>117</v>
      </c>
      <c r="G1151" t="s">
        <v>1266</v>
      </c>
      <c r="H1151" s="9">
        <v>44657</v>
      </c>
      <c r="I1151" t="s">
        <v>306</v>
      </c>
      <c r="J1151" t="s">
        <v>0</v>
      </c>
      <c r="K1151" s="9">
        <v>44711</v>
      </c>
      <c r="L1151" t="s">
        <v>29</v>
      </c>
      <c r="M1151"/>
      <c r="N1151" s="9">
        <v>44686</v>
      </c>
      <c r="O1151"/>
      <c r="P1151"/>
      <c r="Q1151" s="9">
        <v>44711</v>
      </c>
      <c r="R1151"/>
      <c r="S1151"/>
      <c r="T1151"/>
      <c r="U1151"/>
    </row>
    <row r="1152" spans="1:21" hidden="1">
      <c r="A1152" s="7" t="s">
        <v>8740</v>
      </c>
      <c r="B1152" s="7" t="s">
        <v>6627</v>
      </c>
      <c r="C1152" s="8" t="s">
        <v>5317</v>
      </c>
      <c r="D1152" t="s">
        <v>216</v>
      </c>
      <c r="E1152" t="s">
        <v>304</v>
      </c>
      <c r="F1152" t="s">
        <v>117</v>
      </c>
      <c r="G1152" t="s">
        <v>1267</v>
      </c>
      <c r="H1152" s="9">
        <v>44657</v>
      </c>
      <c r="I1152" t="s">
        <v>306</v>
      </c>
      <c r="J1152" t="s">
        <v>0</v>
      </c>
      <c r="K1152" s="9">
        <v>44711</v>
      </c>
      <c r="L1152" t="s">
        <v>29</v>
      </c>
      <c r="M1152"/>
      <c r="N1152" s="9">
        <v>44686</v>
      </c>
      <c r="O1152"/>
      <c r="P1152"/>
      <c r="Q1152" s="9">
        <v>44711</v>
      </c>
      <c r="R1152"/>
      <c r="S1152"/>
      <c r="T1152"/>
      <c r="U1152"/>
    </row>
    <row r="1153" spans="1:21" hidden="1">
      <c r="A1153" s="7" t="s">
        <v>8740</v>
      </c>
      <c r="B1153" s="7" t="s">
        <v>6627</v>
      </c>
      <c r="C1153" s="8" t="s">
        <v>5317</v>
      </c>
      <c r="D1153" t="s">
        <v>216</v>
      </c>
      <c r="E1153" t="s">
        <v>304</v>
      </c>
      <c r="F1153" t="s">
        <v>117</v>
      </c>
      <c r="G1153" t="s">
        <v>1268</v>
      </c>
      <c r="H1153" s="9">
        <v>44657</v>
      </c>
      <c r="I1153" t="s">
        <v>306</v>
      </c>
      <c r="J1153" t="s">
        <v>0</v>
      </c>
      <c r="K1153" s="9">
        <v>44711</v>
      </c>
      <c r="L1153" t="s">
        <v>29</v>
      </c>
      <c r="M1153"/>
      <c r="N1153" s="9">
        <v>44686</v>
      </c>
      <c r="O1153"/>
      <c r="P1153"/>
      <c r="Q1153" s="9">
        <v>44711</v>
      </c>
      <c r="R1153"/>
      <c r="S1153"/>
      <c r="T1153"/>
      <c r="U1153"/>
    </row>
    <row r="1154" spans="1:21" hidden="1">
      <c r="A1154" s="7" t="s">
        <v>8740</v>
      </c>
      <c r="B1154" s="7" t="s">
        <v>6627</v>
      </c>
      <c r="C1154" s="8" t="s">
        <v>5317</v>
      </c>
      <c r="D1154" t="s">
        <v>216</v>
      </c>
      <c r="E1154" t="s">
        <v>304</v>
      </c>
      <c r="F1154" t="s">
        <v>117</v>
      </c>
      <c r="G1154" t="s">
        <v>1269</v>
      </c>
      <c r="H1154" s="9">
        <v>44657</v>
      </c>
      <c r="I1154" t="s">
        <v>306</v>
      </c>
      <c r="J1154" t="s">
        <v>0</v>
      </c>
      <c r="K1154" s="9">
        <v>44711</v>
      </c>
      <c r="L1154" t="s">
        <v>29</v>
      </c>
      <c r="M1154"/>
      <c r="N1154" s="9">
        <v>44686</v>
      </c>
      <c r="O1154"/>
      <c r="P1154"/>
      <c r="Q1154" s="9">
        <v>44711</v>
      </c>
      <c r="R1154"/>
      <c r="S1154"/>
      <c r="T1154"/>
      <c r="U1154"/>
    </row>
    <row r="1155" spans="1:21" hidden="1">
      <c r="A1155" s="7" t="s">
        <v>8740</v>
      </c>
      <c r="B1155" s="7" t="s">
        <v>6627</v>
      </c>
      <c r="C1155" s="8" t="s">
        <v>5317</v>
      </c>
      <c r="D1155" t="s">
        <v>216</v>
      </c>
      <c r="E1155" t="s">
        <v>304</v>
      </c>
      <c r="F1155" t="s">
        <v>117</v>
      </c>
      <c r="G1155" t="s">
        <v>1270</v>
      </c>
      <c r="H1155" s="9">
        <v>44657</v>
      </c>
      <c r="I1155" t="s">
        <v>306</v>
      </c>
      <c r="J1155" t="s">
        <v>0</v>
      </c>
      <c r="K1155" s="9">
        <v>44711</v>
      </c>
      <c r="L1155" t="s">
        <v>29</v>
      </c>
      <c r="M1155"/>
      <c r="N1155" s="9">
        <v>44686</v>
      </c>
      <c r="O1155"/>
      <c r="P1155"/>
      <c r="Q1155" s="9">
        <v>44711</v>
      </c>
      <c r="R1155"/>
      <c r="S1155"/>
      <c r="T1155"/>
      <c r="U1155"/>
    </row>
    <row r="1156" spans="1:21" hidden="1">
      <c r="A1156" s="7" t="s">
        <v>8740</v>
      </c>
      <c r="B1156" s="7" t="s">
        <v>6627</v>
      </c>
      <c r="C1156" s="8" t="s">
        <v>5317</v>
      </c>
      <c r="D1156" t="s">
        <v>216</v>
      </c>
      <c r="E1156" t="s">
        <v>304</v>
      </c>
      <c r="F1156" t="s">
        <v>117</v>
      </c>
      <c r="G1156" t="s">
        <v>1271</v>
      </c>
      <c r="H1156" s="9">
        <v>44657</v>
      </c>
      <c r="I1156" t="s">
        <v>306</v>
      </c>
      <c r="J1156" t="s">
        <v>0</v>
      </c>
      <c r="K1156" s="9">
        <v>44711</v>
      </c>
      <c r="L1156" t="s">
        <v>29</v>
      </c>
      <c r="M1156"/>
      <c r="N1156" s="9">
        <v>44686</v>
      </c>
      <c r="O1156"/>
      <c r="P1156"/>
      <c r="Q1156" s="9">
        <v>44711</v>
      </c>
      <c r="R1156"/>
      <c r="S1156"/>
      <c r="T1156"/>
      <c r="U1156"/>
    </row>
    <row r="1157" spans="1:21" hidden="1">
      <c r="A1157" s="7" t="s">
        <v>8740</v>
      </c>
      <c r="B1157" s="7" t="s">
        <v>6627</v>
      </c>
      <c r="C1157" s="8" t="s">
        <v>5317</v>
      </c>
      <c r="D1157" t="s">
        <v>216</v>
      </c>
      <c r="E1157" t="s">
        <v>304</v>
      </c>
      <c r="F1157" t="s">
        <v>117</v>
      </c>
      <c r="G1157" t="s">
        <v>1272</v>
      </c>
      <c r="H1157" s="9">
        <v>44657</v>
      </c>
      <c r="I1157" t="s">
        <v>306</v>
      </c>
      <c r="J1157" t="s">
        <v>0</v>
      </c>
      <c r="K1157" s="9">
        <v>44711</v>
      </c>
      <c r="L1157" t="s">
        <v>29</v>
      </c>
      <c r="M1157"/>
      <c r="N1157" s="9">
        <v>44686</v>
      </c>
      <c r="O1157"/>
      <c r="P1157"/>
      <c r="Q1157" s="9">
        <v>44711</v>
      </c>
      <c r="R1157"/>
      <c r="S1157"/>
      <c r="T1157"/>
      <c r="U1157"/>
    </row>
    <row r="1158" spans="1:21" hidden="1">
      <c r="A1158" s="7" t="s">
        <v>8740</v>
      </c>
      <c r="B1158" s="7" t="s">
        <v>6627</v>
      </c>
      <c r="C1158" s="8" t="s">
        <v>5317</v>
      </c>
      <c r="D1158" t="s">
        <v>216</v>
      </c>
      <c r="E1158" t="s">
        <v>304</v>
      </c>
      <c r="F1158" t="s">
        <v>117</v>
      </c>
      <c r="G1158" t="s">
        <v>1273</v>
      </c>
      <c r="H1158" s="9">
        <v>44657</v>
      </c>
      <c r="I1158" t="s">
        <v>306</v>
      </c>
      <c r="J1158" t="s">
        <v>0</v>
      </c>
      <c r="K1158" s="9">
        <v>44711</v>
      </c>
      <c r="L1158" t="s">
        <v>29</v>
      </c>
      <c r="M1158"/>
      <c r="N1158" s="9">
        <v>44686</v>
      </c>
      <c r="O1158"/>
      <c r="P1158"/>
      <c r="Q1158" s="9">
        <v>44711</v>
      </c>
      <c r="R1158"/>
      <c r="S1158"/>
      <c r="T1158"/>
      <c r="U1158"/>
    </row>
    <row r="1159" spans="1:21" hidden="1">
      <c r="A1159" s="7" t="s">
        <v>8740</v>
      </c>
      <c r="B1159" s="7" t="s">
        <v>6627</v>
      </c>
      <c r="C1159" s="8" t="s">
        <v>5317</v>
      </c>
      <c r="D1159" t="s">
        <v>216</v>
      </c>
      <c r="E1159" t="s">
        <v>304</v>
      </c>
      <c r="F1159" t="s">
        <v>117</v>
      </c>
      <c r="G1159" t="s">
        <v>1274</v>
      </c>
      <c r="H1159" s="9">
        <v>44657</v>
      </c>
      <c r="I1159" t="s">
        <v>306</v>
      </c>
      <c r="J1159" t="s">
        <v>0</v>
      </c>
      <c r="K1159" s="9">
        <v>44711</v>
      </c>
      <c r="L1159" t="s">
        <v>29</v>
      </c>
      <c r="M1159"/>
      <c r="N1159" s="9">
        <v>44686</v>
      </c>
      <c r="O1159"/>
      <c r="P1159"/>
      <c r="Q1159" s="9">
        <v>44711</v>
      </c>
      <c r="R1159"/>
      <c r="S1159"/>
      <c r="T1159"/>
      <c r="U1159"/>
    </row>
    <row r="1160" spans="1:21" hidden="1">
      <c r="A1160" s="7" t="s">
        <v>8740</v>
      </c>
      <c r="B1160" s="7" t="s">
        <v>6627</v>
      </c>
      <c r="C1160" s="8" t="s">
        <v>5317</v>
      </c>
      <c r="D1160" t="s">
        <v>216</v>
      </c>
      <c r="E1160" t="s">
        <v>304</v>
      </c>
      <c r="F1160" t="s">
        <v>117</v>
      </c>
      <c r="G1160" t="s">
        <v>1275</v>
      </c>
      <c r="H1160" s="9">
        <v>44657</v>
      </c>
      <c r="I1160" t="s">
        <v>306</v>
      </c>
      <c r="J1160" t="s">
        <v>0</v>
      </c>
      <c r="K1160" s="9">
        <v>44711</v>
      </c>
      <c r="L1160" t="s">
        <v>29</v>
      </c>
      <c r="M1160"/>
      <c r="N1160" s="9">
        <v>44686</v>
      </c>
      <c r="O1160"/>
      <c r="P1160"/>
      <c r="Q1160" s="9">
        <v>44711</v>
      </c>
      <c r="R1160"/>
      <c r="S1160"/>
      <c r="T1160"/>
      <c r="U1160"/>
    </row>
    <row r="1161" spans="1:21" hidden="1">
      <c r="A1161" s="7" t="s">
        <v>8740</v>
      </c>
      <c r="B1161" s="7" t="s">
        <v>6627</v>
      </c>
      <c r="C1161" s="8" t="s">
        <v>5317</v>
      </c>
      <c r="D1161" t="s">
        <v>216</v>
      </c>
      <c r="E1161" t="s">
        <v>304</v>
      </c>
      <c r="F1161" t="s">
        <v>117</v>
      </c>
      <c r="G1161" t="s">
        <v>1276</v>
      </c>
      <c r="H1161" s="9">
        <v>44657</v>
      </c>
      <c r="I1161" t="s">
        <v>306</v>
      </c>
      <c r="J1161" t="s">
        <v>0</v>
      </c>
      <c r="K1161" s="9">
        <v>44711</v>
      </c>
      <c r="L1161" t="s">
        <v>29</v>
      </c>
      <c r="M1161"/>
      <c r="N1161" s="9">
        <v>44686</v>
      </c>
      <c r="O1161"/>
      <c r="P1161"/>
      <c r="Q1161" s="9">
        <v>44711</v>
      </c>
      <c r="R1161"/>
      <c r="S1161"/>
      <c r="T1161"/>
      <c r="U1161"/>
    </row>
    <row r="1162" spans="1:21" hidden="1">
      <c r="A1162" s="7" t="s">
        <v>8740</v>
      </c>
      <c r="B1162" s="7" t="s">
        <v>6627</v>
      </c>
      <c r="C1162" s="8" t="s">
        <v>5317</v>
      </c>
      <c r="D1162" t="s">
        <v>216</v>
      </c>
      <c r="E1162" t="s">
        <v>304</v>
      </c>
      <c r="F1162" t="s">
        <v>117</v>
      </c>
      <c r="G1162" t="s">
        <v>1277</v>
      </c>
      <c r="H1162" s="9">
        <v>44657</v>
      </c>
      <c r="I1162" t="s">
        <v>306</v>
      </c>
      <c r="J1162" t="s">
        <v>0</v>
      </c>
      <c r="K1162" s="9">
        <v>44711</v>
      </c>
      <c r="L1162" t="s">
        <v>29</v>
      </c>
      <c r="M1162"/>
      <c r="N1162" s="9">
        <v>44686</v>
      </c>
      <c r="O1162"/>
      <c r="P1162"/>
      <c r="Q1162" s="9">
        <v>44711</v>
      </c>
      <c r="R1162"/>
      <c r="S1162"/>
      <c r="T1162"/>
      <c r="U1162"/>
    </row>
    <row r="1163" spans="1:21" hidden="1">
      <c r="A1163" s="7" t="s">
        <v>8740</v>
      </c>
      <c r="B1163" s="7" t="s">
        <v>6627</v>
      </c>
      <c r="C1163" s="8" t="s">
        <v>5317</v>
      </c>
      <c r="D1163" t="s">
        <v>216</v>
      </c>
      <c r="E1163" t="s">
        <v>304</v>
      </c>
      <c r="F1163" t="s">
        <v>117</v>
      </c>
      <c r="G1163" t="s">
        <v>1278</v>
      </c>
      <c r="H1163" s="9">
        <v>44657</v>
      </c>
      <c r="I1163" t="s">
        <v>306</v>
      </c>
      <c r="J1163" t="s">
        <v>0</v>
      </c>
      <c r="K1163" s="9">
        <v>44711</v>
      </c>
      <c r="L1163" t="s">
        <v>29</v>
      </c>
      <c r="M1163"/>
      <c r="N1163" s="9">
        <v>44686</v>
      </c>
      <c r="O1163"/>
      <c r="P1163"/>
      <c r="Q1163" s="9">
        <v>44711</v>
      </c>
      <c r="R1163"/>
      <c r="S1163"/>
      <c r="T1163"/>
      <c r="U1163"/>
    </row>
    <row r="1164" spans="1:21" hidden="1">
      <c r="A1164" s="7" t="s">
        <v>8740</v>
      </c>
      <c r="B1164" s="7" t="s">
        <v>6627</v>
      </c>
      <c r="C1164" s="8" t="s">
        <v>5317</v>
      </c>
      <c r="D1164" t="s">
        <v>216</v>
      </c>
      <c r="E1164" t="s">
        <v>304</v>
      </c>
      <c r="F1164" t="s">
        <v>117</v>
      </c>
      <c r="G1164" t="s">
        <v>1279</v>
      </c>
      <c r="H1164" s="9">
        <v>44657</v>
      </c>
      <c r="I1164" t="s">
        <v>306</v>
      </c>
      <c r="J1164" t="s">
        <v>0</v>
      </c>
      <c r="K1164" s="9">
        <v>44711</v>
      </c>
      <c r="L1164" t="s">
        <v>29</v>
      </c>
      <c r="M1164"/>
      <c r="N1164" s="9">
        <v>44686</v>
      </c>
      <c r="O1164"/>
      <c r="P1164"/>
      <c r="Q1164" s="9">
        <v>44711</v>
      </c>
      <c r="R1164"/>
      <c r="S1164"/>
      <c r="T1164"/>
      <c r="U1164"/>
    </row>
    <row r="1165" spans="1:21" hidden="1">
      <c r="A1165" s="7" t="s">
        <v>8740</v>
      </c>
      <c r="B1165" s="7" t="s">
        <v>6627</v>
      </c>
      <c r="C1165" s="8" t="s">
        <v>5317</v>
      </c>
      <c r="D1165" t="s">
        <v>216</v>
      </c>
      <c r="E1165" t="s">
        <v>304</v>
      </c>
      <c r="F1165" t="s">
        <v>117</v>
      </c>
      <c r="G1165" t="s">
        <v>1280</v>
      </c>
      <c r="H1165" s="9">
        <v>44657</v>
      </c>
      <c r="I1165" t="s">
        <v>306</v>
      </c>
      <c r="J1165" t="s">
        <v>0</v>
      </c>
      <c r="K1165" s="9">
        <v>44711</v>
      </c>
      <c r="L1165" t="s">
        <v>29</v>
      </c>
      <c r="M1165"/>
      <c r="N1165" s="9">
        <v>44686</v>
      </c>
      <c r="O1165"/>
      <c r="P1165"/>
      <c r="Q1165" s="9">
        <v>44711</v>
      </c>
      <c r="R1165"/>
      <c r="S1165"/>
      <c r="T1165"/>
      <c r="U1165"/>
    </row>
    <row r="1166" spans="1:21" hidden="1">
      <c r="A1166" s="7" t="s">
        <v>8740</v>
      </c>
      <c r="B1166" s="7" t="s">
        <v>6627</v>
      </c>
      <c r="C1166" s="8" t="s">
        <v>5317</v>
      </c>
      <c r="D1166" t="s">
        <v>216</v>
      </c>
      <c r="E1166" t="s">
        <v>304</v>
      </c>
      <c r="F1166" t="s">
        <v>117</v>
      </c>
      <c r="G1166" t="s">
        <v>1281</v>
      </c>
      <c r="H1166" s="9">
        <v>44657</v>
      </c>
      <c r="I1166" t="s">
        <v>306</v>
      </c>
      <c r="J1166" t="s">
        <v>0</v>
      </c>
      <c r="K1166" s="9">
        <v>44711</v>
      </c>
      <c r="L1166" t="s">
        <v>29</v>
      </c>
      <c r="M1166"/>
      <c r="N1166" s="9">
        <v>44686</v>
      </c>
      <c r="O1166"/>
      <c r="P1166"/>
      <c r="Q1166" s="9">
        <v>44711</v>
      </c>
      <c r="R1166"/>
      <c r="S1166"/>
      <c r="T1166"/>
      <c r="U1166"/>
    </row>
    <row r="1167" spans="1:21" hidden="1">
      <c r="A1167" s="7" t="s">
        <v>8740</v>
      </c>
      <c r="B1167" s="7" t="s">
        <v>6627</v>
      </c>
      <c r="C1167" s="8" t="s">
        <v>5317</v>
      </c>
      <c r="D1167" t="s">
        <v>216</v>
      </c>
      <c r="E1167" t="s">
        <v>304</v>
      </c>
      <c r="F1167" t="s">
        <v>117</v>
      </c>
      <c r="G1167" t="s">
        <v>1282</v>
      </c>
      <c r="H1167" s="9">
        <v>44657</v>
      </c>
      <c r="I1167" t="s">
        <v>306</v>
      </c>
      <c r="J1167" t="s">
        <v>0</v>
      </c>
      <c r="K1167" s="9">
        <v>44711</v>
      </c>
      <c r="L1167" t="s">
        <v>29</v>
      </c>
      <c r="M1167"/>
      <c r="N1167" s="9">
        <v>44686</v>
      </c>
      <c r="O1167"/>
      <c r="P1167"/>
      <c r="Q1167" s="9">
        <v>44711</v>
      </c>
      <c r="R1167"/>
      <c r="S1167"/>
      <c r="T1167"/>
      <c r="U1167"/>
    </row>
    <row r="1168" spans="1:21" hidden="1">
      <c r="A1168" s="7" t="s">
        <v>8740</v>
      </c>
      <c r="B1168" s="7" t="s">
        <v>6627</v>
      </c>
      <c r="C1168" s="8" t="s">
        <v>5317</v>
      </c>
      <c r="D1168" t="s">
        <v>216</v>
      </c>
      <c r="E1168" t="s">
        <v>304</v>
      </c>
      <c r="F1168" t="s">
        <v>117</v>
      </c>
      <c r="G1168" t="s">
        <v>1283</v>
      </c>
      <c r="H1168" s="9">
        <v>44657</v>
      </c>
      <c r="I1168" t="s">
        <v>306</v>
      </c>
      <c r="J1168" t="s">
        <v>0</v>
      </c>
      <c r="K1168" s="9">
        <v>44711</v>
      </c>
      <c r="L1168" t="s">
        <v>29</v>
      </c>
      <c r="M1168"/>
      <c r="N1168" s="9">
        <v>44686</v>
      </c>
      <c r="O1168"/>
      <c r="P1168"/>
      <c r="Q1168" s="9">
        <v>44711</v>
      </c>
      <c r="R1168"/>
      <c r="S1168"/>
      <c r="T1168"/>
      <c r="U1168"/>
    </row>
    <row r="1169" spans="1:21" hidden="1">
      <c r="A1169" s="7" t="s">
        <v>8740</v>
      </c>
      <c r="B1169" s="7" t="s">
        <v>6627</v>
      </c>
      <c r="C1169" s="8" t="s">
        <v>5317</v>
      </c>
      <c r="D1169" t="s">
        <v>216</v>
      </c>
      <c r="E1169" t="s">
        <v>304</v>
      </c>
      <c r="F1169" t="s">
        <v>117</v>
      </c>
      <c r="G1169" t="s">
        <v>1284</v>
      </c>
      <c r="H1169" s="9">
        <v>44657</v>
      </c>
      <c r="I1169" t="s">
        <v>306</v>
      </c>
      <c r="J1169" t="s">
        <v>0</v>
      </c>
      <c r="K1169" s="9">
        <v>44711</v>
      </c>
      <c r="L1169" t="s">
        <v>29</v>
      </c>
      <c r="M1169"/>
      <c r="N1169" s="9">
        <v>44686</v>
      </c>
      <c r="O1169"/>
      <c r="P1169"/>
      <c r="Q1169" s="9">
        <v>44711</v>
      </c>
      <c r="R1169"/>
      <c r="S1169"/>
      <c r="T1169"/>
      <c r="U1169"/>
    </row>
    <row r="1170" spans="1:21" hidden="1">
      <c r="A1170" s="7" t="s">
        <v>8740</v>
      </c>
      <c r="B1170" s="7" t="s">
        <v>6627</v>
      </c>
      <c r="C1170" s="8" t="s">
        <v>5317</v>
      </c>
      <c r="D1170" t="s">
        <v>216</v>
      </c>
      <c r="E1170" t="s">
        <v>304</v>
      </c>
      <c r="F1170" t="s">
        <v>117</v>
      </c>
      <c r="G1170" t="s">
        <v>1285</v>
      </c>
      <c r="H1170" s="9">
        <v>44657</v>
      </c>
      <c r="I1170" t="s">
        <v>306</v>
      </c>
      <c r="J1170" t="s">
        <v>0</v>
      </c>
      <c r="K1170" s="9">
        <v>44711</v>
      </c>
      <c r="L1170" t="s">
        <v>29</v>
      </c>
      <c r="M1170"/>
      <c r="N1170" s="9">
        <v>44686</v>
      </c>
      <c r="O1170"/>
      <c r="P1170"/>
      <c r="Q1170" s="9">
        <v>44711</v>
      </c>
      <c r="R1170"/>
      <c r="S1170"/>
      <c r="T1170"/>
      <c r="U1170"/>
    </row>
    <row r="1171" spans="1:21" hidden="1">
      <c r="A1171" s="7" t="s">
        <v>8740</v>
      </c>
      <c r="B1171" s="7" t="s">
        <v>6627</v>
      </c>
      <c r="C1171" s="8" t="s">
        <v>5317</v>
      </c>
      <c r="D1171" t="s">
        <v>216</v>
      </c>
      <c r="E1171" t="s">
        <v>304</v>
      </c>
      <c r="F1171" t="s">
        <v>117</v>
      </c>
      <c r="G1171" t="s">
        <v>1286</v>
      </c>
      <c r="H1171" s="9">
        <v>44657</v>
      </c>
      <c r="I1171" t="s">
        <v>306</v>
      </c>
      <c r="J1171" t="s">
        <v>0</v>
      </c>
      <c r="K1171" s="9">
        <v>44711</v>
      </c>
      <c r="L1171" t="s">
        <v>29</v>
      </c>
      <c r="M1171"/>
      <c r="N1171" s="9">
        <v>44686</v>
      </c>
      <c r="O1171"/>
      <c r="P1171"/>
      <c r="Q1171" s="9">
        <v>44711</v>
      </c>
      <c r="R1171"/>
      <c r="S1171"/>
      <c r="T1171"/>
      <c r="U1171"/>
    </row>
    <row r="1172" spans="1:21" hidden="1">
      <c r="A1172" s="7" t="s">
        <v>8740</v>
      </c>
      <c r="B1172" s="7" t="s">
        <v>6627</v>
      </c>
      <c r="C1172" s="8" t="s">
        <v>5317</v>
      </c>
      <c r="D1172" t="s">
        <v>216</v>
      </c>
      <c r="E1172" t="s">
        <v>304</v>
      </c>
      <c r="F1172" t="s">
        <v>117</v>
      </c>
      <c r="G1172" t="s">
        <v>1287</v>
      </c>
      <c r="H1172" s="9">
        <v>44657</v>
      </c>
      <c r="I1172" t="s">
        <v>306</v>
      </c>
      <c r="J1172" t="s">
        <v>0</v>
      </c>
      <c r="K1172" s="9">
        <v>44711</v>
      </c>
      <c r="L1172" t="s">
        <v>29</v>
      </c>
      <c r="M1172"/>
      <c r="N1172" s="9">
        <v>44686</v>
      </c>
      <c r="O1172"/>
      <c r="P1172"/>
      <c r="Q1172" s="9">
        <v>44711</v>
      </c>
      <c r="R1172"/>
      <c r="S1172"/>
      <c r="T1172"/>
      <c r="U1172"/>
    </row>
    <row r="1173" spans="1:21" hidden="1">
      <c r="A1173" s="7" t="s">
        <v>8740</v>
      </c>
      <c r="B1173" s="7" t="s">
        <v>6627</v>
      </c>
      <c r="C1173" s="8" t="s">
        <v>5317</v>
      </c>
      <c r="D1173" t="s">
        <v>216</v>
      </c>
      <c r="E1173" t="s">
        <v>304</v>
      </c>
      <c r="F1173" t="s">
        <v>117</v>
      </c>
      <c r="G1173" t="s">
        <v>1288</v>
      </c>
      <c r="H1173" s="9">
        <v>44657</v>
      </c>
      <c r="I1173" t="s">
        <v>306</v>
      </c>
      <c r="J1173" t="s">
        <v>0</v>
      </c>
      <c r="K1173" s="9">
        <v>44711</v>
      </c>
      <c r="L1173" t="s">
        <v>29</v>
      </c>
      <c r="M1173"/>
      <c r="N1173" s="9">
        <v>44686</v>
      </c>
      <c r="O1173"/>
      <c r="P1173"/>
      <c r="Q1173" s="9">
        <v>44711</v>
      </c>
      <c r="R1173"/>
      <c r="S1173"/>
      <c r="T1173"/>
      <c r="U1173"/>
    </row>
    <row r="1174" spans="1:21" hidden="1">
      <c r="A1174" s="7" t="s">
        <v>8740</v>
      </c>
      <c r="B1174" s="7" t="s">
        <v>6627</v>
      </c>
      <c r="C1174" s="8" t="s">
        <v>5317</v>
      </c>
      <c r="D1174" t="s">
        <v>216</v>
      </c>
      <c r="E1174" t="s">
        <v>304</v>
      </c>
      <c r="F1174" t="s">
        <v>117</v>
      </c>
      <c r="G1174" t="s">
        <v>1289</v>
      </c>
      <c r="H1174" s="9">
        <v>44657</v>
      </c>
      <c r="I1174" t="s">
        <v>306</v>
      </c>
      <c r="J1174" t="s">
        <v>0</v>
      </c>
      <c r="K1174" s="9">
        <v>44711</v>
      </c>
      <c r="L1174" t="s">
        <v>29</v>
      </c>
      <c r="M1174"/>
      <c r="N1174" s="9">
        <v>44686</v>
      </c>
      <c r="O1174"/>
      <c r="P1174"/>
      <c r="Q1174" s="9">
        <v>44711</v>
      </c>
      <c r="R1174"/>
      <c r="S1174"/>
      <c r="T1174"/>
      <c r="U1174"/>
    </row>
    <row r="1175" spans="1:21" hidden="1">
      <c r="A1175" s="7" t="s">
        <v>8740</v>
      </c>
      <c r="B1175" s="7" t="s">
        <v>6627</v>
      </c>
      <c r="C1175" s="8" t="s">
        <v>5317</v>
      </c>
      <c r="D1175" t="s">
        <v>216</v>
      </c>
      <c r="E1175" t="s">
        <v>304</v>
      </c>
      <c r="F1175" t="s">
        <v>117</v>
      </c>
      <c r="G1175" t="s">
        <v>1290</v>
      </c>
      <c r="H1175" s="9">
        <v>44657</v>
      </c>
      <c r="I1175" t="s">
        <v>306</v>
      </c>
      <c r="J1175" t="s">
        <v>0</v>
      </c>
      <c r="K1175" s="9">
        <v>44711</v>
      </c>
      <c r="L1175" t="s">
        <v>29</v>
      </c>
      <c r="M1175"/>
      <c r="N1175" s="9">
        <v>44686</v>
      </c>
      <c r="O1175"/>
      <c r="P1175"/>
      <c r="Q1175" s="9">
        <v>44711</v>
      </c>
      <c r="R1175"/>
      <c r="S1175"/>
      <c r="T1175"/>
      <c r="U1175"/>
    </row>
    <row r="1176" spans="1:21" hidden="1">
      <c r="A1176" s="7" t="s">
        <v>8740</v>
      </c>
      <c r="B1176" s="7" t="s">
        <v>6627</v>
      </c>
      <c r="C1176" s="8" t="s">
        <v>5317</v>
      </c>
      <c r="D1176" t="s">
        <v>216</v>
      </c>
      <c r="E1176" t="s">
        <v>304</v>
      </c>
      <c r="F1176" t="s">
        <v>117</v>
      </c>
      <c r="G1176" t="s">
        <v>1291</v>
      </c>
      <c r="H1176" s="9">
        <v>44657</v>
      </c>
      <c r="I1176" t="s">
        <v>306</v>
      </c>
      <c r="J1176" t="s">
        <v>0</v>
      </c>
      <c r="K1176" s="9">
        <v>44711</v>
      </c>
      <c r="L1176" t="s">
        <v>29</v>
      </c>
      <c r="M1176"/>
      <c r="N1176" s="9">
        <v>44686</v>
      </c>
      <c r="O1176"/>
      <c r="P1176"/>
      <c r="Q1176" s="9">
        <v>44711</v>
      </c>
      <c r="R1176"/>
      <c r="S1176"/>
      <c r="T1176"/>
      <c r="U1176"/>
    </row>
    <row r="1177" spans="1:21" hidden="1">
      <c r="A1177" s="7" t="s">
        <v>8740</v>
      </c>
      <c r="B1177" s="7" t="s">
        <v>6627</v>
      </c>
      <c r="C1177" s="8" t="s">
        <v>5317</v>
      </c>
      <c r="D1177" t="s">
        <v>216</v>
      </c>
      <c r="E1177" t="s">
        <v>304</v>
      </c>
      <c r="F1177" t="s">
        <v>117</v>
      </c>
      <c r="G1177" t="s">
        <v>1292</v>
      </c>
      <c r="H1177" s="9">
        <v>44657</v>
      </c>
      <c r="I1177" t="s">
        <v>306</v>
      </c>
      <c r="J1177" t="s">
        <v>0</v>
      </c>
      <c r="K1177" s="9">
        <v>44711</v>
      </c>
      <c r="L1177" t="s">
        <v>29</v>
      </c>
      <c r="M1177"/>
      <c r="N1177" s="9">
        <v>44686</v>
      </c>
      <c r="O1177"/>
      <c r="P1177"/>
      <c r="Q1177" s="9">
        <v>44711</v>
      </c>
      <c r="R1177"/>
      <c r="S1177"/>
      <c r="T1177"/>
      <c r="U1177"/>
    </row>
    <row r="1178" spans="1:21" hidden="1">
      <c r="A1178" s="7" t="s">
        <v>8740</v>
      </c>
      <c r="B1178" s="7" t="s">
        <v>6627</v>
      </c>
      <c r="C1178" s="8" t="s">
        <v>5317</v>
      </c>
      <c r="D1178" t="s">
        <v>216</v>
      </c>
      <c r="E1178" t="s">
        <v>304</v>
      </c>
      <c r="F1178" t="s">
        <v>117</v>
      </c>
      <c r="G1178" t="s">
        <v>1293</v>
      </c>
      <c r="H1178" s="9">
        <v>44657</v>
      </c>
      <c r="I1178" t="s">
        <v>306</v>
      </c>
      <c r="J1178" t="s">
        <v>0</v>
      </c>
      <c r="K1178" s="9">
        <v>44711</v>
      </c>
      <c r="L1178" t="s">
        <v>29</v>
      </c>
      <c r="M1178"/>
      <c r="N1178" s="9">
        <v>44686</v>
      </c>
      <c r="O1178"/>
      <c r="P1178"/>
      <c r="Q1178" s="9">
        <v>44711</v>
      </c>
      <c r="R1178"/>
      <c r="S1178"/>
      <c r="T1178"/>
      <c r="U1178"/>
    </row>
    <row r="1179" spans="1:21" hidden="1">
      <c r="A1179" s="7" t="s">
        <v>8740</v>
      </c>
      <c r="B1179" s="7" t="s">
        <v>6627</v>
      </c>
      <c r="C1179" s="8" t="s">
        <v>5317</v>
      </c>
      <c r="D1179" t="s">
        <v>216</v>
      </c>
      <c r="E1179" t="s">
        <v>304</v>
      </c>
      <c r="F1179" t="s">
        <v>117</v>
      </c>
      <c r="G1179" t="s">
        <v>1294</v>
      </c>
      <c r="H1179" s="9">
        <v>44657</v>
      </c>
      <c r="I1179" t="s">
        <v>306</v>
      </c>
      <c r="J1179" t="s">
        <v>0</v>
      </c>
      <c r="K1179" s="9">
        <v>44711</v>
      </c>
      <c r="L1179" t="s">
        <v>29</v>
      </c>
      <c r="M1179"/>
      <c r="N1179" s="9">
        <v>44686</v>
      </c>
      <c r="O1179"/>
      <c r="P1179"/>
      <c r="Q1179" s="9">
        <v>44711</v>
      </c>
      <c r="R1179"/>
      <c r="S1179"/>
      <c r="T1179"/>
      <c r="U1179"/>
    </row>
    <row r="1180" spans="1:21" hidden="1">
      <c r="A1180" s="7" t="s">
        <v>8740</v>
      </c>
      <c r="B1180" s="7" t="s">
        <v>6627</v>
      </c>
      <c r="C1180" s="8" t="s">
        <v>5317</v>
      </c>
      <c r="D1180" t="s">
        <v>216</v>
      </c>
      <c r="E1180" t="s">
        <v>304</v>
      </c>
      <c r="F1180" t="s">
        <v>117</v>
      </c>
      <c r="G1180" t="s">
        <v>1295</v>
      </c>
      <c r="H1180" s="9">
        <v>44657</v>
      </c>
      <c r="I1180" t="s">
        <v>306</v>
      </c>
      <c r="J1180" t="s">
        <v>0</v>
      </c>
      <c r="K1180" s="9">
        <v>44711</v>
      </c>
      <c r="L1180" t="s">
        <v>29</v>
      </c>
      <c r="M1180"/>
      <c r="N1180" s="9">
        <v>44686</v>
      </c>
      <c r="O1180"/>
      <c r="P1180"/>
      <c r="Q1180" s="9">
        <v>44711</v>
      </c>
      <c r="R1180"/>
      <c r="S1180"/>
      <c r="T1180"/>
      <c r="U1180"/>
    </row>
    <row r="1181" spans="1:21" hidden="1">
      <c r="A1181" s="7" t="s">
        <v>8740</v>
      </c>
      <c r="B1181" s="7" t="s">
        <v>6627</v>
      </c>
      <c r="C1181" s="8" t="s">
        <v>5317</v>
      </c>
      <c r="D1181" t="s">
        <v>216</v>
      </c>
      <c r="E1181" t="s">
        <v>304</v>
      </c>
      <c r="F1181" t="s">
        <v>117</v>
      </c>
      <c r="G1181" t="s">
        <v>1296</v>
      </c>
      <c r="H1181" s="9">
        <v>44657</v>
      </c>
      <c r="I1181" t="s">
        <v>306</v>
      </c>
      <c r="J1181" t="s">
        <v>0</v>
      </c>
      <c r="K1181" s="9">
        <v>44711</v>
      </c>
      <c r="L1181" t="s">
        <v>29</v>
      </c>
      <c r="M1181"/>
      <c r="N1181" s="9">
        <v>44686</v>
      </c>
      <c r="O1181"/>
      <c r="P1181"/>
      <c r="Q1181" s="9">
        <v>44711</v>
      </c>
      <c r="R1181"/>
      <c r="S1181"/>
      <c r="T1181"/>
      <c r="U1181"/>
    </row>
    <row r="1182" spans="1:21" hidden="1">
      <c r="A1182" s="7" t="s">
        <v>8740</v>
      </c>
      <c r="B1182" s="7" t="s">
        <v>6627</v>
      </c>
      <c r="C1182" s="8" t="s">
        <v>5317</v>
      </c>
      <c r="D1182" t="s">
        <v>216</v>
      </c>
      <c r="E1182" t="s">
        <v>304</v>
      </c>
      <c r="F1182" t="s">
        <v>117</v>
      </c>
      <c r="G1182" t="s">
        <v>1297</v>
      </c>
      <c r="H1182" s="9">
        <v>44657</v>
      </c>
      <c r="I1182" t="s">
        <v>306</v>
      </c>
      <c r="J1182" t="s">
        <v>0</v>
      </c>
      <c r="K1182" s="9">
        <v>44711</v>
      </c>
      <c r="L1182" t="s">
        <v>29</v>
      </c>
      <c r="M1182"/>
      <c r="N1182" s="9">
        <v>44686</v>
      </c>
      <c r="O1182"/>
      <c r="P1182"/>
      <c r="Q1182" s="9">
        <v>44711</v>
      </c>
      <c r="R1182"/>
      <c r="S1182"/>
      <c r="T1182"/>
      <c r="U1182"/>
    </row>
    <row r="1183" spans="1:21" hidden="1">
      <c r="A1183" s="7" t="s">
        <v>8740</v>
      </c>
      <c r="B1183" s="7" t="s">
        <v>6627</v>
      </c>
      <c r="C1183" s="8" t="s">
        <v>5317</v>
      </c>
      <c r="D1183" t="s">
        <v>216</v>
      </c>
      <c r="E1183" t="s">
        <v>304</v>
      </c>
      <c r="F1183" t="s">
        <v>117</v>
      </c>
      <c r="G1183" t="s">
        <v>1298</v>
      </c>
      <c r="H1183" s="9">
        <v>44657</v>
      </c>
      <c r="I1183" t="s">
        <v>306</v>
      </c>
      <c r="J1183" t="s">
        <v>0</v>
      </c>
      <c r="K1183" s="9">
        <v>44711</v>
      </c>
      <c r="L1183" t="s">
        <v>29</v>
      </c>
      <c r="M1183"/>
      <c r="N1183" s="9">
        <v>44686</v>
      </c>
      <c r="O1183"/>
      <c r="P1183"/>
      <c r="Q1183" s="9">
        <v>44711</v>
      </c>
      <c r="R1183"/>
      <c r="S1183"/>
      <c r="T1183"/>
      <c r="U1183"/>
    </row>
    <row r="1184" spans="1:21" hidden="1">
      <c r="A1184" s="7" t="s">
        <v>8740</v>
      </c>
      <c r="B1184" s="7" t="s">
        <v>6627</v>
      </c>
      <c r="C1184" s="8" t="s">
        <v>5317</v>
      </c>
      <c r="D1184" t="s">
        <v>216</v>
      </c>
      <c r="E1184" t="s">
        <v>304</v>
      </c>
      <c r="F1184" t="s">
        <v>117</v>
      </c>
      <c r="G1184" t="s">
        <v>1299</v>
      </c>
      <c r="H1184" s="9">
        <v>44657</v>
      </c>
      <c r="I1184" t="s">
        <v>306</v>
      </c>
      <c r="J1184" t="s">
        <v>0</v>
      </c>
      <c r="K1184" s="9">
        <v>44711</v>
      </c>
      <c r="L1184" t="s">
        <v>29</v>
      </c>
      <c r="M1184"/>
      <c r="N1184" s="9">
        <v>44686</v>
      </c>
      <c r="O1184"/>
      <c r="P1184"/>
      <c r="Q1184" s="9">
        <v>44711</v>
      </c>
      <c r="R1184"/>
      <c r="S1184"/>
      <c r="T1184"/>
      <c r="U1184"/>
    </row>
    <row r="1185" spans="1:21" hidden="1">
      <c r="A1185" s="7" t="s">
        <v>8740</v>
      </c>
      <c r="B1185" s="7" t="s">
        <v>6627</v>
      </c>
      <c r="C1185" s="8" t="s">
        <v>5317</v>
      </c>
      <c r="D1185" t="s">
        <v>216</v>
      </c>
      <c r="E1185" t="s">
        <v>304</v>
      </c>
      <c r="F1185" t="s">
        <v>117</v>
      </c>
      <c r="G1185" t="s">
        <v>1300</v>
      </c>
      <c r="H1185" s="9">
        <v>44657</v>
      </c>
      <c r="I1185" t="s">
        <v>306</v>
      </c>
      <c r="J1185" t="s">
        <v>0</v>
      </c>
      <c r="K1185" s="9">
        <v>44711</v>
      </c>
      <c r="L1185" t="s">
        <v>29</v>
      </c>
      <c r="M1185"/>
      <c r="N1185" s="9">
        <v>44686</v>
      </c>
      <c r="O1185"/>
      <c r="P1185"/>
      <c r="Q1185" s="9">
        <v>44711</v>
      </c>
      <c r="R1185"/>
      <c r="S1185"/>
      <c r="T1185"/>
      <c r="U1185"/>
    </row>
    <row r="1186" spans="1:21" hidden="1">
      <c r="A1186" s="7" t="s">
        <v>8740</v>
      </c>
      <c r="B1186" s="7" t="s">
        <v>6627</v>
      </c>
      <c r="C1186" s="8" t="s">
        <v>5317</v>
      </c>
      <c r="D1186" t="s">
        <v>216</v>
      </c>
      <c r="E1186" t="s">
        <v>304</v>
      </c>
      <c r="F1186" t="s">
        <v>117</v>
      </c>
      <c r="G1186" t="s">
        <v>1301</v>
      </c>
      <c r="H1186" s="9">
        <v>44657</v>
      </c>
      <c r="I1186" t="s">
        <v>306</v>
      </c>
      <c r="J1186" t="s">
        <v>0</v>
      </c>
      <c r="K1186" s="9">
        <v>44711</v>
      </c>
      <c r="L1186" t="s">
        <v>29</v>
      </c>
      <c r="M1186"/>
      <c r="N1186" s="9">
        <v>44686</v>
      </c>
      <c r="O1186"/>
      <c r="P1186"/>
      <c r="Q1186" s="9">
        <v>44711</v>
      </c>
      <c r="R1186"/>
      <c r="S1186"/>
      <c r="T1186"/>
      <c r="U1186"/>
    </row>
    <row r="1187" spans="1:21" hidden="1">
      <c r="A1187" s="7" t="s">
        <v>8740</v>
      </c>
      <c r="B1187" s="7" t="s">
        <v>6627</v>
      </c>
      <c r="C1187" s="8" t="s">
        <v>5317</v>
      </c>
      <c r="D1187" t="s">
        <v>216</v>
      </c>
      <c r="E1187" t="s">
        <v>304</v>
      </c>
      <c r="F1187" t="s">
        <v>117</v>
      </c>
      <c r="G1187" t="s">
        <v>1302</v>
      </c>
      <c r="H1187" s="9">
        <v>44657</v>
      </c>
      <c r="I1187" t="s">
        <v>306</v>
      </c>
      <c r="J1187" t="s">
        <v>0</v>
      </c>
      <c r="K1187" s="9">
        <v>44711</v>
      </c>
      <c r="L1187" t="s">
        <v>29</v>
      </c>
      <c r="M1187"/>
      <c r="N1187" s="9">
        <v>44686</v>
      </c>
      <c r="O1187"/>
      <c r="P1187"/>
      <c r="Q1187" s="9">
        <v>44711</v>
      </c>
      <c r="R1187"/>
      <c r="S1187"/>
      <c r="T1187"/>
      <c r="U1187"/>
    </row>
    <row r="1188" spans="1:21" hidden="1">
      <c r="A1188" s="7" t="s">
        <v>8740</v>
      </c>
      <c r="B1188" s="7" t="s">
        <v>6627</v>
      </c>
      <c r="C1188" s="8" t="s">
        <v>5317</v>
      </c>
      <c r="D1188" t="s">
        <v>216</v>
      </c>
      <c r="E1188" t="s">
        <v>304</v>
      </c>
      <c r="F1188" t="s">
        <v>117</v>
      </c>
      <c r="G1188" t="s">
        <v>1303</v>
      </c>
      <c r="H1188" s="9">
        <v>44657</v>
      </c>
      <c r="I1188" t="s">
        <v>306</v>
      </c>
      <c r="J1188" t="s">
        <v>0</v>
      </c>
      <c r="K1188" s="9">
        <v>44711</v>
      </c>
      <c r="L1188" t="s">
        <v>29</v>
      </c>
      <c r="M1188"/>
      <c r="N1188" s="9">
        <v>44686</v>
      </c>
      <c r="O1188"/>
      <c r="P1188"/>
      <c r="Q1188" s="9">
        <v>44711</v>
      </c>
      <c r="R1188"/>
      <c r="S1188"/>
      <c r="T1188"/>
      <c r="U1188"/>
    </row>
    <row r="1189" spans="1:21" hidden="1">
      <c r="A1189" s="7" t="s">
        <v>8740</v>
      </c>
      <c r="B1189" s="7" t="s">
        <v>6627</v>
      </c>
      <c r="C1189" s="8" t="s">
        <v>5317</v>
      </c>
      <c r="D1189" t="s">
        <v>216</v>
      </c>
      <c r="E1189" t="s">
        <v>304</v>
      </c>
      <c r="F1189" t="s">
        <v>117</v>
      </c>
      <c r="G1189" t="s">
        <v>1304</v>
      </c>
      <c r="H1189" s="9">
        <v>44657</v>
      </c>
      <c r="I1189" t="s">
        <v>306</v>
      </c>
      <c r="J1189" t="s">
        <v>0</v>
      </c>
      <c r="K1189" s="9">
        <v>44711</v>
      </c>
      <c r="L1189" t="s">
        <v>29</v>
      </c>
      <c r="M1189"/>
      <c r="N1189" s="9">
        <v>44686</v>
      </c>
      <c r="O1189"/>
      <c r="P1189"/>
      <c r="Q1189" s="9">
        <v>44711</v>
      </c>
      <c r="R1189"/>
      <c r="S1189"/>
      <c r="T1189"/>
      <c r="U1189"/>
    </row>
    <row r="1190" spans="1:21" hidden="1">
      <c r="A1190" s="7" t="s">
        <v>8740</v>
      </c>
      <c r="B1190" s="7" t="s">
        <v>6627</v>
      </c>
      <c r="C1190" s="8" t="s">
        <v>5317</v>
      </c>
      <c r="D1190" t="s">
        <v>216</v>
      </c>
      <c r="E1190" t="s">
        <v>304</v>
      </c>
      <c r="F1190" t="s">
        <v>117</v>
      </c>
      <c r="G1190" t="s">
        <v>1305</v>
      </c>
      <c r="H1190" s="9">
        <v>44657</v>
      </c>
      <c r="I1190" t="s">
        <v>306</v>
      </c>
      <c r="J1190" t="s">
        <v>0</v>
      </c>
      <c r="K1190" s="9">
        <v>44711</v>
      </c>
      <c r="L1190" t="s">
        <v>29</v>
      </c>
      <c r="M1190"/>
      <c r="N1190" s="9">
        <v>44686</v>
      </c>
      <c r="O1190"/>
      <c r="P1190"/>
      <c r="Q1190" s="9">
        <v>44711</v>
      </c>
      <c r="R1190"/>
      <c r="S1190"/>
      <c r="T1190"/>
      <c r="U1190"/>
    </row>
    <row r="1191" spans="1:21" hidden="1">
      <c r="A1191" s="7" t="s">
        <v>8740</v>
      </c>
      <c r="B1191" s="7" t="s">
        <v>6627</v>
      </c>
      <c r="C1191" s="8" t="s">
        <v>5317</v>
      </c>
      <c r="D1191" t="s">
        <v>216</v>
      </c>
      <c r="E1191" t="s">
        <v>304</v>
      </c>
      <c r="F1191" t="s">
        <v>117</v>
      </c>
      <c r="G1191" t="s">
        <v>1306</v>
      </c>
      <c r="H1191" s="9">
        <v>44657</v>
      </c>
      <c r="I1191" t="s">
        <v>306</v>
      </c>
      <c r="J1191" t="s">
        <v>0</v>
      </c>
      <c r="K1191" s="9">
        <v>44711</v>
      </c>
      <c r="L1191" t="s">
        <v>29</v>
      </c>
      <c r="M1191"/>
      <c r="N1191" s="9">
        <v>44686</v>
      </c>
      <c r="O1191"/>
      <c r="P1191"/>
      <c r="Q1191" s="9">
        <v>44711</v>
      </c>
      <c r="R1191"/>
      <c r="S1191"/>
      <c r="T1191"/>
      <c r="U1191"/>
    </row>
    <row r="1192" spans="1:21" hidden="1">
      <c r="A1192" s="7" t="s">
        <v>8740</v>
      </c>
      <c r="B1192" s="7" t="s">
        <v>6627</v>
      </c>
      <c r="C1192" s="8" t="s">
        <v>5317</v>
      </c>
      <c r="D1192" t="s">
        <v>216</v>
      </c>
      <c r="E1192" t="s">
        <v>304</v>
      </c>
      <c r="F1192" t="s">
        <v>117</v>
      </c>
      <c r="G1192" t="s">
        <v>1307</v>
      </c>
      <c r="H1192" s="9">
        <v>44657</v>
      </c>
      <c r="I1192" t="s">
        <v>306</v>
      </c>
      <c r="J1192" t="s">
        <v>0</v>
      </c>
      <c r="K1192" s="9">
        <v>44711</v>
      </c>
      <c r="L1192" t="s">
        <v>29</v>
      </c>
      <c r="M1192"/>
      <c r="N1192" s="9">
        <v>44686</v>
      </c>
      <c r="O1192"/>
      <c r="P1192"/>
      <c r="Q1192" s="9">
        <v>44711</v>
      </c>
      <c r="R1192"/>
      <c r="S1192"/>
      <c r="T1192"/>
      <c r="U1192"/>
    </row>
    <row r="1193" spans="1:21" hidden="1">
      <c r="A1193" s="7" t="s">
        <v>8740</v>
      </c>
      <c r="B1193" s="7" t="s">
        <v>6627</v>
      </c>
      <c r="C1193" s="8" t="s">
        <v>5317</v>
      </c>
      <c r="D1193" t="s">
        <v>216</v>
      </c>
      <c r="E1193" t="s">
        <v>304</v>
      </c>
      <c r="F1193" t="s">
        <v>117</v>
      </c>
      <c r="G1193" t="s">
        <v>1308</v>
      </c>
      <c r="H1193" s="9">
        <v>44657</v>
      </c>
      <c r="I1193" t="s">
        <v>306</v>
      </c>
      <c r="J1193" t="s">
        <v>0</v>
      </c>
      <c r="K1193" s="9">
        <v>44711</v>
      </c>
      <c r="L1193" t="s">
        <v>29</v>
      </c>
      <c r="M1193"/>
      <c r="N1193" s="9">
        <v>44686</v>
      </c>
      <c r="O1193"/>
      <c r="P1193"/>
      <c r="Q1193" s="9">
        <v>44711</v>
      </c>
      <c r="R1193"/>
      <c r="S1193"/>
      <c r="T1193"/>
      <c r="U1193"/>
    </row>
    <row r="1194" spans="1:21" hidden="1">
      <c r="A1194" s="7" t="s">
        <v>8740</v>
      </c>
      <c r="B1194" s="7" t="s">
        <v>6627</v>
      </c>
      <c r="C1194" s="8" t="s">
        <v>5317</v>
      </c>
      <c r="D1194" t="s">
        <v>216</v>
      </c>
      <c r="E1194" t="s">
        <v>304</v>
      </c>
      <c r="F1194" t="s">
        <v>117</v>
      </c>
      <c r="G1194" t="s">
        <v>1309</v>
      </c>
      <c r="H1194" s="9">
        <v>44657</v>
      </c>
      <c r="I1194" t="s">
        <v>306</v>
      </c>
      <c r="J1194" t="s">
        <v>0</v>
      </c>
      <c r="K1194" s="9">
        <v>44711</v>
      </c>
      <c r="L1194" t="s">
        <v>29</v>
      </c>
      <c r="M1194"/>
      <c r="N1194" s="9">
        <v>44686</v>
      </c>
      <c r="O1194"/>
      <c r="P1194"/>
      <c r="Q1194" s="9">
        <v>44711</v>
      </c>
      <c r="R1194"/>
      <c r="S1194"/>
      <c r="T1194"/>
      <c r="U1194"/>
    </row>
    <row r="1195" spans="1:21" hidden="1">
      <c r="A1195" s="7" t="s">
        <v>8740</v>
      </c>
      <c r="B1195" s="7" t="s">
        <v>6627</v>
      </c>
      <c r="C1195" s="8" t="s">
        <v>5317</v>
      </c>
      <c r="D1195" t="s">
        <v>216</v>
      </c>
      <c r="E1195" t="s">
        <v>304</v>
      </c>
      <c r="F1195" t="s">
        <v>117</v>
      </c>
      <c r="G1195" t="s">
        <v>1310</v>
      </c>
      <c r="H1195" s="9">
        <v>44657</v>
      </c>
      <c r="I1195" t="s">
        <v>306</v>
      </c>
      <c r="J1195" t="s">
        <v>0</v>
      </c>
      <c r="K1195" s="9">
        <v>44711</v>
      </c>
      <c r="L1195" t="s">
        <v>29</v>
      </c>
      <c r="M1195"/>
      <c r="N1195" s="9">
        <v>44686</v>
      </c>
      <c r="O1195"/>
      <c r="P1195"/>
      <c r="Q1195" s="9">
        <v>44711</v>
      </c>
      <c r="R1195"/>
      <c r="S1195"/>
      <c r="T1195"/>
      <c r="U1195"/>
    </row>
    <row r="1196" spans="1:21" hidden="1">
      <c r="A1196" s="7" t="s">
        <v>8740</v>
      </c>
      <c r="B1196" s="7" t="s">
        <v>6627</v>
      </c>
      <c r="C1196" s="8" t="s">
        <v>5317</v>
      </c>
      <c r="D1196" t="s">
        <v>216</v>
      </c>
      <c r="E1196" t="s">
        <v>304</v>
      </c>
      <c r="F1196" t="s">
        <v>117</v>
      </c>
      <c r="G1196" t="s">
        <v>1311</v>
      </c>
      <c r="H1196" s="9">
        <v>44657</v>
      </c>
      <c r="I1196" t="s">
        <v>306</v>
      </c>
      <c r="J1196" t="s">
        <v>0</v>
      </c>
      <c r="K1196" s="9">
        <v>44711</v>
      </c>
      <c r="L1196" t="s">
        <v>29</v>
      </c>
      <c r="M1196"/>
      <c r="N1196" s="9">
        <v>44686</v>
      </c>
      <c r="O1196"/>
      <c r="P1196"/>
      <c r="Q1196" s="9">
        <v>44711</v>
      </c>
      <c r="R1196"/>
      <c r="S1196"/>
      <c r="T1196"/>
      <c r="U1196"/>
    </row>
    <row r="1197" spans="1:21" hidden="1">
      <c r="A1197" s="7" t="s">
        <v>8740</v>
      </c>
      <c r="B1197" s="7" t="s">
        <v>6627</v>
      </c>
      <c r="C1197" s="8" t="s">
        <v>5317</v>
      </c>
      <c r="D1197" t="s">
        <v>216</v>
      </c>
      <c r="E1197" t="s">
        <v>304</v>
      </c>
      <c r="F1197" t="s">
        <v>117</v>
      </c>
      <c r="G1197" t="s">
        <v>1312</v>
      </c>
      <c r="H1197" s="9">
        <v>44657</v>
      </c>
      <c r="I1197" t="s">
        <v>306</v>
      </c>
      <c r="J1197" t="s">
        <v>0</v>
      </c>
      <c r="K1197" s="9">
        <v>44711</v>
      </c>
      <c r="L1197" t="s">
        <v>29</v>
      </c>
      <c r="M1197"/>
      <c r="N1197" s="9">
        <v>44686</v>
      </c>
      <c r="O1197"/>
      <c r="P1197"/>
      <c r="Q1197" s="9">
        <v>44711</v>
      </c>
      <c r="R1197"/>
      <c r="S1197"/>
      <c r="T1197"/>
      <c r="U1197"/>
    </row>
    <row r="1198" spans="1:21" hidden="1">
      <c r="A1198" s="7" t="s">
        <v>8740</v>
      </c>
      <c r="B1198" s="7" t="s">
        <v>6627</v>
      </c>
      <c r="C1198" s="8" t="s">
        <v>5317</v>
      </c>
      <c r="D1198" t="s">
        <v>216</v>
      </c>
      <c r="E1198" t="s">
        <v>304</v>
      </c>
      <c r="F1198" t="s">
        <v>117</v>
      </c>
      <c r="G1198" t="s">
        <v>1313</v>
      </c>
      <c r="H1198" s="9">
        <v>44657</v>
      </c>
      <c r="I1198" t="s">
        <v>306</v>
      </c>
      <c r="J1198" t="s">
        <v>0</v>
      </c>
      <c r="K1198" s="9">
        <v>44711</v>
      </c>
      <c r="L1198" t="s">
        <v>29</v>
      </c>
      <c r="M1198"/>
      <c r="N1198" s="9">
        <v>44686</v>
      </c>
      <c r="O1198"/>
      <c r="P1198"/>
      <c r="Q1198" s="9">
        <v>44711</v>
      </c>
      <c r="R1198"/>
      <c r="S1198"/>
      <c r="T1198"/>
      <c r="U1198"/>
    </row>
    <row r="1199" spans="1:21" hidden="1">
      <c r="A1199" s="7" t="s">
        <v>8740</v>
      </c>
      <c r="B1199" s="7" t="s">
        <v>6627</v>
      </c>
      <c r="C1199" s="8" t="s">
        <v>5317</v>
      </c>
      <c r="D1199" t="s">
        <v>216</v>
      </c>
      <c r="E1199" t="s">
        <v>304</v>
      </c>
      <c r="F1199" t="s">
        <v>117</v>
      </c>
      <c r="G1199" t="s">
        <v>1314</v>
      </c>
      <c r="H1199" s="9">
        <v>44657</v>
      </c>
      <c r="I1199" t="s">
        <v>306</v>
      </c>
      <c r="J1199" t="s">
        <v>0</v>
      </c>
      <c r="K1199" s="9">
        <v>44711</v>
      </c>
      <c r="L1199" t="s">
        <v>29</v>
      </c>
      <c r="M1199"/>
      <c r="N1199" s="9">
        <v>44686</v>
      </c>
      <c r="O1199"/>
      <c r="P1199"/>
      <c r="Q1199" s="9">
        <v>44711</v>
      </c>
      <c r="R1199"/>
      <c r="S1199"/>
      <c r="T1199"/>
      <c r="U1199"/>
    </row>
    <row r="1200" spans="1:21" hidden="1">
      <c r="A1200" s="7" t="s">
        <v>8740</v>
      </c>
      <c r="B1200" s="7" t="s">
        <v>6627</v>
      </c>
      <c r="C1200" s="8" t="s">
        <v>5317</v>
      </c>
      <c r="D1200" t="s">
        <v>216</v>
      </c>
      <c r="E1200" t="s">
        <v>304</v>
      </c>
      <c r="F1200" t="s">
        <v>117</v>
      </c>
      <c r="G1200" t="s">
        <v>1315</v>
      </c>
      <c r="H1200" s="9">
        <v>44657</v>
      </c>
      <c r="I1200" t="s">
        <v>306</v>
      </c>
      <c r="J1200" t="s">
        <v>0</v>
      </c>
      <c r="K1200" s="9">
        <v>44711</v>
      </c>
      <c r="L1200" t="s">
        <v>29</v>
      </c>
      <c r="M1200"/>
      <c r="N1200" s="9">
        <v>44686</v>
      </c>
      <c r="O1200"/>
      <c r="P1200"/>
      <c r="Q1200" s="9">
        <v>44711</v>
      </c>
      <c r="R1200"/>
      <c r="S1200"/>
      <c r="T1200"/>
      <c r="U1200"/>
    </row>
    <row r="1201" spans="1:21" hidden="1">
      <c r="A1201" s="7" t="s">
        <v>8740</v>
      </c>
      <c r="B1201" s="7" t="s">
        <v>6627</v>
      </c>
      <c r="C1201" s="8" t="s">
        <v>5317</v>
      </c>
      <c r="D1201" t="s">
        <v>216</v>
      </c>
      <c r="E1201" t="s">
        <v>304</v>
      </c>
      <c r="F1201" t="s">
        <v>117</v>
      </c>
      <c r="G1201" t="s">
        <v>1316</v>
      </c>
      <c r="H1201" s="9">
        <v>44657</v>
      </c>
      <c r="I1201" t="s">
        <v>306</v>
      </c>
      <c r="J1201" t="s">
        <v>0</v>
      </c>
      <c r="K1201" s="9">
        <v>44711</v>
      </c>
      <c r="L1201" t="s">
        <v>29</v>
      </c>
      <c r="M1201"/>
      <c r="N1201" s="9">
        <v>44686</v>
      </c>
      <c r="O1201"/>
      <c r="P1201"/>
      <c r="Q1201" s="9">
        <v>44711</v>
      </c>
      <c r="R1201"/>
      <c r="S1201"/>
      <c r="T1201"/>
      <c r="U1201"/>
    </row>
    <row r="1202" spans="1:21" hidden="1">
      <c r="A1202" s="7" t="s">
        <v>8740</v>
      </c>
      <c r="B1202" s="7" t="s">
        <v>6627</v>
      </c>
      <c r="C1202" s="8" t="s">
        <v>5317</v>
      </c>
      <c r="D1202" t="s">
        <v>216</v>
      </c>
      <c r="E1202" t="s">
        <v>304</v>
      </c>
      <c r="F1202" t="s">
        <v>117</v>
      </c>
      <c r="G1202" t="s">
        <v>1317</v>
      </c>
      <c r="H1202" s="9">
        <v>44657</v>
      </c>
      <c r="I1202" t="s">
        <v>306</v>
      </c>
      <c r="J1202" t="s">
        <v>0</v>
      </c>
      <c r="K1202" s="9">
        <v>44711</v>
      </c>
      <c r="L1202" t="s">
        <v>29</v>
      </c>
      <c r="M1202"/>
      <c r="N1202" s="9">
        <v>44686</v>
      </c>
      <c r="O1202"/>
      <c r="P1202"/>
      <c r="Q1202" s="9">
        <v>44711</v>
      </c>
      <c r="R1202"/>
      <c r="S1202"/>
      <c r="T1202"/>
      <c r="U1202"/>
    </row>
    <row r="1203" spans="1:21" hidden="1">
      <c r="A1203" s="7" t="s">
        <v>8740</v>
      </c>
      <c r="B1203" s="7" t="s">
        <v>6627</v>
      </c>
      <c r="C1203" s="8" t="s">
        <v>5317</v>
      </c>
      <c r="D1203" t="s">
        <v>216</v>
      </c>
      <c r="E1203" t="s">
        <v>304</v>
      </c>
      <c r="F1203" t="s">
        <v>117</v>
      </c>
      <c r="G1203" t="s">
        <v>1318</v>
      </c>
      <c r="H1203" s="9">
        <v>44657</v>
      </c>
      <c r="I1203" t="s">
        <v>306</v>
      </c>
      <c r="J1203" t="s">
        <v>0</v>
      </c>
      <c r="K1203" s="9">
        <v>44711</v>
      </c>
      <c r="L1203" t="s">
        <v>29</v>
      </c>
      <c r="M1203"/>
      <c r="N1203" s="9">
        <v>44686</v>
      </c>
      <c r="O1203"/>
      <c r="P1203"/>
      <c r="Q1203" s="9">
        <v>44711</v>
      </c>
      <c r="R1203"/>
      <c r="S1203"/>
      <c r="T1203"/>
      <c r="U1203"/>
    </row>
    <row r="1204" spans="1:21" hidden="1">
      <c r="A1204" s="7" t="s">
        <v>8740</v>
      </c>
      <c r="B1204" s="7" t="s">
        <v>6627</v>
      </c>
      <c r="C1204" s="8" t="s">
        <v>5317</v>
      </c>
      <c r="D1204" t="s">
        <v>216</v>
      </c>
      <c r="E1204" t="s">
        <v>304</v>
      </c>
      <c r="F1204" t="s">
        <v>117</v>
      </c>
      <c r="G1204" t="s">
        <v>1319</v>
      </c>
      <c r="H1204" s="9">
        <v>44657</v>
      </c>
      <c r="I1204" t="s">
        <v>306</v>
      </c>
      <c r="J1204" t="s">
        <v>0</v>
      </c>
      <c r="K1204" s="9">
        <v>44711</v>
      </c>
      <c r="L1204" t="s">
        <v>29</v>
      </c>
      <c r="M1204"/>
      <c r="N1204" s="9">
        <v>44686</v>
      </c>
      <c r="O1204"/>
      <c r="P1204"/>
      <c r="Q1204" s="9">
        <v>44711</v>
      </c>
      <c r="R1204"/>
      <c r="S1204"/>
      <c r="T1204"/>
      <c r="U1204"/>
    </row>
    <row r="1205" spans="1:21" hidden="1">
      <c r="A1205" s="7" t="s">
        <v>8740</v>
      </c>
      <c r="B1205" s="7" t="s">
        <v>6627</v>
      </c>
      <c r="C1205" s="8" t="s">
        <v>5317</v>
      </c>
      <c r="D1205" t="s">
        <v>216</v>
      </c>
      <c r="E1205" t="s">
        <v>304</v>
      </c>
      <c r="F1205" t="s">
        <v>117</v>
      </c>
      <c r="G1205" t="s">
        <v>1320</v>
      </c>
      <c r="H1205" s="9">
        <v>44657</v>
      </c>
      <c r="I1205" t="s">
        <v>306</v>
      </c>
      <c r="J1205" t="s">
        <v>0</v>
      </c>
      <c r="K1205" s="9">
        <v>44711</v>
      </c>
      <c r="L1205" t="s">
        <v>29</v>
      </c>
      <c r="M1205"/>
      <c r="N1205" s="9">
        <v>44686</v>
      </c>
      <c r="O1205"/>
      <c r="P1205"/>
      <c r="Q1205" s="9">
        <v>44711</v>
      </c>
      <c r="R1205"/>
      <c r="S1205"/>
      <c r="T1205"/>
      <c r="U1205"/>
    </row>
    <row r="1206" spans="1:21" hidden="1">
      <c r="A1206" s="7" t="s">
        <v>8740</v>
      </c>
      <c r="B1206" s="7" t="s">
        <v>6627</v>
      </c>
      <c r="C1206" s="8" t="s">
        <v>5317</v>
      </c>
      <c r="D1206" t="s">
        <v>216</v>
      </c>
      <c r="E1206" t="s">
        <v>304</v>
      </c>
      <c r="F1206" t="s">
        <v>117</v>
      </c>
      <c r="G1206" t="s">
        <v>1321</v>
      </c>
      <c r="H1206" s="9">
        <v>44657</v>
      </c>
      <c r="I1206" t="s">
        <v>306</v>
      </c>
      <c r="J1206" t="s">
        <v>0</v>
      </c>
      <c r="K1206" s="9">
        <v>44711</v>
      </c>
      <c r="L1206" t="s">
        <v>29</v>
      </c>
      <c r="M1206"/>
      <c r="N1206" s="9">
        <v>44686</v>
      </c>
      <c r="O1206"/>
      <c r="P1206"/>
      <c r="Q1206" s="9">
        <v>44711</v>
      </c>
      <c r="R1206"/>
      <c r="S1206"/>
      <c r="T1206"/>
      <c r="U1206"/>
    </row>
    <row r="1207" spans="1:21" hidden="1">
      <c r="A1207" s="7" t="s">
        <v>8740</v>
      </c>
      <c r="B1207" s="7" t="s">
        <v>6627</v>
      </c>
      <c r="C1207" s="8" t="s">
        <v>5317</v>
      </c>
      <c r="D1207" t="s">
        <v>216</v>
      </c>
      <c r="E1207" t="s">
        <v>304</v>
      </c>
      <c r="F1207" t="s">
        <v>117</v>
      </c>
      <c r="G1207" t="s">
        <v>1322</v>
      </c>
      <c r="H1207" s="9">
        <v>44657</v>
      </c>
      <c r="I1207" t="s">
        <v>306</v>
      </c>
      <c r="J1207" t="s">
        <v>0</v>
      </c>
      <c r="K1207" s="9">
        <v>44711</v>
      </c>
      <c r="L1207" t="s">
        <v>29</v>
      </c>
      <c r="M1207"/>
      <c r="N1207" s="9">
        <v>44686</v>
      </c>
      <c r="O1207"/>
      <c r="P1207"/>
      <c r="Q1207" s="9">
        <v>44711</v>
      </c>
      <c r="R1207"/>
      <c r="S1207"/>
      <c r="T1207"/>
      <c r="U1207"/>
    </row>
    <row r="1208" spans="1:21" hidden="1">
      <c r="A1208" s="7" t="s">
        <v>8740</v>
      </c>
      <c r="B1208" s="7" t="s">
        <v>6627</v>
      </c>
      <c r="C1208" s="8" t="s">
        <v>5317</v>
      </c>
      <c r="D1208" t="s">
        <v>216</v>
      </c>
      <c r="E1208" t="s">
        <v>304</v>
      </c>
      <c r="F1208" t="s">
        <v>117</v>
      </c>
      <c r="G1208" t="s">
        <v>1323</v>
      </c>
      <c r="H1208" s="9">
        <v>44657</v>
      </c>
      <c r="I1208" t="s">
        <v>306</v>
      </c>
      <c r="J1208" t="s">
        <v>0</v>
      </c>
      <c r="K1208" s="9">
        <v>44711</v>
      </c>
      <c r="L1208" t="s">
        <v>29</v>
      </c>
      <c r="M1208"/>
      <c r="N1208" s="9">
        <v>44686</v>
      </c>
      <c r="O1208"/>
      <c r="P1208"/>
      <c r="Q1208" s="9">
        <v>44711</v>
      </c>
      <c r="R1208"/>
      <c r="S1208"/>
      <c r="T1208"/>
      <c r="U1208"/>
    </row>
    <row r="1209" spans="1:21" hidden="1">
      <c r="A1209" s="7" t="s">
        <v>8740</v>
      </c>
      <c r="B1209" s="7" t="s">
        <v>6627</v>
      </c>
      <c r="C1209" s="8" t="s">
        <v>5317</v>
      </c>
      <c r="D1209" t="s">
        <v>216</v>
      </c>
      <c r="E1209" t="s">
        <v>304</v>
      </c>
      <c r="F1209" t="s">
        <v>117</v>
      </c>
      <c r="G1209" t="s">
        <v>1324</v>
      </c>
      <c r="H1209" s="9">
        <v>44657</v>
      </c>
      <c r="I1209" t="s">
        <v>306</v>
      </c>
      <c r="J1209" t="s">
        <v>0</v>
      </c>
      <c r="K1209" s="9">
        <v>44711</v>
      </c>
      <c r="L1209" t="s">
        <v>29</v>
      </c>
      <c r="M1209"/>
      <c r="N1209" s="9">
        <v>44686</v>
      </c>
      <c r="O1209"/>
      <c r="P1209"/>
      <c r="Q1209" s="9">
        <v>44711</v>
      </c>
      <c r="R1209"/>
      <c r="S1209"/>
      <c r="T1209"/>
      <c r="U1209"/>
    </row>
    <row r="1210" spans="1:21" hidden="1">
      <c r="A1210" s="7" t="s">
        <v>8740</v>
      </c>
      <c r="B1210" s="7" t="s">
        <v>6627</v>
      </c>
      <c r="C1210" s="8" t="s">
        <v>5317</v>
      </c>
      <c r="D1210" t="s">
        <v>216</v>
      </c>
      <c r="E1210" t="s">
        <v>304</v>
      </c>
      <c r="F1210" t="s">
        <v>117</v>
      </c>
      <c r="G1210" t="s">
        <v>1325</v>
      </c>
      <c r="H1210" s="9">
        <v>44657</v>
      </c>
      <c r="I1210" t="s">
        <v>306</v>
      </c>
      <c r="J1210" t="s">
        <v>0</v>
      </c>
      <c r="K1210" s="9">
        <v>44711</v>
      </c>
      <c r="L1210" t="s">
        <v>29</v>
      </c>
      <c r="M1210"/>
      <c r="N1210" s="9">
        <v>44686</v>
      </c>
      <c r="O1210"/>
      <c r="P1210"/>
      <c r="Q1210" s="9">
        <v>44711</v>
      </c>
      <c r="R1210"/>
      <c r="S1210"/>
      <c r="T1210"/>
      <c r="U1210"/>
    </row>
    <row r="1211" spans="1:21" hidden="1">
      <c r="A1211" s="7" t="s">
        <v>8740</v>
      </c>
      <c r="B1211" s="7" t="s">
        <v>6627</v>
      </c>
      <c r="C1211" s="8" t="s">
        <v>5317</v>
      </c>
      <c r="D1211" t="s">
        <v>216</v>
      </c>
      <c r="E1211" t="s">
        <v>304</v>
      </c>
      <c r="F1211" t="s">
        <v>117</v>
      </c>
      <c r="G1211" t="s">
        <v>1326</v>
      </c>
      <c r="H1211" s="9">
        <v>44657</v>
      </c>
      <c r="I1211" t="s">
        <v>306</v>
      </c>
      <c r="J1211" t="s">
        <v>0</v>
      </c>
      <c r="K1211" s="9">
        <v>44711</v>
      </c>
      <c r="L1211" t="s">
        <v>29</v>
      </c>
      <c r="M1211"/>
      <c r="N1211" s="9">
        <v>44686</v>
      </c>
      <c r="O1211"/>
      <c r="P1211"/>
      <c r="Q1211" s="9">
        <v>44711</v>
      </c>
      <c r="R1211"/>
      <c r="S1211"/>
      <c r="T1211"/>
      <c r="U1211"/>
    </row>
    <row r="1212" spans="1:21" hidden="1">
      <c r="A1212" s="7" t="s">
        <v>8740</v>
      </c>
      <c r="B1212" s="7" t="s">
        <v>6627</v>
      </c>
      <c r="C1212" s="8" t="s">
        <v>5317</v>
      </c>
      <c r="D1212" t="s">
        <v>216</v>
      </c>
      <c r="E1212" t="s">
        <v>304</v>
      </c>
      <c r="F1212" t="s">
        <v>117</v>
      </c>
      <c r="G1212" t="s">
        <v>1327</v>
      </c>
      <c r="H1212" s="9">
        <v>44657</v>
      </c>
      <c r="I1212" t="s">
        <v>306</v>
      </c>
      <c r="J1212" t="s">
        <v>0</v>
      </c>
      <c r="K1212" s="9">
        <v>44711</v>
      </c>
      <c r="L1212" t="s">
        <v>29</v>
      </c>
      <c r="M1212"/>
      <c r="N1212" s="9">
        <v>44686</v>
      </c>
      <c r="O1212"/>
      <c r="P1212"/>
      <c r="Q1212" s="9">
        <v>44711</v>
      </c>
      <c r="R1212"/>
      <c r="S1212"/>
      <c r="T1212"/>
      <c r="U1212"/>
    </row>
    <row r="1213" spans="1:21" hidden="1">
      <c r="A1213" s="7" t="s">
        <v>8740</v>
      </c>
      <c r="B1213" s="7" t="s">
        <v>6627</v>
      </c>
      <c r="C1213" s="8" t="s">
        <v>5317</v>
      </c>
      <c r="D1213" t="s">
        <v>216</v>
      </c>
      <c r="E1213" t="s">
        <v>304</v>
      </c>
      <c r="F1213" t="s">
        <v>117</v>
      </c>
      <c r="G1213" t="s">
        <v>1328</v>
      </c>
      <c r="H1213" s="9">
        <v>44657</v>
      </c>
      <c r="I1213" t="s">
        <v>306</v>
      </c>
      <c r="J1213" t="s">
        <v>0</v>
      </c>
      <c r="K1213" s="9">
        <v>44711</v>
      </c>
      <c r="L1213" t="s">
        <v>29</v>
      </c>
      <c r="M1213"/>
      <c r="N1213" s="9">
        <v>44686</v>
      </c>
      <c r="O1213"/>
      <c r="P1213"/>
      <c r="Q1213" s="9">
        <v>44711</v>
      </c>
      <c r="R1213"/>
      <c r="S1213"/>
      <c r="T1213"/>
      <c r="U1213"/>
    </row>
    <row r="1214" spans="1:21" hidden="1">
      <c r="A1214" s="7" t="s">
        <v>8740</v>
      </c>
      <c r="B1214" s="7" t="s">
        <v>6627</v>
      </c>
      <c r="C1214" s="8" t="s">
        <v>5317</v>
      </c>
      <c r="D1214" t="s">
        <v>216</v>
      </c>
      <c r="E1214" t="s">
        <v>304</v>
      </c>
      <c r="F1214" t="s">
        <v>117</v>
      </c>
      <c r="G1214" t="s">
        <v>1329</v>
      </c>
      <c r="H1214" s="9">
        <v>44657</v>
      </c>
      <c r="I1214" t="s">
        <v>306</v>
      </c>
      <c r="J1214" t="s">
        <v>0</v>
      </c>
      <c r="K1214" s="9">
        <v>44711</v>
      </c>
      <c r="L1214" t="s">
        <v>29</v>
      </c>
      <c r="M1214"/>
      <c r="N1214" s="9">
        <v>44686</v>
      </c>
      <c r="O1214"/>
      <c r="P1214"/>
      <c r="Q1214" s="9">
        <v>44711</v>
      </c>
      <c r="R1214"/>
      <c r="S1214"/>
      <c r="T1214"/>
      <c r="U1214"/>
    </row>
    <row r="1215" spans="1:21" hidden="1">
      <c r="A1215" s="7" t="s">
        <v>8740</v>
      </c>
      <c r="B1215" s="7" t="s">
        <v>6627</v>
      </c>
      <c r="C1215" s="8" t="s">
        <v>5317</v>
      </c>
      <c r="D1215" t="s">
        <v>216</v>
      </c>
      <c r="E1215" t="s">
        <v>304</v>
      </c>
      <c r="F1215" t="s">
        <v>117</v>
      </c>
      <c r="G1215" t="s">
        <v>1330</v>
      </c>
      <c r="H1215" s="9">
        <v>44657</v>
      </c>
      <c r="I1215" t="s">
        <v>306</v>
      </c>
      <c r="J1215" t="s">
        <v>0</v>
      </c>
      <c r="K1215" s="9">
        <v>44711</v>
      </c>
      <c r="L1215" t="s">
        <v>29</v>
      </c>
      <c r="M1215"/>
      <c r="N1215" s="9">
        <v>44686</v>
      </c>
      <c r="O1215"/>
      <c r="P1215"/>
      <c r="Q1215" s="9">
        <v>44711</v>
      </c>
      <c r="R1215"/>
      <c r="S1215"/>
      <c r="T1215"/>
      <c r="U1215"/>
    </row>
    <row r="1216" spans="1:21" hidden="1">
      <c r="A1216" s="7" t="s">
        <v>8740</v>
      </c>
      <c r="B1216" s="7" t="s">
        <v>6627</v>
      </c>
      <c r="C1216" s="8" t="s">
        <v>5317</v>
      </c>
      <c r="D1216" t="s">
        <v>216</v>
      </c>
      <c r="E1216" t="s">
        <v>304</v>
      </c>
      <c r="F1216" t="s">
        <v>117</v>
      </c>
      <c r="G1216" t="s">
        <v>1331</v>
      </c>
      <c r="H1216" s="9">
        <v>44657</v>
      </c>
      <c r="I1216" t="s">
        <v>306</v>
      </c>
      <c r="J1216" t="s">
        <v>0</v>
      </c>
      <c r="K1216" s="9">
        <v>44711</v>
      </c>
      <c r="L1216" t="s">
        <v>29</v>
      </c>
      <c r="M1216"/>
      <c r="N1216" s="9">
        <v>44686</v>
      </c>
      <c r="O1216"/>
      <c r="P1216"/>
      <c r="Q1216" s="9">
        <v>44711</v>
      </c>
      <c r="R1216"/>
      <c r="S1216"/>
      <c r="T1216"/>
      <c r="U1216"/>
    </row>
    <row r="1217" spans="1:21" hidden="1">
      <c r="A1217" s="7" t="s">
        <v>8740</v>
      </c>
      <c r="B1217" s="7" t="s">
        <v>6627</v>
      </c>
      <c r="C1217" s="8" t="s">
        <v>5317</v>
      </c>
      <c r="D1217" t="s">
        <v>216</v>
      </c>
      <c r="E1217" t="s">
        <v>304</v>
      </c>
      <c r="F1217" t="s">
        <v>117</v>
      </c>
      <c r="G1217" t="s">
        <v>1332</v>
      </c>
      <c r="H1217" s="9">
        <v>44657</v>
      </c>
      <c r="I1217" t="s">
        <v>306</v>
      </c>
      <c r="J1217" t="s">
        <v>0</v>
      </c>
      <c r="K1217" s="9">
        <v>44711</v>
      </c>
      <c r="L1217" t="s">
        <v>29</v>
      </c>
      <c r="M1217"/>
      <c r="N1217" s="9">
        <v>44686</v>
      </c>
      <c r="O1217"/>
      <c r="P1217"/>
      <c r="Q1217" s="9">
        <v>44711</v>
      </c>
      <c r="R1217"/>
      <c r="S1217"/>
      <c r="T1217"/>
      <c r="U1217"/>
    </row>
    <row r="1218" spans="1:21" hidden="1">
      <c r="A1218" s="7" t="s">
        <v>8740</v>
      </c>
      <c r="B1218" s="7" t="s">
        <v>6627</v>
      </c>
      <c r="C1218" s="8" t="s">
        <v>5317</v>
      </c>
      <c r="D1218" t="s">
        <v>216</v>
      </c>
      <c r="E1218" t="s">
        <v>304</v>
      </c>
      <c r="F1218" t="s">
        <v>117</v>
      </c>
      <c r="G1218" t="s">
        <v>1333</v>
      </c>
      <c r="H1218" s="9">
        <v>44657</v>
      </c>
      <c r="I1218" t="s">
        <v>306</v>
      </c>
      <c r="J1218" t="s">
        <v>0</v>
      </c>
      <c r="K1218" s="9">
        <v>44711</v>
      </c>
      <c r="L1218" t="s">
        <v>29</v>
      </c>
      <c r="M1218"/>
      <c r="N1218" s="9">
        <v>44686</v>
      </c>
      <c r="O1218"/>
      <c r="P1218"/>
      <c r="Q1218" s="9">
        <v>44711</v>
      </c>
      <c r="R1218"/>
      <c r="S1218"/>
      <c r="T1218"/>
      <c r="U1218"/>
    </row>
    <row r="1219" spans="1:21" hidden="1">
      <c r="A1219" s="7" t="s">
        <v>8740</v>
      </c>
      <c r="B1219" s="7" t="s">
        <v>6627</v>
      </c>
      <c r="C1219" s="8" t="s">
        <v>5317</v>
      </c>
      <c r="D1219" t="s">
        <v>216</v>
      </c>
      <c r="E1219" t="s">
        <v>304</v>
      </c>
      <c r="F1219" t="s">
        <v>117</v>
      </c>
      <c r="G1219" t="s">
        <v>1334</v>
      </c>
      <c r="H1219" s="9">
        <v>44657</v>
      </c>
      <c r="I1219" t="s">
        <v>306</v>
      </c>
      <c r="J1219" t="s">
        <v>0</v>
      </c>
      <c r="K1219" s="9">
        <v>44711</v>
      </c>
      <c r="L1219" t="s">
        <v>29</v>
      </c>
      <c r="M1219"/>
      <c r="N1219" s="9">
        <v>44686</v>
      </c>
      <c r="O1219"/>
      <c r="P1219"/>
      <c r="Q1219" s="9">
        <v>44711</v>
      </c>
      <c r="R1219"/>
      <c r="S1219"/>
      <c r="T1219"/>
      <c r="U1219"/>
    </row>
    <row r="1220" spans="1:21" hidden="1">
      <c r="A1220" s="7" t="s">
        <v>8740</v>
      </c>
      <c r="B1220" s="7" t="s">
        <v>6627</v>
      </c>
      <c r="C1220" s="8" t="s">
        <v>5317</v>
      </c>
      <c r="D1220" t="s">
        <v>216</v>
      </c>
      <c r="E1220" t="s">
        <v>304</v>
      </c>
      <c r="F1220" t="s">
        <v>117</v>
      </c>
      <c r="G1220" t="s">
        <v>1335</v>
      </c>
      <c r="H1220" s="9">
        <v>44657</v>
      </c>
      <c r="I1220" t="s">
        <v>306</v>
      </c>
      <c r="J1220" t="s">
        <v>0</v>
      </c>
      <c r="K1220" s="9">
        <v>44711</v>
      </c>
      <c r="L1220" t="s">
        <v>29</v>
      </c>
      <c r="M1220"/>
      <c r="N1220" s="9">
        <v>44686</v>
      </c>
      <c r="O1220"/>
      <c r="P1220"/>
      <c r="Q1220" s="9">
        <v>44711</v>
      </c>
      <c r="R1220"/>
      <c r="S1220"/>
      <c r="T1220"/>
      <c r="U1220"/>
    </row>
    <row r="1221" spans="1:21" hidden="1">
      <c r="A1221" s="7" t="s">
        <v>8740</v>
      </c>
      <c r="B1221" s="7" t="s">
        <v>6627</v>
      </c>
      <c r="C1221" s="8" t="s">
        <v>5317</v>
      </c>
      <c r="D1221" t="s">
        <v>216</v>
      </c>
      <c r="E1221" t="s">
        <v>304</v>
      </c>
      <c r="F1221" t="s">
        <v>117</v>
      </c>
      <c r="G1221" t="s">
        <v>1336</v>
      </c>
      <c r="H1221" s="9">
        <v>44657</v>
      </c>
      <c r="I1221" t="s">
        <v>306</v>
      </c>
      <c r="J1221" t="s">
        <v>0</v>
      </c>
      <c r="K1221" s="9">
        <v>44711</v>
      </c>
      <c r="L1221" t="s">
        <v>29</v>
      </c>
      <c r="M1221"/>
      <c r="N1221" s="9">
        <v>44686</v>
      </c>
      <c r="O1221"/>
      <c r="P1221"/>
      <c r="Q1221" s="9">
        <v>44711</v>
      </c>
      <c r="R1221"/>
      <c r="S1221"/>
      <c r="T1221"/>
      <c r="U1221"/>
    </row>
    <row r="1222" spans="1:21" hidden="1">
      <c r="A1222" s="7" t="s">
        <v>8740</v>
      </c>
      <c r="B1222" s="7" t="s">
        <v>6627</v>
      </c>
      <c r="C1222" s="8" t="s">
        <v>5317</v>
      </c>
      <c r="D1222" t="s">
        <v>216</v>
      </c>
      <c r="E1222" t="s">
        <v>304</v>
      </c>
      <c r="F1222" t="s">
        <v>117</v>
      </c>
      <c r="G1222" t="s">
        <v>1337</v>
      </c>
      <c r="H1222" s="9">
        <v>44657</v>
      </c>
      <c r="I1222" t="s">
        <v>306</v>
      </c>
      <c r="J1222" t="s">
        <v>0</v>
      </c>
      <c r="K1222" s="9">
        <v>44711</v>
      </c>
      <c r="L1222" t="s">
        <v>29</v>
      </c>
      <c r="M1222"/>
      <c r="N1222" s="9">
        <v>44686</v>
      </c>
      <c r="O1222"/>
      <c r="P1222"/>
      <c r="Q1222" s="9">
        <v>44711</v>
      </c>
      <c r="R1222"/>
      <c r="S1222"/>
      <c r="T1222"/>
      <c r="U1222"/>
    </row>
    <row r="1223" spans="1:21" hidden="1">
      <c r="A1223" s="7" t="s">
        <v>8740</v>
      </c>
      <c r="B1223" s="7" t="s">
        <v>6627</v>
      </c>
      <c r="C1223" s="8" t="s">
        <v>5317</v>
      </c>
      <c r="D1223" t="s">
        <v>216</v>
      </c>
      <c r="E1223" t="s">
        <v>304</v>
      </c>
      <c r="F1223" t="s">
        <v>117</v>
      </c>
      <c r="G1223" t="s">
        <v>1338</v>
      </c>
      <c r="H1223" s="9">
        <v>44657</v>
      </c>
      <c r="I1223" t="s">
        <v>306</v>
      </c>
      <c r="J1223" t="s">
        <v>0</v>
      </c>
      <c r="K1223" s="9">
        <v>44711</v>
      </c>
      <c r="L1223" t="s">
        <v>29</v>
      </c>
      <c r="M1223"/>
      <c r="N1223" s="9">
        <v>44686</v>
      </c>
      <c r="O1223"/>
      <c r="P1223"/>
      <c r="Q1223" s="9">
        <v>44711</v>
      </c>
      <c r="R1223"/>
      <c r="S1223"/>
      <c r="T1223"/>
      <c r="U1223"/>
    </row>
    <row r="1224" spans="1:21" hidden="1">
      <c r="A1224" s="7" t="s">
        <v>8740</v>
      </c>
      <c r="B1224" s="7" t="s">
        <v>6627</v>
      </c>
      <c r="C1224" s="8" t="s">
        <v>5317</v>
      </c>
      <c r="D1224" t="s">
        <v>216</v>
      </c>
      <c r="E1224" t="s">
        <v>304</v>
      </c>
      <c r="F1224" t="s">
        <v>117</v>
      </c>
      <c r="G1224" t="s">
        <v>1339</v>
      </c>
      <c r="H1224" s="9">
        <v>44657</v>
      </c>
      <c r="I1224" t="s">
        <v>306</v>
      </c>
      <c r="J1224" t="s">
        <v>0</v>
      </c>
      <c r="K1224" s="9">
        <v>44711</v>
      </c>
      <c r="L1224" t="s">
        <v>29</v>
      </c>
      <c r="M1224"/>
      <c r="N1224" s="9">
        <v>44686</v>
      </c>
      <c r="O1224"/>
      <c r="P1224"/>
      <c r="Q1224" s="9">
        <v>44711</v>
      </c>
      <c r="R1224"/>
      <c r="S1224"/>
      <c r="T1224"/>
      <c r="U1224"/>
    </row>
    <row r="1225" spans="1:21" hidden="1">
      <c r="A1225" s="7" t="s">
        <v>8740</v>
      </c>
      <c r="B1225" s="7" t="s">
        <v>6627</v>
      </c>
      <c r="C1225" s="8" t="s">
        <v>5317</v>
      </c>
      <c r="D1225" t="s">
        <v>216</v>
      </c>
      <c r="E1225" t="s">
        <v>304</v>
      </c>
      <c r="F1225" t="s">
        <v>117</v>
      </c>
      <c r="G1225" t="s">
        <v>1340</v>
      </c>
      <c r="H1225" s="9">
        <v>44657</v>
      </c>
      <c r="I1225" t="s">
        <v>306</v>
      </c>
      <c r="J1225" t="s">
        <v>0</v>
      </c>
      <c r="K1225" s="9">
        <v>44711</v>
      </c>
      <c r="L1225" t="s">
        <v>29</v>
      </c>
      <c r="M1225"/>
      <c r="N1225" s="9">
        <v>44686</v>
      </c>
      <c r="O1225"/>
      <c r="P1225"/>
      <c r="Q1225" s="9">
        <v>44711</v>
      </c>
      <c r="R1225"/>
      <c r="S1225"/>
      <c r="T1225"/>
      <c r="U1225"/>
    </row>
    <row r="1226" spans="1:21" hidden="1">
      <c r="A1226" s="7" t="s">
        <v>8740</v>
      </c>
      <c r="B1226" s="7" t="s">
        <v>6627</v>
      </c>
      <c r="C1226" s="8" t="s">
        <v>5317</v>
      </c>
      <c r="D1226" t="s">
        <v>216</v>
      </c>
      <c r="E1226" t="s">
        <v>304</v>
      </c>
      <c r="F1226" t="s">
        <v>117</v>
      </c>
      <c r="G1226" t="s">
        <v>1341</v>
      </c>
      <c r="H1226" s="9">
        <v>44657</v>
      </c>
      <c r="I1226" t="s">
        <v>306</v>
      </c>
      <c r="J1226" t="s">
        <v>0</v>
      </c>
      <c r="K1226" s="9">
        <v>44711</v>
      </c>
      <c r="L1226" t="s">
        <v>29</v>
      </c>
      <c r="M1226"/>
      <c r="N1226" s="9">
        <v>44686</v>
      </c>
      <c r="O1226"/>
      <c r="P1226"/>
      <c r="Q1226" s="9">
        <v>44711</v>
      </c>
      <c r="R1226"/>
      <c r="S1226"/>
      <c r="T1226"/>
      <c r="U1226"/>
    </row>
    <row r="1227" spans="1:21" hidden="1">
      <c r="A1227" s="7" t="s">
        <v>8740</v>
      </c>
      <c r="B1227" s="7" t="s">
        <v>6627</v>
      </c>
      <c r="C1227" s="8" t="s">
        <v>5317</v>
      </c>
      <c r="D1227" t="s">
        <v>216</v>
      </c>
      <c r="E1227" t="s">
        <v>304</v>
      </c>
      <c r="F1227" t="s">
        <v>117</v>
      </c>
      <c r="G1227" t="s">
        <v>1342</v>
      </c>
      <c r="H1227" s="9">
        <v>44657</v>
      </c>
      <c r="I1227" t="s">
        <v>306</v>
      </c>
      <c r="J1227" t="s">
        <v>0</v>
      </c>
      <c r="K1227" s="9">
        <v>44711</v>
      </c>
      <c r="L1227" t="s">
        <v>29</v>
      </c>
      <c r="M1227"/>
      <c r="N1227" s="9">
        <v>44686</v>
      </c>
      <c r="O1227"/>
      <c r="P1227"/>
      <c r="Q1227" s="9">
        <v>44711</v>
      </c>
      <c r="R1227"/>
      <c r="S1227"/>
      <c r="T1227"/>
      <c r="U1227"/>
    </row>
    <row r="1228" spans="1:21" hidden="1">
      <c r="A1228" s="7" t="s">
        <v>8740</v>
      </c>
      <c r="B1228" s="7" t="s">
        <v>6627</v>
      </c>
      <c r="C1228" s="8" t="s">
        <v>5317</v>
      </c>
      <c r="D1228" t="s">
        <v>216</v>
      </c>
      <c r="E1228" t="s">
        <v>304</v>
      </c>
      <c r="F1228" t="s">
        <v>117</v>
      </c>
      <c r="G1228" t="s">
        <v>1343</v>
      </c>
      <c r="H1228" s="9">
        <v>44657</v>
      </c>
      <c r="I1228" t="s">
        <v>306</v>
      </c>
      <c r="J1228" t="s">
        <v>0</v>
      </c>
      <c r="K1228" s="9">
        <v>44711</v>
      </c>
      <c r="L1228" t="s">
        <v>29</v>
      </c>
      <c r="M1228"/>
      <c r="N1228" s="9">
        <v>44686</v>
      </c>
      <c r="O1228"/>
      <c r="P1228"/>
      <c r="Q1228" s="9">
        <v>44711</v>
      </c>
      <c r="R1228"/>
      <c r="S1228"/>
      <c r="T1228"/>
      <c r="U1228"/>
    </row>
    <row r="1229" spans="1:21" hidden="1">
      <c r="A1229" s="7" t="s">
        <v>8740</v>
      </c>
      <c r="B1229" s="7" t="s">
        <v>6627</v>
      </c>
      <c r="C1229" s="8" t="s">
        <v>5317</v>
      </c>
      <c r="D1229" t="s">
        <v>216</v>
      </c>
      <c r="E1229" t="s">
        <v>304</v>
      </c>
      <c r="F1229" t="s">
        <v>117</v>
      </c>
      <c r="G1229" t="s">
        <v>1344</v>
      </c>
      <c r="H1229" s="9">
        <v>44657</v>
      </c>
      <c r="I1229" t="s">
        <v>306</v>
      </c>
      <c r="J1229" t="s">
        <v>0</v>
      </c>
      <c r="K1229" s="9">
        <v>44711</v>
      </c>
      <c r="L1229" t="s">
        <v>29</v>
      </c>
      <c r="M1229"/>
      <c r="N1229" s="9">
        <v>44686</v>
      </c>
      <c r="O1229"/>
      <c r="P1229"/>
      <c r="Q1229" s="9">
        <v>44711</v>
      </c>
      <c r="R1229"/>
      <c r="S1229"/>
      <c r="T1229"/>
      <c r="U1229"/>
    </row>
    <row r="1230" spans="1:21" hidden="1">
      <c r="A1230" s="7" t="s">
        <v>8740</v>
      </c>
      <c r="B1230" s="7" t="s">
        <v>6627</v>
      </c>
      <c r="C1230" s="8" t="s">
        <v>5317</v>
      </c>
      <c r="D1230" t="s">
        <v>216</v>
      </c>
      <c r="E1230" t="s">
        <v>304</v>
      </c>
      <c r="F1230" t="s">
        <v>117</v>
      </c>
      <c r="G1230" t="s">
        <v>1345</v>
      </c>
      <c r="H1230" s="9">
        <v>44657</v>
      </c>
      <c r="I1230" t="s">
        <v>306</v>
      </c>
      <c r="J1230" t="s">
        <v>0</v>
      </c>
      <c r="K1230" s="9">
        <v>44711</v>
      </c>
      <c r="L1230" t="s">
        <v>29</v>
      </c>
      <c r="M1230"/>
      <c r="N1230" s="9">
        <v>44686</v>
      </c>
      <c r="O1230"/>
      <c r="P1230"/>
      <c r="Q1230" s="9">
        <v>44711</v>
      </c>
      <c r="R1230"/>
      <c r="S1230"/>
      <c r="T1230"/>
      <c r="U1230"/>
    </row>
    <row r="1231" spans="1:21" hidden="1">
      <c r="A1231" s="7" t="s">
        <v>8740</v>
      </c>
      <c r="B1231" s="7" t="s">
        <v>6627</v>
      </c>
      <c r="C1231" s="8" t="s">
        <v>5317</v>
      </c>
      <c r="D1231" t="s">
        <v>216</v>
      </c>
      <c r="E1231" t="s">
        <v>304</v>
      </c>
      <c r="F1231" t="s">
        <v>117</v>
      </c>
      <c r="G1231" t="s">
        <v>1346</v>
      </c>
      <c r="H1231" s="9">
        <v>44657</v>
      </c>
      <c r="I1231" t="s">
        <v>306</v>
      </c>
      <c r="J1231" t="s">
        <v>0</v>
      </c>
      <c r="K1231" s="9">
        <v>44711</v>
      </c>
      <c r="L1231" t="s">
        <v>29</v>
      </c>
      <c r="M1231"/>
      <c r="N1231" s="9">
        <v>44686</v>
      </c>
      <c r="O1231"/>
      <c r="P1231"/>
      <c r="Q1231" s="9">
        <v>44711</v>
      </c>
      <c r="R1231"/>
      <c r="S1231"/>
      <c r="T1231"/>
      <c r="U1231"/>
    </row>
    <row r="1232" spans="1:21" hidden="1">
      <c r="A1232" s="7" t="s">
        <v>8740</v>
      </c>
      <c r="B1232" s="7" t="s">
        <v>6627</v>
      </c>
      <c r="C1232" s="8" t="s">
        <v>5317</v>
      </c>
      <c r="D1232" t="s">
        <v>216</v>
      </c>
      <c r="E1232" t="s">
        <v>304</v>
      </c>
      <c r="F1232" t="s">
        <v>117</v>
      </c>
      <c r="G1232" t="s">
        <v>1347</v>
      </c>
      <c r="H1232" s="9">
        <v>44657</v>
      </c>
      <c r="I1232" t="s">
        <v>306</v>
      </c>
      <c r="J1232" t="s">
        <v>0</v>
      </c>
      <c r="K1232" s="9">
        <v>44711</v>
      </c>
      <c r="L1232" t="s">
        <v>29</v>
      </c>
      <c r="M1232"/>
      <c r="N1232" s="9">
        <v>44686</v>
      </c>
      <c r="O1232"/>
      <c r="P1232"/>
      <c r="Q1232" s="9">
        <v>44711</v>
      </c>
      <c r="R1232"/>
      <c r="S1232"/>
      <c r="T1232"/>
      <c r="U1232"/>
    </row>
    <row r="1233" spans="1:21" hidden="1">
      <c r="A1233" s="7" t="s">
        <v>8740</v>
      </c>
      <c r="B1233" s="7" t="s">
        <v>6627</v>
      </c>
      <c r="C1233" s="8" t="s">
        <v>5317</v>
      </c>
      <c r="D1233" t="s">
        <v>216</v>
      </c>
      <c r="E1233" t="s">
        <v>304</v>
      </c>
      <c r="F1233" t="s">
        <v>117</v>
      </c>
      <c r="G1233" t="s">
        <v>1348</v>
      </c>
      <c r="H1233" s="9">
        <v>44657</v>
      </c>
      <c r="I1233" t="s">
        <v>306</v>
      </c>
      <c r="J1233" t="s">
        <v>0</v>
      </c>
      <c r="K1233" s="9">
        <v>44711</v>
      </c>
      <c r="L1233" t="s">
        <v>29</v>
      </c>
      <c r="M1233"/>
      <c r="N1233" s="9">
        <v>44686</v>
      </c>
      <c r="O1233"/>
      <c r="P1233"/>
      <c r="Q1233" s="9">
        <v>44711</v>
      </c>
      <c r="R1233"/>
      <c r="S1233"/>
      <c r="T1233"/>
      <c r="U1233"/>
    </row>
    <row r="1234" spans="1:21" hidden="1">
      <c r="A1234" s="7" t="s">
        <v>8740</v>
      </c>
      <c r="B1234" s="7" t="s">
        <v>6627</v>
      </c>
      <c r="C1234" s="8" t="s">
        <v>5317</v>
      </c>
      <c r="D1234" t="s">
        <v>216</v>
      </c>
      <c r="E1234" t="s">
        <v>304</v>
      </c>
      <c r="F1234" t="s">
        <v>117</v>
      </c>
      <c r="G1234" t="s">
        <v>1349</v>
      </c>
      <c r="H1234" s="9">
        <v>44657</v>
      </c>
      <c r="I1234" t="s">
        <v>306</v>
      </c>
      <c r="J1234" t="s">
        <v>0</v>
      </c>
      <c r="K1234" s="9">
        <v>44711</v>
      </c>
      <c r="L1234" t="s">
        <v>29</v>
      </c>
      <c r="M1234"/>
      <c r="N1234" s="9">
        <v>44686</v>
      </c>
      <c r="O1234"/>
      <c r="P1234"/>
      <c r="Q1234" s="9">
        <v>44711</v>
      </c>
      <c r="R1234"/>
      <c r="S1234"/>
      <c r="T1234"/>
      <c r="U1234"/>
    </row>
    <row r="1235" spans="1:21" hidden="1">
      <c r="A1235" s="7" t="s">
        <v>8740</v>
      </c>
      <c r="B1235" s="7" t="s">
        <v>6627</v>
      </c>
      <c r="C1235" s="8" t="s">
        <v>5317</v>
      </c>
      <c r="D1235" t="s">
        <v>216</v>
      </c>
      <c r="E1235" t="s">
        <v>304</v>
      </c>
      <c r="F1235" t="s">
        <v>117</v>
      </c>
      <c r="G1235" t="s">
        <v>1350</v>
      </c>
      <c r="H1235" s="9">
        <v>44657</v>
      </c>
      <c r="I1235" t="s">
        <v>306</v>
      </c>
      <c r="J1235" t="s">
        <v>0</v>
      </c>
      <c r="K1235" s="9">
        <v>44711</v>
      </c>
      <c r="L1235" t="s">
        <v>29</v>
      </c>
      <c r="M1235"/>
      <c r="N1235" s="9">
        <v>44686</v>
      </c>
      <c r="O1235"/>
      <c r="P1235"/>
      <c r="Q1235" s="9">
        <v>44711</v>
      </c>
      <c r="R1235"/>
      <c r="S1235"/>
      <c r="T1235"/>
      <c r="U1235"/>
    </row>
    <row r="1236" spans="1:21" hidden="1">
      <c r="A1236" s="7" t="s">
        <v>8740</v>
      </c>
      <c r="B1236" s="7" t="s">
        <v>6627</v>
      </c>
      <c r="C1236" s="8" t="s">
        <v>5317</v>
      </c>
      <c r="D1236" t="s">
        <v>216</v>
      </c>
      <c r="E1236" t="s">
        <v>304</v>
      </c>
      <c r="F1236" t="s">
        <v>117</v>
      </c>
      <c r="G1236" t="s">
        <v>1351</v>
      </c>
      <c r="H1236" s="9">
        <v>44657</v>
      </c>
      <c r="I1236" t="s">
        <v>306</v>
      </c>
      <c r="J1236" t="s">
        <v>0</v>
      </c>
      <c r="K1236" s="9">
        <v>44711</v>
      </c>
      <c r="L1236" t="s">
        <v>29</v>
      </c>
      <c r="M1236"/>
      <c r="N1236" s="9">
        <v>44686</v>
      </c>
      <c r="O1236"/>
      <c r="P1236"/>
      <c r="Q1236" s="9">
        <v>44711</v>
      </c>
      <c r="R1236"/>
      <c r="S1236"/>
      <c r="T1236"/>
      <c r="U1236"/>
    </row>
    <row r="1237" spans="1:21" hidden="1">
      <c r="A1237" s="7" t="s">
        <v>8740</v>
      </c>
      <c r="B1237" s="7" t="s">
        <v>6627</v>
      </c>
      <c r="C1237" s="8" t="s">
        <v>5317</v>
      </c>
      <c r="D1237" t="s">
        <v>216</v>
      </c>
      <c r="E1237" t="s">
        <v>304</v>
      </c>
      <c r="F1237" t="s">
        <v>117</v>
      </c>
      <c r="G1237" t="s">
        <v>1352</v>
      </c>
      <c r="H1237" s="9">
        <v>44657</v>
      </c>
      <c r="I1237" t="s">
        <v>306</v>
      </c>
      <c r="J1237" t="s">
        <v>0</v>
      </c>
      <c r="K1237" s="9">
        <v>44711</v>
      </c>
      <c r="L1237" t="s">
        <v>29</v>
      </c>
      <c r="M1237"/>
      <c r="N1237" s="9">
        <v>44686</v>
      </c>
      <c r="O1237"/>
      <c r="P1237"/>
      <c r="Q1237" s="9">
        <v>44711</v>
      </c>
      <c r="R1237"/>
      <c r="S1237"/>
      <c r="T1237"/>
      <c r="U1237"/>
    </row>
    <row r="1238" spans="1:21" hidden="1">
      <c r="A1238" s="7" t="s">
        <v>8740</v>
      </c>
      <c r="B1238" s="7" t="s">
        <v>6627</v>
      </c>
      <c r="C1238" s="8" t="s">
        <v>5317</v>
      </c>
      <c r="D1238" t="s">
        <v>216</v>
      </c>
      <c r="E1238" t="s">
        <v>304</v>
      </c>
      <c r="F1238" t="s">
        <v>117</v>
      </c>
      <c r="G1238" t="s">
        <v>1353</v>
      </c>
      <c r="H1238" s="9">
        <v>44657</v>
      </c>
      <c r="I1238" t="s">
        <v>306</v>
      </c>
      <c r="J1238" t="s">
        <v>0</v>
      </c>
      <c r="K1238" s="9">
        <v>44711</v>
      </c>
      <c r="L1238" t="s">
        <v>29</v>
      </c>
      <c r="M1238"/>
      <c r="N1238" s="9">
        <v>44686</v>
      </c>
      <c r="O1238"/>
      <c r="P1238"/>
      <c r="Q1238" s="9">
        <v>44711</v>
      </c>
      <c r="R1238"/>
      <c r="S1238"/>
      <c r="T1238"/>
      <c r="U1238"/>
    </row>
    <row r="1239" spans="1:21" hidden="1">
      <c r="A1239" s="7" t="s">
        <v>8740</v>
      </c>
      <c r="B1239" s="7" t="s">
        <v>6627</v>
      </c>
      <c r="C1239" s="8" t="s">
        <v>5317</v>
      </c>
      <c r="D1239" t="s">
        <v>216</v>
      </c>
      <c r="E1239" t="s">
        <v>304</v>
      </c>
      <c r="F1239" t="s">
        <v>117</v>
      </c>
      <c r="G1239" t="s">
        <v>1354</v>
      </c>
      <c r="H1239" s="9">
        <v>44657</v>
      </c>
      <c r="I1239" t="s">
        <v>306</v>
      </c>
      <c r="J1239" t="s">
        <v>0</v>
      </c>
      <c r="K1239" s="9">
        <v>44711</v>
      </c>
      <c r="L1239" t="s">
        <v>29</v>
      </c>
      <c r="M1239"/>
      <c r="N1239" s="9">
        <v>44686</v>
      </c>
      <c r="O1239"/>
      <c r="P1239"/>
      <c r="Q1239" s="9">
        <v>44711</v>
      </c>
      <c r="R1239"/>
      <c r="S1239"/>
      <c r="T1239"/>
      <c r="U1239"/>
    </row>
    <row r="1240" spans="1:21" hidden="1">
      <c r="A1240" s="7" t="s">
        <v>8740</v>
      </c>
      <c r="B1240" s="7" t="s">
        <v>6627</v>
      </c>
      <c r="C1240" s="8" t="s">
        <v>5317</v>
      </c>
      <c r="D1240" t="s">
        <v>216</v>
      </c>
      <c r="E1240" t="s">
        <v>304</v>
      </c>
      <c r="F1240" t="s">
        <v>117</v>
      </c>
      <c r="G1240" t="s">
        <v>1355</v>
      </c>
      <c r="H1240" s="9">
        <v>44657</v>
      </c>
      <c r="I1240" t="s">
        <v>306</v>
      </c>
      <c r="J1240" t="s">
        <v>0</v>
      </c>
      <c r="K1240" s="9">
        <v>44711</v>
      </c>
      <c r="L1240" t="s">
        <v>29</v>
      </c>
      <c r="M1240"/>
      <c r="N1240" s="9">
        <v>44686</v>
      </c>
      <c r="O1240"/>
      <c r="P1240"/>
      <c r="Q1240" s="9">
        <v>44711</v>
      </c>
      <c r="R1240"/>
      <c r="S1240"/>
      <c r="T1240"/>
      <c r="U1240"/>
    </row>
    <row r="1241" spans="1:21" hidden="1">
      <c r="A1241" s="7" t="s">
        <v>8740</v>
      </c>
      <c r="B1241" s="7" t="s">
        <v>6627</v>
      </c>
      <c r="C1241" s="8" t="s">
        <v>5317</v>
      </c>
      <c r="D1241" t="s">
        <v>216</v>
      </c>
      <c r="E1241" t="s">
        <v>304</v>
      </c>
      <c r="F1241" t="s">
        <v>117</v>
      </c>
      <c r="G1241" t="s">
        <v>1356</v>
      </c>
      <c r="H1241" s="9">
        <v>44657</v>
      </c>
      <c r="I1241" t="s">
        <v>306</v>
      </c>
      <c r="J1241" t="s">
        <v>0</v>
      </c>
      <c r="K1241" s="9">
        <v>44711</v>
      </c>
      <c r="L1241" t="s">
        <v>29</v>
      </c>
      <c r="M1241"/>
      <c r="N1241" s="9">
        <v>44686</v>
      </c>
      <c r="O1241"/>
      <c r="P1241"/>
      <c r="Q1241" s="9">
        <v>44711</v>
      </c>
      <c r="R1241"/>
      <c r="S1241"/>
      <c r="T1241"/>
      <c r="U1241"/>
    </row>
    <row r="1242" spans="1:21" hidden="1">
      <c r="A1242" s="7" t="s">
        <v>8740</v>
      </c>
      <c r="B1242" s="7" t="s">
        <v>6627</v>
      </c>
      <c r="C1242" s="8" t="s">
        <v>5317</v>
      </c>
      <c r="D1242" t="s">
        <v>216</v>
      </c>
      <c r="E1242" t="s">
        <v>304</v>
      </c>
      <c r="F1242" t="s">
        <v>117</v>
      </c>
      <c r="G1242" t="s">
        <v>1357</v>
      </c>
      <c r="H1242" s="9">
        <v>44657</v>
      </c>
      <c r="I1242" t="s">
        <v>306</v>
      </c>
      <c r="J1242" t="s">
        <v>0</v>
      </c>
      <c r="K1242" s="9">
        <v>44711</v>
      </c>
      <c r="L1242" t="s">
        <v>29</v>
      </c>
      <c r="M1242"/>
      <c r="N1242" s="9">
        <v>44686</v>
      </c>
      <c r="O1242"/>
      <c r="P1242"/>
      <c r="Q1242" s="9">
        <v>44711</v>
      </c>
      <c r="R1242"/>
      <c r="S1242"/>
      <c r="T1242"/>
      <c r="U1242"/>
    </row>
    <row r="1243" spans="1:21" hidden="1">
      <c r="A1243" s="7" t="s">
        <v>8740</v>
      </c>
      <c r="B1243" s="7" t="s">
        <v>6627</v>
      </c>
      <c r="C1243" s="8" t="s">
        <v>5317</v>
      </c>
      <c r="D1243" t="s">
        <v>216</v>
      </c>
      <c r="E1243" t="s">
        <v>304</v>
      </c>
      <c r="F1243" t="s">
        <v>117</v>
      </c>
      <c r="G1243" t="s">
        <v>1358</v>
      </c>
      <c r="H1243" s="9">
        <v>44657</v>
      </c>
      <c r="I1243" t="s">
        <v>306</v>
      </c>
      <c r="J1243" t="s">
        <v>0</v>
      </c>
      <c r="K1243" s="9">
        <v>44711</v>
      </c>
      <c r="L1243" t="s">
        <v>29</v>
      </c>
      <c r="M1243"/>
      <c r="N1243" s="9">
        <v>44686</v>
      </c>
      <c r="O1243"/>
      <c r="P1243"/>
      <c r="Q1243" s="9">
        <v>44711</v>
      </c>
      <c r="R1243"/>
      <c r="S1243"/>
      <c r="T1243"/>
      <c r="U1243"/>
    </row>
    <row r="1244" spans="1:21" hidden="1">
      <c r="A1244" s="7" t="s">
        <v>8740</v>
      </c>
      <c r="B1244" s="7" t="s">
        <v>6627</v>
      </c>
      <c r="C1244" s="8" t="s">
        <v>5317</v>
      </c>
      <c r="D1244" t="s">
        <v>216</v>
      </c>
      <c r="E1244" t="s">
        <v>304</v>
      </c>
      <c r="F1244" t="s">
        <v>117</v>
      </c>
      <c r="G1244" t="s">
        <v>1359</v>
      </c>
      <c r="H1244" s="9">
        <v>44657</v>
      </c>
      <c r="I1244" t="s">
        <v>306</v>
      </c>
      <c r="J1244" t="s">
        <v>0</v>
      </c>
      <c r="K1244" s="9">
        <v>44711</v>
      </c>
      <c r="L1244" t="s">
        <v>29</v>
      </c>
      <c r="M1244"/>
      <c r="N1244" s="9">
        <v>44686</v>
      </c>
      <c r="O1244"/>
      <c r="P1244"/>
      <c r="Q1244" s="9">
        <v>44711</v>
      </c>
      <c r="R1244"/>
      <c r="S1244"/>
      <c r="T1244"/>
      <c r="U1244"/>
    </row>
    <row r="1245" spans="1:21" hidden="1">
      <c r="A1245" s="7" t="s">
        <v>8740</v>
      </c>
      <c r="B1245" s="7" t="s">
        <v>6627</v>
      </c>
      <c r="C1245" s="8" t="s">
        <v>5317</v>
      </c>
      <c r="D1245" t="s">
        <v>216</v>
      </c>
      <c r="E1245" t="s">
        <v>304</v>
      </c>
      <c r="F1245" t="s">
        <v>117</v>
      </c>
      <c r="G1245" t="s">
        <v>1360</v>
      </c>
      <c r="H1245" s="9">
        <v>44657</v>
      </c>
      <c r="I1245" t="s">
        <v>306</v>
      </c>
      <c r="J1245" t="s">
        <v>0</v>
      </c>
      <c r="K1245" s="9">
        <v>44711</v>
      </c>
      <c r="L1245" t="s">
        <v>29</v>
      </c>
      <c r="M1245"/>
      <c r="N1245" s="9">
        <v>44686</v>
      </c>
      <c r="O1245"/>
      <c r="P1245"/>
      <c r="Q1245" s="9">
        <v>44711</v>
      </c>
      <c r="R1245"/>
      <c r="S1245"/>
      <c r="T1245"/>
      <c r="U1245"/>
    </row>
    <row r="1246" spans="1:21" hidden="1">
      <c r="A1246" s="7" t="s">
        <v>8740</v>
      </c>
      <c r="B1246" s="7" t="s">
        <v>6627</v>
      </c>
      <c r="C1246" s="8" t="s">
        <v>5317</v>
      </c>
      <c r="D1246" t="s">
        <v>216</v>
      </c>
      <c r="E1246" t="s">
        <v>304</v>
      </c>
      <c r="F1246" t="s">
        <v>117</v>
      </c>
      <c r="G1246" t="s">
        <v>1361</v>
      </c>
      <c r="H1246" s="9">
        <v>44657</v>
      </c>
      <c r="I1246" t="s">
        <v>306</v>
      </c>
      <c r="J1246" t="s">
        <v>0</v>
      </c>
      <c r="K1246" s="9">
        <v>44711</v>
      </c>
      <c r="L1246" t="s">
        <v>29</v>
      </c>
      <c r="M1246"/>
      <c r="N1246" s="9">
        <v>44686</v>
      </c>
      <c r="O1246"/>
      <c r="P1246"/>
      <c r="Q1246" s="9">
        <v>44711</v>
      </c>
      <c r="R1246"/>
      <c r="S1246"/>
      <c r="T1246"/>
      <c r="U1246"/>
    </row>
    <row r="1247" spans="1:21" hidden="1">
      <c r="A1247" s="7" t="s">
        <v>8740</v>
      </c>
      <c r="B1247" s="7" t="s">
        <v>6627</v>
      </c>
      <c r="C1247" s="8" t="s">
        <v>5317</v>
      </c>
      <c r="D1247" t="s">
        <v>216</v>
      </c>
      <c r="E1247" t="s">
        <v>304</v>
      </c>
      <c r="F1247" t="s">
        <v>117</v>
      </c>
      <c r="G1247" t="s">
        <v>1362</v>
      </c>
      <c r="H1247" s="9">
        <v>44657</v>
      </c>
      <c r="I1247" t="s">
        <v>306</v>
      </c>
      <c r="J1247" t="s">
        <v>0</v>
      </c>
      <c r="K1247" s="9">
        <v>44711</v>
      </c>
      <c r="L1247" t="s">
        <v>29</v>
      </c>
      <c r="M1247"/>
      <c r="N1247" s="9">
        <v>44686</v>
      </c>
      <c r="O1247"/>
      <c r="P1247"/>
      <c r="Q1247" s="9">
        <v>44711</v>
      </c>
      <c r="R1247"/>
      <c r="S1247"/>
      <c r="T1247"/>
      <c r="U1247"/>
    </row>
    <row r="1248" spans="1:21" hidden="1">
      <c r="A1248" s="7" t="s">
        <v>8740</v>
      </c>
      <c r="B1248" s="7" t="s">
        <v>6627</v>
      </c>
      <c r="C1248" s="8" t="s">
        <v>5317</v>
      </c>
      <c r="D1248" t="s">
        <v>216</v>
      </c>
      <c r="E1248" t="s">
        <v>304</v>
      </c>
      <c r="F1248" t="s">
        <v>117</v>
      </c>
      <c r="G1248" t="s">
        <v>1363</v>
      </c>
      <c r="H1248" s="9">
        <v>44657</v>
      </c>
      <c r="I1248" t="s">
        <v>306</v>
      </c>
      <c r="J1248" t="s">
        <v>0</v>
      </c>
      <c r="K1248" s="9">
        <v>44711</v>
      </c>
      <c r="L1248" t="s">
        <v>29</v>
      </c>
      <c r="M1248"/>
      <c r="N1248" s="9">
        <v>44686</v>
      </c>
      <c r="O1248"/>
      <c r="P1248"/>
      <c r="Q1248" s="9">
        <v>44711</v>
      </c>
      <c r="R1248"/>
      <c r="S1248"/>
      <c r="T1248"/>
      <c r="U1248"/>
    </row>
    <row r="1249" spans="1:21" hidden="1">
      <c r="A1249" s="7" t="s">
        <v>8740</v>
      </c>
      <c r="B1249" s="7" t="s">
        <v>6627</v>
      </c>
      <c r="C1249" s="8" t="s">
        <v>5317</v>
      </c>
      <c r="D1249" t="s">
        <v>216</v>
      </c>
      <c r="E1249" t="s">
        <v>304</v>
      </c>
      <c r="F1249" t="s">
        <v>117</v>
      </c>
      <c r="G1249" t="s">
        <v>1364</v>
      </c>
      <c r="H1249" s="9">
        <v>44657</v>
      </c>
      <c r="I1249" t="s">
        <v>306</v>
      </c>
      <c r="J1249" t="s">
        <v>0</v>
      </c>
      <c r="K1249" s="9">
        <v>44711</v>
      </c>
      <c r="L1249" t="s">
        <v>29</v>
      </c>
      <c r="M1249"/>
      <c r="N1249" s="9">
        <v>44686</v>
      </c>
      <c r="O1249"/>
      <c r="P1249"/>
      <c r="Q1249" s="9">
        <v>44711</v>
      </c>
      <c r="R1249"/>
      <c r="S1249"/>
      <c r="T1249"/>
      <c r="U1249"/>
    </row>
    <row r="1250" spans="1:21" hidden="1">
      <c r="A1250" s="7" t="s">
        <v>8740</v>
      </c>
      <c r="B1250" s="7" t="s">
        <v>6627</v>
      </c>
      <c r="C1250" s="8" t="s">
        <v>5317</v>
      </c>
      <c r="D1250" t="s">
        <v>216</v>
      </c>
      <c r="E1250" t="s">
        <v>304</v>
      </c>
      <c r="F1250" t="s">
        <v>117</v>
      </c>
      <c r="G1250" t="s">
        <v>1365</v>
      </c>
      <c r="H1250" s="9">
        <v>44657</v>
      </c>
      <c r="I1250" t="s">
        <v>306</v>
      </c>
      <c r="J1250" t="s">
        <v>0</v>
      </c>
      <c r="K1250" s="9">
        <v>44711</v>
      </c>
      <c r="L1250" t="s">
        <v>29</v>
      </c>
      <c r="M1250"/>
      <c r="N1250" s="9">
        <v>44686</v>
      </c>
      <c r="O1250"/>
      <c r="P1250"/>
      <c r="Q1250" s="9">
        <v>44711</v>
      </c>
      <c r="R1250"/>
      <c r="S1250"/>
      <c r="T1250"/>
      <c r="U1250"/>
    </row>
    <row r="1251" spans="1:21" hidden="1">
      <c r="A1251" s="7" t="s">
        <v>8740</v>
      </c>
      <c r="B1251" s="7" t="s">
        <v>6627</v>
      </c>
      <c r="C1251" s="8" t="s">
        <v>5317</v>
      </c>
      <c r="D1251" t="s">
        <v>216</v>
      </c>
      <c r="E1251" t="s">
        <v>304</v>
      </c>
      <c r="F1251" t="s">
        <v>117</v>
      </c>
      <c r="G1251" t="s">
        <v>1366</v>
      </c>
      <c r="H1251" s="9">
        <v>44657</v>
      </c>
      <c r="I1251" t="s">
        <v>306</v>
      </c>
      <c r="J1251" t="s">
        <v>0</v>
      </c>
      <c r="K1251" s="9">
        <v>44711</v>
      </c>
      <c r="L1251" t="s">
        <v>29</v>
      </c>
      <c r="M1251"/>
      <c r="N1251" s="9">
        <v>44686</v>
      </c>
      <c r="O1251"/>
      <c r="P1251"/>
      <c r="Q1251" s="9">
        <v>44711</v>
      </c>
      <c r="R1251"/>
      <c r="S1251"/>
      <c r="T1251"/>
      <c r="U1251"/>
    </row>
    <row r="1252" spans="1:21" hidden="1">
      <c r="A1252" s="7" t="s">
        <v>8740</v>
      </c>
      <c r="B1252" s="7" t="s">
        <v>6627</v>
      </c>
      <c r="C1252" s="8" t="s">
        <v>5317</v>
      </c>
      <c r="D1252" t="s">
        <v>216</v>
      </c>
      <c r="E1252" t="s">
        <v>304</v>
      </c>
      <c r="F1252" t="s">
        <v>117</v>
      </c>
      <c r="G1252" t="s">
        <v>1367</v>
      </c>
      <c r="H1252" s="9">
        <v>44657</v>
      </c>
      <c r="I1252" t="s">
        <v>306</v>
      </c>
      <c r="J1252" t="s">
        <v>0</v>
      </c>
      <c r="K1252" s="9">
        <v>44711</v>
      </c>
      <c r="L1252" t="s">
        <v>29</v>
      </c>
      <c r="M1252"/>
      <c r="N1252" s="9">
        <v>44686</v>
      </c>
      <c r="O1252"/>
      <c r="P1252"/>
      <c r="Q1252" s="9">
        <v>44711</v>
      </c>
      <c r="R1252"/>
      <c r="S1252"/>
      <c r="T1252"/>
      <c r="U1252"/>
    </row>
    <row r="1253" spans="1:21" hidden="1">
      <c r="A1253" s="7" t="s">
        <v>8740</v>
      </c>
      <c r="B1253" s="7" t="s">
        <v>6627</v>
      </c>
      <c r="C1253" s="8" t="s">
        <v>5317</v>
      </c>
      <c r="D1253" t="s">
        <v>216</v>
      </c>
      <c r="E1253" t="s">
        <v>304</v>
      </c>
      <c r="F1253" t="s">
        <v>117</v>
      </c>
      <c r="G1253" t="s">
        <v>1368</v>
      </c>
      <c r="H1253" s="9">
        <v>44657</v>
      </c>
      <c r="I1253" t="s">
        <v>306</v>
      </c>
      <c r="J1253" t="s">
        <v>0</v>
      </c>
      <c r="K1253" s="9">
        <v>44711</v>
      </c>
      <c r="L1253" t="s">
        <v>29</v>
      </c>
      <c r="M1253"/>
      <c r="N1253" s="9">
        <v>44686</v>
      </c>
      <c r="O1253"/>
      <c r="P1253"/>
      <c r="Q1253" s="9">
        <v>44711</v>
      </c>
      <c r="R1253"/>
      <c r="S1253"/>
      <c r="T1253"/>
      <c r="U1253"/>
    </row>
    <row r="1254" spans="1:21" hidden="1">
      <c r="A1254" s="7" t="s">
        <v>8740</v>
      </c>
      <c r="B1254" s="7" t="s">
        <v>6627</v>
      </c>
      <c r="C1254" s="8" t="s">
        <v>5317</v>
      </c>
      <c r="D1254" t="s">
        <v>216</v>
      </c>
      <c r="E1254" t="s">
        <v>304</v>
      </c>
      <c r="F1254" t="s">
        <v>117</v>
      </c>
      <c r="G1254" t="s">
        <v>1369</v>
      </c>
      <c r="H1254" s="9">
        <v>44657</v>
      </c>
      <c r="I1254" t="s">
        <v>306</v>
      </c>
      <c r="J1254" t="s">
        <v>0</v>
      </c>
      <c r="K1254" s="9">
        <v>44711</v>
      </c>
      <c r="L1254" t="s">
        <v>29</v>
      </c>
      <c r="M1254"/>
      <c r="N1254" s="9">
        <v>44686</v>
      </c>
      <c r="O1254"/>
      <c r="P1254"/>
      <c r="Q1254" s="9">
        <v>44711</v>
      </c>
      <c r="R1254"/>
      <c r="S1254"/>
      <c r="T1254"/>
      <c r="U1254"/>
    </row>
    <row r="1255" spans="1:21" hidden="1">
      <c r="A1255" s="7" t="s">
        <v>8740</v>
      </c>
      <c r="B1255" s="7" t="s">
        <v>6627</v>
      </c>
      <c r="C1255" s="8" t="s">
        <v>5317</v>
      </c>
      <c r="D1255" t="s">
        <v>216</v>
      </c>
      <c r="E1255" t="s">
        <v>304</v>
      </c>
      <c r="F1255" t="s">
        <v>117</v>
      </c>
      <c r="G1255" t="s">
        <v>1370</v>
      </c>
      <c r="H1255" s="9">
        <v>44657</v>
      </c>
      <c r="I1255" t="s">
        <v>306</v>
      </c>
      <c r="J1255" t="s">
        <v>0</v>
      </c>
      <c r="K1255" s="9">
        <v>44711</v>
      </c>
      <c r="L1255" t="s">
        <v>29</v>
      </c>
      <c r="M1255"/>
      <c r="N1255" s="9">
        <v>44686</v>
      </c>
      <c r="O1255"/>
      <c r="P1255"/>
      <c r="Q1255" s="9">
        <v>44711</v>
      </c>
      <c r="R1255"/>
      <c r="S1255"/>
      <c r="T1255"/>
      <c r="U1255"/>
    </row>
    <row r="1256" spans="1:21" hidden="1">
      <c r="A1256" s="7" t="s">
        <v>8740</v>
      </c>
      <c r="B1256" s="7" t="s">
        <v>6627</v>
      </c>
      <c r="C1256" s="8" t="s">
        <v>5317</v>
      </c>
      <c r="D1256" t="s">
        <v>216</v>
      </c>
      <c r="E1256" t="s">
        <v>304</v>
      </c>
      <c r="F1256" t="s">
        <v>117</v>
      </c>
      <c r="G1256" t="s">
        <v>1371</v>
      </c>
      <c r="H1256" s="9">
        <v>44657</v>
      </c>
      <c r="I1256" t="s">
        <v>306</v>
      </c>
      <c r="J1256" t="s">
        <v>0</v>
      </c>
      <c r="K1256" s="9">
        <v>44711</v>
      </c>
      <c r="L1256" t="s">
        <v>29</v>
      </c>
      <c r="M1256"/>
      <c r="N1256" s="9">
        <v>44686</v>
      </c>
      <c r="O1256"/>
      <c r="P1256"/>
      <c r="Q1256" s="9">
        <v>44711</v>
      </c>
      <c r="R1256"/>
      <c r="S1256"/>
      <c r="T1256"/>
      <c r="U1256"/>
    </row>
    <row r="1257" spans="1:21" hidden="1">
      <c r="A1257" s="7" t="s">
        <v>8740</v>
      </c>
      <c r="B1257" s="7" t="s">
        <v>6627</v>
      </c>
      <c r="C1257" s="8" t="s">
        <v>5317</v>
      </c>
      <c r="D1257" t="s">
        <v>216</v>
      </c>
      <c r="E1257" t="s">
        <v>304</v>
      </c>
      <c r="F1257" t="s">
        <v>117</v>
      </c>
      <c r="G1257" t="s">
        <v>1372</v>
      </c>
      <c r="H1257" s="9">
        <v>44657</v>
      </c>
      <c r="I1257" t="s">
        <v>306</v>
      </c>
      <c r="J1257" t="s">
        <v>0</v>
      </c>
      <c r="K1257" s="9">
        <v>44711</v>
      </c>
      <c r="L1257" t="s">
        <v>29</v>
      </c>
      <c r="M1257"/>
      <c r="N1257" s="9">
        <v>44686</v>
      </c>
      <c r="O1257"/>
      <c r="P1257"/>
      <c r="Q1257" s="9">
        <v>44711</v>
      </c>
      <c r="R1257"/>
      <c r="S1257"/>
      <c r="T1257"/>
      <c r="U1257"/>
    </row>
    <row r="1258" spans="1:21" hidden="1">
      <c r="A1258" s="7" t="s">
        <v>8740</v>
      </c>
      <c r="B1258" s="7" t="s">
        <v>6627</v>
      </c>
      <c r="C1258" s="8" t="s">
        <v>5317</v>
      </c>
      <c r="D1258" t="s">
        <v>216</v>
      </c>
      <c r="E1258" t="s">
        <v>304</v>
      </c>
      <c r="F1258" t="s">
        <v>117</v>
      </c>
      <c r="G1258" t="s">
        <v>1373</v>
      </c>
      <c r="H1258" s="9">
        <v>44657</v>
      </c>
      <c r="I1258" t="s">
        <v>306</v>
      </c>
      <c r="J1258" t="s">
        <v>0</v>
      </c>
      <c r="K1258" s="9">
        <v>44711</v>
      </c>
      <c r="L1258" t="s">
        <v>29</v>
      </c>
      <c r="M1258"/>
      <c r="N1258" s="9">
        <v>44686</v>
      </c>
      <c r="O1258"/>
      <c r="P1258"/>
      <c r="Q1258" s="9">
        <v>44711</v>
      </c>
      <c r="R1258"/>
      <c r="S1258"/>
      <c r="T1258"/>
      <c r="U1258"/>
    </row>
    <row r="1259" spans="1:21" hidden="1">
      <c r="A1259" s="7" t="s">
        <v>8740</v>
      </c>
      <c r="B1259" s="7" t="s">
        <v>6627</v>
      </c>
      <c r="C1259" s="8" t="s">
        <v>5317</v>
      </c>
      <c r="D1259" t="s">
        <v>216</v>
      </c>
      <c r="E1259" t="s">
        <v>304</v>
      </c>
      <c r="F1259" t="s">
        <v>117</v>
      </c>
      <c r="G1259" t="s">
        <v>1374</v>
      </c>
      <c r="H1259" s="9">
        <v>44657</v>
      </c>
      <c r="I1259" t="s">
        <v>306</v>
      </c>
      <c r="J1259" t="s">
        <v>0</v>
      </c>
      <c r="K1259" s="9">
        <v>44711</v>
      </c>
      <c r="L1259" t="s">
        <v>29</v>
      </c>
      <c r="M1259"/>
      <c r="N1259" s="9">
        <v>44686</v>
      </c>
      <c r="O1259"/>
      <c r="P1259"/>
      <c r="Q1259" s="9">
        <v>44711</v>
      </c>
      <c r="R1259"/>
      <c r="S1259"/>
      <c r="T1259"/>
      <c r="U1259"/>
    </row>
    <row r="1260" spans="1:21" hidden="1">
      <c r="A1260" s="7" t="s">
        <v>8740</v>
      </c>
      <c r="B1260" s="7" t="s">
        <v>6627</v>
      </c>
      <c r="C1260" s="8" t="s">
        <v>5317</v>
      </c>
      <c r="D1260" t="s">
        <v>216</v>
      </c>
      <c r="E1260" t="s">
        <v>304</v>
      </c>
      <c r="F1260" t="s">
        <v>117</v>
      </c>
      <c r="G1260" t="s">
        <v>1375</v>
      </c>
      <c r="H1260" s="9">
        <v>44657</v>
      </c>
      <c r="I1260" t="s">
        <v>306</v>
      </c>
      <c r="J1260" t="s">
        <v>0</v>
      </c>
      <c r="K1260" s="9">
        <v>44711</v>
      </c>
      <c r="L1260" t="s">
        <v>29</v>
      </c>
      <c r="M1260"/>
      <c r="N1260" s="9">
        <v>44686</v>
      </c>
      <c r="O1260"/>
      <c r="P1260"/>
      <c r="Q1260" s="9">
        <v>44711</v>
      </c>
      <c r="R1260"/>
      <c r="S1260"/>
      <c r="T1260"/>
      <c r="U1260"/>
    </row>
    <row r="1261" spans="1:21" hidden="1">
      <c r="A1261" s="7" t="s">
        <v>8740</v>
      </c>
      <c r="B1261" s="7" t="s">
        <v>6627</v>
      </c>
      <c r="C1261" s="8" t="s">
        <v>5317</v>
      </c>
      <c r="D1261" t="s">
        <v>216</v>
      </c>
      <c r="E1261" t="s">
        <v>304</v>
      </c>
      <c r="F1261" t="s">
        <v>117</v>
      </c>
      <c r="G1261" t="s">
        <v>1376</v>
      </c>
      <c r="H1261" s="9">
        <v>44657</v>
      </c>
      <c r="I1261" t="s">
        <v>306</v>
      </c>
      <c r="J1261" t="s">
        <v>0</v>
      </c>
      <c r="K1261" s="9">
        <v>44711</v>
      </c>
      <c r="L1261" t="s">
        <v>29</v>
      </c>
      <c r="M1261"/>
      <c r="N1261" s="9">
        <v>44686</v>
      </c>
      <c r="O1261"/>
      <c r="P1261"/>
      <c r="Q1261" s="9">
        <v>44711</v>
      </c>
      <c r="R1261"/>
      <c r="S1261"/>
      <c r="T1261"/>
      <c r="U1261"/>
    </row>
    <row r="1262" spans="1:21" hidden="1">
      <c r="A1262" s="7" t="s">
        <v>8740</v>
      </c>
      <c r="B1262" s="7" t="s">
        <v>6627</v>
      </c>
      <c r="C1262" s="8" t="s">
        <v>5317</v>
      </c>
      <c r="D1262" t="s">
        <v>216</v>
      </c>
      <c r="E1262" t="s">
        <v>304</v>
      </c>
      <c r="F1262" t="s">
        <v>117</v>
      </c>
      <c r="G1262" t="s">
        <v>1377</v>
      </c>
      <c r="H1262" s="9">
        <v>44657</v>
      </c>
      <c r="I1262" t="s">
        <v>306</v>
      </c>
      <c r="J1262" t="s">
        <v>0</v>
      </c>
      <c r="K1262" s="9">
        <v>44711</v>
      </c>
      <c r="L1262" t="s">
        <v>29</v>
      </c>
      <c r="M1262"/>
      <c r="N1262" s="9">
        <v>44686</v>
      </c>
      <c r="O1262"/>
      <c r="P1262"/>
      <c r="Q1262" s="9">
        <v>44711</v>
      </c>
      <c r="R1262"/>
      <c r="S1262"/>
      <c r="T1262"/>
      <c r="U1262"/>
    </row>
    <row r="1263" spans="1:21" hidden="1">
      <c r="A1263" s="7" t="s">
        <v>8740</v>
      </c>
      <c r="B1263" s="7" t="s">
        <v>6627</v>
      </c>
      <c r="C1263" s="8" t="s">
        <v>5317</v>
      </c>
      <c r="D1263" t="s">
        <v>216</v>
      </c>
      <c r="E1263" t="s">
        <v>304</v>
      </c>
      <c r="F1263" t="s">
        <v>117</v>
      </c>
      <c r="G1263" t="s">
        <v>1378</v>
      </c>
      <c r="H1263" s="9">
        <v>44657</v>
      </c>
      <c r="I1263" t="s">
        <v>306</v>
      </c>
      <c r="J1263" t="s">
        <v>0</v>
      </c>
      <c r="K1263" s="9">
        <v>44711</v>
      </c>
      <c r="L1263" t="s">
        <v>29</v>
      </c>
      <c r="M1263"/>
      <c r="N1263" s="9">
        <v>44686</v>
      </c>
      <c r="O1263"/>
      <c r="P1263"/>
      <c r="Q1263" s="9">
        <v>44711</v>
      </c>
      <c r="R1263"/>
      <c r="S1263"/>
      <c r="T1263"/>
      <c r="U1263"/>
    </row>
    <row r="1264" spans="1:21" hidden="1">
      <c r="A1264" s="7" t="s">
        <v>8740</v>
      </c>
      <c r="B1264" s="7" t="s">
        <v>6627</v>
      </c>
      <c r="C1264" s="8" t="s">
        <v>5317</v>
      </c>
      <c r="D1264" t="s">
        <v>216</v>
      </c>
      <c r="E1264" t="s">
        <v>304</v>
      </c>
      <c r="F1264" t="s">
        <v>117</v>
      </c>
      <c r="G1264" t="s">
        <v>1379</v>
      </c>
      <c r="H1264" s="9">
        <v>44657</v>
      </c>
      <c r="I1264" t="s">
        <v>306</v>
      </c>
      <c r="J1264" t="s">
        <v>0</v>
      </c>
      <c r="K1264" s="9">
        <v>44711</v>
      </c>
      <c r="L1264" t="s">
        <v>29</v>
      </c>
      <c r="M1264"/>
      <c r="N1264" s="9">
        <v>44686</v>
      </c>
      <c r="O1264"/>
      <c r="P1264"/>
      <c r="Q1264" s="9">
        <v>44711</v>
      </c>
      <c r="R1264"/>
      <c r="S1264"/>
      <c r="T1264"/>
      <c r="U1264"/>
    </row>
    <row r="1265" spans="1:21" hidden="1">
      <c r="A1265" s="7" t="s">
        <v>8740</v>
      </c>
      <c r="B1265" s="7" t="s">
        <v>6627</v>
      </c>
      <c r="C1265" s="8" t="s">
        <v>5317</v>
      </c>
      <c r="D1265" t="s">
        <v>216</v>
      </c>
      <c r="E1265" t="s">
        <v>304</v>
      </c>
      <c r="F1265" t="s">
        <v>117</v>
      </c>
      <c r="G1265" t="s">
        <v>1380</v>
      </c>
      <c r="H1265" s="9">
        <v>44657</v>
      </c>
      <c r="I1265" t="s">
        <v>306</v>
      </c>
      <c r="J1265" t="s">
        <v>0</v>
      </c>
      <c r="K1265" s="9">
        <v>44711</v>
      </c>
      <c r="L1265" t="s">
        <v>29</v>
      </c>
      <c r="M1265"/>
      <c r="N1265" s="9">
        <v>44686</v>
      </c>
      <c r="O1265"/>
      <c r="P1265"/>
      <c r="Q1265" s="9">
        <v>44711</v>
      </c>
      <c r="R1265"/>
      <c r="S1265"/>
      <c r="T1265"/>
      <c r="U1265"/>
    </row>
    <row r="1266" spans="1:21" hidden="1">
      <c r="A1266" s="7" t="s">
        <v>8740</v>
      </c>
      <c r="B1266" s="7" t="s">
        <v>6627</v>
      </c>
      <c r="C1266" s="8" t="s">
        <v>5317</v>
      </c>
      <c r="D1266" t="s">
        <v>216</v>
      </c>
      <c r="E1266" t="s">
        <v>304</v>
      </c>
      <c r="F1266" t="s">
        <v>117</v>
      </c>
      <c r="G1266" t="s">
        <v>1381</v>
      </c>
      <c r="H1266" s="9">
        <v>44657</v>
      </c>
      <c r="I1266" t="s">
        <v>306</v>
      </c>
      <c r="J1266" t="s">
        <v>0</v>
      </c>
      <c r="K1266" s="9">
        <v>44711</v>
      </c>
      <c r="L1266" t="s">
        <v>29</v>
      </c>
      <c r="M1266"/>
      <c r="N1266" s="9">
        <v>44686</v>
      </c>
      <c r="O1266"/>
      <c r="P1266"/>
      <c r="Q1266" s="9">
        <v>44711</v>
      </c>
      <c r="R1266"/>
      <c r="S1266"/>
      <c r="T1266"/>
      <c r="U1266"/>
    </row>
    <row r="1267" spans="1:21" hidden="1">
      <c r="A1267" s="7" t="s">
        <v>8740</v>
      </c>
      <c r="B1267" s="7" t="s">
        <v>6627</v>
      </c>
      <c r="C1267" s="8" t="s">
        <v>5317</v>
      </c>
      <c r="D1267" t="s">
        <v>216</v>
      </c>
      <c r="E1267" t="s">
        <v>304</v>
      </c>
      <c r="F1267" t="s">
        <v>117</v>
      </c>
      <c r="G1267" t="s">
        <v>1382</v>
      </c>
      <c r="H1267" s="9">
        <v>44657</v>
      </c>
      <c r="I1267" t="s">
        <v>306</v>
      </c>
      <c r="J1267" t="s">
        <v>0</v>
      </c>
      <c r="K1267" s="9">
        <v>44711</v>
      </c>
      <c r="L1267" t="s">
        <v>29</v>
      </c>
      <c r="M1267"/>
      <c r="N1267" s="9">
        <v>44686</v>
      </c>
      <c r="O1267"/>
      <c r="P1267"/>
      <c r="Q1267" s="9">
        <v>44711</v>
      </c>
      <c r="R1267"/>
      <c r="S1267"/>
      <c r="T1267"/>
      <c r="U1267"/>
    </row>
    <row r="1268" spans="1:21" hidden="1">
      <c r="A1268" s="7" t="s">
        <v>8740</v>
      </c>
      <c r="B1268" s="7" t="s">
        <v>6627</v>
      </c>
      <c r="C1268" s="8" t="s">
        <v>5317</v>
      </c>
      <c r="D1268" t="s">
        <v>216</v>
      </c>
      <c r="E1268" t="s">
        <v>304</v>
      </c>
      <c r="F1268" t="s">
        <v>117</v>
      </c>
      <c r="G1268" t="s">
        <v>1383</v>
      </c>
      <c r="H1268" s="9">
        <v>44657</v>
      </c>
      <c r="I1268" t="s">
        <v>306</v>
      </c>
      <c r="J1268" t="s">
        <v>0</v>
      </c>
      <c r="K1268" s="9">
        <v>44711</v>
      </c>
      <c r="L1268" t="s">
        <v>29</v>
      </c>
      <c r="M1268"/>
      <c r="N1268" s="9">
        <v>44686</v>
      </c>
      <c r="O1268"/>
      <c r="P1268"/>
      <c r="Q1268" s="9">
        <v>44711</v>
      </c>
      <c r="R1268"/>
      <c r="S1268"/>
      <c r="T1268"/>
      <c r="U1268"/>
    </row>
    <row r="1269" spans="1:21" hidden="1">
      <c r="A1269" s="7" t="s">
        <v>8740</v>
      </c>
      <c r="B1269" s="7" t="s">
        <v>6627</v>
      </c>
      <c r="C1269" s="8" t="s">
        <v>5317</v>
      </c>
      <c r="D1269" t="s">
        <v>216</v>
      </c>
      <c r="E1269" t="s">
        <v>304</v>
      </c>
      <c r="F1269" t="s">
        <v>117</v>
      </c>
      <c r="G1269" t="s">
        <v>1384</v>
      </c>
      <c r="H1269" s="9">
        <v>44657</v>
      </c>
      <c r="I1269" t="s">
        <v>306</v>
      </c>
      <c r="J1269" t="s">
        <v>0</v>
      </c>
      <c r="K1269" s="9">
        <v>44711</v>
      </c>
      <c r="L1269" t="s">
        <v>29</v>
      </c>
      <c r="M1269"/>
      <c r="N1269" s="9">
        <v>44686</v>
      </c>
      <c r="O1269"/>
      <c r="P1269"/>
      <c r="Q1269" s="9">
        <v>44711</v>
      </c>
      <c r="R1269"/>
      <c r="S1269"/>
      <c r="T1269"/>
      <c r="U1269"/>
    </row>
    <row r="1270" spans="1:21" hidden="1">
      <c r="A1270" s="7" t="s">
        <v>8740</v>
      </c>
      <c r="B1270" s="7" t="s">
        <v>6627</v>
      </c>
      <c r="C1270" s="8" t="s">
        <v>5317</v>
      </c>
      <c r="D1270" t="s">
        <v>216</v>
      </c>
      <c r="E1270" t="s">
        <v>304</v>
      </c>
      <c r="F1270" t="s">
        <v>117</v>
      </c>
      <c r="G1270" t="s">
        <v>1385</v>
      </c>
      <c r="H1270" s="9">
        <v>44657</v>
      </c>
      <c r="I1270" t="s">
        <v>306</v>
      </c>
      <c r="J1270" t="s">
        <v>0</v>
      </c>
      <c r="K1270" s="9">
        <v>44711</v>
      </c>
      <c r="L1270" t="s">
        <v>29</v>
      </c>
      <c r="M1270"/>
      <c r="N1270" s="9">
        <v>44686</v>
      </c>
      <c r="O1270"/>
      <c r="P1270"/>
      <c r="Q1270" s="9">
        <v>44711</v>
      </c>
      <c r="R1270"/>
      <c r="S1270"/>
      <c r="T1270"/>
      <c r="U1270"/>
    </row>
    <row r="1271" spans="1:21" hidden="1">
      <c r="A1271" s="7" t="s">
        <v>8740</v>
      </c>
      <c r="B1271" s="7" t="s">
        <v>6627</v>
      </c>
      <c r="C1271" s="8" t="s">
        <v>5317</v>
      </c>
      <c r="D1271" t="s">
        <v>216</v>
      </c>
      <c r="E1271" t="s">
        <v>304</v>
      </c>
      <c r="F1271" t="s">
        <v>117</v>
      </c>
      <c r="G1271" t="s">
        <v>1386</v>
      </c>
      <c r="H1271" s="9">
        <v>44657</v>
      </c>
      <c r="I1271" t="s">
        <v>306</v>
      </c>
      <c r="J1271" t="s">
        <v>0</v>
      </c>
      <c r="K1271" s="9">
        <v>44711</v>
      </c>
      <c r="L1271" t="s">
        <v>29</v>
      </c>
      <c r="M1271"/>
      <c r="N1271" s="9">
        <v>44686</v>
      </c>
      <c r="O1271"/>
      <c r="P1271"/>
      <c r="Q1271" s="9">
        <v>44711</v>
      </c>
      <c r="R1271"/>
      <c r="S1271"/>
      <c r="T1271"/>
      <c r="U1271"/>
    </row>
    <row r="1272" spans="1:21" hidden="1">
      <c r="A1272" s="7" t="s">
        <v>8740</v>
      </c>
      <c r="B1272" s="7" t="s">
        <v>6627</v>
      </c>
      <c r="C1272" s="8" t="s">
        <v>5317</v>
      </c>
      <c r="D1272" t="s">
        <v>216</v>
      </c>
      <c r="E1272" t="s">
        <v>304</v>
      </c>
      <c r="F1272" t="s">
        <v>117</v>
      </c>
      <c r="G1272" t="s">
        <v>1387</v>
      </c>
      <c r="H1272" s="9">
        <v>44657</v>
      </c>
      <c r="I1272" t="s">
        <v>306</v>
      </c>
      <c r="J1272" t="s">
        <v>0</v>
      </c>
      <c r="K1272" s="9">
        <v>44711</v>
      </c>
      <c r="L1272" t="s">
        <v>29</v>
      </c>
      <c r="M1272"/>
      <c r="N1272" s="9">
        <v>44686</v>
      </c>
      <c r="O1272"/>
      <c r="P1272"/>
      <c r="Q1272" s="9">
        <v>44711</v>
      </c>
      <c r="R1272"/>
      <c r="S1272"/>
      <c r="T1272"/>
      <c r="U1272"/>
    </row>
    <row r="1273" spans="1:21" hidden="1">
      <c r="A1273" s="7" t="s">
        <v>8740</v>
      </c>
      <c r="B1273" s="7" t="s">
        <v>6627</v>
      </c>
      <c r="C1273" s="8" t="s">
        <v>5317</v>
      </c>
      <c r="D1273" t="s">
        <v>216</v>
      </c>
      <c r="E1273" t="s">
        <v>304</v>
      </c>
      <c r="F1273" t="s">
        <v>117</v>
      </c>
      <c r="G1273" t="s">
        <v>1388</v>
      </c>
      <c r="H1273" s="9">
        <v>44657</v>
      </c>
      <c r="I1273" t="s">
        <v>306</v>
      </c>
      <c r="J1273" t="s">
        <v>0</v>
      </c>
      <c r="K1273" s="9">
        <v>44711</v>
      </c>
      <c r="L1273" t="s">
        <v>29</v>
      </c>
      <c r="M1273"/>
      <c r="N1273" s="9">
        <v>44686</v>
      </c>
      <c r="O1273"/>
      <c r="P1273"/>
      <c r="Q1273" s="9">
        <v>44711</v>
      </c>
      <c r="R1273"/>
      <c r="S1273"/>
      <c r="T1273"/>
      <c r="U1273"/>
    </row>
    <row r="1274" spans="1:21" hidden="1">
      <c r="A1274" s="7" t="s">
        <v>8740</v>
      </c>
      <c r="B1274" s="7" t="s">
        <v>6627</v>
      </c>
      <c r="C1274" s="8" t="s">
        <v>5317</v>
      </c>
      <c r="D1274" t="s">
        <v>216</v>
      </c>
      <c r="E1274" t="s">
        <v>304</v>
      </c>
      <c r="F1274" t="s">
        <v>117</v>
      </c>
      <c r="G1274" t="s">
        <v>1389</v>
      </c>
      <c r="H1274" s="9">
        <v>44657</v>
      </c>
      <c r="I1274" t="s">
        <v>306</v>
      </c>
      <c r="J1274" t="s">
        <v>0</v>
      </c>
      <c r="K1274" s="9">
        <v>44711</v>
      </c>
      <c r="L1274" t="s">
        <v>29</v>
      </c>
      <c r="M1274"/>
      <c r="N1274" s="9">
        <v>44686</v>
      </c>
      <c r="O1274"/>
      <c r="P1274"/>
      <c r="Q1274" s="9">
        <v>44711</v>
      </c>
      <c r="R1274"/>
      <c r="S1274"/>
      <c r="T1274"/>
      <c r="U1274"/>
    </row>
    <row r="1275" spans="1:21" hidden="1">
      <c r="A1275" s="7" t="s">
        <v>8740</v>
      </c>
      <c r="B1275" s="7" t="s">
        <v>6627</v>
      </c>
      <c r="C1275" s="8" t="s">
        <v>5317</v>
      </c>
      <c r="D1275" t="s">
        <v>216</v>
      </c>
      <c r="E1275" t="s">
        <v>304</v>
      </c>
      <c r="F1275" t="s">
        <v>117</v>
      </c>
      <c r="G1275" t="s">
        <v>1390</v>
      </c>
      <c r="H1275" s="9">
        <v>44657</v>
      </c>
      <c r="I1275" t="s">
        <v>306</v>
      </c>
      <c r="J1275" t="s">
        <v>0</v>
      </c>
      <c r="K1275" s="9">
        <v>44711</v>
      </c>
      <c r="L1275" t="s">
        <v>29</v>
      </c>
      <c r="M1275"/>
      <c r="N1275" s="9">
        <v>44686</v>
      </c>
      <c r="O1275"/>
      <c r="P1275"/>
      <c r="Q1275" s="9">
        <v>44711</v>
      </c>
      <c r="R1275"/>
      <c r="S1275"/>
      <c r="T1275"/>
      <c r="U1275"/>
    </row>
    <row r="1276" spans="1:21" hidden="1">
      <c r="A1276" s="7" t="s">
        <v>8740</v>
      </c>
      <c r="B1276" s="7" t="s">
        <v>6627</v>
      </c>
      <c r="C1276" s="8" t="s">
        <v>5317</v>
      </c>
      <c r="D1276" t="s">
        <v>216</v>
      </c>
      <c r="E1276" t="s">
        <v>304</v>
      </c>
      <c r="F1276" t="s">
        <v>117</v>
      </c>
      <c r="G1276" t="s">
        <v>1391</v>
      </c>
      <c r="H1276" s="9">
        <v>44657</v>
      </c>
      <c r="I1276" t="s">
        <v>306</v>
      </c>
      <c r="J1276" t="s">
        <v>0</v>
      </c>
      <c r="K1276" s="9">
        <v>44711</v>
      </c>
      <c r="L1276" t="s">
        <v>29</v>
      </c>
      <c r="M1276"/>
      <c r="N1276" s="9">
        <v>44686</v>
      </c>
      <c r="O1276"/>
      <c r="P1276"/>
      <c r="Q1276" s="9">
        <v>44711</v>
      </c>
      <c r="R1276"/>
      <c r="S1276"/>
      <c r="T1276"/>
      <c r="U1276"/>
    </row>
    <row r="1277" spans="1:21" hidden="1">
      <c r="A1277" s="7" t="s">
        <v>8740</v>
      </c>
      <c r="B1277" s="7" t="s">
        <v>6627</v>
      </c>
      <c r="C1277" s="8" t="s">
        <v>5317</v>
      </c>
      <c r="D1277" t="s">
        <v>216</v>
      </c>
      <c r="E1277" t="s">
        <v>304</v>
      </c>
      <c r="F1277" t="s">
        <v>117</v>
      </c>
      <c r="G1277" t="s">
        <v>1392</v>
      </c>
      <c r="H1277" s="9">
        <v>44657</v>
      </c>
      <c r="I1277" t="s">
        <v>306</v>
      </c>
      <c r="J1277" t="s">
        <v>0</v>
      </c>
      <c r="K1277" s="9">
        <v>44711</v>
      </c>
      <c r="L1277" t="s">
        <v>29</v>
      </c>
      <c r="M1277"/>
      <c r="N1277" s="9">
        <v>44686</v>
      </c>
      <c r="O1277"/>
      <c r="P1277"/>
      <c r="Q1277" s="9">
        <v>44711</v>
      </c>
      <c r="R1277"/>
      <c r="S1277"/>
      <c r="T1277"/>
      <c r="U1277"/>
    </row>
    <row r="1278" spans="1:21" hidden="1">
      <c r="A1278" s="7" t="s">
        <v>8740</v>
      </c>
      <c r="B1278" s="7" t="s">
        <v>6627</v>
      </c>
      <c r="C1278" s="8" t="s">
        <v>5317</v>
      </c>
      <c r="D1278" t="s">
        <v>216</v>
      </c>
      <c r="E1278" t="s">
        <v>304</v>
      </c>
      <c r="F1278" t="s">
        <v>117</v>
      </c>
      <c r="G1278" t="s">
        <v>1393</v>
      </c>
      <c r="H1278" s="9">
        <v>44657</v>
      </c>
      <c r="I1278" t="s">
        <v>306</v>
      </c>
      <c r="J1278" t="s">
        <v>0</v>
      </c>
      <c r="K1278" s="9">
        <v>44711</v>
      </c>
      <c r="L1278" t="s">
        <v>29</v>
      </c>
      <c r="M1278"/>
      <c r="N1278" s="9">
        <v>44686</v>
      </c>
      <c r="O1278"/>
      <c r="P1278"/>
      <c r="Q1278" s="9">
        <v>44711</v>
      </c>
      <c r="R1278"/>
      <c r="S1278"/>
      <c r="T1278"/>
      <c r="U1278"/>
    </row>
    <row r="1279" spans="1:21" hidden="1">
      <c r="A1279" s="7" t="s">
        <v>8740</v>
      </c>
      <c r="B1279" s="7" t="s">
        <v>6627</v>
      </c>
      <c r="C1279" s="8" t="s">
        <v>5317</v>
      </c>
      <c r="D1279" t="s">
        <v>216</v>
      </c>
      <c r="E1279" t="s">
        <v>304</v>
      </c>
      <c r="F1279" t="s">
        <v>117</v>
      </c>
      <c r="G1279" t="s">
        <v>1394</v>
      </c>
      <c r="H1279" s="9">
        <v>44657</v>
      </c>
      <c r="I1279" t="s">
        <v>306</v>
      </c>
      <c r="J1279" t="s">
        <v>0</v>
      </c>
      <c r="K1279" s="9">
        <v>44711</v>
      </c>
      <c r="L1279" t="s">
        <v>29</v>
      </c>
      <c r="M1279"/>
      <c r="N1279" s="9">
        <v>44686</v>
      </c>
      <c r="O1279"/>
      <c r="P1279"/>
      <c r="Q1279" s="9">
        <v>44711</v>
      </c>
      <c r="R1279"/>
      <c r="S1279"/>
      <c r="T1279"/>
      <c r="U1279"/>
    </row>
    <row r="1280" spans="1:21" hidden="1">
      <c r="A1280" s="7" t="s">
        <v>8740</v>
      </c>
      <c r="B1280" s="7" t="s">
        <v>6627</v>
      </c>
      <c r="C1280" s="8" t="s">
        <v>5317</v>
      </c>
      <c r="D1280" t="s">
        <v>216</v>
      </c>
      <c r="E1280" t="s">
        <v>304</v>
      </c>
      <c r="F1280" t="s">
        <v>117</v>
      </c>
      <c r="G1280" t="s">
        <v>1395</v>
      </c>
      <c r="H1280" s="9">
        <v>44657</v>
      </c>
      <c r="I1280" t="s">
        <v>306</v>
      </c>
      <c r="J1280" t="s">
        <v>0</v>
      </c>
      <c r="K1280" s="9">
        <v>44711</v>
      </c>
      <c r="L1280" t="s">
        <v>29</v>
      </c>
      <c r="M1280"/>
      <c r="N1280" s="9">
        <v>44686</v>
      </c>
      <c r="O1280"/>
      <c r="P1280"/>
      <c r="Q1280" s="9">
        <v>44711</v>
      </c>
      <c r="R1280"/>
      <c r="S1280"/>
      <c r="T1280"/>
      <c r="U1280"/>
    </row>
    <row r="1281" spans="1:21" hidden="1">
      <c r="A1281" s="7" t="s">
        <v>8740</v>
      </c>
      <c r="B1281" s="7" t="s">
        <v>6627</v>
      </c>
      <c r="C1281" s="8" t="s">
        <v>5317</v>
      </c>
      <c r="D1281" t="s">
        <v>216</v>
      </c>
      <c r="E1281" t="s">
        <v>304</v>
      </c>
      <c r="F1281" t="s">
        <v>117</v>
      </c>
      <c r="G1281" t="s">
        <v>1396</v>
      </c>
      <c r="H1281" s="9">
        <v>44657</v>
      </c>
      <c r="I1281" t="s">
        <v>306</v>
      </c>
      <c r="J1281" t="s">
        <v>0</v>
      </c>
      <c r="K1281" s="9">
        <v>44711</v>
      </c>
      <c r="L1281" t="s">
        <v>29</v>
      </c>
      <c r="M1281"/>
      <c r="N1281" s="9">
        <v>44686</v>
      </c>
      <c r="O1281"/>
      <c r="P1281"/>
      <c r="Q1281" s="9">
        <v>44711</v>
      </c>
      <c r="R1281"/>
      <c r="S1281"/>
      <c r="T1281"/>
      <c r="U1281"/>
    </row>
    <row r="1282" spans="1:21" hidden="1">
      <c r="A1282" s="7" t="s">
        <v>8740</v>
      </c>
      <c r="B1282" s="7" t="s">
        <v>6627</v>
      </c>
      <c r="C1282" s="8" t="s">
        <v>5317</v>
      </c>
      <c r="D1282" t="s">
        <v>216</v>
      </c>
      <c r="E1282" t="s">
        <v>304</v>
      </c>
      <c r="F1282" t="s">
        <v>117</v>
      </c>
      <c r="G1282" t="s">
        <v>1397</v>
      </c>
      <c r="H1282" s="9">
        <v>44657</v>
      </c>
      <c r="I1282" t="s">
        <v>306</v>
      </c>
      <c r="J1282" t="s">
        <v>0</v>
      </c>
      <c r="K1282" s="9">
        <v>44711</v>
      </c>
      <c r="L1282" t="s">
        <v>29</v>
      </c>
      <c r="M1282"/>
      <c r="N1282" s="9">
        <v>44686</v>
      </c>
      <c r="O1282"/>
      <c r="P1282"/>
      <c r="Q1282" s="9">
        <v>44711</v>
      </c>
      <c r="R1282"/>
      <c r="S1282"/>
      <c r="T1282"/>
      <c r="U1282"/>
    </row>
    <row r="1283" spans="1:21" hidden="1">
      <c r="A1283" s="7" t="s">
        <v>8740</v>
      </c>
      <c r="B1283" s="7" t="s">
        <v>6627</v>
      </c>
      <c r="C1283" s="8" t="s">
        <v>5317</v>
      </c>
      <c r="D1283" t="s">
        <v>216</v>
      </c>
      <c r="E1283" t="s">
        <v>304</v>
      </c>
      <c r="F1283" t="s">
        <v>117</v>
      </c>
      <c r="G1283" t="s">
        <v>1398</v>
      </c>
      <c r="H1283" s="9">
        <v>44657</v>
      </c>
      <c r="I1283" t="s">
        <v>306</v>
      </c>
      <c r="J1283" t="s">
        <v>0</v>
      </c>
      <c r="K1283" s="9">
        <v>44711</v>
      </c>
      <c r="L1283" t="s">
        <v>29</v>
      </c>
      <c r="M1283"/>
      <c r="N1283" s="9">
        <v>44686</v>
      </c>
      <c r="O1283"/>
      <c r="P1283"/>
      <c r="Q1283" s="9">
        <v>44711</v>
      </c>
      <c r="R1283"/>
      <c r="S1283"/>
      <c r="T1283"/>
      <c r="U1283"/>
    </row>
    <row r="1284" spans="1:21" hidden="1">
      <c r="A1284" s="7" t="s">
        <v>8740</v>
      </c>
      <c r="B1284" s="7" t="s">
        <v>6627</v>
      </c>
      <c r="C1284" s="8" t="s">
        <v>5317</v>
      </c>
      <c r="D1284" t="s">
        <v>216</v>
      </c>
      <c r="E1284" t="s">
        <v>304</v>
      </c>
      <c r="F1284" t="s">
        <v>117</v>
      </c>
      <c r="G1284" t="s">
        <v>1399</v>
      </c>
      <c r="H1284" s="9">
        <v>44657</v>
      </c>
      <c r="I1284" t="s">
        <v>306</v>
      </c>
      <c r="J1284" t="s">
        <v>0</v>
      </c>
      <c r="K1284" s="9">
        <v>44711</v>
      </c>
      <c r="L1284" t="s">
        <v>29</v>
      </c>
      <c r="M1284"/>
      <c r="N1284" s="9">
        <v>44686</v>
      </c>
      <c r="O1284"/>
      <c r="P1284"/>
      <c r="Q1284" s="9">
        <v>44711</v>
      </c>
      <c r="R1284"/>
      <c r="S1284"/>
      <c r="T1284"/>
      <c r="U1284"/>
    </row>
    <row r="1285" spans="1:21" hidden="1">
      <c r="A1285" s="7" t="s">
        <v>8740</v>
      </c>
      <c r="B1285" s="7" t="s">
        <v>6627</v>
      </c>
      <c r="C1285" s="8" t="s">
        <v>5317</v>
      </c>
      <c r="D1285" t="s">
        <v>216</v>
      </c>
      <c r="E1285" t="s">
        <v>304</v>
      </c>
      <c r="F1285" t="s">
        <v>117</v>
      </c>
      <c r="G1285" t="s">
        <v>1400</v>
      </c>
      <c r="H1285" s="9">
        <v>44657</v>
      </c>
      <c r="I1285" t="s">
        <v>306</v>
      </c>
      <c r="J1285" t="s">
        <v>0</v>
      </c>
      <c r="K1285" s="9">
        <v>44711</v>
      </c>
      <c r="L1285" t="s">
        <v>29</v>
      </c>
      <c r="M1285"/>
      <c r="N1285" s="9">
        <v>44686</v>
      </c>
      <c r="O1285"/>
      <c r="P1285"/>
      <c r="Q1285" s="9">
        <v>44711</v>
      </c>
      <c r="R1285"/>
      <c r="S1285"/>
      <c r="T1285"/>
      <c r="U1285"/>
    </row>
    <row r="1286" spans="1:21" hidden="1">
      <c r="A1286" s="7" t="s">
        <v>8740</v>
      </c>
      <c r="B1286" s="7" t="s">
        <v>6627</v>
      </c>
      <c r="C1286" s="8" t="s">
        <v>5317</v>
      </c>
      <c r="D1286" t="s">
        <v>216</v>
      </c>
      <c r="E1286" t="s">
        <v>304</v>
      </c>
      <c r="F1286" t="s">
        <v>117</v>
      </c>
      <c r="G1286" t="s">
        <v>1401</v>
      </c>
      <c r="H1286" s="9">
        <v>44657</v>
      </c>
      <c r="I1286" t="s">
        <v>306</v>
      </c>
      <c r="J1286" t="s">
        <v>0</v>
      </c>
      <c r="K1286" s="9">
        <v>44711</v>
      </c>
      <c r="L1286" t="s">
        <v>29</v>
      </c>
      <c r="M1286"/>
      <c r="N1286" s="9">
        <v>44686</v>
      </c>
      <c r="O1286"/>
      <c r="P1286"/>
      <c r="Q1286" s="9">
        <v>44711</v>
      </c>
      <c r="R1286"/>
      <c r="S1286"/>
      <c r="T1286"/>
      <c r="U1286"/>
    </row>
    <row r="1287" spans="1:21" hidden="1">
      <c r="A1287" s="7" t="s">
        <v>8740</v>
      </c>
      <c r="B1287" s="7" t="s">
        <v>6627</v>
      </c>
      <c r="C1287" s="8" t="s">
        <v>5317</v>
      </c>
      <c r="D1287" t="s">
        <v>216</v>
      </c>
      <c r="E1287" t="s">
        <v>304</v>
      </c>
      <c r="F1287" t="s">
        <v>117</v>
      </c>
      <c r="G1287" t="s">
        <v>1402</v>
      </c>
      <c r="H1287" s="9">
        <v>44657</v>
      </c>
      <c r="I1287" t="s">
        <v>306</v>
      </c>
      <c r="J1287" t="s">
        <v>0</v>
      </c>
      <c r="K1287" s="9">
        <v>44711</v>
      </c>
      <c r="L1287" t="s">
        <v>29</v>
      </c>
      <c r="M1287"/>
      <c r="N1287" s="9">
        <v>44686</v>
      </c>
      <c r="O1287"/>
      <c r="P1287"/>
      <c r="Q1287" s="9">
        <v>44711</v>
      </c>
      <c r="R1287"/>
      <c r="S1287"/>
      <c r="T1287"/>
      <c r="U1287"/>
    </row>
    <row r="1288" spans="1:21" hidden="1">
      <c r="A1288" s="7" t="s">
        <v>8740</v>
      </c>
      <c r="B1288" s="7" t="s">
        <v>6627</v>
      </c>
      <c r="C1288" s="8" t="s">
        <v>5317</v>
      </c>
      <c r="D1288" t="s">
        <v>216</v>
      </c>
      <c r="E1288" t="s">
        <v>304</v>
      </c>
      <c r="F1288" t="s">
        <v>117</v>
      </c>
      <c r="G1288" t="s">
        <v>1403</v>
      </c>
      <c r="H1288" s="9">
        <v>44657</v>
      </c>
      <c r="I1288" t="s">
        <v>306</v>
      </c>
      <c r="J1288" t="s">
        <v>0</v>
      </c>
      <c r="K1288" s="9">
        <v>44711</v>
      </c>
      <c r="L1288" t="s">
        <v>29</v>
      </c>
      <c r="M1288"/>
      <c r="N1288" s="9">
        <v>44686</v>
      </c>
      <c r="O1288"/>
      <c r="P1288"/>
      <c r="Q1288" s="9">
        <v>44711</v>
      </c>
      <c r="R1288"/>
      <c r="S1288"/>
      <c r="T1288"/>
      <c r="U1288"/>
    </row>
    <row r="1289" spans="1:21" hidden="1">
      <c r="A1289" s="7" t="s">
        <v>8740</v>
      </c>
      <c r="B1289" s="7" t="s">
        <v>6627</v>
      </c>
      <c r="C1289" s="8" t="s">
        <v>5317</v>
      </c>
      <c r="D1289" t="s">
        <v>216</v>
      </c>
      <c r="E1289" t="s">
        <v>304</v>
      </c>
      <c r="F1289" t="s">
        <v>117</v>
      </c>
      <c r="G1289" t="s">
        <v>1404</v>
      </c>
      <c r="H1289" s="9">
        <v>44657</v>
      </c>
      <c r="I1289" t="s">
        <v>306</v>
      </c>
      <c r="J1289" t="s">
        <v>0</v>
      </c>
      <c r="K1289" s="9">
        <v>44711</v>
      </c>
      <c r="L1289" t="s">
        <v>29</v>
      </c>
      <c r="M1289"/>
      <c r="N1289" s="9">
        <v>44686</v>
      </c>
      <c r="O1289"/>
      <c r="P1289"/>
      <c r="Q1289" s="9">
        <v>44711</v>
      </c>
      <c r="R1289"/>
      <c r="S1289"/>
      <c r="T1289"/>
      <c r="U1289"/>
    </row>
    <row r="1290" spans="1:21" hidden="1">
      <c r="A1290" s="7" t="s">
        <v>8740</v>
      </c>
      <c r="B1290" s="7" t="s">
        <v>6627</v>
      </c>
      <c r="C1290" s="8" t="s">
        <v>5317</v>
      </c>
      <c r="D1290" t="s">
        <v>216</v>
      </c>
      <c r="E1290" t="s">
        <v>304</v>
      </c>
      <c r="F1290" t="s">
        <v>117</v>
      </c>
      <c r="G1290" t="s">
        <v>1405</v>
      </c>
      <c r="H1290" s="9">
        <v>44657</v>
      </c>
      <c r="I1290" t="s">
        <v>306</v>
      </c>
      <c r="J1290" t="s">
        <v>0</v>
      </c>
      <c r="K1290" s="9">
        <v>44711</v>
      </c>
      <c r="L1290" t="s">
        <v>29</v>
      </c>
      <c r="M1290"/>
      <c r="N1290" s="9">
        <v>44686</v>
      </c>
      <c r="O1290"/>
      <c r="P1290"/>
      <c r="Q1290" s="9">
        <v>44711</v>
      </c>
      <c r="R1290"/>
      <c r="S1290"/>
      <c r="T1290"/>
      <c r="U1290"/>
    </row>
    <row r="1291" spans="1:21" hidden="1">
      <c r="A1291" s="7" t="s">
        <v>8740</v>
      </c>
      <c r="B1291" s="7" t="s">
        <v>6627</v>
      </c>
      <c r="C1291" s="8" t="s">
        <v>5317</v>
      </c>
      <c r="D1291" t="s">
        <v>216</v>
      </c>
      <c r="E1291" t="s">
        <v>304</v>
      </c>
      <c r="F1291" t="s">
        <v>117</v>
      </c>
      <c r="G1291" t="s">
        <v>1406</v>
      </c>
      <c r="H1291" s="9">
        <v>44657</v>
      </c>
      <c r="I1291" t="s">
        <v>306</v>
      </c>
      <c r="J1291" t="s">
        <v>0</v>
      </c>
      <c r="K1291" s="9">
        <v>44711</v>
      </c>
      <c r="L1291" t="s">
        <v>29</v>
      </c>
      <c r="M1291"/>
      <c r="N1291" s="9">
        <v>44686</v>
      </c>
      <c r="O1291"/>
      <c r="P1291"/>
      <c r="Q1291" s="9">
        <v>44711</v>
      </c>
      <c r="R1291"/>
      <c r="S1291"/>
      <c r="T1291"/>
      <c r="U1291"/>
    </row>
    <row r="1292" spans="1:21" hidden="1">
      <c r="A1292" s="7" t="s">
        <v>8740</v>
      </c>
      <c r="B1292" s="7" t="s">
        <v>6627</v>
      </c>
      <c r="C1292" s="8" t="s">
        <v>5317</v>
      </c>
      <c r="D1292" t="s">
        <v>216</v>
      </c>
      <c r="E1292" t="s">
        <v>304</v>
      </c>
      <c r="F1292" t="s">
        <v>117</v>
      </c>
      <c r="G1292" t="s">
        <v>1407</v>
      </c>
      <c r="H1292" s="9">
        <v>44657</v>
      </c>
      <c r="I1292" t="s">
        <v>306</v>
      </c>
      <c r="J1292" t="s">
        <v>0</v>
      </c>
      <c r="K1292" s="9">
        <v>44711</v>
      </c>
      <c r="L1292" t="s">
        <v>29</v>
      </c>
      <c r="M1292"/>
      <c r="N1292" s="9">
        <v>44686</v>
      </c>
      <c r="O1292"/>
      <c r="P1292"/>
      <c r="Q1292" s="9">
        <v>44711</v>
      </c>
      <c r="R1292"/>
      <c r="S1292"/>
      <c r="T1292"/>
      <c r="U1292"/>
    </row>
    <row r="1293" spans="1:21" hidden="1">
      <c r="A1293" s="7" t="s">
        <v>8740</v>
      </c>
      <c r="B1293" s="7" t="s">
        <v>6627</v>
      </c>
      <c r="C1293" s="8" t="s">
        <v>5317</v>
      </c>
      <c r="D1293" t="s">
        <v>216</v>
      </c>
      <c r="E1293" t="s">
        <v>304</v>
      </c>
      <c r="F1293" t="s">
        <v>117</v>
      </c>
      <c r="G1293" t="s">
        <v>1408</v>
      </c>
      <c r="H1293" s="9">
        <v>44657</v>
      </c>
      <c r="I1293" t="s">
        <v>306</v>
      </c>
      <c r="J1293" t="s">
        <v>0</v>
      </c>
      <c r="K1293" s="9">
        <v>44711</v>
      </c>
      <c r="L1293" t="s">
        <v>29</v>
      </c>
      <c r="M1293"/>
      <c r="N1293" s="9">
        <v>44686</v>
      </c>
      <c r="O1293"/>
      <c r="P1293"/>
      <c r="Q1293" s="9">
        <v>44711</v>
      </c>
      <c r="R1293"/>
      <c r="S1293"/>
      <c r="T1293"/>
      <c r="U1293"/>
    </row>
    <row r="1294" spans="1:21" hidden="1">
      <c r="A1294" s="7" t="s">
        <v>8758</v>
      </c>
      <c r="B1294" s="7" t="s">
        <v>5405</v>
      </c>
      <c r="C1294" s="8" t="s">
        <v>5317</v>
      </c>
      <c r="D1294" t="s">
        <v>216</v>
      </c>
      <c r="E1294" t="s">
        <v>25</v>
      </c>
      <c r="F1294" t="s">
        <v>493</v>
      </c>
      <c r="G1294" t="s">
        <v>1409</v>
      </c>
      <c r="H1294" s="9">
        <v>44657</v>
      </c>
      <c r="I1294" t="s">
        <v>8634</v>
      </c>
      <c r="J1294" t="s">
        <v>0</v>
      </c>
      <c r="K1294" s="9">
        <v>44862</v>
      </c>
      <c r="L1294" t="s">
        <v>29</v>
      </c>
      <c r="M1294"/>
      <c r="N1294" s="9">
        <v>44686</v>
      </c>
      <c r="O1294" s="9">
        <v>44693</v>
      </c>
      <c r="P1294" s="9">
        <v>44693</v>
      </c>
      <c r="Q1294" s="9">
        <v>44862</v>
      </c>
      <c r="R1294"/>
      <c r="S1294"/>
      <c r="T1294"/>
      <c r="U1294"/>
    </row>
    <row r="1295" spans="1:21" hidden="1">
      <c r="A1295" s="7" t="s">
        <v>8758</v>
      </c>
      <c r="B1295" s="7" t="s">
        <v>5405</v>
      </c>
      <c r="C1295" s="8" t="s">
        <v>5317</v>
      </c>
      <c r="D1295" t="s">
        <v>216</v>
      </c>
      <c r="E1295" t="s">
        <v>25</v>
      </c>
      <c r="F1295" t="s">
        <v>493</v>
      </c>
      <c r="G1295" t="s">
        <v>1410</v>
      </c>
      <c r="H1295" s="9">
        <v>44657</v>
      </c>
      <c r="I1295" t="s">
        <v>8634</v>
      </c>
      <c r="J1295" t="s">
        <v>0</v>
      </c>
      <c r="K1295" s="9">
        <v>44862</v>
      </c>
      <c r="L1295" t="s">
        <v>29</v>
      </c>
      <c r="M1295"/>
      <c r="N1295" s="9">
        <v>44686</v>
      </c>
      <c r="O1295" s="9">
        <v>44693</v>
      </c>
      <c r="P1295" s="9">
        <v>44693</v>
      </c>
      <c r="Q1295" s="9">
        <v>44862</v>
      </c>
      <c r="R1295"/>
      <c r="S1295"/>
      <c r="T1295"/>
      <c r="U1295"/>
    </row>
    <row r="1296" spans="1:21" hidden="1">
      <c r="A1296" s="7" t="s">
        <v>8758</v>
      </c>
      <c r="B1296" s="7" t="s">
        <v>5405</v>
      </c>
      <c r="C1296" s="8" t="s">
        <v>5317</v>
      </c>
      <c r="D1296" t="s">
        <v>216</v>
      </c>
      <c r="E1296" t="s">
        <v>25</v>
      </c>
      <c r="F1296" t="s">
        <v>493</v>
      </c>
      <c r="G1296" t="s">
        <v>1411</v>
      </c>
      <c r="H1296" s="9">
        <v>44657</v>
      </c>
      <c r="I1296" t="s">
        <v>8634</v>
      </c>
      <c r="J1296" t="s">
        <v>0</v>
      </c>
      <c r="K1296" s="9">
        <v>44862</v>
      </c>
      <c r="L1296" t="s">
        <v>29</v>
      </c>
      <c r="M1296"/>
      <c r="N1296" s="9">
        <v>44686</v>
      </c>
      <c r="O1296" s="9">
        <v>44693</v>
      </c>
      <c r="P1296" s="9">
        <v>44693</v>
      </c>
      <c r="Q1296" s="9">
        <v>44862</v>
      </c>
      <c r="R1296" s="9">
        <v>44827.545810185198</v>
      </c>
      <c r="S1296"/>
      <c r="T1296"/>
      <c r="U1296"/>
    </row>
    <row r="1297" spans="1:21" hidden="1">
      <c r="A1297" s="7" t="s">
        <v>8758</v>
      </c>
      <c r="B1297" s="7" t="s">
        <v>5405</v>
      </c>
      <c r="C1297" s="8" t="s">
        <v>5317</v>
      </c>
      <c r="D1297" t="s">
        <v>216</v>
      </c>
      <c r="E1297" t="s">
        <v>25</v>
      </c>
      <c r="F1297" t="s">
        <v>493</v>
      </c>
      <c r="G1297" t="s">
        <v>1412</v>
      </c>
      <c r="H1297" s="9">
        <v>44657</v>
      </c>
      <c r="I1297" t="s">
        <v>8634</v>
      </c>
      <c r="J1297" t="s">
        <v>0</v>
      </c>
      <c r="K1297" s="9">
        <v>44862</v>
      </c>
      <c r="L1297" t="s">
        <v>29</v>
      </c>
      <c r="M1297"/>
      <c r="N1297" s="9">
        <v>44686</v>
      </c>
      <c r="O1297" s="9">
        <v>44693</v>
      </c>
      <c r="P1297" s="9">
        <v>44693</v>
      </c>
      <c r="Q1297" s="9">
        <v>44862</v>
      </c>
      <c r="R1297" s="9">
        <v>44827.545810185198</v>
      </c>
      <c r="S1297"/>
      <c r="T1297"/>
      <c r="U1297"/>
    </row>
    <row r="1298" spans="1:21" hidden="1">
      <c r="A1298" s="7" t="s">
        <v>8758</v>
      </c>
      <c r="B1298" s="7" t="s">
        <v>5405</v>
      </c>
      <c r="C1298" s="8" t="s">
        <v>5317</v>
      </c>
      <c r="D1298" t="s">
        <v>216</v>
      </c>
      <c r="E1298" t="s">
        <v>25</v>
      </c>
      <c r="F1298" t="s">
        <v>493</v>
      </c>
      <c r="G1298" t="s">
        <v>1413</v>
      </c>
      <c r="H1298" s="9">
        <v>44657</v>
      </c>
      <c r="I1298" t="s">
        <v>8634</v>
      </c>
      <c r="J1298" t="s">
        <v>0</v>
      </c>
      <c r="K1298" s="9">
        <v>44862</v>
      </c>
      <c r="L1298" t="s">
        <v>29</v>
      </c>
      <c r="M1298"/>
      <c r="N1298" s="9">
        <v>44686</v>
      </c>
      <c r="O1298" s="9">
        <v>44693</v>
      </c>
      <c r="P1298" s="9">
        <v>44693</v>
      </c>
      <c r="Q1298" s="9">
        <v>44862</v>
      </c>
      <c r="R1298" s="9">
        <v>44827.545810185198</v>
      </c>
      <c r="S1298"/>
      <c r="T1298"/>
      <c r="U1298"/>
    </row>
    <row r="1299" spans="1:21" hidden="1">
      <c r="A1299" s="7" t="s">
        <v>8763</v>
      </c>
      <c r="B1299" s="7" t="s">
        <v>5405</v>
      </c>
      <c r="C1299" s="8" t="s">
        <v>5317</v>
      </c>
      <c r="D1299" t="s">
        <v>216</v>
      </c>
      <c r="E1299" t="s">
        <v>25</v>
      </c>
      <c r="F1299" t="s">
        <v>280</v>
      </c>
      <c r="G1299" t="s">
        <v>1414</v>
      </c>
      <c r="H1299" s="9">
        <v>44657</v>
      </c>
      <c r="I1299" t="s">
        <v>8634</v>
      </c>
      <c r="J1299" t="s">
        <v>0</v>
      </c>
      <c r="K1299" s="9">
        <v>44858</v>
      </c>
      <c r="L1299" t="s">
        <v>29</v>
      </c>
      <c r="M1299"/>
      <c r="N1299" s="9">
        <v>44686</v>
      </c>
      <c r="O1299" s="9">
        <v>44693</v>
      </c>
      <c r="P1299" s="9">
        <v>44693</v>
      </c>
      <c r="Q1299" s="9">
        <v>44858</v>
      </c>
      <c r="R1299"/>
      <c r="S1299"/>
      <c r="T1299"/>
      <c r="U1299"/>
    </row>
    <row r="1300" spans="1:21" hidden="1">
      <c r="A1300" s="7" t="s">
        <v>8763</v>
      </c>
      <c r="B1300" s="7" t="s">
        <v>5405</v>
      </c>
      <c r="C1300" s="8" t="s">
        <v>5317</v>
      </c>
      <c r="D1300" t="s">
        <v>216</v>
      </c>
      <c r="E1300" t="s">
        <v>25</v>
      </c>
      <c r="F1300" t="s">
        <v>280</v>
      </c>
      <c r="G1300" t="s">
        <v>1415</v>
      </c>
      <c r="H1300" s="9">
        <v>44657</v>
      </c>
      <c r="I1300" t="s">
        <v>8634</v>
      </c>
      <c r="J1300" t="s">
        <v>0</v>
      </c>
      <c r="K1300" s="9">
        <v>44858</v>
      </c>
      <c r="L1300" t="s">
        <v>29</v>
      </c>
      <c r="M1300"/>
      <c r="N1300" s="9">
        <v>44686</v>
      </c>
      <c r="O1300" s="9">
        <v>44693</v>
      </c>
      <c r="P1300" s="9">
        <v>44693</v>
      </c>
      <c r="Q1300" s="9">
        <v>44858</v>
      </c>
      <c r="R1300"/>
      <c r="S1300"/>
      <c r="T1300"/>
      <c r="U1300"/>
    </row>
    <row r="1301" spans="1:21" hidden="1">
      <c r="A1301" s="7" t="s">
        <v>8763</v>
      </c>
      <c r="B1301" s="7" t="s">
        <v>5405</v>
      </c>
      <c r="C1301" s="8" t="s">
        <v>5317</v>
      </c>
      <c r="D1301" t="s">
        <v>216</v>
      </c>
      <c r="E1301" t="s">
        <v>25</v>
      </c>
      <c r="F1301" t="s">
        <v>280</v>
      </c>
      <c r="G1301" t="s">
        <v>1416</v>
      </c>
      <c r="H1301" s="9">
        <v>44657</v>
      </c>
      <c r="I1301" t="s">
        <v>8634</v>
      </c>
      <c r="J1301" t="s">
        <v>0</v>
      </c>
      <c r="K1301" s="9">
        <v>44858</v>
      </c>
      <c r="L1301" t="s">
        <v>29</v>
      </c>
      <c r="M1301"/>
      <c r="N1301" s="9">
        <v>44686</v>
      </c>
      <c r="O1301" s="9">
        <v>44693</v>
      </c>
      <c r="P1301" s="9">
        <v>44693</v>
      </c>
      <c r="Q1301" s="9">
        <v>44858</v>
      </c>
      <c r="R1301"/>
      <c r="S1301"/>
      <c r="T1301"/>
      <c r="U1301"/>
    </row>
    <row r="1302" spans="1:21" hidden="1">
      <c r="A1302" s="7" t="s">
        <v>8763</v>
      </c>
      <c r="B1302" s="7" t="s">
        <v>5405</v>
      </c>
      <c r="C1302" s="8" t="s">
        <v>5317</v>
      </c>
      <c r="D1302" t="s">
        <v>216</v>
      </c>
      <c r="E1302" t="s">
        <v>25</v>
      </c>
      <c r="F1302" t="s">
        <v>280</v>
      </c>
      <c r="G1302" t="s">
        <v>1417</v>
      </c>
      <c r="H1302" s="9">
        <v>44657</v>
      </c>
      <c r="I1302" t="s">
        <v>8634</v>
      </c>
      <c r="J1302" t="s">
        <v>0</v>
      </c>
      <c r="K1302" s="9">
        <v>44858</v>
      </c>
      <c r="L1302" t="s">
        <v>29</v>
      </c>
      <c r="M1302"/>
      <c r="N1302" s="9">
        <v>44686</v>
      </c>
      <c r="O1302" s="9">
        <v>44693</v>
      </c>
      <c r="P1302" s="9">
        <v>44693</v>
      </c>
      <c r="Q1302" s="9">
        <v>44858</v>
      </c>
      <c r="R1302"/>
      <c r="S1302"/>
      <c r="T1302"/>
      <c r="U1302"/>
    </row>
    <row r="1303" spans="1:21" hidden="1">
      <c r="A1303" s="7" t="s">
        <v>8763</v>
      </c>
      <c r="B1303" s="7" t="s">
        <v>5405</v>
      </c>
      <c r="C1303" s="8" t="s">
        <v>5317</v>
      </c>
      <c r="D1303" t="s">
        <v>216</v>
      </c>
      <c r="E1303" t="s">
        <v>25</v>
      </c>
      <c r="F1303" t="s">
        <v>280</v>
      </c>
      <c r="G1303" t="s">
        <v>1418</v>
      </c>
      <c r="H1303" s="9">
        <v>44657</v>
      </c>
      <c r="I1303" t="s">
        <v>8634</v>
      </c>
      <c r="J1303" t="s">
        <v>0</v>
      </c>
      <c r="K1303" s="9">
        <v>44858</v>
      </c>
      <c r="L1303" t="s">
        <v>29</v>
      </c>
      <c r="M1303"/>
      <c r="N1303" s="9">
        <v>44686</v>
      </c>
      <c r="O1303" s="9">
        <v>44693</v>
      </c>
      <c r="P1303" s="9">
        <v>44693</v>
      </c>
      <c r="Q1303" s="9">
        <v>44858</v>
      </c>
      <c r="R1303"/>
      <c r="S1303"/>
      <c r="T1303"/>
      <c r="U1303"/>
    </row>
    <row r="1304" spans="1:21" hidden="1">
      <c r="A1304" s="7" t="s">
        <v>8763</v>
      </c>
      <c r="B1304" s="7" t="s">
        <v>5405</v>
      </c>
      <c r="C1304" s="8" t="s">
        <v>5317</v>
      </c>
      <c r="D1304" t="s">
        <v>216</v>
      </c>
      <c r="E1304" t="s">
        <v>25</v>
      </c>
      <c r="F1304" t="s">
        <v>280</v>
      </c>
      <c r="G1304" t="s">
        <v>1419</v>
      </c>
      <c r="H1304" s="9">
        <v>44657</v>
      </c>
      <c r="I1304" t="s">
        <v>8634</v>
      </c>
      <c r="J1304" t="s">
        <v>0</v>
      </c>
      <c r="K1304" s="9">
        <v>44858</v>
      </c>
      <c r="L1304" t="s">
        <v>29</v>
      </c>
      <c r="M1304"/>
      <c r="N1304" s="9">
        <v>44686</v>
      </c>
      <c r="O1304" s="9">
        <v>44693</v>
      </c>
      <c r="P1304" s="9">
        <v>44693</v>
      </c>
      <c r="Q1304" s="9">
        <v>44858</v>
      </c>
      <c r="R1304"/>
      <c r="S1304"/>
      <c r="T1304"/>
      <c r="U1304"/>
    </row>
    <row r="1305" spans="1:21" hidden="1">
      <c r="A1305" s="7" t="s">
        <v>8763</v>
      </c>
      <c r="B1305" s="7" t="s">
        <v>5405</v>
      </c>
      <c r="C1305" s="8" t="s">
        <v>5317</v>
      </c>
      <c r="D1305" t="s">
        <v>216</v>
      </c>
      <c r="E1305" t="s">
        <v>25</v>
      </c>
      <c r="F1305" t="s">
        <v>280</v>
      </c>
      <c r="G1305" t="s">
        <v>1420</v>
      </c>
      <c r="H1305" s="9">
        <v>44657</v>
      </c>
      <c r="I1305" t="s">
        <v>8634</v>
      </c>
      <c r="J1305" t="s">
        <v>0</v>
      </c>
      <c r="K1305" s="9">
        <v>44858</v>
      </c>
      <c r="L1305" t="s">
        <v>29</v>
      </c>
      <c r="M1305"/>
      <c r="N1305" s="9">
        <v>44686</v>
      </c>
      <c r="O1305" s="9">
        <v>44693</v>
      </c>
      <c r="P1305" s="9">
        <v>44693</v>
      </c>
      <c r="Q1305" s="9">
        <v>44858</v>
      </c>
      <c r="R1305"/>
      <c r="S1305"/>
      <c r="T1305"/>
      <c r="U1305"/>
    </row>
    <row r="1306" spans="1:21" hidden="1">
      <c r="A1306" s="7" t="s">
        <v>8763</v>
      </c>
      <c r="B1306" s="7" t="s">
        <v>5405</v>
      </c>
      <c r="C1306" s="8" t="s">
        <v>5317</v>
      </c>
      <c r="D1306" t="s">
        <v>216</v>
      </c>
      <c r="E1306" t="s">
        <v>25</v>
      </c>
      <c r="F1306" t="s">
        <v>280</v>
      </c>
      <c r="G1306" t="s">
        <v>1421</v>
      </c>
      <c r="H1306" s="9">
        <v>44657</v>
      </c>
      <c r="I1306" t="s">
        <v>8634</v>
      </c>
      <c r="J1306" t="s">
        <v>0</v>
      </c>
      <c r="K1306" s="9">
        <v>44858</v>
      </c>
      <c r="L1306" t="s">
        <v>29</v>
      </c>
      <c r="M1306"/>
      <c r="N1306" s="9">
        <v>44686</v>
      </c>
      <c r="O1306" s="9">
        <v>44693</v>
      </c>
      <c r="P1306" s="9">
        <v>44693</v>
      </c>
      <c r="Q1306" s="9">
        <v>44858</v>
      </c>
      <c r="R1306"/>
      <c r="S1306"/>
      <c r="T1306"/>
      <c r="U1306"/>
    </row>
    <row r="1307" spans="1:21" hidden="1">
      <c r="A1307" s="7" t="s">
        <v>8763</v>
      </c>
      <c r="B1307" s="7" t="s">
        <v>5405</v>
      </c>
      <c r="C1307" s="8" t="s">
        <v>5317</v>
      </c>
      <c r="D1307" t="s">
        <v>216</v>
      </c>
      <c r="E1307" t="s">
        <v>25</v>
      </c>
      <c r="F1307" t="s">
        <v>280</v>
      </c>
      <c r="G1307" t="s">
        <v>1422</v>
      </c>
      <c r="H1307" s="9">
        <v>44657</v>
      </c>
      <c r="I1307" t="s">
        <v>8634</v>
      </c>
      <c r="J1307" t="s">
        <v>0</v>
      </c>
      <c r="K1307" s="9">
        <v>44858</v>
      </c>
      <c r="L1307" t="s">
        <v>29</v>
      </c>
      <c r="M1307"/>
      <c r="N1307" s="9">
        <v>44686</v>
      </c>
      <c r="O1307" s="9">
        <v>44693</v>
      </c>
      <c r="P1307" s="9">
        <v>44693</v>
      </c>
      <c r="Q1307" s="9">
        <v>44858</v>
      </c>
      <c r="R1307"/>
      <c r="S1307"/>
      <c r="T1307"/>
      <c r="U1307"/>
    </row>
    <row r="1308" spans="1:21" hidden="1">
      <c r="A1308" s="7" t="s">
        <v>8763</v>
      </c>
      <c r="B1308" s="7" t="s">
        <v>5405</v>
      </c>
      <c r="C1308" s="8" t="s">
        <v>5317</v>
      </c>
      <c r="D1308" t="s">
        <v>216</v>
      </c>
      <c r="E1308" t="s">
        <v>25</v>
      </c>
      <c r="F1308" t="s">
        <v>280</v>
      </c>
      <c r="G1308" t="s">
        <v>1423</v>
      </c>
      <c r="H1308" s="9">
        <v>44657</v>
      </c>
      <c r="I1308" t="s">
        <v>8634</v>
      </c>
      <c r="J1308" t="s">
        <v>0</v>
      </c>
      <c r="K1308" s="9">
        <v>44858</v>
      </c>
      <c r="L1308" t="s">
        <v>29</v>
      </c>
      <c r="M1308"/>
      <c r="N1308" s="9">
        <v>44686</v>
      </c>
      <c r="O1308" s="9">
        <v>44693</v>
      </c>
      <c r="P1308" s="9">
        <v>44693</v>
      </c>
      <c r="Q1308" s="9">
        <v>44858</v>
      </c>
      <c r="R1308"/>
      <c r="S1308"/>
      <c r="T1308"/>
      <c r="U1308"/>
    </row>
    <row r="1309" spans="1:21" hidden="1">
      <c r="A1309" s="7" t="s">
        <v>8763</v>
      </c>
      <c r="B1309" s="7" t="s">
        <v>5405</v>
      </c>
      <c r="C1309" s="8" t="s">
        <v>5317</v>
      </c>
      <c r="D1309" t="s">
        <v>216</v>
      </c>
      <c r="E1309" t="s">
        <v>25</v>
      </c>
      <c r="F1309" t="s">
        <v>280</v>
      </c>
      <c r="G1309" t="s">
        <v>1424</v>
      </c>
      <c r="H1309" s="9">
        <v>44657</v>
      </c>
      <c r="I1309" t="s">
        <v>8634</v>
      </c>
      <c r="J1309" t="s">
        <v>0</v>
      </c>
      <c r="K1309" s="9">
        <v>44858</v>
      </c>
      <c r="L1309" t="s">
        <v>29</v>
      </c>
      <c r="M1309"/>
      <c r="N1309" s="9">
        <v>44686</v>
      </c>
      <c r="O1309" s="9">
        <v>44693</v>
      </c>
      <c r="P1309" s="9">
        <v>44693</v>
      </c>
      <c r="Q1309" s="9">
        <v>44858</v>
      </c>
      <c r="R1309"/>
      <c r="S1309"/>
      <c r="T1309"/>
      <c r="U1309"/>
    </row>
    <row r="1310" spans="1:21" hidden="1">
      <c r="A1310" s="7" t="s">
        <v>8763</v>
      </c>
      <c r="B1310" s="7" t="s">
        <v>5405</v>
      </c>
      <c r="C1310" s="8" t="s">
        <v>5317</v>
      </c>
      <c r="D1310" t="s">
        <v>216</v>
      </c>
      <c r="E1310" t="s">
        <v>25</v>
      </c>
      <c r="F1310" t="s">
        <v>280</v>
      </c>
      <c r="G1310" t="s">
        <v>1425</v>
      </c>
      <c r="H1310" s="9">
        <v>44657</v>
      </c>
      <c r="I1310" t="s">
        <v>8634</v>
      </c>
      <c r="J1310" t="s">
        <v>0</v>
      </c>
      <c r="K1310" s="9">
        <v>44858</v>
      </c>
      <c r="L1310" t="s">
        <v>29</v>
      </c>
      <c r="M1310"/>
      <c r="N1310" s="9">
        <v>44686</v>
      </c>
      <c r="O1310" s="9">
        <v>44693</v>
      </c>
      <c r="P1310" s="9">
        <v>44693</v>
      </c>
      <c r="Q1310" s="9">
        <v>44858</v>
      </c>
      <c r="R1310"/>
      <c r="S1310"/>
      <c r="T1310"/>
      <c r="U1310"/>
    </row>
    <row r="1311" spans="1:21" hidden="1">
      <c r="A1311" s="7" t="s">
        <v>8763</v>
      </c>
      <c r="B1311" s="7" t="s">
        <v>5405</v>
      </c>
      <c r="C1311" s="8" t="s">
        <v>5317</v>
      </c>
      <c r="D1311" t="s">
        <v>216</v>
      </c>
      <c r="E1311" t="s">
        <v>25</v>
      </c>
      <c r="F1311" t="s">
        <v>280</v>
      </c>
      <c r="G1311" t="s">
        <v>1426</v>
      </c>
      <c r="H1311" s="9">
        <v>44657</v>
      </c>
      <c r="I1311" t="s">
        <v>8634</v>
      </c>
      <c r="J1311" t="s">
        <v>0</v>
      </c>
      <c r="K1311" s="9">
        <v>44858</v>
      </c>
      <c r="L1311" t="s">
        <v>29</v>
      </c>
      <c r="M1311"/>
      <c r="N1311" s="9">
        <v>44686</v>
      </c>
      <c r="O1311" s="9">
        <v>44693</v>
      </c>
      <c r="P1311" s="9">
        <v>44693</v>
      </c>
      <c r="Q1311" s="9">
        <v>44858</v>
      </c>
      <c r="R1311"/>
      <c r="S1311"/>
      <c r="T1311"/>
      <c r="U1311"/>
    </row>
    <row r="1312" spans="1:21" hidden="1">
      <c r="A1312" s="7" t="s">
        <v>8763</v>
      </c>
      <c r="B1312" s="7" t="s">
        <v>5405</v>
      </c>
      <c r="C1312" s="8" t="s">
        <v>5317</v>
      </c>
      <c r="D1312" t="s">
        <v>216</v>
      </c>
      <c r="E1312" t="s">
        <v>25</v>
      </c>
      <c r="F1312" t="s">
        <v>280</v>
      </c>
      <c r="G1312" t="s">
        <v>1427</v>
      </c>
      <c r="H1312" s="9">
        <v>44657</v>
      </c>
      <c r="I1312" t="s">
        <v>8634</v>
      </c>
      <c r="J1312" t="s">
        <v>0</v>
      </c>
      <c r="K1312" s="9">
        <v>44858</v>
      </c>
      <c r="L1312" t="s">
        <v>29</v>
      </c>
      <c r="M1312"/>
      <c r="N1312" s="9">
        <v>44686</v>
      </c>
      <c r="O1312" s="9">
        <v>44693</v>
      </c>
      <c r="P1312" s="9">
        <v>44693</v>
      </c>
      <c r="Q1312" s="9">
        <v>44858</v>
      </c>
      <c r="R1312"/>
      <c r="S1312"/>
      <c r="T1312"/>
      <c r="U1312"/>
    </row>
    <row r="1313" spans="1:21" hidden="1">
      <c r="A1313" s="7" t="s">
        <v>8758</v>
      </c>
      <c r="B1313" s="7" t="s">
        <v>5405</v>
      </c>
      <c r="C1313" s="8" t="s">
        <v>5317</v>
      </c>
      <c r="D1313" t="s">
        <v>216</v>
      </c>
      <c r="E1313" t="s">
        <v>25</v>
      </c>
      <c r="F1313" t="s">
        <v>493</v>
      </c>
      <c r="G1313" t="s">
        <v>776</v>
      </c>
      <c r="H1313" s="9">
        <v>44657</v>
      </c>
      <c r="I1313" t="s">
        <v>8634</v>
      </c>
      <c r="J1313" t="s">
        <v>0</v>
      </c>
      <c r="K1313" s="9">
        <v>44862</v>
      </c>
      <c r="L1313" t="s">
        <v>29</v>
      </c>
      <c r="M1313"/>
      <c r="N1313" s="9">
        <v>44686</v>
      </c>
      <c r="O1313" s="9">
        <v>44693</v>
      </c>
      <c r="P1313" s="9">
        <v>44693</v>
      </c>
      <c r="Q1313" s="9">
        <v>44862</v>
      </c>
      <c r="R1313"/>
      <c r="S1313"/>
      <c r="T1313"/>
      <c r="U1313"/>
    </row>
    <row r="1314" spans="1:21" hidden="1">
      <c r="A1314" s="7" t="s">
        <v>8758</v>
      </c>
      <c r="B1314" s="7" t="s">
        <v>5405</v>
      </c>
      <c r="C1314" s="8" t="s">
        <v>5317</v>
      </c>
      <c r="D1314" t="s">
        <v>216</v>
      </c>
      <c r="E1314" t="s">
        <v>25</v>
      </c>
      <c r="F1314" t="s">
        <v>493</v>
      </c>
      <c r="G1314" t="s">
        <v>1428</v>
      </c>
      <c r="H1314" s="9">
        <v>44657</v>
      </c>
      <c r="I1314" t="s">
        <v>8634</v>
      </c>
      <c r="J1314" t="s">
        <v>0</v>
      </c>
      <c r="K1314" s="9">
        <v>44862</v>
      </c>
      <c r="L1314" t="s">
        <v>29</v>
      </c>
      <c r="M1314"/>
      <c r="N1314" s="9">
        <v>44686</v>
      </c>
      <c r="O1314" s="9">
        <v>44693</v>
      </c>
      <c r="P1314" s="9">
        <v>44693</v>
      </c>
      <c r="Q1314" s="9">
        <v>44862</v>
      </c>
      <c r="R1314"/>
      <c r="S1314"/>
      <c r="T1314"/>
      <c r="U1314"/>
    </row>
    <row r="1315" spans="1:21" hidden="1">
      <c r="A1315" s="7" t="s">
        <v>8763</v>
      </c>
      <c r="B1315" s="7" t="s">
        <v>5405</v>
      </c>
      <c r="C1315" s="8" t="s">
        <v>5317</v>
      </c>
      <c r="D1315" t="s">
        <v>216</v>
      </c>
      <c r="E1315" t="s">
        <v>25</v>
      </c>
      <c r="F1315" t="s">
        <v>280</v>
      </c>
      <c r="G1315" t="s">
        <v>1429</v>
      </c>
      <c r="H1315" s="9">
        <v>44657</v>
      </c>
      <c r="I1315" t="s">
        <v>8634</v>
      </c>
      <c r="J1315" t="s">
        <v>163</v>
      </c>
      <c r="K1315" s="9">
        <v>44693</v>
      </c>
      <c r="L1315" t="s">
        <v>29</v>
      </c>
      <c r="M1315"/>
      <c r="N1315" s="9">
        <v>44686</v>
      </c>
      <c r="O1315" s="9">
        <v>44693</v>
      </c>
      <c r="P1315" s="9">
        <v>44693</v>
      </c>
      <c r="Q1315"/>
      <c r="R1315"/>
      <c r="S1315"/>
      <c r="T1315"/>
      <c r="U1315"/>
    </row>
    <row r="1316" spans="1:21" hidden="1">
      <c r="A1316" s="7" t="s">
        <v>8763</v>
      </c>
      <c r="B1316" s="7" t="s">
        <v>5405</v>
      </c>
      <c r="C1316" s="8" t="s">
        <v>5317</v>
      </c>
      <c r="D1316" t="s">
        <v>216</v>
      </c>
      <c r="E1316" t="s">
        <v>25</v>
      </c>
      <c r="F1316" t="s">
        <v>280</v>
      </c>
      <c r="G1316" t="s">
        <v>1430</v>
      </c>
      <c r="H1316" s="9">
        <v>44657</v>
      </c>
      <c r="I1316" t="s">
        <v>8634</v>
      </c>
      <c r="J1316" t="s">
        <v>0</v>
      </c>
      <c r="K1316" s="9">
        <v>44858</v>
      </c>
      <c r="L1316" t="s">
        <v>29</v>
      </c>
      <c r="M1316"/>
      <c r="N1316" s="9">
        <v>44686</v>
      </c>
      <c r="O1316" s="9">
        <v>44693</v>
      </c>
      <c r="P1316" s="9">
        <v>44693</v>
      </c>
      <c r="Q1316" s="9">
        <v>44858</v>
      </c>
      <c r="R1316"/>
      <c r="S1316"/>
      <c r="T1316"/>
      <c r="U1316"/>
    </row>
    <row r="1317" spans="1:21" hidden="1">
      <c r="A1317" s="7" t="s">
        <v>8764</v>
      </c>
      <c r="B1317" s="7" t="s">
        <v>5405</v>
      </c>
      <c r="C1317" s="8" t="s">
        <v>5317</v>
      </c>
      <c r="D1317" t="s">
        <v>216</v>
      </c>
      <c r="E1317" t="s">
        <v>25</v>
      </c>
      <c r="F1317" t="s">
        <v>75</v>
      </c>
      <c r="G1317" t="s">
        <v>1431</v>
      </c>
      <c r="H1317" s="9">
        <v>44658</v>
      </c>
      <c r="I1317" t="s">
        <v>8634</v>
      </c>
      <c r="J1317" t="s">
        <v>163</v>
      </c>
      <c r="K1317" s="9">
        <v>44693</v>
      </c>
      <c r="L1317" t="s">
        <v>29</v>
      </c>
      <c r="M1317"/>
      <c r="N1317" s="9">
        <v>44686</v>
      </c>
      <c r="O1317" s="9">
        <v>44693</v>
      </c>
      <c r="P1317" s="9">
        <v>44693</v>
      </c>
      <c r="Q1317"/>
      <c r="R1317"/>
      <c r="S1317"/>
      <c r="T1317"/>
      <c r="U1317"/>
    </row>
    <row r="1318" spans="1:21" hidden="1">
      <c r="A1318" s="7" t="s">
        <v>8764</v>
      </c>
      <c r="B1318" s="7" t="s">
        <v>5405</v>
      </c>
      <c r="C1318" s="8" t="s">
        <v>5317</v>
      </c>
      <c r="D1318" t="s">
        <v>216</v>
      </c>
      <c r="E1318" t="s">
        <v>25</v>
      </c>
      <c r="F1318" t="s">
        <v>75</v>
      </c>
      <c r="G1318" t="s">
        <v>1432</v>
      </c>
      <c r="H1318" s="9">
        <v>44658</v>
      </c>
      <c r="I1318" t="s">
        <v>8634</v>
      </c>
      <c r="J1318" t="s">
        <v>163</v>
      </c>
      <c r="K1318" s="9">
        <v>44693</v>
      </c>
      <c r="L1318" t="s">
        <v>29</v>
      </c>
      <c r="M1318"/>
      <c r="N1318" s="9">
        <v>44686</v>
      </c>
      <c r="O1318" s="9">
        <v>44693</v>
      </c>
      <c r="P1318" s="9">
        <v>44693</v>
      </c>
      <c r="Q1318"/>
      <c r="R1318"/>
      <c r="S1318"/>
      <c r="T1318"/>
      <c r="U1318"/>
    </row>
    <row r="1319" spans="1:21" hidden="1">
      <c r="A1319" s="7" t="s">
        <v>8820</v>
      </c>
      <c r="B1319" s="7" t="s">
        <v>8307</v>
      </c>
      <c r="C1319" s="8" t="s">
        <v>5317</v>
      </c>
      <c r="D1319" t="s">
        <v>216</v>
      </c>
      <c r="E1319" t="s">
        <v>1433</v>
      </c>
      <c r="F1319" t="s">
        <v>117</v>
      </c>
      <c r="G1319" t="s">
        <v>1434</v>
      </c>
      <c r="H1319" s="9">
        <v>44657</v>
      </c>
      <c r="I1319" t="s">
        <v>1435</v>
      </c>
      <c r="J1319" t="s">
        <v>2</v>
      </c>
      <c r="K1319" s="9">
        <v>44726</v>
      </c>
      <c r="L1319" t="s">
        <v>29</v>
      </c>
      <c r="M1319" t="s">
        <v>331</v>
      </c>
      <c r="N1319" s="9">
        <v>44686</v>
      </c>
      <c r="O1319" s="9">
        <v>44693</v>
      </c>
      <c r="P1319" s="9">
        <v>44693</v>
      </c>
      <c r="Q1319"/>
      <c r="R1319"/>
      <c r="S1319"/>
      <c r="T1319"/>
      <c r="U1319"/>
    </row>
    <row r="1320" spans="1:21" hidden="1">
      <c r="A1320" s="7" t="s">
        <v>8820</v>
      </c>
      <c r="B1320" s="7" t="s">
        <v>8307</v>
      </c>
      <c r="C1320" s="8" t="s">
        <v>5317</v>
      </c>
      <c r="D1320" t="s">
        <v>216</v>
      </c>
      <c r="E1320" t="s">
        <v>1433</v>
      </c>
      <c r="F1320" t="s">
        <v>117</v>
      </c>
      <c r="G1320" t="s">
        <v>1436</v>
      </c>
      <c r="H1320" s="9">
        <v>44657</v>
      </c>
      <c r="I1320" t="s">
        <v>1435</v>
      </c>
      <c r="J1320" t="s">
        <v>2</v>
      </c>
      <c r="K1320" s="9">
        <v>44726</v>
      </c>
      <c r="L1320" t="s">
        <v>29</v>
      </c>
      <c r="M1320" t="s">
        <v>331</v>
      </c>
      <c r="N1320" s="9">
        <v>44686</v>
      </c>
      <c r="O1320" s="9">
        <v>44693</v>
      </c>
      <c r="P1320" s="9">
        <v>44693</v>
      </c>
      <c r="Q1320"/>
      <c r="R1320"/>
      <c r="S1320"/>
      <c r="T1320"/>
      <c r="U1320"/>
    </row>
    <row r="1321" spans="1:21" hidden="1">
      <c r="A1321" s="7" t="s">
        <v>8820</v>
      </c>
      <c r="B1321" s="7" t="s">
        <v>8307</v>
      </c>
      <c r="C1321" s="8" t="s">
        <v>5317</v>
      </c>
      <c r="D1321" t="s">
        <v>216</v>
      </c>
      <c r="E1321" t="s">
        <v>1433</v>
      </c>
      <c r="F1321" t="s">
        <v>117</v>
      </c>
      <c r="G1321" t="s">
        <v>1437</v>
      </c>
      <c r="H1321" s="9">
        <v>44657</v>
      </c>
      <c r="I1321" t="s">
        <v>1435</v>
      </c>
      <c r="J1321" t="s">
        <v>2</v>
      </c>
      <c r="K1321" s="9">
        <v>44726</v>
      </c>
      <c r="L1321" t="s">
        <v>29</v>
      </c>
      <c r="M1321" t="s">
        <v>331</v>
      </c>
      <c r="N1321" s="9">
        <v>44686</v>
      </c>
      <c r="O1321" s="9">
        <v>44693</v>
      </c>
      <c r="P1321" s="9">
        <v>44693</v>
      </c>
      <c r="Q1321"/>
      <c r="R1321"/>
      <c r="S1321"/>
      <c r="T1321"/>
      <c r="U1321"/>
    </row>
    <row r="1322" spans="1:21" hidden="1">
      <c r="A1322" s="7" t="s">
        <v>8820</v>
      </c>
      <c r="B1322" s="7" t="s">
        <v>8307</v>
      </c>
      <c r="C1322" s="8" t="s">
        <v>5317</v>
      </c>
      <c r="D1322" t="s">
        <v>216</v>
      </c>
      <c r="E1322" t="s">
        <v>1433</v>
      </c>
      <c r="F1322" t="s">
        <v>117</v>
      </c>
      <c r="G1322" t="s">
        <v>1438</v>
      </c>
      <c r="H1322" s="9">
        <v>44657</v>
      </c>
      <c r="I1322" t="s">
        <v>1435</v>
      </c>
      <c r="J1322" t="s">
        <v>2</v>
      </c>
      <c r="K1322" s="9">
        <v>44726</v>
      </c>
      <c r="L1322" t="s">
        <v>29</v>
      </c>
      <c r="M1322" t="s">
        <v>331</v>
      </c>
      <c r="N1322" s="9">
        <v>44686</v>
      </c>
      <c r="O1322" s="9">
        <v>44693</v>
      </c>
      <c r="P1322" s="9">
        <v>44693</v>
      </c>
      <c r="Q1322"/>
      <c r="R1322"/>
      <c r="S1322"/>
      <c r="T1322"/>
      <c r="U1322"/>
    </row>
    <row r="1323" spans="1:21" hidden="1">
      <c r="A1323" s="7" t="s">
        <v>8820</v>
      </c>
      <c r="B1323" s="7" t="s">
        <v>8307</v>
      </c>
      <c r="C1323" s="8" t="s">
        <v>5317</v>
      </c>
      <c r="D1323" t="s">
        <v>216</v>
      </c>
      <c r="E1323" t="s">
        <v>1433</v>
      </c>
      <c r="F1323" t="s">
        <v>117</v>
      </c>
      <c r="G1323" t="s">
        <v>1439</v>
      </c>
      <c r="H1323" s="9">
        <v>44657</v>
      </c>
      <c r="I1323" t="s">
        <v>1435</v>
      </c>
      <c r="J1323" t="s">
        <v>2</v>
      </c>
      <c r="K1323" s="9">
        <v>44726</v>
      </c>
      <c r="L1323" t="s">
        <v>29</v>
      </c>
      <c r="M1323" t="s">
        <v>331</v>
      </c>
      <c r="N1323" s="9">
        <v>44686</v>
      </c>
      <c r="O1323" s="9">
        <v>44693</v>
      </c>
      <c r="P1323" s="9">
        <v>44693</v>
      </c>
      <c r="Q1323"/>
      <c r="R1323"/>
      <c r="S1323"/>
      <c r="T1323"/>
      <c r="U1323"/>
    </row>
    <row r="1324" spans="1:21" hidden="1">
      <c r="A1324" s="7" t="s">
        <v>8763</v>
      </c>
      <c r="B1324" s="7" t="s">
        <v>5405</v>
      </c>
      <c r="C1324" s="8" t="s">
        <v>5317</v>
      </c>
      <c r="D1324" t="s">
        <v>216</v>
      </c>
      <c r="E1324" t="s">
        <v>25</v>
      </c>
      <c r="F1324" t="s">
        <v>280</v>
      </c>
      <c r="G1324" t="s">
        <v>1440</v>
      </c>
      <c r="H1324" s="9">
        <v>44657</v>
      </c>
      <c r="I1324" t="s">
        <v>8634</v>
      </c>
      <c r="J1324" t="s">
        <v>0</v>
      </c>
      <c r="K1324" s="9">
        <v>44858</v>
      </c>
      <c r="L1324" t="s">
        <v>29</v>
      </c>
      <c r="M1324"/>
      <c r="N1324" s="9">
        <v>44686</v>
      </c>
      <c r="O1324" s="9">
        <v>44693</v>
      </c>
      <c r="P1324" s="9">
        <v>44693</v>
      </c>
      <c r="Q1324" s="9">
        <v>44858</v>
      </c>
      <c r="R1324"/>
      <c r="S1324"/>
      <c r="T1324"/>
      <c r="U1324"/>
    </row>
    <row r="1325" spans="1:21" hidden="1">
      <c r="A1325" s="7" t="s">
        <v>8820</v>
      </c>
      <c r="B1325" s="7" t="s">
        <v>8307</v>
      </c>
      <c r="C1325" s="8" t="s">
        <v>5317</v>
      </c>
      <c r="D1325" t="s">
        <v>216</v>
      </c>
      <c r="E1325" t="s">
        <v>1433</v>
      </c>
      <c r="F1325" t="s">
        <v>117</v>
      </c>
      <c r="G1325" t="s">
        <v>1440</v>
      </c>
      <c r="H1325" s="9">
        <v>44657</v>
      </c>
      <c r="I1325" t="s">
        <v>1435</v>
      </c>
      <c r="J1325" t="s">
        <v>2</v>
      </c>
      <c r="K1325" s="9">
        <v>44726</v>
      </c>
      <c r="L1325" t="s">
        <v>29</v>
      </c>
      <c r="M1325" t="s">
        <v>331</v>
      </c>
      <c r="N1325" s="9">
        <v>44686</v>
      </c>
      <c r="O1325" s="9">
        <v>44693</v>
      </c>
      <c r="P1325" s="9">
        <v>44693</v>
      </c>
      <c r="Q1325"/>
      <c r="R1325"/>
      <c r="S1325"/>
      <c r="T1325"/>
      <c r="U1325"/>
    </row>
    <row r="1326" spans="1:21" hidden="1">
      <c r="A1326" s="7" t="s">
        <v>8820</v>
      </c>
      <c r="B1326" s="7" t="s">
        <v>8307</v>
      </c>
      <c r="C1326" s="8" t="s">
        <v>5317</v>
      </c>
      <c r="D1326" t="s">
        <v>216</v>
      </c>
      <c r="E1326" t="s">
        <v>1433</v>
      </c>
      <c r="F1326" t="s">
        <v>117</v>
      </c>
      <c r="G1326" t="s">
        <v>1441</v>
      </c>
      <c r="H1326" s="9">
        <v>44657</v>
      </c>
      <c r="I1326" t="s">
        <v>1435</v>
      </c>
      <c r="J1326" t="s">
        <v>2</v>
      </c>
      <c r="K1326" s="9">
        <v>44726</v>
      </c>
      <c r="L1326" t="s">
        <v>29</v>
      </c>
      <c r="M1326" t="s">
        <v>331</v>
      </c>
      <c r="N1326" s="9">
        <v>44686</v>
      </c>
      <c r="O1326" s="9">
        <v>44693</v>
      </c>
      <c r="P1326" s="9">
        <v>44693</v>
      </c>
      <c r="Q1326"/>
      <c r="R1326"/>
      <c r="S1326"/>
      <c r="T1326"/>
      <c r="U1326"/>
    </row>
    <row r="1327" spans="1:21" hidden="1">
      <c r="A1327" s="7" t="s">
        <v>8820</v>
      </c>
      <c r="B1327" s="7" t="s">
        <v>8307</v>
      </c>
      <c r="C1327" s="8" t="s">
        <v>5317</v>
      </c>
      <c r="D1327" t="s">
        <v>216</v>
      </c>
      <c r="E1327" t="s">
        <v>1433</v>
      </c>
      <c r="F1327" t="s">
        <v>117</v>
      </c>
      <c r="G1327" t="s">
        <v>1442</v>
      </c>
      <c r="H1327" s="9">
        <v>44657</v>
      </c>
      <c r="I1327" t="s">
        <v>1435</v>
      </c>
      <c r="J1327" t="s">
        <v>2</v>
      </c>
      <c r="K1327" s="9">
        <v>44726</v>
      </c>
      <c r="L1327" t="s">
        <v>29</v>
      </c>
      <c r="M1327" t="s">
        <v>331</v>
      </c>
      <c r="N1327" s="9">
        <v>44686</v>
      </c>
      <c r="O1327" s="9">
        <v>44693</v>
      </c>
      <c r="P1327" s="9">
        <v>44693</v>
      </c>
      <c r="Q1327"/>
      <c r="R1327"/>
      <c r="S1327"/>
      <c r="T1327"/>
      <c r="U1327"/>
    </row>
    <row r="1328" spans="1:21" hidden="1">
      <c r="A1328" s="7" t="s">
        <v>8820</v>
      </c>
      <c r="B1328" s="7" t="s">
        <v>8307</v>
      </c>
      <c r="C1328" s="8" t="s">
        <v>5317</v>
      </c>
      <c r="D1328" t="s">
        <v>216</v>
      </c>
      <c r="E1328" t="s">
        <v>1433</v>
      </c>
      <c r="F1328" t="s">
        <v>117</v>
      </c>
      <c r="G1328" t="s">
        <v>1443</v>
      </c>
      <c r="H1328" s="9">
        <v>44657</v>
      </c>
      <c r="I1328" t="s">
        <v>1435</v>
      </c>
      <c r="J1328" t="s">
        <v>2</v>
      </c>
      <c r="K1328" s="9">
        <v>44726</v>
      </c>
      <c r="L1328" t="s">
        <v>29</v>
      </c>
      <c r="M1328" t="s">
        <v>331</v>
      </c>
      <c r="N1328" s="9">
        <v>44686</v>
      </c>
      <c r="O1328" s="9">
        <v>44693</v>
      </c>
      <c r="P1328" s="9">
        <v>44693</v>
      </c>
      <c r="Q1328"/>
      <c r="R1328"/>
      <c r="S1328"/>
      <c r="T1328"/>
      <c r="U1328"/>
    </row>
    <row r="1329" spans="1:21" hidden="1">
      <c r="A1329" s="7" t="s">
        <v>8820</v>
      </c>
      <c r="B1329" s="7" t="s">
        <v>8307</v>
      </c>
      <c r="C1329" s="8" t="s">
        <v>5317</v>
      </c>
      <c r="D1329" t="s">
        <v>216</v>
      </c>
      <c r="E1329" t="s">
        <v>1433</v>
      </c>
      <c r="F1329" t="s">
        <v>117</v>
      </c>
      <c r="G1329" t="s">
        <v>1444</v>
      </c>
      <c r="H1329" s="9">
        <v>44657</v>
      </c>
      <c r="I1329" t="s">
        <v>1435</v>
      </c>
      <c r="J1329" t="s">
        <v>2</v>
      </c>
      <c r="K1329" s="9">
        <v>44726</v>
      </c>
      <c r="L1329" t="s">
        <v>29</v>
      </c>
      <c r="M1329" t="s">
        <v>331</v>
      </c>
      <c r="N1329" s="9">
        <v>44686</v>
      </c>
      <c r="O1329" s="9">
        <v>44693</v>
      </c>
      <c r="P1329" s="9">
        <v>44693</v>
      </c>
      <c r="Q1329"/>
      <c r="R1329"/>
      <c r="S1329"/>
      <c r="T1329"/>
      <c r="U1329"/>
    </row>
    <row r="1330" spans="1:21" hidden="1">
      <c r="A1330" s="7" t="s">
        <v>8820</v>
      </c>
      <c r="B1330" s="7" t="s">
        <v>8307</v>
      </c>
      <c r="C1330" s="8" t="s">
        <v>5317</v>
      </c>
      <c r="D1330" t="s">
        <v>216</v>
      </c>
      <c r="E1330" t="s">
        <v>1433</v>
      </c>
      <c r="F1330" t="s">
        <v>117</v>
      </c>
      <c r="G1330" t="s">
        <v>1445</v>
      </c>
      <c r="H1330" s="9">
        <v>44657</v>
      </c>
      <c r="I1330" t="s">
        <v>1435</v>
      </c>
      <c r="J1330" t="s">
        <v>2</v>
      </c>
      <c r="K1330" s="9">
        <v>44726</v>
      </c>
      <c r="L1330" t="s">
        <v>29</v>
      </c>
      <c r="M1330" t="s">
        <v>331</v>
      </c>
      <c r="N1330" s="9">
        <v>44686</v>
      </c>
      <c r="O1330" s="9">
        <v>44693</v>
      </c>
      <c r="P1330" s="9">
        <v>44693</v>
      </c>
      <c r="Q1330"/>
      <c r="R1330"/>
      <c r="S1330"/>
      <c r="T1330"/>
      <c r="U1330"/>
    </row>
    <row r="1331" spans="1:21" hidden="1">
      <c r="A1331" s="7" t="s">
        <v>8820</v>
      </c>
      <c r="B1331" s="7" t="s">
        <v>8307</v>
      </c>
      <c r="C1331" s="8" t="s">
        <v>5317</v>
      </c>
      <c r="D1331" t="s">
        <v>216</v>
      </c>
      <c r="E1331" t="s">
        <v>1433</v>
      </c>
      <c r="F1331" t="s">
        <v>117</v>
      </c>
      <c r="G1331" t="s">
        <v>1446</v>
      </c>
      <c r="H1331" s="9">
        <v>44657</v>
      </c>
      <c r="I1331" t="s">
        <v>1435</v>
      </c>
      <c r="J1331" t="s">
        <v>2</v>
      </c>
      <c r="K1331" s="9">
        <v>44726</v>
      </c>
      <c r="L1331" t="s">
        <v>29</v>
      </c>
      <c r="M1331" t="s">
        <v>331</v>
      </c>
      <c r="N1331" s="9">
        <v>44686</v>
      </c>
      <c r="O1331" s="9">
        <v>44693</v>
      </c>
      <c r="P1331" s="9">
        <v>44693</v>
      </c>
      <c r="Q1331"/>
      <c r="R1331"/>
      <c r="S1331"/>
      <c r="T1331"/>
      <c r="U1331"/>
    </row>
    <row r="1332" spans="1:21" hidden="1">
      <c r="A1332" s="7" t="s">
        <v>8820</v>
      </c>
      <c r="B1332" s="7" t="s">
        <v>8307</v>
      </c>
      <c r="C1332" s="8" t="s">
        <v>5317</v>
      </c>
      <c r="D1332" t="s">
        <v>216</v>
      </c>
      <c r="E1332" t="s">
        <v>1433</v>
      </c>
      <c r="F1332" t="s">
        <v>117</v>
      </c>
      <c r="G1332" t="s">
        <v>1447</v>
      </c>
      <c r="H1332" s="9">
        <v>44657</v>
      </c>
      <c r="I1332" t="s">
        <v>1435</v>
      </c>
      <c r="J1332" t="s">
        <v>2</v>
      </c>
      <c r="K1332" s="9">
        <v>44726</v>
      </c>
      <c r="L1332" t="s">
        <v>29</v>
      </c>
      <c r="M1332" t="s">
        <v>331</v>
      </c>
      <c r="N1332" s="9">
        <v>44686</v>
      </c>
      <c r="O1332" s="9">
        <v>44693</v>
      </c>
      <c r="P1332" s="9">
        <v>44693</v>
      </c>
      <c r="Q1332"/>
      <c r="R1332"/>
      <c r="S1332"/>
      <c r="T1332"/>
      <c r="U1332"/>
    </row>
    <row r="1333" spans="1:21" hidden="1">
      <c r="A1333" s="7" t="s">
        <v>8758</v>
      </c>
      <c r="B1333" s="7" t="s">
        <v>5405</v>
      </c>
      <c r="C1333" s="8" t="s">
        <v>5317</v>
      </c>
      <c r="D1333" t="s">
        <v>216</v>
      </c>
      <c r="E1333" t="s">
        <v>25</v>
      </c>
      <c r="F1333" t="s">
        <v>493</v>
      </c>
      <c r="G1333" t="s">
        <v>796</v>
      </c>
      <c r="H1333" s="9">
        <v>44657</v>
      </c>
      <c r="I1333" t="s">
        <v>8634</v>
      </c>
      <c r="J1333" t="s">
        <v>0</v>
      </c>
      <c r="K1333" s="9">
        <v>44862</v>
      </c>
      <c r="L1333" t="s">
        <v>29</v>
      </c>
      <c r="M1333"/>
      <c r="N1333" s="9">
        <v>44686</v>
      </c>
      <c r="O1333" s="9">
        <v>44693</v>
      </c>
      <c r="P1333" s="9">
        <v>44693</v>
      </c>
      <c r="Q1333" s="9">
        <v>44862</v>
      </c>
      <c r="R1333"/>
      <c r="S1333"/>
      <c r="T1333"/>
      <c r="U1333"/>
    </row>
    <row r="1334" spans="1:21" hidden="1">
      <c r="A1334" s="7" t="s">
        <v>8758</v>
      </c>
      <c r="B1334" s="7" t="s">
        <v>5405</v>
      </c>
      <c r="C1334" s="8" t="s">
        <v>5317</v>
      </c>
      <c r="D1334" t="s">
        <v>216</v>
      </c>
      <c r="E1334" t="s">
        <v>25</v>
      </c>
      <c r="F1334" t="s">
        <v>493</v>
      </c>
      <c r="G1334" t="s">
        <v>797</v>
      </c>
      <c r="H1334" s="9">
        <v>44657</v>
      </c>
      <c r="I1334" t="s">
        <v>8634</v>
      </c>
      <c r="J1334" t="s">
        <v>0</v>
      </c>
      <c r="K1334" s="9">
        <v>44862</v>
      </c>
      <c r="L1334" t="s">
        <v>29</v>
      </c>
      <c r="M1334"/>
      <c r="N1334" s="9">
        <v>44686</v>
      </c>
      <c r="O1334" s="9">
        <v>44693</v>
      </c>
      <c r="P1334" s="9">
        <v>44693</v>
      </c>
      <c r="Q1334" s="9">
        <v>44862</v>
      </c>
      <c r="R1334"/>
      <c r="S1334"/>
      <c r="T1334"/>
      <c r="U1334"/>
    </row>
    <row r="1335" spans="1:21" hidden="1">
      <c r="A1335" s="7" t="s">
        <v>8758</v>
      </c>
      <c r="B1335" s="7" t="s">
        <v>5405</v>
      </c>
      <c r="C1335" s="8" t="s">
        <v>5317</v>
      </c>
      <c r="D1335" t="s">
        <v>216</v>
      </c>
      <c r="E1335" t="s">
        <v>25</v>
      </c>
      <c r="F1335" t="s">
        <v>493</v>
      </c>
      <c r="G1335" t="s">
        <v>1448</v>
      </c>
      <c r="H1335" s="9">
        <v>44657</v>
      </c>
      <c r="I1335" t="s">
        <v>8634</v>
      </c>
      <c r="J1335" t="s">
        <v>0</v>
      </c>
      <c r="K1335" s="9">
        <v>44862</v>
      </c>
      <c r="L1335" t="s">
        <v>29</v>
      </c>
      <c r="M1335"/>
      <c r="N1335" s="9">
        <v>44686</v>
      </c>
      <c r="O1335" s="9">
        <v>44693</v>
      </c>
      <c r="P1335" s="9">
        <v>44693</v>
      </c>
      <c r="Q1335" s="9">
        <v>44862</v>
      </c>
      <c r="R1335" s="9">
        <v>44818.644305555601</v>
      </c>
      <c r="S1335"/>
      <c r="T1335"/>
      <c r="U1335"/>
    </row>
    <row r="1336" spans="1:21" hidden="1">
      <c r="A1336" s="7" t="s">
        <v>8758</v>
      </c>
      <c r="B1336" s="7" t="s">
        <v>5405</v>
      </c>
      <c r="C1336" s="8" t="s">
        <v>5317</v>
      </c>
      <c r="D1336" t="s">
        <v>216</v>
      </c>
      <c r="E1336" t="s">
        <v>25</v>
      </c>
      <c r="F1336" t="s">
        <v>493</v>
      </c>
      <c r="G1336" t="s">
        <v>1449</v>
      </c>
      <c r="H1336" s="9">
        <v>44657</v>
      </c>
      <c r="I1336" t="s">
        <v>8634</v>
      </c>
      <c r="J1336" t="s">
        <v>0</v>
      </c>
      <c r="K1336" s="9">
        <v>44862</v>
      </c>
      <c r="L1336" t="s">
        <v>29</v>
      </c>
      <c r="M1336"/>
      <c r="N1336" s="9">
        <v>44686</v>
      </c>
      <c r="O1336" s="9">
        <v>44693</v>
      </c>
      <c r="P1336" s="9">
        <v>44693</v>
      </c>
      <c r="Q1336" s="9">
        <v>44862</v>
      </c>
      <c r="R1336"/>
      <c r="S1336"/>
      <c r="T1336"/>
      <c r="U1336"/>
    </row>
    <row r="1337" spans="1:21" hidden="1">
      <c r="A1337" s="7" t="s">
        <v>8762</v>
      </c>
      <c r="B1337" s="7" t="s">
        <v>5405</v>
      </c>
      <c r="C1337" s="8" t="s">
        <v>5317</v>
      </c>
      <c r="D1337" t="s">
        <v>216</v>
      </c>
      <c r="E1337" t="s">
        <v>25</v>
      </c>
      <c r="F1337" t="s">
        <v>433</v>
      </c>
      <c r="G1337" t="s">
        <v>1450</v>
      </c>
      <c r="H1337" s="9">
        <v>44657</v>
      </c>
      <c r="I1337" t="s">
        <v>8634</v>
      </c>
      <c r="J1337" t="s">
        <v>0</v>
      </c>
      <c r="K1337" s="9">
        <v>44844</v>
      </c>
      <c r="L1337" t="s">
        <v>29</v>
      </c>
      <c r="M1337"/>
      <c r="N1337" s="9">
        <v>44686</v>
      </c>
      <c r="O1337" s="9">
        <v>44693</v>
      </c>
      <c r="P1337" s="9">
        <v>44693</v>
      </c>
      <c r="Q1337" s="9">
        <v>44844</v>
      </c>
      <c r="R1337"/>
      <c r="S1337"/>
      <c r="T1337"/>
      <c r="U1337"/>
    </row>
    <row r="1338" spans="1:21" hidden="1">
      <c r="A1338" s="7" t="s">
        <v>8760</v>
      </c>
      <c r="B1338" s="7" t="s">
        <v>8350</v>
      </c>
      <c r="C1338" s="8" t="s">
        <v>5317</v>
      </c>
      <c r="D1338" t="s">
        <v>216</v>
      </c>
      <c r="E1338" t="s">
        <v>512</v>
      </c>
      <c r="F1338" t="s">
        <v>117</v>
      </c>
      <c r="G1338" t="s">
        <v>1451</v>
      </c>
      <c r="H1338" s="9">
        <v>44657</v>
      </c>
      <c r="I1338" t="s">
        <v>171</v>
      </c>
      <c r="J1338" t="s">
        <v>0</v>
      </c>
      <c r="K1338" s="9">
        <v>44664</v>
      </c>
      <c r="L1338" t="s">
        <v>29</v>
      </c>
      <c r="M1338"/>
      <c r="N1338"/>
      <c r="O1338"/>
      <c r="P1338"/>
      <c r="Q1338" s="9">
        <v>44664</v>
      </c>
      <c r="R1338"/>
      <c r="S1338"/>
      <c r="T1338"/>
      <c r="U1338"/>
    </row>
    <row r="1339" spans="1:21" hidden="1">
      <c r="A1339" s="7" t="s">
        <v>8760</v>
      </c>
      <c r="B1339" s="7" t="s">
        <v>8350</v>
      </c>
      <c r="C1339" s="8" t="s">
        <v>5317</v>
      </c>
      <c r="D1339" t="s">
        <v>216</v>
      </c>
      <c r="E1339" t="s">
        <v>512</v>
      </c>
      <c r="F1339" t="s">
        <v>117</v>
      </c>
      <c r="G1339" t="s">
        <v>1452</v>
      </c>
      <c r="H1339" s="9">
        <v>44657</v>
      </c>
      <c r="I1339" t="s">
        <v>171</v>
      </c>
      <c r="J1339" t="s">
        <v>0</v>
      </c>
      <c r="K1339" s="9">
        <v>44664</v>
      </c>
      <c r="L1339" t="s">
        <v>29</v>
      </c>
      <c r="M1339"/>
      <c r="N1339"/>
      <c r="O1339"/>
      <c r="P1339"/>
      <c r="Q1339" s="9">
        <v>44664</v>
      </c>
      <c r="R1339"/>
      <c r="S1339"/>
      <c r="T1339"/>
      <c r="U1339"/>
    </row>
    <row r="1340" spans="1:21" hidden="1">
      <c r="A1340" s="7" t="s">
        <v>8760</v>
      </c>
      <c r="B1340" s="7" t="s">
        <v>8350</v>
      </c>
      <c r="C1340" s="8" t="s">
        <v>5317</v>
      </c>
      <c r="D1340" t="s">
        <v>216</v>
      </c>
      <c r="E1340" t="s">
        <v>512</v>
      </c>
      <c r="F1340" t="s">
        <v>117</v>
      </c>
      <c r="G1340" t="s">
        <v>1453</v>
      </c>
      <c r="H1340" s="9">
        <v>44657</v>
      </c>
      <c r="I1340" t="s">
        <v>171</v>
      </c>
      <c r="J1340" t="s">
        <v>0</v>
      </c>
      <c r="K1340" s="9">
        <v>44664</v>
      </c>
      <c r="L1340" t="s">
        <v>29</v>
      </c>
      <c r="M1340"/>
      <c r="N1340"/>
      <c r="O1340"/>
      <c r="P1340"/>
      <c r="Q1340" s="9">
        <v>44664</v>
      </c>
      <c r="R1340"/>
      <c r="S1340"/>
      <c r="T1340"/>
      <c r="U1340"/>
    </row>
    <row r="1341" spans="1:21" hidden="1">
      <c r="A1341" s="7" t="s">
        <v>8760</v>
      </c>
      <c r="B1341" s="7" t="s">
        <v>8350</v>
      </c>
      <c r="C1341" s="8" t="s">
        <v>5317</v>
      </c>
      <c r="D1341" t="s">
        <v>216</v>
      </c>
      <c r="E1341" t="s">
        <v>512</v>
      </c>
      <c r="F1341" t="s">
        <v>117</v>
      </c>
      <c r="G1341" t="s">
        <v>1454</v>
      </c>
      <c r="H1341" s="9">
        <v>44657</v>
      </c>
      <c r="I1341" t="s">
        <v>171</v>
      </c>
      <c r="J1341" t="s">
        <v>0</v>
      </c>
      <c r="K1341" s="9">
        <v>44664</v>
      </c>
      <c r="L1341" t="s">
        <v>29</v>
      </c>
      <c r="M1341"/>
      <c r="N1341"/>
      <c r="O1341"/>
      <c r="P1341"/>
      <c r="Q1341" s="9">
        <v>44664</v>
      </c>
      <c r="R1341"/>
      <c r="S1341"/>
      <c r="T1341"/>
      <c r="U1341"/>
    </row>
    <row r="1342" spans="1:21" hidden="1">
      <c r="A1342" s="7" t="s">
        <v>8760</v>
      </c>
      <c r="B1342" s="7" t="s">
        <v>8350</v>
      </c>
      <c r="C1342" s="8" t="s">
        <v>5317</v>
      </c>
      <c r="D1342" t="s">
        <v>216</v>
      </c>
      <c r="E1342" t="s">
        <v>512</v>
      </c>
      <c r="F1342" t="s">
        <v>117</v>
      </c>
      <c r="G1342" t="s">
        <v>1455</v>
      </c>
      <c r="H1342" s="9">
        <v>44657</v>
      </c>
      <c r="I1342" t="s">
        <v>171</v>
      </c>
      <c r="J1342" t="s">
        <v>0</v>
      </c>
      <c r="K1342" s="9">
        <v>44664</v>
      </c>
      <c r="L1342" t="s">
        <v>29</v>
      </c>
      <c r="M1342"/>
      <c r="N1342"/>
      <c r="O1342"/>
      <c r="P1342"/>
      <c r="Q1342" s="9">
        <v>44664</v>
      </c>
      <c r="R1342"/>
      <c r="S1342"/>
      <c r="T1342"/>
      <c r="U1342"/>
    </row>
    <row r="1343" spans="1:21" hidden="1">
      <c r="A1343" s="7" t="s">
        <v>8760</v>
      </c>
      <c r="B1343" s="7" t="s">
        <v>8350</v>
      </c>
      <c r="C1343" s="8" t="s">
        <v>5317</v>
      </c>
      <c r="D1343" t="s">
        <v>216</v>
      </c>
      <c r="E1343" t="s">
        <v>512</v>
      </c>
      <c r="F1343" t="s">
        <v>117</v>
      </c>
      <c r="G1343" t="s">
        <v>1456</v>
      </c>
      <c r="H1343" s="9">
        <v>44657</v>
      </c>
      <c r="I1343" t="s">
        <v>171</v>
      </c>
      <c r="J1343" t="s">
        <v>0</v>
      </c>
      <c r="K1343" s="9">
        <v>44664</v>
      </c>
      <c r="L1343" t="s">
        <v>29</v>
      </c>
      <c r="M1343"/>
      <c r="N1343"/>
      <c r="O1343"/>
      <c r="P1343"/>
      <c r="Q1343" s="9">
        <v>44664</v>
      </c>
      <c r="R1343"/>
      <c r="S1343"/>
      <c r="T1343"/>
      <c r="U1343"/>
    </row>
    <row r="1344" spans="1:21" hidden="1">
      <c r="A1344" s="7" t="s">
        <v>8760</v>
      </c>
      <c r="B1344" s="7" t="s">
        <v>8350</v>
      </c>
      <c r="C1344" s="8" t="s">
        <v>5317</v>
      </c>
      <c r="D1344" t="s">
        <v>216</v>
      </c>
      <c r="E1344" t="s">
        <v>512</v>
      </c>
      <c r="F1344" t="s">
        <v>117</v>
      </c>
      <c r="G1344" t="s">
        <v>514</v>
      </c>
      <c r="H1344" s="9">
        <v>44657</v>
      </c>
      <c r="I1344" t="s">
        <v>171</v>
      </c>
      <c r="J1344" t="s">
        <v>0</v>
      </c>
      <c r="K1344" s="9">
        <v>44664</v>
      </c>
      <c r="L1344" t="s">
        <v>29</v>
      </c>
      <c r="M1344"/>
      <c r="N1344"/>
      <c r="O1344"/>
      <c r="P1344"/>
      <c r="Q1344" s="9">
        <v>44664</v>
      </c>
      <c r="R1344"/>
      <c r="S1344"/>
      <c r="T1344"/>
      <c r="U1344"/>
    </row>
    <row r="1345" spans="1:21" hidden="1">
      <c r="A1345" s="7" t="s">
        <v>8760</v>
      </c>
      <c r="B1345" s="7" t="s">
        <v>8350</v>
      </c>
      <c r="C1345" s="8" t="s">
        <v>5317</v>
      </c>
      <c r="D1345" t="s">
        <v>216</v>
      </c>
      <c r="E1345" t="s">
        <v>512</v>
      </c>
      <c r="F1345" t="s">
        <v>117</v>
      </c>
      <c r="G1345" t="s">
        <v>1457</v>
      </c>
      <c r="H1345" s="9">
        <v>44657</v>
      </c>
      <c r="I1345" t="s">
        <v>171</v>
      </c>
      <c r="J1345" t="s">
        <v>0</v>
      </c>
      <c r="K1345" s="9">
        <v>44664</v>
      </c>
      <c r="L1345" t="s">
        <v>29</v>
      </c>
      <c r="M1345"/>
      <c r="N1345"/>
      <c r="O1345"/>
      <c r="P1345"/>
      <c r="Q1345" s="9">
        <v>44664</v>
      </c>
      <c r="R1345"/>
      <c r="S1345"/>
      <c r="T1345"/>
      <c r="U1345"/>
    </row>
    <row r="1346" spans="1:21" hidden="1">
      <c r="A1346" s="7" t="s">
        <v>8763</v>
      </c>
      <c r="B1346" s="7" t="s">
        <v>5405</v>
      </c>
      <c r="C1346" s="8" t="s">
        <v>5317</v>
      </c>
      <c r="D1346" t="s">
        <v>216</v>
      </c>
      <c r="E1346" t="s">
        <v>25</v>
      </c>
      <c r="F1346" t="s">
        <v>280</v>
      </c>
      <c r="G1346" t="s">
        <v>1458</v>
      </c>
      <c r="H1346" s="9">
        <v>44657</v>
      </c>
      <c r="I1346" t="s">
        <v>8634</v>
      </c>
      <c r="J1346" t="s">
        <v>0</v>
      </c>
      <c r="K1346" s="9">
        <v>44858</v>
      </c>
      <c r="L1346" t="s">
        <v>29</v>
      </c>
      <c r="M1346"/>
      <c r="N1346" s="9">
        <v>44686</v>
      </c>
      <c r="O1346" s="9">
        <v>44693</v>
      </c>
      <c r="P1346" s="9">
        <v>44693</v>
      </c>
      <c r="Q1346" s="9">
        <v>44858</v>
      </c>
      <c r="R1346"/>
      <c r="S1346"/>
      <c r="T1346"/>
      <c r="U1346"/>
    </row>
    <row r="1347" spans="1:21" hidden="1">
      <c r="A1347" s="7" t="s">
        <v>8763</v>
      </c>
      <c r="B1347" s="7" t="s">
        <v>5405</v>
      </c>
      <c r="C1347" s="8" t="s">
        <v>5317</v>
      </c>
      <c r="D1347" t="s">
        <v>216</v>
      </c>
      <c r="E1347" t="s">
        <v>25</v>
      </c>
      <c r="F1347" t="s">
        <v>280</v>
      </c>
      <c r="G1347" t="s">
        <v>1459</v>
      </c>
      <c r="H1347" s="9">
        <v>44657</v>
      </c>
      <c r="I1347" t="s">
        <v>8634</v>
      </c>
      <c r="J1347" t="s">
        <v>0</v>
      </c>
      <c r="K1347" s="9">
        <v>44858</v>
      </c>
      <c r="L1347" t="s">
        <v>29</v>
      </c>
      <c r="M1347"/>
      <c r="N1347" s="9">
        <v>44686</v>
      </c>
      <c r="O1347" s="9">
        <v>44693</v>
      </c>
      <c r="P1347" s="9">
        <v>44693</v>
      </c>
      <c r="Q1347" s="9">
        <v>44858</v>
      </c>
      <c r="R1347"/>
      <c r="S1347"/>
      <c r="T1347"/>
      <c r="U1347"/>
    </row>
    <row r="1348" spans="1:21" hidden="1">
      <c r="A1348" s="7" t="s">
        <v>8763</v>
      </c>
      <c r="B1348" s="7" t="s">
        <v>5405</v>
      </c>
      <c r="C1348" s="8" t="s">
        <v>5317</v>
      </c>
      <c r="D1348" t="s">
        <v>216</v>
      </c>
      <c r="E1348" t="s">
        <v>25</v>
      </c>
      <c r="F1348" t="s">
        <v>280</v>
      </c>
      <c r="G1348" t="s">
        <v>1460</v>
      </c>
      <c r="H1348" s="9">
        <v>44657</v>
      </c>
      <c r="I1348" t="s">
        <v>8634</v>
      </c>
      <c r="J1348" t="s">
        <v>0</v>
      </c>
      <c r="K1348" s="9">
        <v>44858</v>
      </c>
      <c r="L1348" t="s">
        <v>29</v>
      </c>
      <c r="M1348"/>
      <c r="N1348" s="9">
        <v>44686</v>
      </c>
      <c r="O1348" s="9">
        <v>44693</v>
      </c>
      <c r="P1348" s="9">
        <v>44693</v>
      </c>
      <c r="Q1348" s="9">
        <v>44858</v>
      </c>
      <c r="R1348"/>
      <c r="S1348"/>
      <c r="T1348"/>
      <c r="U1348"/>
    </row>
    <row r="1349" spans="1:21" hidden="1">
      <c r="A1349" s="7" t="s">
        <v>8758</v>
      </c>
      <c r="B1349" s="7" t="s">
        <v>5405</v>
      </c>
      <c r="C1349" s="8" t="s">
        <v>5317</v>
      </c>
      <c r="D1349" t="s">
        <v>216</v>
      </c>
      <c r="E1349" t="s">
        <v>25</v>
      </c>
      <c r="F1349" t="s">
        <v>493</v>
      </c>
      <c r="G1349" t="s">
        <v>1461</v>
      </c>
      <c r="H1349" s="9">
        <v>44657</v>
      </c>
      <c r="I1349" t="s">
        <v>8634</v>
      </c>
      <c r="J1349" t="s">
        <v>163</v>
      </c>
      <c r="K1349" s="9">
        <v>44693</v>
      </c>
      <c r="L1349" t="s">
        <v>29</v>
      </c>
      <c r="M1349"/>
      <c r="N1349" s="9">
        <v>44686</v>
      </c>
      <c r="O1349" s="9">
        <v>44693</v>
      </c>
      <c r="P1349" s="9">
        <v>44693</v>
      </c>
      <c r="Q1349"/>
      <c r="R1349"/>
      <c r="S1349"/>
      <c r="T1349"/>
      <c r="U1349"/>
    </row>
    <row r="1350" spans="1:21" hidden="1">
      <c r="A1350" s="7" t="s">
        <v>8763</v>
      </c>
      <c r="B1350" s="7" t="s">
        <v>5405</v>
      </c>
      <c r="C1350" s="8" t="s">
        <v>5317</v>
      </c>
      <c r="D1350" t="s">
        <v>216</v>
      </c>
      <c r="E1350" t="s">
        <v>25</v>
      </c>
      <c r="F1350" t="s">
        <v>280</v>
      </c>
      <c r="G1350" t="s">
        <v>1462</v>
      </c>
      <c r="H1350" s="9">
        <v>44657</v>
      </c>
      <c r="I1350" t="s">
        <v>8634</v>
      </c>
      <c r="J1350" t="s">
        <v>0</v>
      </c>
      <c r="K1350" s="9">
        <v>44858</v>
      </c>
      <c r="L1350" t="s">
        <v>29</v>
      </c>
      <c r="M1350"/>
      <c r="N1350" s="9">
        <v>44686</v>
      </c>
      <c r="O1350" s="9">
        <v>44693</v>
      </c>
      <c r="P1350" s="9">
        <v>44693</v>
      </c>
      <c r="Q1350" s="9">
        <v>44858</v>
      </c>
      <c r="R1350"/>
      <c r="S1350"/>
      <c r="T1350"/>
      <c r="U1350"/>
    </row>
    <row r="1351" spans="1:21" hidden="1">
      <c r="A1351" s="7" t="s">
        <v>8763</v>
      </c>
      <c r="B1351" s="7" t="s">
        <v>5405</v>
      </c>
      <c r="C1351" s="8" t="s">
        <v>5317</v>
      </c>
      <c r="D1351" t="s">
        <v>216</v>
      </c>
      <c r="E1351" t="s">
        <v>25</v>
      </c>
      <c r="F1351" t="s">
        <v>280</v>
      </c>
      <c r="G1351" t="s">
        <v>1463</v>
      </c>
      <c r="H1351" s="9">
        <v>44657</v>
      </c>
      <c r="I1351" t="s">
        <v>8634</v>
      </c>
      <c r="J1351" t="s">
        <v>0</v>
      </c>
      <c r="K1351" s="9">
        <v>44858</v>
      </c>
      <c r="L1351" t="s">
        <v>29</v>
      </c>
      <c r="M1351"/>
      <c r="N1351" s="9">
        <v>44686</v>
      </c>
      <c r="O1351" s="9">
        <v>44693</v>
      </c>
      <c r="P1351" s="9">
        <v>44693</v>
      </c>
      <c r="Q1351" s="9">
        <v>44858</v>
      </c>
      <c r="R1351"/>
      <c r="S1351"/>
      <c r="T1351"/>
      <c r="U1351"/>
    </row>
    <row r="1352" spans="1:21" hidden="1">
      <c r="A1352" s="7" t="s">
        <v>8763</v>
      </c>
      <c r="B1352" s="7" t="s">
        <v>5405</v>
      </c>
      <c r="C1352" s="8" t="s">
        <v>5317</v>
      </c>
      <c r="D1352" t="s">
        <v>216</v>
      </c>
      <c r="E1352" t="s">
        <v>25</v>
      </c>
      <c r="F1352" t="s">
        <v>280</v>
      </c>
      <c r="G1352" t="s">
        <v>1464</v>
      </c>
      <c r="H1352" s="9">
        <v>44657</v>
      </c>
      <c r="I1352" t="s">
        <v>8634</v>
      </c>
      <c r="J1352" t="s">
        <v>0</v>
      </c>
      <c r="K1352" s="9">
        <v>44858</v>
      </c>
      <c r="L1352" t="s">
        <v>29</v>
      </c>
      <c r="M1352"/>
      <c r="N1352" s="9">
        <v>44686</v>
      </c>
      <c r="O1352" s="9">
        <v>44693</v>
      </c>
      <c r="P1352" s="9">
        <v>44693</v>
      </c>
      <c r="Q1352" s="9">
        <v>44858</v>
      </c>
      <c r="R1352"/>
      <c r="S1352"/>
      <c r="T1352"/>
      <c r="U1352"/>
    </row>
    <row r="1353" spans="1:21" hidden="1">
      <c r="A1353" s="7" t="s">
        <v>8764</v>
      </c>
      <c r="B1353" s="7" t="s">
        <v>5405</v>
      </c>
      <c r="C1353" s="8" t="s">
        <v>5317</v>
      </c>
      <c r="D1353" t="s">
        <v>216</v>
      </c>
      <c r="E1353" t="s">
        <v>25</v>
      </c>
      <c r="F1353" t="s">
        <v>75</v>
      </c>
      <c r="G1353" t="s">
        <v>1465</v>
      </c>
      <c r="H1353" s="9">
        <v>44658</v>
      </c>
      <c r="I1353" t="s">
        <v>8634</v>
      </c>
      <c r="J1353" t="s">
        <v>163</v>
      </c>
      <c r="K1353" s="9">
        <v>44693</v>
      </c>
      <c r="L1353" t="s">
        <v>29</v>
      </c>
      <c r="M1353"/>
      <c r="N1353" s="9">
        <v>44686</v>
      </c>
      <c r="O1353" s="9">
        <v>44693</v>
      </c>
      <c r="P1353" s="9">
        <v>44693</v>
      </c>
      <c r="Q1353"/>
      <c r="R1353"/>
      <c r="S1353"/>
      <c r="T1353"/>
      <c r="U1353"/>
    </row>
    <row r="1354" spans="1:21" hidden="1">
      <c r="A1354" s="7" t="s">
        <v>8764</v>
      </c>
      <c r="B1354" s="7" t="s">
        <v>5405</v>
      </c>
      <c r="C1354" s="8" t="s">
        <v>5317</v>
      </c>
      <c r="D1354" t="s">
        <v>216</v>
      </c>
      <c r="E1354" t="s">
        <v>25</v>
      </c>
      <c r="F1354" t="s">
        <v>75</v>
      </c>
      <c r="G1354" t="s">
        <v>1466</v>
      </c>
      <c r="H1354" s="9">
        <v>44658</v>
      </c>
      <c r="I1354" t="s">
        <v>8634</v>
      </c>
      <c r="J1354" t="s">
        <v>163</v>
      </c>
      <c r="K1354" s="9">
        <v>44693</v>
      </c>
      <c r="L1354" t="s">
        <v>29</v>
      </c>
      <c r="M1354"/>
      <c r="N1354" s="9">
        <v>44686</v>
      </c>
      <c r="O1354" s="9">
        <v>44693</v>
      </c>
      <c r="P1354" s="9">
        <v>44693</v>
      </c>
      <c r="Q1354"/>
      <c r="R1354"/>
      <c r="S1354"/>
      <c r="T1354"/>
      <c r="U1354"/>
    </row>
    <row r="1355" spans="1:21" hidden="1">
      <c r="A1355" s="7" t="s">
        <v>8764</v>
      </c>
      <c r="B1355" s="7" t="s">
        <v>5405</v>
      </c>
      <c r="C1355" s="8" t="s">
        <v>5317</v>
      </c>
      <c r="D1355" t="s">
        <v>216</v>
      </c>
      <c r="E1355" t="s">
        <v>25</v>
      </c>
      <c r="F1355" t="s">
        <v>75</v>
      </c>
      <c r="G1355" t="s">
        <v>1467</v>
      </c>
      <c r="H1355" s="9">
        <v>44658</v>
      </c>
      <c r="I1355" t="s">
        <v>8634</v>
      </c>
      <c r="J1355" t="s">
        <v>163</v>
      </c>
      <c r="K1355" s="9">
        <v>44693</v>
      </c>
      <c r="L1355" t="s">
        <v>29</v>
      </c>
      <c r="M1355"/>
      <c r="N1355" s="9">
        <v>44686</v>
      </c>
      <c r="O1355" s="9">
        <v>44693</v>
      </c>
      <c r="P1355" s="9">
        <v>44693</v>
      </c>
      <c r="Q1355"/>
      <c r="R1355"/>
      <c r="S1355"/>
      <c r="T1355"/>
      <c r="U1355"/>
    </row>
    <row r="1356" spans="1:21" hidden="1">
      <c r="A1356" s="7" t="s">
        <v>8764</v>
      </c>
      <c r="B1356" s="7" t="s">
        <v>5405</v>
      </c>
      <c r="C1356" s="8" t="s">
        <v>5317</v>
      </c>
      <c r="D1356" t="s">
        <v>216</v>
      </c>
      <c r="E1356" t="s">
        <v>25</v>
      </c>
      <c r="F1356" t="s">
        <v>75</v>
      </c>
      <c r="G1356" t="s">
        <v>1468</v>
      </c>
      <c r="H1356" s="9">
        <v>44658</v>
      </c>
      <c r="I1356" t="s">
        <v>8634</v>
      </c>
      <c r="J1356" t="s">
        <v>163</v>
      </c>
      <c r="K1356" s="9">
        <v>44693</v>
      </c>
      <c r="L1356" t="s">
        <v>29</v>
      </c>
      <c r="M1356"/>
      <c r="N1356" s="9">
        <v>44686</v>
      </c>
      <c r="O1356" s="9">
        <v>44693</v>
      </c>
      <c r="P1356" s="9">
        <v>44693</v>
      </c>
      <c r="Q1356"/>
      <c r="R1356"/>
      <c r="S1356"/>
      <c r="T1356"/>
      <c r="U1356"/>
    </row>
    <row r="1357" spans="1:21" hidden="1">
      <c r="A1357" s="7" t="s">
        <v>8764</v>
      </c>
      <c r="B1357" s="7" t="s">
        <v>5405</v>
      </c>
      <c r="C1357" s="8" t="s">
        <v>5317</v>
      </c>
      <c r="D1357" t="s">
        <v>216</v>
      </c>
      <c r="E1357" t="s">
        <v>25</v>
      </c>
      <c r="F1357" t="s">
        <v>75</v>
      </c>
      <c r="G1357" t="s">
        <v>1469</v>
      </c>
      <c r="H1357" s="9">
        <v>44658</v>
      </c>
      <c r="I1357" t="s">
        <v>8634</v>
      </c>
      <c r="J1357" t="s">
        <v>163</v>
      </c>
      <c r="K1357" s="9">
        <v>44693</v>
      </c>
      <c r="L1357" t="s">
        <v>29</v>
      </c>
      <c r="M1357"/>
      <c r="N1357" s="9">
        <v>44686</v>
      </c>
      <c r="O1357" s="9">
        <v>44693</v>
      </c>
      <c r="P1357" s="9">
        <v>44693</v>
      </c>
      <c r="Q1357"/>
      <c r="R1357"/>
      <c r="S1357"/>
      <c r="T1357"/>
      <c r="U1357"/>
    </row>
    <row r="1358" spans="1:21" hidden="1">
      <c r="A1358" s="7" t="s">
        <v>8764</v>
      </c>
      <c r="B1358" s="7" t="s">
        <v>5405</v>
      </c>
      <c r="C1358" s="8" t="s">
        <v>5317</v>
      </c>
      <c r="D1358" t="s">
        <v>216</v>
      </c>
      <c r="E1358" t="s">
        <v>25</v>
      </c>
      <c r="F1358" t="s">
        <v>75</v>
      </c>
      <c r="G1358" t="s">
        <v>1470</v>
      </c>
      <c r="H1358" s="9">
        <v>44658</v>
      </c>
      <c r="I1358" t="s">
        <v>8634</v>
      </c>
      <c r="J1358" t="s">
        <v>0</v>
      </c>
      <c r="K1358" s="9">
        <v>44862</v>
      </c>
      <c r="L1358" t="s">
        <v>29</v>
      </c>
      <c r="M1358"/>
      <c r="N1358" s="9">
        <v>44686</v>
      </c>
      <c r="O1358" s="9">
        <v>44693</v>
      </c>
      <c r="P1358" s="9">
        <v>44693</v>
      </c>
      <c r="Q1358" s="9">
        <v>44862</v>
      </c>
      <c r="R1358" s="9">
        <v>44810.577604166698</v>
      </c>
      <c r="S1358"/>
      <c r="T1358"/>
      <c r="U1358"/>
    </row>
    <row r="1359" spans="1:21" hidden="1">
      <c r="A1359" s="7" t="s">
        <v>8821</v>
      </c>
      <c r="B1359" s="7" t="s">
        <v>6886</v>
      </c>
      <c r="C1359" s="8" t="s">
        <v>5317</v>
      </c>
      <c r="D1359" t="s">
        <v>216</v>
      </c>
      <c r="E1359" t="s">
        <v>1471</v>
      </c>
      <c r="F1359" t="s">
        <v>117</v>
      </c>
      <c r="G1359" t="s">
        <v>1472</v>
      </c>
      <c r="H1359" s="9">
        <v>44657</v>
      </c>
      <c r="I1359" t="s">
        <v>85</v>
      </c>
      <c r="J1359" t="s">
        <v>0</v>
      </c>
      <c r="K1359" s="9">
        <v>44691</v>
      </c>
      <c r="L1359" t="s">
        <v>29</v>
      </c>
      <c r="M1359"/>
      <c r="N1359" s="9">
        <v>44686</v>
      </c>
      <c r="O1359"/>
      <c r="P1359"/>
      <c r="Q1359" s="9">
        <v>44691</v>
      </c>
      <c r="R1359"/>
      <c r="S1359"/>
      <c r="T1359"/>
      <c r="U1359"/>
    </row>
    <row r="1360" spans="1:21" hidden="1">
      <c r="A1360" s="7" t="s">
        <v>8822</v>
      </c>
      <c r="B1360" s="7" t="s">
        <v>6728</v>
      </c>
      <c r="C1360" s="8" t="s">
        <v>5317</v>
      </c>
      <c r="D1360" t="s">
        <v>216</v>
      </c>
      <c r="E1360" t="s">
        <v>1473</v>
      </c>
      <c r="F1360" t="s">
        <v>83</v>
      </c>
      <c r="G1360" t="s">
        <v>1474</v>
      </c>
      <c r="H1360" s="9">
        <v>44657</v>
      </c>
      <c r="I1360" t="s">
        <v>306</v>
      </c>
      <c r="J1360" t="s">
        <v>163</v>
      </c>
      <c r="K1360" s="9">
        <v>44693</v>
      </c>
      <c r="L1360" t="s">
        <v>29</v>
      </c>
      <c r="M1360"/>
      <c r="N1360" s="9">
        <v>44686</v>
      </c>
      <c r="O1360" s="9">
        <v>44693</v>
      </c>
      <c r="P1360" s="9">
        <v>44693</v>
      </c>
      <c r="Q1360"/>
      <c r="R1360"/>
      <c r="S1360"/>
      <c r="T1360"/>
      <c r="U1360"/>
    </row>
    <row r="1361" spans="1:21" hidden="1">
      <c r="A1361" s="7" t="s">
        <v>8822</v>
      </c>
      <c r="B1361" s="7" t="s">
        <v>6728</v>
      </c>
      <c r="C1361" s="8" t="s">
        <v>5317</v>
      </c>
      <c r="D1361" t="s">
        <v>216</v>
      </c>
      <c r="E1361" t="s">
        <v>1473</v>
      </c>
      <c r="F1361" t="s">
        <v>83</v>
      </c>
      <c r="G1361" t="s">
        <v>1475</v>
      </c>
      <c r="H1361" s="9">
        <v>44657</v>
      </c>
      <c r="I1361" t="s">
        <v>306</v>
      </c>
      <c r="J1361" t="s">
        <v>163</v>
      </c>
      <c r="K1361" s="9">
        <v>44693</v>
      </c>
      <c r="L1361" t="s">
        <v>29</v>
      </c>
      <c r="M1361"/>
      <c r="N1361" s="9">
        <v>44686</v>
      </c>
      <c r="O1361" s="9">
        <v>44693</v>
      </c>
      <c r="P1361" s="9">
        <v>44693</v>
      </c>
      <c r="Q1361"/>
      <c r="R1361"/>
      <c r="S1361"/>
      <c r="T1361"/>
      <c r="U1361"/>
    </row>
    <row r="1362" spans="1:21" hidden="1">
      <c r="A1362" s="7" t="s">
        <v>8823</v>
      </c>
      <c r="B1362" s="7" t="s">
        <v>8178</v>
      </c>
      <c r="C1362" s="8" t="s">
        <v>5317</v>
      </c>
      <c r="D1362" t="s">
        <v>216</v>
      </c>
      <c r="E1362" t="s">
        <v>1476</v>
      </c>
      <c r="F1362" t="s">
        <v>117</v>
      </c>
      <c r="G1362" t="s">
        <v>1477</v>
      </c>
      <c r="H1362" s="9">
        <v>44657</v>
      </c>
      <c r="I1362" t="s">
        <v>85</v>
      </c>
      <c r="J1362" t="s">
        <v>0</v>
      </c>
      <c r="K1362" s="9">
        <v>44676</v>
      </c>
      <c r="L1362" t="s">
        <v>29</v>
      </c>
      <c r="M1362"/>
      <c r="N1362"/>
      <c r="O1362"/>
      <c r="P1362"/>
      <c r="Q1362" s="9">
        <v>44676</v>
      </c>
      <c r="R1362"/>
      <c r="S1362"/>
      <c r="T1362"/>
      <c r="U1362"/>
    </row>
    <row r="1363" spans="1:21" hidden="1">
      <c r="A1363" s="7" t="s">
        <v>8823</v>
      </c>
      <c r="B1363" s="7" t="s">
        <v>8178</v>
      </c>
      <c r="C1363" s="8" t="s">
        <v>5317</v>
      </c>
      <c r="D1363" t="s">
        <v>216</v>
      </c>
      <c r="E1363" t="s">
        <v>1476</v>
      </c>
      <c r="F1363" t="s">
        <v>117</v>
      </c>
      <c r="G1363" t="s">
        <v>1478</v>
      </c>
      <c r="H1363" s="9">
        <v>44657</v>
      </c>
      <c r="I1363" t="s">
        <v>85</v>
      </c>
      <c r="J1363" t="s">
        <v>0</v>
      </c>
      <c r="K1363" s="9">
        <v>44676</v>
      </c>
      <c r="L1363" t="s">
        <v>29</v>
      </c>
      <c r="M1363"/>
      <c r="N1363"/>
      <c r="O1363"/>
      <c r="P1363"/>
      <c r="Q1363" s="9">
        <v>44676</v>
      </c>
      <c r="R1363"/>
      <c r="S1363"/>
      <c r="T1363"/>
      <c r="U1363"/>
    </row>
    <row r="1364" spans="1:21" hidden="1">
      <c r="A1364" s="7" t="s">
        <v>8823</v>
      </c>
      <c r="B1364" s="7" t="s">
        <v>8178</v>
      </c>
      <c r="C1364" s="8" t="s">
        <v>5317</v>
      </c>
      <c r="D1364" t="s">
        <v>216</v>
      </c>
      <c r="E1364" t="s">
        <v>1476</v>
      </c>
      <c r="F1364" t="s">
        <v>117</v>
      </c>
      <c r="G1364" t="s">
        <v>1479</v>
      </c>
      <c r="H1364" s="9">
        <v>44657</v>
      </c>
      <c r="I1364" t="s">
        <v>85</v>
      </c>
      <c r="J1364" t="s">
        <v>0</v>
      </c>
      <c r="K1364" s="9">
        <v>44676</v>
      </c>
      <c r="L1364" t="s">
        <v>29</v>
      </c>
      <c r="M1364"/>
      <c r="N1364"/>
      <c r="O1364"/>
      <c r="P1364"/>
      <c r="Q1364" s="9">
        <v>44676</v>
      </c>
      <c r="R1364"/>
      <c r="S1364"/>
      <c r="T1364"/>
      <c r="U1364"/>
    </row>
    <row r="1365" spans="1:21" hidden="1">
      <c r="A1365" s="7" t="s">
        <v>8823</v>
      </c>
      <c r="B1365" s="7" t="s">
        <v>8178</v>
      </c>
      <c r="C1365" s="8" t="s">
        <v>5317</v>
      </c>
      <c r="D1365" t="s">
        <v>216</v>
      </c>
      <c r="E1365" t="s">
        <v>1476</v>
      </c>
      <c r="F1365" t="s">
        <v>117</v>
      </c>
      <c r="G1365" t="s">
        <v>1480</v>
      </c>
      <c r="H1365" s="9">
        <v>44657</v>
      </c>
      <c r="I1365" t="s">
        <v>85</v>
      </c>
      <c r="J1365" t="s">
        <v>0</v>
      </c>
      <c r="K1365" s="9">
        <v>44676</v>
      </c>
      <c r="L1365" t="s">
        <v>29</v>
      </c>
      <c r="M1365"/>
      <c r="N1365"/>
      <c r="O1365"/>
      <c r="P1365"/>
      <c r="Q1365" s="9">
        <v>44676</v>
      </c>
      <c r="R1365"/>
      <c r="S1365"/>
      <c r="T1365"/>
      <c r="U1365"/>
    </row>
    <row r="1366" spans="1:21" hidden="1">
      <c r="A1366" s="7" t="s">
        <v>8823</v>
      </c>
      <c r="B1366" s="7" t="s">
        <v>8178</v>
      </c>
      <c r="C1366" s="8" t="s">
        <v>5317</v>
      </c>
      <c r="D1366" t="s">
        <v>216</v>
      </c>
      <c r="E1366" t="s">
        <v>1476</v>
      </c>
      <c r="F1366" t="s">
        <v>117</v>
      </c>
      <c r="G1366" t="s">
        <v>1481</v>
      </c>
      <c r="H1366" s="9">
        <v>44657</v>
      </c>
      <c r="I1366" t="s">
        <v>85</v>
      </c>
      <c r="J1366" t="s">
        <v>0</v>
      </c>
      <c r="K1366" s="9">
        <v>44676</v>
      </c>
      <c r="L1366" t="s">
        <v>29</v>
      </c>
      <c r="M1366"/>
      <c r="N1366"/>
      <c r="O1366"/>
      <c r="P1366"/>
      <c r="Q1366" s="9">
        <v>44676</v>
      </c>
      <c r="R1366"/>
      <c r="S1366"/>
      <c r="T1366"/>
      <c r="U1366"/>
    </row>
    <row r="1367" spans="1:21" hidden="1">
      <c r="A1367" s="7" t="s">
        <v>8823</v>
      </c>
      <c r="B1367" s="7" t="s">
        <v>8178</v>
      </c>
      <c r="C1367" s="8" t="s">
        <v>5317</v>
      </c>
      <c r="D1367" t="s">
        <v>216</v>
      </c>
      <c r="E1367" t="s">
        <v>1476</v>
      </c>
      <c r="F1367" t="s">
        <v>117</v>
      </c>
      <c r="G1367" t="s">
        <v>1482</v>
      </c>
      <c r="H1367" s="9">
        <v>44657</v>
      </c>
      <c r="I1367" t="s">
        <v>85</v>
      </c>
      <c r="J1367" t="s">
        <v>0</v>
      </c>
      <c r="K1367" s="9">
        <v>44676</v>
      </c>
      <c r="L1367" t="s">
        <v>29</v>
      </c>
      <c r="M1367"/>
      <c r="N1367"/>
      <c r="O1367"/>
      <c r="P1367"/>
      <c r="Q1367" s="9">
        <v>44676</v>
      </c>
      <c r="R1367"/>
      <c r="S1367"/>
      <c r="T1367"/>
      <c r="U1367"/>
    </row>
    <row r="1368" spans="1:21" hidden="1">
      <c r="A1368" s="7" t="s">
        <v>8823</v>
      </c>
      <c r="B1368" s="7" t="s">
        <v>8178</v>
      </c>
      <c r="C1368" s="8" t="s">
        <v>5317</v>
      </c>
      <c r="D1368" t="s">
        <v>216</v>
      </c>
      <c r="E1368" t="s">
        <v>1476</v>
      </c>
      <c r="F1368" t="s">
        <v>117</v>
      </c>
      <c r="G1368" t="s">
        <v>1483</v>
      </c>
      <c r="H1368" s="9">
        <v>44657</v>
      </c>
      <c r="I1368" t="s">
        <v>85</v>
      </c>
      <c r="J1368" t="s">
        <v>0</v>
      </c>
      <c r="K1368" s="9">
        <v>44676</v>
      </c>
      <c r="L1368" t="s">
        <v>29</v>
      </c>
      <c r="M1368"/>
      <c r="N1368"/>
      <c r="O1368"/>
      <c r="P1368"/>
      <c r="Q1368" s="9">
        <v>44676</v>
      </c>
      <c r="R1368"/>
      <c r="S1368"/>
      <c r="T1368"/>
      <c r="U1368"/>
    </row>
    <row r="1369" spans="1:21" hidden="1">
      <c r="A1369" s="7" t="s">
        <v>8823</v>
      </c>
      <c r="B1369" s="7" t="s">
        <v>8178</v>
      </c>
      <c r="C1369" s="8" t="s">
        <v>5317</v>
      </c>
      <c r="D1369" t="s">
        <v>216</v>
      </c>
      <c r="E1369" t="s">
        <v>1476</v>
      </c>
      <c r="F1369" t="s">
        <v>117</v>
      </c>
      <c r="G1369" t="s">
        <v>1484</v>
      </c>
      <c r="H1369" s="9">
        <v>44657</v>
      </c>
      <c r="I1369" t="s">
        <v>85</v>
      </c>
      <c r="J1369" t="s">
        <v>0</v>
      </c>
      <c r="K1369" s="9">
        <v>44676</v>
      </c>
      <c r="L1369" t="s">
        <v>29</v>
      </c>
      <c r="M1369"/>
      <c r="N1369"/>
      <c r="O1369"/>
      <c r="P1369"/>
      <c r="Q1369" s="9">
        <v>44676</v>
      </c>
      <c r="R1369"/>
      <c r="S1369"/>
      <c r="T1369"/>
      <c r="U1369"/>
    </row>
    <row r="1370" spans="1:21" hidden="1">
      <c r="A1370" s="7" t="s">
        <v>8823</v>
      </c>
      <c r="B1370" s="7" t="s">
        <v>8178</v>
      </c>
      <c r="C1370" s="8" t="s">
        <v>5317</v>
      </c>
      <c r="D1370" t="s">
        <v>216</v>
      </c>
      <c r="E1370" t="s">
        <v>1476</v>
      </c>
      <c r="F1370" t="s">
        <v>117</v>
      </c>
      <c r="G1370" t="s">
        <v>1485</v>
      </c>
      <c r="H1370" s="9">
        <v>44657</v>
      </c>
      <c r="I1370" t="s">
        <v>85</v>
      </c>
      <c r="J1370" t="s">
        <v>0</v>
      </c>
      <c r="K1370" s="9">
        <v>44676</v>
      </c>
      <c r="L1370" t="s">
        <v>29</v>
      </c>
      <c r="M1370"/>
      <c r="N1370"/>
      <c r="O1370"/>
      <c r="P1370"/>
      <c r="Q1370" s="9">
        <v>44676</v>
      </c>
      <c r="R1370"/>
      <c r="S1370"/>
      <c r="T1370"/>
      <c r="U1370"/>
    </row>
    <row r="1371" spans="1:21" hidden="1">
      <c r="A1371" s="7" t="s">
        <v>8823</v>
      </c>
      <c r="B1371" s="7" t="s">
        <v>8178</v>
      </c>
      <c r="C1371" s="8" t="s">
        <v>5317</v>
      </c>
      <c r="D1371" t="s">
        <v>216</v>
      </c>
      <c r="E1371" t="s">
        <v>1476</v>
      </c>
      <c r="F1371" t="s">
        <v>117</v>
      </c>
      <c r="G1371" t="s">
        <v>1486</v>
      </c>
      <c r="H1371" s="9">
        <v>44657</v>
      </c>
      <c r="I1371" t="s">
        <v>85</v>
      </c>
      <c r="J1371" t="s">
        <v>0</v>
      </c>
      <c r="K1371" s="9">
        <v>44676</v>
      </c>
      <c r="L1371" t="s">
        <v>29</v>
      </c>
      <c r="M1371"/>
      <c r="N1371"/>
      <c r="O1371"/>
      <c r="P1371"/>
      <c r="Q1371" s="9">
        <v>44676</v>
      </c>
      <c r="R1371"/>
      <c r="S1371"/>
      <c r="T1371"/>
      <c r="U1371"/>
    </row>
    <row r="1372" spans="1:21" hidden="1">
      <c r="A1372" s="7" t="s">
        <v>8823</v>
      </c>
      <c r="B1372" s="7" t="s">
        <v>8178</v>
      </c>
      <c r="C1372" s="8" t="s">
        <v>5317</v>
      </c>
      <c r="D1372" t="s">
        <v>216</v>
      </c>
      <c r="E1372" t="s">
        <v>1476</v>
      </c>
      <c r="F1372" t="s">
        <v>117</v>
      </c>
      <c r="G1372" t="s">
        <v>1487</v>
      </c>
      <c r="H1372" s="9">
        <v>44657</v>
      </c>
      <c r="I1372" t="s">
        <v>85</v>
      </c>
      <c r="J1372" t="s">
        <v>0</v>
      </c>
      <c r="K1372" s="9">
        <v>44676</v>
      </c>
      <c r="L1372" t="s">
        <v>29</v>
      </c>
      <c r="M1372"/>
      <c r="N1372"/>
      <c r="O1372"/>
      <c r="P1372"/>
      <c r="Q1372" s="9">
        <v>44676</v>
      </c>
      <c r="R1372"/>
      <c r="S1372"/>
      <c r="T1372"/>
      <c r="U1372"/>
    </row>
    <row r="1373" spans="1:21" hidden="1">
      <c r="A1373" s="7" t="s">
        <v>8823</v>
      </c>
      <c r="B1373" s="7" t="s">
        <v>8178</v>
      </c>
      <c r="C1373" s="8" t="s">
        <v>5317</v>
      </c>
      <c r="D1373" t="s">
        <v>216</v>
      </c>
      <c r="E1373" t="s">
        <v>1476</v>
      </c>
      <c r="F1373" t="s">
        <v>117</v>
      </c>
      <c r="G1373" t="s">
        <v>1488</v>
      </c>
      <c r="H1373" s="9">
        <v>44657</v>
      </c>
      <c r="I1373" t="s">
        <v>85</v>
      </c>
      <c r="J1373" t="s">
        <v>0</v>
      </c>
      <c r="K1373" s="9">
        <v>44676</v>
      </c>
      <c r="L1373" t="s">
        <v>29</v>
      </c>
      <c r="M1373"/>
      <c r="N1373"/>
      <c r="O1373"/>
      <c r="P1373"/>
      <c r="Q1373" s="9">
        <v>44676</v>
      </c>
      <c r="R1373"/>
      <c r="S1373"/>
      <c r="T1373"/>
      <c r="U1373"/>
    </row>
    <row r="1374" spans="1:21" hidden="1">
      <c r="A1374" s="7" t="s">
        <v>8823</v>
      </c>
      <c r="B1374" s="7" t="s">
        <v>8178</v>
      </c>
      <c r="C1374" s="8" t="s">
        <v>5317</v>
      </c>
      <c r="D1374" t="s">
        <v>216</v>
      </c>
      <c r="E1374" t="s">
        <v>1476</v>
      </c>
      <c r="F1374" t="s">
        <v>117</v>
      </c>
      <c r="G1374" t="s">
        <v>1489</v>
      </c>
      <c r="H1374" s="9">
        <v>44657</v>
      </c>
      <c r="I1374" t="s">
        <v>85</v>
      </c>
      <c r="J1374" t="s">
        <v>0</v>
      </c>
      <c r="K1374" s="9">
        <v>44676</v>
      </c>
      <c r="L1374" t="s">
        <v>29</v>
      </c>
      <c r="M1374"/>
      <c r="N1374"/>
      <c r="O1374"/>
      <c r="P1374"/>
      <c r="Q1374" s="9">
        <v>44676</v>
      </c>
      <c r="R1374"/>
      <c r="S1374"/>
      <c r="T1374"/>
      <c r="U1374"/>
    </row>
    <row r="1375" spans="1:21" hidden="1">
      <c r="A1375" s="7" t="s">
        <v>8823</v>
      </c>
      <c r="B1375" s="7" t="s">
        <v>8178</v>
      </c>
      <c r="C1375" s="8" t="s">
        <v>5317</v>
      </c>
      <c r="D1375" t="s">
        <v>216</v>
      </c>
      <c r="E1375" t="s">
        <v>1476</v>
      </c>
      <c r="F1375" t="s">
        <v>117</v>
      </c>
      <c r="G1375" t="s">
        <v>1490</v>
      </c>
      <c r="H1375" s="9">
        <v>44657</v>
      </c>
      <c r="I1375" t="s">
        <v>85</v>
      </c>
      <c r="J1375" t="s">
        <v>0</v>
      </c>
      <c r="K1375" s="9">
        <v>44676</v>
      </c>
      <c r="L1375" t="s">
        <v>29</v>
      </c>
      <c r="M1375"/>
      <c r="N1375"/>
      <c r="O1375"/>
      <c r="P1375"/>
      <c r="Q1375" s="9">
        <v>44676</v>
      </c>
      <c r="R1375"/>
      <c r="S1375"/>
      <c r="T1375"/>
      <c r="U1375"/>
    </row>
    <row r="1376" spans="1:21" hidden="1">
      <c r="A1376" s="7" t="s">
        <v>8823</v>
      </c>
      <c r="B1376" s="7" t="s">
        <v>8178</v>
      </c>
      <c r="C1376" s="8" t="s">
        <v>5317</v>
      </c>
      <c r="D1376" t="s">
        <v>216</v>
      </c>
      <c r="E1376" t="s">
        <v>1476</v>
      </c>
      <c r="F1376" t="s">
        <v>117</v>
      </c>
      <c r="G1376" t="s">
        <v>1491</v>
      </c>
      <c r="H1376" s="9">
        <v>44657</v>
      </c>
      <c r="I1376" t="s">
        <v>85</v>
      </c>
      <c r="J1376" t="s">
        <v>0</v>
      </c>
      <c r="K1376" s="9">
        <v>44676</v>
      </c>
      <c r="L1376" t="s">
        <v>29</v>
      </c>
      <c r="M1376"/>
      <c r="N1376"/>
      <c r="O1376"/>
      <c r="P1376"/>
      <c r="Q1376" s="9">
        <v>44676</v>
      </c>
      <c r="R1376"/>
      <c r="S1376"/>
      <c r="T1376"/>
      <c r="U1376"/>
    </row>
    <row r="1377" spans="1:21" hidden="1">
      <c r="A1377" s="7" t="s">
        <v>8824</v>
      </c>
      <c r="B1377" s="7" t="s">
        <v>7919</v>
      </c>
      <c r="C1377" s="8" t="s">
        <v>5317</v>
      </c>
      <c r="D1377" t="s">
        <v>216</v>
      </c>
      <c r="E1377" t="s">
        <v>1492</v>
      </c>
      <c r="F1377" t="s">
        <v>117</v>
      </c>
      <c r="G1377" t="s">
        <v>1493</v>
      </c>
      <c r="H1377" s="9">
        <v>44657</v>
      </c>
      <c r="I1377" t="s">
        <v>483</v>
      </c>
      <c r="J1377" t="s">
        <v>0</v>
      </c>
      <c r="K1377" s="9">
        <v>44662</v>
      </c>
      <c r="L1377" t="s">
        <v>29</v>
      </c>
      <c r="M1377"/>
      <c r="N1377"/>
      <c r="O1377"/>
      <c r="P1377"/>
      <c r="Q1377" s="9">
        <v>44662</v>
      </c>
      <c r="R1377"/>
      <c r="S1377"/>
      <c r="T1377"/>
      <c r="U1377"/>
    </row>
    <row r="1378" spans="1:21" hidden="1">
      <c r="A1378" s="7" t="s">
        <v>8821</v>
      </c>
      <c r="B1378" s="7" t="s">
        <v>6886</v>
      </c>
      <c r="C1378" s="8" t="s">
        <v>5317</v>
      </c>
      <c r="D1378" t="s">
        <v>216</v>
      </c>
      <c r="E1378" t="s">
        <v>1471</v>
      </c>
      <c r="F1378" t="s">
        <v>117</v>
      </c>
      <c r="G1378" t="s">
        <v>1494</v>
      </c>
      <c r="H1378" s="9">
        <v>44657</v>
      </c>
      <c r="I1378" t="s">
        <v>85</v>
      </c>
      <c r="J1378" t="s">
        <v>0</v>
      </c>
      <c r="K1378" s="9">
        <v>44691</v>
      </c>
      <c r="L1378" t="s">
        <v>29</v>
      </c>
      <c r="M1378"/>
      <c r="N1378" s="9">
        <v>44686</v>
      </c>
      <c r="O1378"/>
      <c r="P1378"/>
      <c r="Q1378" s="9">
        <v>44691</v>
      </c>
      <c r="R1378"/>
      <c r="S1378"/>
      <c r="T1378"/>
      <c r="U1378"/>
    </row>
    <row r="1379" spans="1:21" hidden="1">
      <c r="A1379" s="7" t="s">
        <v>8821</v>
      </c>
      <c r="B1379" s="7" t="s">
        <v>6886</v>
      </c>
      <c r="C1379" s="8" t="s">
        <v>5317</v>
      </c>
      <c r="D1379" t="s">
        <v>216</v>
      </c>
      <c r="E1379" t="s">
        <v>1471</v>
      </c>
      <c r="F1379" t="s">
        <v>117</v>
      </c>
      <c r="G1379" t="s">
        <v>1495</v>
      </c>
      <c r="H1379" s="9">
        <v>44657</v>
      </c>
      <c r="I1379" t="s">
        <v>85</v>
      </c>
      <c r="J1379" t="s">
        <v>0</v>
      </c>
      <c r="K1379" s="9">
        <v>44691</v>
      </c>
      <c r="L1379" t="s">
        <v>29</v>
      </c>
      <c r="M1379"/>
      <c r="N1379" s="9">
        <v>44686</v>
      </c>
      <c r="O1379"/>
      <c r="P1379"/>
      <c r="Q1379" s="9">
        <v>44691</v>
      </c>
      <c r="R1379"/>
      <c r="S1379"/>
      <c r="T1379"/>
      <c r="U1379"/>
    </row>
    <row r="1380" spans="1:21" hidden="1">
      <c r="A1380" s="7" t="s">
        <v>8821</v>
      </c>
      <c r="B1380" s="7" t="s">
        <v>6886</v>
      </c>
      <c r="C1380" s="8" t="s">
        <v>5317</v>
      </c>
      <c r="D1380" t="s">
        <v>216</v>
      </c>
      <c r="E1380" t="s">
        <v>1471</v>
      </c>
      <c r="F1380" t="s">
        <v>117</v>
      </c>
      <c r="G1380" t="s">
        <v>1496</v>
      </c>
      <c r="H1380" s="9">
        <v>44657</v>
      </c>
      <c r="I1380" t="s">
        <v>85</v>
      </c>
      <c r="J1380" t="s">
        <v>0</v>
      </c>
      <c r="K1380" s="9">
        <v>44691</v>
      </c>
      <c r="L1380" t="s">
        <v>29</v>
      </c>
      <c r="M1380"/>
      <c r="N1380" s="9">
        <v>44686</v>
      </c>
      <c r="O1380"/>
      <c r="P1380"/>
      <c r="Q1380" s="9">
        <v>44691</v>
      </c>
      <c r="R1380"/>
      <c r="S1380"/>
      <c r="T1380"/>
      <c r="U1380"/>
    </row>
    <row r="1381" spans="1:21" hidden="1">
      <c r="A1381" s="7" t="s">
        <v>8763</v>
      </c>
      <c r="B1381" s="7" t="s">
        <v>5405</v>
      </c>
      <c r="C1381" s="8" t="s">
        <v>5317</v>
      </c>
      <c r="D1381" t="s">
        <v>216</v>
      </c>
      <c r="E1381" t="s">
        <v>25</v>
      </c>
      <c r="F1381" t="s">
        <v>280</v>
      </c>
      <c r="G1381" t="s">
        <v>1497</v>
      </c>
      <c r="H1381" s="9">
        <v>44657</v>
      </c>
      <c r="I1381" t="s">
        <v>8634</v>
      </c>
      <c r="J1381" t="s">
        <v>0</v>
      </c>
      <c r="K1381" s="9">
        <v>44858</v>
      </c>
      <c r="L1381" t="s">
        <v>29</v>
      </c>
      <c r="M1381"/>
      <c r="N1381" s="9">
        <v>44686</v>
      </c>
      <c r="O1381" s="9">
        <v>44693</v>
      </c>
      <c r="P1381" s="9">
        <v>44693</v>
      </c>
      <c r="Q1381" s="9">
        <v>44858</v>
      </c>
      <c r="R1381"/>
      <c r="S1381"/>
      <c r="T1381"/>
      <c r="U1381"/>
    </row>
    <row r="1382" spans="1:21" hidden="1">
      <c r="A1382" s="7" t="s">
        <v>8763</v>
      </c>
      <c r="B1382" s="7" t="s">
        <v>5405</v>
      </c>
      <c r="C1382" s="8" t="s">
        <v>5317</v>
      </c>
      <c r="D1382" t="s">
        <v>216</v>
      </c>
      <c r="E1382" t="s">
        <v>25</v>
      </c>
      <c r="F1382" t="s">
        <v>280</v>
      </c>
      <c r="G1382" t="s">
        <v>1498</v>
      </c>
      <c r="H1382" s="9">
        <v>44657</v>
      </c>
      <c r="I1382" t="s">
        <v>8634</v>
      </c>
      <c r="J1382" t="s">
        <v>0</v>
      </c>
      <c r="K1382" s="9">
        <v>44858</v>
      </c>
      <c r="L1382" t="s">
        <v>29</v>
      </c>
      <c r="M1382"/>
      <c r="N1382" s="9">
        <v>44686</v>
      </c>
      <c r="O1382" s="9">
        <v>44693</v>
      </c>
      <c r="P1382" s="9">
        <v>44693</v>
      </c>
      <c r="Q1382" s="9">
        <v>44858</v>
      </c>
      <c r="R1382"/>
      <c r="S1382"/>
      <c r="T1382"/>
      <c r="U1382"/>
    </row>
    <row r="1383" spans="1:21" hidden="1">
      <c r="A1383" s="7" t="s">
        <v>8763</v>
      </c>
      <c r="B1383" s="7" t="s">
        <v>5405</v>
      </c>
      <c r="C1383" s="8" t="s">
        <v>5317</v>
      </c>
      <c r="D1383" t="s">
        <v>216</v>
      </c>
      <c r="E1383" t="s">
        <v>25</v>
      </c>
      <c r="F1383" t="s">
        <v>280</v>
      </c>
      <c r="G1383" t="s">
        <v>1499</v>
      </c>
      <c r="H1383" s="9">
        <v>44657</v>
      </c>
      <c r="I1383" t="s">
        <v>8634</v>
      </c>
      <c r="J1383" t="s">
        <v>0</v>
      </c>
      <c r="K1383" s="9">
        <v>44858</v>
      </c>
      <c r="L1383" t="s">
        <v>29</v>
      </c>
      <c r="M1383"/>
      <c r="N1383" s="9">
        <v>44686</v>
      </c>
      <c r="O1383" s="9">
        <v>44693</v>
      </c>
      <c r="P1383" s="9">
        <v>44693</v>
      </c>
      <c r="Q1383" s="9">
        <v>44858</v>
      </c>
      <c r="R1383"/>
      <c r="S1383"/>
      <c r="T1383"/>
      <c r="U1383"/>
    </row>
    <row r="1384" spans="1:21" hidden="1">
      <c r="A1384" s="7" t="s">
        <v>8763</v>
      </c>
      <c r="B1384" s="7" t="s">
        <v>5405</v>
      </c>
      <c r="C1384" s="8" t="s">
        <v>5317</v>
      </c>
      <c r="D1384" t="s">
        <v>216</v>
      </c>
      <c r="E1384" t="s">
        <v>25</v>
      </c>
      <c r="F1384" t="s">
        <v>280</v>
      </c>
      <c r="G1384" t="s">
        <v>1500</v>
      </c>
      <c r="H1384" s="9">
        <v>44657</v>
      </c>
      <c r="I1384" t="s">
        <v>8634</v>
      </c>
      <c r="J1384" t="s">
        <v>0</v>
      </c>
      <c r="K1384" s="9">
        <v>44858</v>
      </c>
      <c r="L1384" t="s">
        <v>29</v>
      </c>
      <c r="M1384"/>
      <c r="N1384" s="9">
        <v>44686</v>
      </c>
      <c r="O1384" s="9">
        <v>44693</v>
      </c>
      <c r="P1384" s="9">
        <v>44693</v>
      </c>
      <c r="Q1384" s="9">
        <v>44858</v>
      </c>
      <c r="R1384"/>
      <c r="S1384"/>
      <c r="T1384"/>
      <c r="U1384"/>
    </row>
    <row r="1385" spans="1:21" hidden="1">
      <c r="A1385" s="7" t="s">
        <v>8763</v>
      </c>
      <c r="B1385" s="7" t="s">
        <v>5405</v>
      </c>
      <c r="C1385" s="8" t="s">
        <v>5317</v>
      </c>
      <c r="D1385" t="s">
        <v>216</v>
      </c>
      <c r="E1385" t="s">
        <v>25</v>
      </c>
      <c r="F1385" t="s">
        <v>280</v>
      </c>
      <c r="G1385" t="s">
        <v>1501</v>
      </c>
      <c r="H1385" s="9">
        <v>44657</v>
      </c>
      <c r="I1385" t="s">
        <v>8634</v>
      </c>
      <c r="J1385" t="s">
        <v>0</v>
      </c>
      <c r="K1385" s="9">
        <v>44858</v>
      </c>
      <c r="L1385" t="s">
        <v>29</v>
      </c>
      <c r="M1385"/>
      <c r="N1385" s="9">
        <v>44686</v>
      </c>
      <c r="O1385" s="9">
        <v>44693</v>
      </c>
      <c r="P1385" s="9">
        <v>44693</v>
      </c>
      <c r="Q1385" s="9">
        <v>44858</v>
      </c>
      <c r="R1385"/>
      <c r="S1385"/>
      <c r="T1385"/>
      <c r="U1385"/>
    </row>
    <row r="1386" spans="1:21" hidden="1">
      <c r="A1386" s="7" t="s">
        <v>8763</v>
      </c>
      <c r="B1386" s="7" t="s">
        <v>5405</v>
      </c>
      <c r="C1386" s="8" t="s">
        <v>5317</v>
      </c>
      <c r="D1386" t="s">
        <v>216</v>
      </c>
      <c r="E1386" t="s">
        <v>25</v>
      </c>
      <c r="F1386" t="s">
        <v>280</v>
      </c>
      <c r="G1386" t="s">
        <v>1502</v>
      </c>
      <c r="H1386" s="9">
        <v>44657</v>
      </c>
      <c r="I1386" t="s">
        <v>8634</v>
      </c>
      <c r="J1386" t="s">
        <v>0</v>
      </c>
      <c r="K1386" s="9">
        <v>44858</v>
      </c>
      <c r="L1386" t="s">
        <v>29</v>
      </c>
      <c r="M1386"/>
      <c r="N1386" s="9">
        <v>44686</v>
      </c>
      <c r="O1386" s="9">
        <v>44693</v>
      </c>
      <c r="P1386" s="9">
        <v>44693</v>
      </c>
      <c r="Q1386" s="9">
        <v>44858</v>
      </c>
      <c r="R1386"/>
      <c r="S1386"/>
      <c r="T1386"/>
      <c r="U1386"/>
    </row>
    <row r="1387" spans="1:21" hidden="1">
      <c r="A1387" s="7" t="s">
        <v>8763</v>
      </c>
      <c r="B1387" s="7" t="s">
        <v>5405</v>
      </c>
      <c r="C1387" s="8" t="s">
        <v>5317</v>
      </c>
      <c r="D1387" t="s">
        <v>216</v>
      </c>
      <c r="E1387" t="s">
        <v>25</v>
      </c>
      <c r="F1387" t="s">
        <v>280</v>
      </c>
      <c r="G1387" t="s">
        <v>1503</v>
      </c>
      <c r="H1387" s="9">
        <v>44657</v>
      </c>
      <c r="I1387" t="s">
        <v>8634</v>
      </c>
      <c r="J1387" t="s">
        <v>0</v>
      </c>
      <c r="K1387" s="9">
        <v>44858</v>
      </c>
      <c r="L1387" t="s">
        <v>29</v>
      </c>
      <c r="M1387"/>
      <c r="N1387" s="9">
        <v>44686</v>
      </c>
      <c r="O1387" s="9">
        <v>44693</v>
      </c>
      <c r="P1387" s="9">
        <v>44693</v>
      </c>
      <c r="Q1387" s="9">
        <v>44858</v>
      </c>
      <c r="R1387"/>
      <c r="S1387"/>
      <c r="T1387"/>
      <c r="U1387"/>
    </row>
    <row r="1388" spans="1:21" hidden="1">
      <c r="A1388" s="7" t="s">
        <v>8763</v>
      </c>
      <c r="B1388" s="7" t="s">
        <v>5405</v>
      </c>
      <c r="C1388" s="8" t="s">
        <v>5317</v>
      </c>
      <c r="D1388" t="s">
        <v>216</v>
      </c>
      <c r="E1388" t="s">
        <v>25</v>
      </c>
      <c r="F1388" t="s">
        <v>280</v>
      </c>
      <c r="G1388" t="s">
        <v>1504</v>
      </c>
      <c r="H1388" s="9">
        <v>44657</v>
      </c>
      <c r="I1388" t="s">
        <v>8634</v>
      </c>
      <c r="J1388" t="s">
        <v>0</v>
      </c>
      <c r="K1388" s="9">
        <v>44858</v>
      </c>
      <c r="L1388" t="s">
        <v>29</v>
      </c>
      <c r="M1388"/>
      <c r="N1388" s="9">
        <v>44686</v>
      </c>
      <c r="O1388" s="9">
        <v>44693</v>
      </c>
      <c r="P1388" s="9">
        <v>44693</v>
      </c>
      <c r="Q1388" s="9">
        <v>44858</v>
      </c>
      <c r="R1388"/>
      <c r="S1388"/>
      <c r="T1388"/>
      <c r="U1388"/>
    </row>
    <row r="1389" spans="1:21" hidden="1">
      <c r="A1389" s="7" t="s">
        <v>8763</v>
      </c>
      <c r="B1389" s="7" t="s">
        <v>5405</v>
      </c>
      <c r="C1389" s="8" t="s">
        <v>5317</v>
      </c>
      <c r="D1389" t="s">
        <v>216</v>
      </c>
      <c r="E1389" t="s">
        <v>25</v>
      </c>
      <c r="F1389" t="s">
        <v>280</v>
      </c>
      <c r="G1389" t="s">
        <v>1505</v>
      </c>
      <c r="H1389" s="9">
        <v>44657</v>
      </c>
      <c r="I1389" t="s">
        <v>8634</v>
      </c>
      <c r="J1389" t="s">
        <v>0</v>
      </c>
      <c r="K1389" s="9">
        <v>44858</v>
      </c>
      <c r="L1389" t="s">
        <v>29</v>
      </c>
      <c r="M1389"/>
      <c r="N1389" s="9">
        <v>44686</v>
      </c>
      <c r="O1389" s="9">
        <v>44693</v>
      </c>
      <c r="P1389" s="9">
        <v>44693</v>
      </c>
      <c r="Q1389" s="9">
        <v>44858</v>
      </c>
      <c r="R1389"/>
      <c r="S1389"/>
      <c r="T1389"/>
      <c r="U1389"/>
    </row>
    <row r="1390" spans="1:21" hidden="1">
      <c r="A1390" s="7" t="s">
        <v>8763</v>
      </c>
      <c r="B1390" s="7" t="s">
        <v>5405</v>
      </c>
      <c r="C1390" s="8" t="s">
        <v>5317</v>
      </c>
      <c r="D1390" t="s">
        <v>216</v>
      </c>
      <c r="E1390" t="s">
        <v>25</v>
      </c>
      <c r="F1390" t="s">
        <v>280</v>
      </c>
      <c r="G1390" t="s">
        <v>1506</v>
      </c>
      <c r="H1390" s="9">
        <v>44657</v>
      </c>
      <c r="I1390" t="s">
        <v>8634</v>
      </c>
      <c r="J1390" t="s">
        <v>0</v>
      </c>
      <c r="K1390" s="9">
        <v>44858</v>
      </c>
      <c r="L1390" t="s">
        <v>29</v>
      </c>
      <c r="M1390"/>
      <c r="N1390" s="9">
        <v>44686</v>
      </c>
      <c r="O1390" s="9">
        <v>44693</v>
      </c>
      <c r="P1390" s="9">
        <v>44693</v>
      </c>
      <c r="Q1390" s="9">
        <v>44858</v>
      </c>
      <c r="R1390"/>
      <c r="S1390"/>
      <c r="T1390"/>
      <c r="U1390"/>
    </row>
    <row r="1391" spans="1:21" hidden="1">
      <c r="A1391" s="7" t="s">
        <v>8763</v>
      </c>
      <c r="B1391" s="7" t="s">
        <v>5405</v>
      </c>
      <c r="C1391" s="8" t="s">
        <v>5317</v>
      </c>
      <c r="D1391" t="s">
        <v>216</v>
      </c>
      <c r="E1391" t="s">
        <v>25</v>
      </c>
      <c r="F1391" t="s">
        <v>280</v>
      </c>
      <c r="G1391" t="s">
        <v>1507</v>
      </c>
      <c r="H1391" s="9">
        <v>44657</v>
      </c>
      <c r="I1391" t="s">
        <v>8634</v>
      </c>
      <c r="J1391" t="s">
        <v>0</v>
      </c>
      <c r="K1391" s="9">
        <v>44858</v>
      </c>
      <c r="L1391" t="s">
        <v>29</v>
      </c>
      <c r="M1391"/>
      <c r="N1391" s="9">
        <v>44686</v>
      </c>
      <c r="O1391" s="9">
        <v>44693</v>
      </c>
      <c r="P1391" s="9">
        <v>44693</v>
      </c>
      <c r="Q1391" s="9">
        <v>44858</v>
      </c>
      <c r="R1391"/>
      <c r="S1391"/>
      <c r="T1391"/>
      <c r="U1391"/>
    </row>
    <row r="1392" spans="1:21" hidden="1">
      <c r="A1392" s="7" t="s">
        <v>8763</v>
      </c>
      <c r="B1392" s="7" t="s">
        <v>5405</v>
      </c>
      <c r="C1392" s="8" t="s">
        <v>5317</v>
      </c>
      <c r="D1392" t="s">
        <v>216</v>
      </c>
      <c r="E1392" t="s">
        <v>25</v>
      </c>
      <c r="F1392" t="s">
        <v>280</v>
      </c>
      <c r="G1392" t="s">
        <v>1508</v>
      </c>
      <c r="H1392" s="9">
        <v>44657</v>
      </c>
      <c r="I1392" t="s">
        <v>8634</v>
      </c>
      <c r="J1392" t="s">
        <v>0</v>
      </c>
      <c r="K1392" s="9">
        <v>44858</v>
      </c>
      <c r="L1392" t="s">
        <v>29</v>
      </c>
      <c r="M1392"/>
      <c r="N1392" s="9">
        <v>44686</v>
      </c>
      <c r="O1392" s="9">
        <v>44693</v>
      </c>
      <c r="P1392" s="9">
        <v>44693</v>
      </c>
      <c r="Q1392" s="9">
        <v>44858</v>
      </c>
      <c r="R1392"/>
      <c r="S1392"/>
      <c r="T1392"/>
      <c r="U1392"/>
    </row>
    <row r="1393" spans="1:21" hidden="1">
      <c r="A1393" s="7" t="s">
        <v>8763</v>
      </c>
      <c r="B1393" s="7" t="s">
        <v>5405</v>
      </c>
      <c r="C1393" s="8" t="s">
        <v>5317</v>
      </c>
      <c r="D1393" t="s">
        <v>216</v>
      </c>
      <c r="E1393" t="s">
        <v>25</v>
      </c>
      <c r="F1393" t="s">
        <v>280</v>
      </c>
      <c r="G1393" t="s">
        <v>1509</v>
      </c>
      <c r="H1393" s="9">
        <v>44657</v>
      </c>
      <c r="I1393" t="s">
        <v>8634</v>
      </c>
      <c r="J1393" t="s">
        <v>0</v>
      </c>
      <c r="K1393" s="9">
        <v>44858</v>
      </c>
      <c r="L1393" t="s">
        <v>29</v>
      </c>
      <c r="M1393"/>
      <c r="N1393" s="9">
        <v>44686</v>
      </c>
      <c r="O1393" s="9">
        <v>44693</v>
      </c>
      <c r="P1393" s="9">
        <v>44693</v>
      </c>
      <c r="Q1393" s="9">
        <v>44858</v>
      </c>
      <c r="R1393"/>
      <c r="S1393"/>
      <c r="T1393"/>
      <c r="U1393"/>
    </row>
    <row r="1394" spans="1:21" hidden="1">
      <c r="A1394" s="7" t="s">
        <v>8763</v>
      </c>
      <c r="B1394" s="7" t="s">
        <v>5405</v>
      </c>
      <c r="C1394" s="8" t="s">
        <v>5317</v>
      </c>
      <c r="D1394" t="s">
        <v>216</v>
      </c>
      <c r="E1394" t="s">
        <v>25</v>
      </c>
      <c r="F1394" t="s">
        <v>280</v>
      </c>
      <c r="G1394" t="s">
        <v>1510</v>
      </c>
      <c r="H1394" s="9">
        <v>44657</v>
      </c>
      <c r="I1394" t="s">
        <v>8634</v>
      </c>
      <c r="J1394" t="s">
        <v>0</v>
      </c>
      <c r="K1394" s="9">
        <v>44858</v>
      </c>
      <c r="L1394" t="s">
        <v>29</v>
      </c>
      <c r="M1394"/>
      <c r="N1394" s="9">
        <v>44686</v>
      </c>
      <c r="O1394" s="9">
        <v>44693</v>
      </c>
      <c r="P1394" s="9">
        <v>44693</v>
      </c>
      <c r="Q1394" s="9">
        <v>44858</v>
      </c>
      <c r="R1394"/>
      <c r="S1394"/>
      <c r="T1394"/>
      <c r="U1394"/>
    </row>
    <row r="1395" spans="1:21" hidden="1">
      <c r="A1395" s="7" t="s">
        <v>8763</v>
      </c>
      <c r="B1395" s="7" t="s">
        <v>5405</v>
      </c>
      <c r="C1395" s="8" t="s">
        <v>5317</v>
      </c>
      <c r="D1395" t="s">
        <v>216</v>
      </c>
      <c r="E1395" t="s">
        <v>25</v>
      </c>
      <c r="F1395" t="s">
        <v>280</v>
      </c>
      <c r="G1395" t="s">
        <v>1511</v>
      </c>
      <c r="H1395" s="9">
        <v>44657</v>
      </c>
      <c r="I1395" t="s">
        <v>8634</v>
      </c>
      <c r="J1395" t="s">
        <v>0</v>
      </c>
      <c r="K1395" s="9">
        <v>44858</v>
      </c>
      <c r="L1395" t="s">
        <v>29</v>
      </c>
      <c r="M1395"/>
      <c r="N1395" s="9">
        <v>44686</v>
      </c>
      <c r="O1395" s="9">
        <v>44693</v>
      </c>
      <c r="P1395" s="9">
        <v>44693</v>
      </c>
      <c r="Q1395" s="9">
        <v>44858</v>
      </c>
      <c r="R1395"/>
      <c r="S1395"/>
      <c r="T1395"/>
      <c r="U1395"/>
    </row>
    <row r="1396" spans="1:21" hidden="1">
      <c r="A1396" s="7" t="s">
        <v>8763</v>
      </c>
      <c r="B1396" s="7" t="s">
        <v>5405</v>
      </c>
      <c r="C1396" s="8" t="s">
        <v>5317</v>
      </c>
      <c r="D1396" t="s">
        <v>216</v>
      </c>
      <c r="E1396" t="s">
        <v>25</v>
      </c>
      <c r="F1396" t="s">
        <v>280</v>
      </c>
      <c r="G1396" t="s">
        <v>1512</v>
      </c>
      <c r="H1396" s="9">
        <v>44657</v>
      </c>
      <c r="I1396" t="s">
        <v>8634</v>
      </c>
      <c r="J1396" t="s">
        <v>0</v>
      </c>
      <c r="K1396" s="9">
        <v>44858</v>
      </c>
      <c r="L1396" t="s">
        <v>29</v>
      </c>
      <c r="M1396"/>
      <c r="N1396" s="9">
        <v>44686</v>
      </c>
      <c r="O1396" s="9">
        <v>44693</v>
      </c>
      <c r="P1396" s="9">
        <v>44693</v>
      </c>
      <c r="Q1396" s="9">
        <v>44858</v>
      </c>
      <c r="R1396"/>
      <c r="S1396"/>
      <c r="T1396"/>
      <c r="U1396"/>
    </row>
    <row r="1397" spans="1:21" hidden="1">
      <c r="A1397" s="7" t="s">
        <v>8763</v>
      </c>
      <c r="B1397" s="7" t="s">
        <v>5405</v>
      </c>
      <c r="C1397" s="8" t="s">
        <v>5317</v>
      </c>
      <c r="D1397" t="s">
        <v>216</v>
      </c>
      <c r="E1397" t="s">
        <v>25</v>
      </c>
      <c r="F1397" t="s">
        <v>280</v>
      </c>
      <c r="G1397" t="s">
        <v>1513</v>
      </c>
      <c r="H1397" s="9">
        <v>44657</v>
      </c>
      <c r="I1397" t="s">
        <v>8634</v>
      </c>
      <c r="J1397" t="s">
        <v>0</v>
      </c>
      <c r="K1397" s="9">
        <v>44858</v>
      </c>
      <c r="L1397" t="s">
        <v>29</v>
      </c>
      <c r="M1397"/>
      <c r="N1397" s="9">
        <v>44686</v>
      </c>
      <c r="O1397" s="9">
        <v>44693</v>
      </c>
      <c r="P1397" s="9">
        <v>44693</v>
      </c>
      <c r="Q1397" s="9">
        <v>44858</v>
      </c>
      <c r="R1397"/>
      <c r="S1397"/>
      <c r="T1397"/>
      <c r="U1397"/>
    </row>
    <row r="1398" spans="1:21" hidden="1">
      <c r="A1398" s="7" t="s">
        <v>8763</v>
      </c>
      <c r="B1398" s="7" t="s">
        <v>5405</v>
      </c>
      <c r="C1398" s="8" t="s">
        <v>5317</v>
      </c>
      <c r="D1398" t="s">
        <v>216</v>
      </c>
      <c r="E1398" t="s">
        <v>25</v>
      </c>
      <c r="F1398" t="s">
        <v>280</v>
      </c>
      <c r="G1398" t="s">
        <v>1514</v>
      </c>
      <c r="H1398" s="9">
        <v>44657</v>
      </c>
      <c r="I1398" t="s">
        <v>8634</v>
      </c>
      <c r="J1398" t="s">
        <v>0</v>
      </c>
      <c r="K1398" s="9">
        <v>44858</v>
      </c>
      <c r="L1398" t="s">
        <v>29</v>
      </c>
      <c r="M1398"/>
      <c r="N1398" s="9">
        <v>44686</v>
      </c>
      <c r="O1398" s="9">
        <v>44693</v>
      </c>
      <c r="P1398" s="9">
        <v>44693</v>
      </c>
      <c r="Q1398" s="9">
        <v>44858</v>
      </c>
      <c r="R1398"/>
      <c r="S1398"/>
      <c r="T1398"/>
      <c r="U1398"/>
    </row>
    <row r="1399" spans="1:21" hidden="1">
      <c r="A1399" s="7" t="s">
        <v>8763</v>
      </c>
      <c r="B1399" s="7" t="s">
        <v>5405</v>
      </c>
      <c r="C1399" s="8" t="s">
        <v>5317</v>
      </c>
      <c r="D1399" t="s">
        <v>216</v>
      </c>
      <c r="E1399" t="s">
        <v>25</v>
      </c>
      <c r="F1399" t="s">
        <v>280</v>
      </c>
      <c r="G1399" t="s">
        <v>1515</v>
      </c>
      <c r="H1399" s="9">
        <v>44657</v>
      </c>
      <c r="I1399" t="s">
        <v>8634</v>
      </c>
      <c r="J1399" t="s">
        <v>0</v>
      </c>
      <c r="K1399" s="9">
        <v>44858</v>
      </c>
      <c r="L1399" t="s">
        <v>29</v>
      </c>
      <c r="M1399"/>
      <c r="N1399" s="9">
        <v>44686</v>
      </c>
      <c r="O1399" s="9">
        <v>44693</v>
      </c>
      <c r="P1399" s="9">
        <v>44693</v>
      </c>
      <c r="Q1399" s="9">
        <v>44858</v>
      </c>
      <c r="R1399"/>
      <c r="S1399"/>
      <c r="T1399"/>
      <c r="U1399"/>
    </row>
    <row r="1400" spans="1:21" hidden="1">
      <c r="A1400" s="7" t="s">
        <v>8763</v>
      </c>
      <c r="B1400" s="7" t="s">
        <v>5405</v>
      </c>
      <c r="C1400" s="8" t="s">
        <v>5317</v>
      </c>
      <c r="D1400" t="s">
        <v>216</v>
      </c>
      <c r="E1400" t="s">
        <v>25</v>
      </c>
      <c r="F1400" t="s">
        <v>280</v>
      </c>
      <c r="G1400" t="s">
        <v>1516</v>
      </c>
      <c r="H1400" s="9">
        <v>44657</v>
      </c>
      <c r="I1400" t="s">
        <v>8634</v>
      </c>
      <c r="J1400" t="s">
        <v>0</v>
      </c>
      <c r="K1400" s="9">
        <v>44858</v>
      </c>
      <c r="L1400" t="s">
        <v>29</v>
      </c>
      <c r="M1400"/>
      <c r="N1400" s="9">
        <v>44686</v>
      </c>
      <c r="O1400" s="9">
        <v>44693</v>
      </c>
      <c r="P1400" s="9">
        <v>44693</v>
      </c>
      <c r="Q1400" s="9">
        <v>44858</v>
      </c>
      <c r="R1400"/>
      <c r="S1400"/>
      <c r="T1400"/>
      <c r="U1400"/>
    </row>
    <row r="1401" spans="1:21" hidden="1">
      <c r="A1401" s="7" t="s">
        <v>8763</v>
      </c>
      <c r="B1401" s="7" t="s">
        <v>5405</v>
      </c>
      <c r="C1401" s="8" t="s">
        <v>5317</v>
      </c>
      <c r="D1401" t="s">
        <v>216</v>
      </c>
      <c r="E1401" t="s">
        <v>25</v>
      </c>
      <c r="F1401" t="s">
        <v>280</v>
      </c>
      <c r="G1401" t="s">
        <v>1517</v>
      </c>
      <c r="H1401" s="9">
        <v>44657</v>
      </c>
      <c r="I1401" t="s">
        <v>8634</v>
      </c>
      <c r="J1401" t="s">
        <v>0</v>
      </c>
      <c r="K1401" s="9">
        <v>44858</v>
      </c>
      <c r="L1401" t="s">
        <v>29</v>
      </c>
      <c r="M1401"/>
      <c r="N1401" s="9">
        <v>44686</v>
      </c>
      <c r="O1401" s="9">
        <v>44693</v>
      </c>
      <c r="P1401" s="9">
        <v>44693</v>
      </c>
      <c r="Q1401" s="9">
        <v>44858</v>
      </c>
      <c r="R1401"/>
      <c r="S1401"/>
      <c r="T1401"/>
      <c r="U1401"/>
    </row>
    <row r="1402" spans="1:21" hidden="1">
      <c r="A1402" s="7" t="s">
        <v>8763</v>
      </c>
      <c r="B1402" s="7" t="s">
        <v>5405</v>
      </c>
      <c r="C1402" s="8" t="s">
        <v>5317</v>
      </c>
      <c r="D1402" t="s">
        <v>216</v>
      </c>
      <c r="E1402" t="s">
        <v>25</v>
      </c>
      <c r="F1402" t="s">
        <v>280</v>
      </c>
      <c r="G1402" t="s">
        <v>1518</v>
      </c>
      <c r="H1402" s="9">
        <v>44657</v>
      </c>
      <c r="I1402" t="s">
        <v>8634</v>
      </c>
      <c r="J1402" t="s">
        <v>0</v>
      </c>
      <c r="K1402" s="9">
        <v>44858</v>
      </c>
      <c r="L1402" t="s">
        <v>29</v>
      </c>
      <c r="M1402"/>
      <c r="N1402" s="9">
        <v>44686</v>
      </c>
      <c r="O1402" s="9">
        <v>44693</v>
      </c>
      <c r="P1402" s="9">
        <v>44693</v>
      </c>
      <c r="Q1402" s="9">
        <v>44858</v>
      </c>
      <c r="R1402"/>
      <c r="S1402"/>
      <c r="T1402"/>
      <c r="U1402"/>
    </row>
    <row r="1403" spans="1:21" hidden="1">
      <c r="A1403" s="7" t="s">
        <v>8763</v>
      </c>
      <c r="B1403" s="7" t="s">
        <v>5405</v>
      </c>
      <c r="C1403" s="8" t="s">
        <v>5317</v>
      </c>
      <c r="D1403" t="s">
        <v>216</v>
      </c>
      <c r="E1403" t="s">
        <v>25</v>
      </c>
      <c r="F1403" t="s">
        <v>280</v>
      </c>
      <c r="G1403" t="s">
        <v>1519</v>
      </c>
      <c r="H1403" s="9">
        <v>44657</v>
      </c>
      <c r="I1403" t="s">
        <v>8634</v>
      </c>
      <c r="J1403" t="s">
        <v>0</v>
      </c>
      <c r="K1403" s="9">
        <v>44858</v>
      </c>
      <c r="L1403" t="s">
        <v>29</v>
      </c>
      <c r="M1403"/>
      <c r="N1403" s="9">
        <v>44686</v>
      </c>
      <c r="O1403" s="9">
        <v>44693</v>
      </c>
      <c r="P1403" s="9">
        <v>44693</v>
      </c>
      <c r="Q1403" s="9">
        <v>44858</v>
      </c>
      <c r="R1403"/>
      <c r="S1403"/>
      <c r="T1403"/>
      <c r="U1403"/>
    </row>
    <row r="1404" spans="1:21" hidden="1">
      <c r="A1404" s="7" t="s">
        <v>8758</v>
      </c>
      <c r="B1404" s="7" t="s">
        <v>5405</v>
      </c>
      <c r="C1404" s="8" t="s">
        <v>5317</v>
      </c>
      <c r="D1404" t="s">
        <v>216</v>
      </c>
      <c r="E1404" t="s">
        <v>25</v>
      </c>
      <c r="F1404" t="s">
        <v>493</v>
      </c>
      <c r="G1404" t="s">
        <v>1520</v>
      </c>
      <c r="H1404" s="9">
        <v>44657</v>
      </c>
      <c r="I1404" t="s">
        <v>8634</v>
      </c>
      <c r="J1404" t="s">
        <v>0</v>
      </c>
      <c r="K1404" s="9">
        <v>44862</v>
      </c>
      <c r="L1404" t="s">
        <v>29</v>
      </c>
      <c r="M1404"/>
      <c r="N1404" s="9">
        <v>44686</v>
      </c>
      <c r="O1404" s="9">
        <v>44693</v>
      </c>
      <c r="P1404" s="9">
        <v>44693</v>
      </c>
      <c r="Q1404" s="9">
        <v>44862</v>
      </c>
      <c r="R1404" s="9">
        <v>44818.644305555601</v>
      </c>
      <c r="S1404"/>
      <c r="T1404"/>
      <c r="U1404"/>
    </row>
    <row r="1405" spans="1:21" hidden="1">
      <c r="A1405" s="7" t="s">
        <v>8763</v>
      </c>
      <c r="B1405" s="7" t="s">
        <v>5405</v>
      </c>
      <c r="C1405" s="8" t="s">
        <v>5317</v>
      </c>
      <c r="D1405" t="s">
        <v>216</v>
      </c>
      <c r="E1405" t="s">
        <v>25</v>
      </c>
      <c r="F1405" t="s">
        <v>280</v>
      </c>
      <c r="G1405" t="s">
        <v>1521</v>
      </c>
      <c r="H1405" s="9">
        <v>44657</v>
      </c>
      <c r="I1405" t="s">
        <v>8634</v>
      </c>
      <c r="J1405" t="s">
        <v>0</v>
      </c>
      <c r="K1405" s="9">
        <v>44858</v>
      </c>
      <c r="L1405" t="s">
        <v>29</v>
      </c>
      <c r="M1405"/>
      <c r="N1405" s="9">
        <v>44686</v>
      </c>
      <c r="O1405" s="9">
        <v>44693</v>
      </c>
      <c r="P1405" s="9">
        <v>44693</v>
      </c>
      <c r="Q1405" s="9">
        <v>44858</v>
      </c>
      <c r="R1405"/>
      <c r="S1405"/>
      <c r="T1405"/>
      <c r="U1405"/>
    </row>
    <row r="1406" spans="1:21" hidden="1">
      <c r="A1406" s="7" t="s">
        <v>8763</v>
      </c>
      <c r="B1406" s="7" t="s">
        <v>5405</v>
      </c>
      <c r="C1406" s="8" t="s">
        <v>5317</v>
      </c>
      <c r="D1406" t="s">
        <v>216</v>
      </c>
      <c r="E1406" t="s">
        <v>25</v>
      </c>
      <c r="F1406" t="s">
        <v>280</v>
      </c>
      <c r="G1406" t="s">
        <v>1522</v>
      </c>
      <c r="H1406" s="9">
        <v>44657</v>
      </c>
      <c r="I1406" t="s">
        <v>8634</v>
      </c>
      <c r="J1406" t="s">
        <v>0</v>
      </c>
      <c r="K1406" s="9">
        <v>44858</v>
      </c>
      <c r="L1406" t="s">
        <v>29</v>
      </c>
      <c r="M1406"/>
      <c r="N1406" s="9">
        <v>44686</v>
      </c>
      <c r="O1406" s="9">
        <v>44693</v>
      </c>
      <c r="P1406" s="9">
        <v>44693</v>
      </c>
      <c r="Q1406" s="9">
        <v>44858</v>
      </c>
      <c r="R1406"/>
      <c r="S1406"/>
      <c r="T1406"/>
      <c r="U1406"/>
    </row>
    <row r="1407" spans="1:21" hidden="1">
      <c r="A1407" s="7" t="s">
        <v>8763</v>
      </c>
      <c r="B1407" s="7" t="s">
        <v>5405</v>
      </c>
      <c r="C1407" s="8" t="s">
        <v>5317</v>
      </c>
      <c r="D1407" t="s">
        <v>216</v>
      </c>
      <c r="E1407" t="s">
        <v>25</v>
      </c>
      <c r="F1407" t="s">
        <v>280</v>
      </c>
      <c r="G1407" t="s">
        <v>1523</v>
      </c>
      <c r="H1407" s="9">
        <v>44657</v>
      </c>
      <c r="I1407" t="s">
        <v>8634</v>
      </c>
      <c r="J1407" t="s">
        <v>0</v>
      </c>
      <c r="K1407" s="9">
        <v>44858</v>
      </c>
      <c r="L1407" t="s">
        <v>29</v>
      </c>
      <c r="M1407"/>
      <c r="N1407" s="9">
        <v>44686</v>
      </c>
      <c r="O1407" s="9">
        <v>44693</v>
      </c>
      <c r="P1407" s="9">
        <v>44693</v>
      </c>
      <c r="Q1407" s="9">
        <v>44858</v>
      </c>
      <c r="R1407"/>
      <c r="S1407"/>
      <c r="T1407"/>
      <c r="U1407"/>
    </row>
    <row r="1408" spans="1:21" hidden="1">
      <c r="A1408" s="7" t="s">
        <v>8758</v>
      </c>
      <c r="B1408" s="7" t="s">
        <v>5405</v>
      </c>
      <c r="C1408" s="8" t="s">
        <v>5317</v>
      </c>
      <c r="D1408" t="s">
        <v>216</v>
      </c>
      <c r="E1408" t="s">
        <v>25</v>
      </c>
      <c r="F1408" t="s">
        <v>493</v>
      </c>
      <c r="G1408" t="s">
        <v>1524</v>
      </c>
      <c r="H1408" s="9">
        <v>44657</v>
      </c>
      <c r="I1408" t="s">
        <v>8634</v>
      </c>
      <c r="J1408" t="s">
        <v>0</v>
      </c>
      <c r="K1408" s="9">
        <v>44862</v>
      </c>
      <c r="L1408" t="s">
        <v>29</v>
      </c>
      <c r="M1408"/>
      <c r="N1408" s="9">
        <v>44686</v>
      </c>
      <c r="O1408" s="9">
        <v>44693</v>
      </c>
      <c r="P1408" s="9">
        <v>44693</v>
      </c>
      <c r="Q1408" s="9">
        <v>44862</v>
      </c>
      <c r="R1408" s="9">
        <v>44818.644305555601</v>
      </c>
      <c r="S1408"/>
      <c r="T1408"/>
      <c r="U1408"/>
    </row>
    <row r="1409" spans="1:21" hidden="1">
      <c r="A1409" s="7" t="s">
        <v>8758</v>
      </c>
      <c r="B1409" s="7" t="s">
        <v>5405</v>
      </c>
      <c r="C1409" s="8" t="s">
        <v>5317</v>
      </c>
      <c r="D1409" t="s">
        <v>216</v>
      </c>
      <c r="E1409" t="s">
        <v>25</v>
      </c>
      <c r="F1409" t="s">
        <v>493</v>
      </c>
      <c r="G1409" t="s">
        <v>1525</v>
      </c>
      <c r="H1409" s="9">
        <v>44657</v>
      </c>
      <c r="I1409" t="s">
        <v>8634</v>
      </c>
      <c r="J1409" t="s">
        <v>0</v>
      </c>
      <c r="K1409" s="9">
        <v>44862</v>
      </c>
      <c r="L1409" t="s">
        <v>29</v>
      </c>
      <c r="M1409"/>
      <c r="N1409" s="9">
        <v>44686</v>
      </c>
      <c r="O1409" s="9">
        <v>44693</v>
      </c>
      <c r="P1409" s="9">
        <v>44693</v>
      </c>
      <c r="Q1409" s="9">
        <v>44862</v>
      </c>
      <c r="R1409" s="9">
        <v>44818.644305555601</v>
      </c>
      <c r="S1409"/>
      <c r="T1409"/>
      <c r="U1409"/>
    </row>
    <row r="1410" spans="1:21" hidden="1">
      <c r="A1410" s="7" t="s">
        <v>8763</v>
      </c>
      <c r="B1410" s="7" t="s">
        <v>5405</v>
      </c>
      <c r="C1410" s="8" t="s">
        <v>5317</v>
      </c>
      <c r="D1410" t="s">
        <v>216</v>
      </c>
      <c r="E1410" t="s">
        <v>25</v>
      </c>
      <c r="F1410" t="s">
        <v>280</v>
      </c>
      <c r="G1410" t="s">
        <v>1526</v>
      </c>
      <c r="H1410" s="9">
        <v>44657</v>
      </c>
      <c r="I1410" t="s">
        <v>8634</v>
      </c>
      <c r="J1410" t="s">
        <v>0</v>
      </c>
      <c r="K1410" s="9">
        <v>44858</v>
      </c>
      <c r="L1410" t="s">
        <v>29</v>
      </c>
      <c r="M1410"/>
      <c r="N1410" s="9">
        <v>44686</v>
      </c>
      <c r="O1410" s="9">
        <v>44693</v>
      </c>
      <c r="P1410" s="9">
        <v>44693</v>
      </c>
      <c r="Q1410" s="9">
        <v>44858</v>
      </c>
      <c r="R1410"/>
      <c r="S1410"/>
      <c r="T1410"/>
      <c r="U1410"/>
    </row>
    <row r="1411" spans="1:21" hidden="1">
      <c r="A1411" s="7" t="s">
        <v>8763</v>
      </c>
      <c r="B1411" s="7" t="s">
        <v>5405</v>
      </c>
      <c r="C1411" s="8" t="s">
        <v>5317</v>
      </c>
      <c r="D1411" t="s">
        <v>216</v>
      </c>
      <c r="E1411" t="s">
        <v>25</v>
      </c>
      <c r="F1411" t="s">
        <v>280</v>
      </c>
      <c r="G1411" t="s">
        <v>1527</v>
      </c>
      <c r="H1411" s="9">
        <v>44657</v>
      </c>
      <c r="I1411" t="s">
        <v>8634</v>
      </c>
      <c r="J1411" t="s">
        <v>0</v>
      </c>
      <c r="K1411" s="9">
        <v>44858</v>
      </c>
      <c r="L1411" t="s">
        <v>29</v>
      </c>
      <c r="M1411"/>
      <c r="N1411" s="9">
        <v>44686</v>
      </c>
      <c r="O1411" s="9">
        <v>44693</v>
      </c>
      <c r="P1411" s="9">
        <v>44693</v>
      </c>
      <c r="Q1411" s="9">
        <v>44858</v>
      </c>
      <c r="R1411"/>
      <c r="S1411"/>
      <c r="T1411"/>
      <c r="U1411"/>
    </row>
    <row r="1412" spans="1:21" hidden="1">
      <c r="A1412" s="7" t="s">
        <v>8763</v>
      </c>
      <c r="B1412" s="7" t="s">
        <v>5405</v>
      </c>
      <c r="C1412" s="8" t="s">
        <v>5317</v>
      </c>
      <c r="D1412" t="s">
        <v>216</v>
      </c>
      <c r="E1412" t="s">
        <v>25</v>
      </c>
      <c r="F1412" t="s">
        <v>280</v>
      </c>
      <c r="G1412" t="s">
        <v>1528</v>
      </c>
      <c r="H1412" s="9">
        <v>44657</v>
      </c>
      <c r="I1412" t="s">
        <v>8634</v>
      </c>
      <c r="J1412" t="s">
        <v>0</v>
      </c>
      <c r="K1412" s="9">
        <v>44858</v>
      </c>
      <c r="L1412" t="s">
        <v>29</v>
      </c>
      <c r="M1412"/>
      <c r="N1412" s="9">
        <v>44686</v>
      </c>
      <c r="O1412" s="9">
        <v>44693</v>
      </c>
      <c r="P1412" s="9">
        <v>44693</v>
      </c>
      <c r="Q1412" s="9">
        <v>44858</v>
      </c>
      <c r="R1412"/>
      <c r="S1412"/>
      <c r="T1412"/>
      <c r="U1412"/>
    </row>
    <row r="1413" spans="1:21" hidden="1">
      <c r="A1413" s="7" t="s">
        <v>8763</v>
      </c>
      <c r="B1413" s="7" t="s">
        <v>5405</v>
      </c>
      <c r="C1413" s="8" t="s">
        <v>5317</v>
      </c>
      <c r="D1413" t="s">
        <v>216</v>
      </c>
      <c r="E1413" t="s">
        <v>25</v>
      </c>
      <c r="F1413" t="s">
        <v>280</v>
      </c>
      <c r="G1413" t="s">
        <v>1529</v>
      </c>
      <c r="H1413" s="9">
        <v>44657</v>
      </c>
      <c r="I1413" t="s">
        <v>8634</v>
      </c>
      <c r="J1413" t="s">
        <v>0</v>
      </c>
      <c r="K1413" s="9">
        <v>44858</v>
      </c>
      <c r="L1413" t="s">
        <v>29</v>
      </c>
      <c r="M1413"/>
      <c r="N1413" s="9">
        <v>44686</v>
      </c>
      <c r="O1413" s="9">
        <v>44693</v>
      </c>
      <c r="P1413" s="9">
        <v>44693</v>
      </c>
      <c r="Q1413" s="9">
        <v>44858</v>
      </c>
      <c r="R1413"/>
      <c r="S1413"/>
      <c r="T1413"/>
      <c r="U1413"/>
    </row>
    <row r="1414" spans="1:21" hidden="1">
      <c r="A1414" s="7" t="s">
        <v>8763</v>
      </c>
      <c r="B1414" s="7" t="s">
        <v>5405</v>
      </c>
      <c r="C1414" s="8" t="s">
        <v>5317</v>
      </c>
      <c r="D1414" t="s">
        <v>216</v>
      </c>
      <c r="E1414" t="s">
        <v>25</v>
      </c>
      <c r="F1414" t="s">
        <v>280</v>
      </c>
      <c r="G1414" t="s">
        <v>1530</v>
      </c>
      <c r="H1414" s="9">
        <v>44657</v>
      </c>
      <c r="I1414" t="s">
        <v>8634</v>
      </c>
      <c r="J1414" t="s">
        <v>0</v>
      </c>
      <c r="K1414" s="9">
        <v>44858</v>
      </c>
      <c r="L1414" t="s">
        <v>29</v>
      </c>
      <c r="M1414"/>
      <c r="N1414" s="9">
        <v>44686</v>
      </c>
      <c r="O1414" s="9">
        <v>44693</v>
      </c>
      <c r="P1414" s="9">
        <v>44693</v>
      </c>
      <c r="Q1414" s="9">
        <v>44858</v>
      </c>
      <c r="R1414"/>
      <c r="S1414"/>
      <c r="T1414"/>
      <c r="U1414"/>
    </row>
    <row r="1415" spans="1:21" hidden="1">
      <c r="A1415" s="7" t="s">
        <v>8758</v>
      </c>
      <c r="B1415" s="7" t="s">
        <v>5405</v>
      </c>
      <c r="C1415" s="8" t="s">
        <v>5317</v>
      </c>
      <c r="D1415" t="s">
        <v>216</v>
      </c>
      <c r="E1415" t="s">
        <v>25</v>
      </c>
      <c r="F1415" t="s">
        <v>493</v>
      </c>
      <c r="G1415" t="s">
        <v>1531</v>
      </c>
      <c r="H1415" s="9">
        <v>44657</v>
      </c>
      <c r="I1415" t="s">
        <v>8634</v>
      </c>
      <c r="J1415" t="s">
        <v>0</v>
      </c>
      <c r="K1415" s="9">
        <v>44862</v>
      </c>
      <c r="L1415" t="s">
        <v>29</v>
      </c>
      <c r="M1415"/>
      <c r="N1415" s="9">
        <v>44686</v>
      </c>
      <c r="O1415" s="9">
        <v>44693</v>
      </c>
      <c r="P1415" s="9">
        <v>44693</v>
      </c>
      <c r="Q1415" s="9">
        <v>44862</v>
      </c>
      <c r="R1415"/>
      <c r="S1415"/>
      <c r="T1415"/>
      <c r="U1415"/>
    </row>
    <row r="1416" spans="1:21" hidden="1">
      <c r="A1416" s="7" t="s">
        <v>8763</v>
      </c>
      <c r="B1416" s="7" t="s">
        <v>5405</v>
      </c>
      <c r="C1416" s="8" t="s">
        <v>5317</v>
      </c>
      <c r="D1416" t="s">
        <v>216</v>
      </c>
      <c r="E1416" t="s">
        <v>25</v>
      </c>
      <c r="F1416" t="s">
        <v>280</v>
      </c>
      <c r="G1416" t="s">
        <v>1532</v>
      </c>
      <c r="H1416" s="9">
        <v>44657</v>
      </c>
      <c r="I1416" t="s">
        <v>8634</v>
      </c>
      <c r="J1416" t="s">
        <v>0</v>
      </c>
      <c r="K1416" s="9">
        <v>44858</v>
      </c>
      <c r="L1416" t="s">
        <v>29</v>
      </c>
      <c r="M1416"/>
      <c r="N1416" s="9">
        <v>44686</v>
      </c>
      <c r="O1416" s="9">
        <v>44693</v>
      </c>
      <c r="P1416" s="9">
        <v>44693</v>
      </c>
      <c r="Q1416" s="9">
        <v>44858</v>
      </c>
      <c r="R1416"/>
      <c r="S1416"/>
      <c r="T1416"/>
      <c r="U1416"/>
    </row>
    <row r="1417" spans="1:21" hidden="1">
      <c r="A1417" s="7" t="s">
        <v>8758</v>
      </c>
      <c r="B1417" s="7" t="s">
        <v>5405</v>
      </c>
      <c r="C1417" s="8" t="s">
        <v>5317</v>
      </c>
      <c r="D1417" t="s">
        <v>216</v>
      </c>
      <c r="E1417" t="s">
        <v>25</v>
      </c>
      <c r="F1417" t="s">
        <v>493</v>
      </c>
      <c r="G1417" t="s">
        <v>1533</v>
      </c>
      <c r="H1417" s="9">
        <v>44657</v>
      </c>
      <c r="I1417" t="s">
        <v>8634</v>
      </c>
      <c r="J1417" t="s">
        <v>0</v>
      </c>
      <c r="K1417" s="9">
        <v>44862</v>
      </c>
      <c r="L1417" t="s">
        <v>29</v>
      </c>
      <c r="M1417"/>
      <c r="N1417" s="9">
        <v>44686</v>
      </c>
      <c r="O1417" s="9">
        <v>44693</v>
      </c>
      <c r="P1417" s="9">
        <v>44693</v>
      </c>
      <c r="Q1417" s="9">
        <v>44862</v>
      </c>
      <c r="R1417" s="9">
        <v>44818.644305555601</v>
      </c>
      <c r="S1417"/>
      <c r="T1417"/>
      <c r="U1417"/>
    </row>
    <row r="1418" spans="1:21" hidden="1">
      <c r="A1418" s="7" t="s">
        <v>8758</v>
      </c>
      <c r="B1418" s="7" t="s">
        <v>5405</v>
      </c>
      <c r="C1418" s="8" t="s">
        <v>5317</v>
      </c>
      <c r="D1418" t="s">
        <v>216</v>
      </c>
      <c r="E1418" t="s">
        <v>25</v>
      </c>
      <c r="F1418" t="s">
        <v>493</v>
      </c>
      <c r="G1418" t="s">
        <v>1534</v>
      </c>
      <c r="H1418" s="9">
        <v>44657</v>
      </c>
      <c r="I1418" t="s">
        <v>8634</v>
      </c>
      <c r="J1418" t="s">
        <v>0</v>
      </c>
      <c r="K1418" s="9">
        <v>44862</v>
      </c>
      <c r="L1418" t="s">
        <v>29</v>
      </c>
      <c r="M1418"/>
      <c r="N1418" s="9">
        <v>44686</v>
      </c>
      <c r="O1418" s="9">
        <v>44693</v>
      </c>
      <c r="P1418" s="9">
        <v>44693</v>
      </c>
      <c r="Q1418" s="9">
        <v>44862</v>
      </c>
      <c r="R1418" s="9">
        <v>44818.644305555601</v>
      </c>
      <c r="S1418"/>
      <c r="T1418"/>
      <c r="U1418"/>
    </row>
    <row r="1419" spans="1:21" hidden="1">
      <c r="A1419" s="7" t="s">
        <v>8758</v>
      </c>
      <c r="B1419" s="7" t="s">
        <v>5405</v>
      </c>
      <c r="C1419" s="8" t="s">
        <v>5317</v>
      </c>
      <c r="D1419" t="s">
        <v>216</v>
      </c>
      <c r="E1419" t="s">
        <v>25</v>
      </c>
      <c r="F1419" t="s">
        <v>493</v>
      </c>
      <c r="G1419" t="s">
        <v>1535</v>
      </c>
      <c r="H1419" s="9">
        <v>44657</v>
      </c>
      <c r="I1419" t="s">
        <v>8634</v>
      </c>
      <c r="J1419" t="s">
        <v>0</v>
      </c>
      <c r="K1419" s="9">
        <v>44862</v>
      </c>
      <c r="L1419" t="s">
        <v>29</v>
      </c>
      <c r="M1419"/>
      <c r="N1419" s="9">
        <v>44686</v>
      </c>
      <c r="O1419" s="9">
        <v>44693</v>
      </c>
      <c r="P1419" s="9">
        <v>44693</v>
      </c>
      <c r="Q1419" s="9">
        <v>44862</v>
      </c>
      <c r="R1419" s="9">
        <v>44818.644305555601</v>
      </c>
      <c r="S1419"/>
      <c r="T1419"/>
      <c r="U1419"/>
    </row>
    <row r="1420" spans="1:21" hidden="1">
      <c r="A1420" s="7" t="s">
        <v>8758</v>
      </c>
      <c r="B1420" s="7" t="s">
        <v>5405</v>
      </c>
      <c r="C1420" s="8" t="s">
        <v>5317</v>
      </c>
      <c r="D1420" t="s">
        <v>216</v>
      </c>
      <c r="E1420" t="s">
        <v>25</v>
      </c>
      <c r="F1420" t="s">
        <v>493</v>
      </c>
      <c r="G1420" t="s">
        <v>1536</v>
      </c>
      <c r="H1420" s="9">
        <v>44657</v>
      </c>
      <c r="I1420" t="s">
        <v>8634</v>
      </c>
      <c r="J1420" t="s">
        <v>0</v>
      </c>
      <c r="K1420" s="9">
        <v>44862</v>
      </c>
      <c r="L1420" t="s">
        <v>29</v>
      </c>
      <c r="M1420"/>
      <c r="N1420" s="9">
        <v>44686</v>
      </c>
      <c r="O1420" s="9">
        <v>44693</v>
      </c>
      <c r="P1420" s="9">
        <v>44693</v>
      </c>
      <c r="Q1420" s="9">
        <v>44862</v>
      </c>
      <c r="R1420" s="9">
        <v>44818.644305555601</v>
      </c>
      <c r="S1420"/>
      <c r="T1420"/>
      <c r="U1420"/>
    </row>
    <row r="1421" spans="1:21" hidden="1">
      <c r="A1421" s="7" t="s">
        <v>8758</v>
      </c>
      <c r="B1421" s="7" t="s">
        <v>5405</v>
      </c>
      <c r="C1421" s="8" t="s">
        <v>5317</v>
      </c>
      <c r="D1421" t="s">
        <v>216</v>
      </c>
      <c r="E1421" t="s">
        <v>25</v>
      </c>
      <c r="F1421" t="s">
        <v>493</v>
      </c>
      <c r="G1421" t="s">
        <v>1537</v>
      </c>
      <c r="H1421" s="9">
        <v>44657</v>
      </c>
      <c r="I1421" t="s">
        <v>8634</v>
      </c>
      <c r="J1421" t="s">
        <v>0</v>
      </c>
      <c r="K1421" s="9">
        <v>44862</v>
      </c>
      <c r="L1421" t="s">
        <v>29</v>
      </c>
      <c r="M1421"/>
      <c r="N1421" s="9">
        <v>44686</v>
      </c>
      <c r="O1421" s="9">
        <v>44693</v>
      </c>
      <c r="P1421" s="9">
        <v>44693</v>
      </c>
      <c r="Q1421" s="9">
        <v>44862</v>
      </c>
      <c r="R1421" s="9">
        <v>44818.644305555601</v>
      </c>
      <c r="S1421"/>
      <c r="T1421"/>
      <c r="U1421"/>
    </row>
    <row r="1422" spans="1:21" hidden="1">
      <c r="A1422" s="7" t="s">
        <v>8758</v>
      </c>
      <c r="B1422" s="7" t="s">
        <v>5405</v>
      </c>
      <c r="C1422" s="8" t="s">
        <v>5317</v>
      </c>
      <c r="D1422" t="s">
        <v>216</v>
      </c>
      <c r="E1422" t="s">
        <v>25</v>
      </c>
      <c r="F1422" t="s">
        <v>493</v>
      </c>
      <c r="G1422" t="s">
        <v>1538</v>
      </c>
      <c r="H1422" s="9">
        <v>44657</v>
      </c>
      <c r="I1422" t="s">
        <v>8634</v>
      </c>
      <c r="J1422" t="s">
        <v>0</v>
      </c>
      <c r="K1422" s="9">
        <v>44862</v>
      </c>
      <c r="L1422" t="s">
        <v>29</v>
      </c>
      <c r="M1422"/>
      <c r="N1422" s="9">
        <v>44686</v>
      </c>
      <c r="O1422" s="9">
        <v>44693</v>
      </c>
      <c r="P1422" s="9">
        <v>44693</v>
      </c>
      <c r="Q1422" s="9">
        <v>44862</v>
      </c>
      <c r="R1422"/>
      <c r="S1422"/>
      <c r="T1422"/>
      <c r="U1422"/>
    </row>
    <row r="1423" spans="1:21" hidden="1">
      <c r="A1423" s="7" t="s">
        <v>8763</v>
      </c>
      <c r="B1423" s="7" t="s">
        <v>5405</v>
      </c>
      <c r="C1423" s="8" t="s">
        <v>5317</v>
      </c>
      <c r="D1423" t="s">
        <v>216</v>
      </c>
      <c r="E1423" t="s">
        <v>25</v>
      </c>
      <c r="F1423" t="s">
        <v>280</v>
      </c>
      <c r="G1423" t="s">
        <v>1539</v>
      </c>
      <c r="H1423" s="9">
        <v>44657</v>
      </c>
      <c r="I1423" t="s">
        <v>8634</v>
      </c>
      <c r="J1423" t="s">
        <v>0</v>
      </c>
      <c r="K1423" s="9">
        <v>44858</v>
      </c>
      <c r="L1423" t="s">
        <v>29</v>
      </c>
      <c r="M1423"/>
      <c r="N1423" s="9">
        <v>44686</v>
      </c>
      <c r="O1423" s="9">
        <v>44693</v>
      </c>
      <c r="P1423" s="9">
        <v>44693</v>
      </c>
      <c r="Q1423" s="9">
        <v>44858</v>
      </c>
      <c r="R1423"/>
      <c r="S1423"/>
      <c r="T1423"/>
      <c r="U1423"/>
    </row>
    <row r="1424" spans="1:21" hidden="1">
      <c r="A1424" s="7" t="s">
        <v>8763</v>
      </c>
      <c r="B1424" s="7" t="s">
        <v>5405</v>
      </c>
      <c r="C1424" s="8" t="s">
        <v>5317</v>
      </c>
      <c r="D1424" t="s">
        <v>216</v>
      </c>
      <c r="E1424" t="s">
        <v>25</v>
      </c>
      <c r="F1424" t="s">
        <v>280</v>
      </c>
      <c r="G1424" t="s">
        <v>1540</v>
      </c>
      <c r="H1424" s="9">
        <v>44657</v>
      </c>
      <c r="I1424" t="s">
        <v>8634</v>
      </c>
      <c r="J1424" t="s">
        <v>0</v>
      </c>
      <c r="K1424" s="9">
        <v>44858</v>
      </c>
      <c r="L1424" t="s">
        <v>29</v>
      </c>
      <c r="M1424"/>
      <c r="N1424" s="9">
        <v>44686</v>
      </c>
      <c r="O1424" s="9">
        <v>44693</v>
      </c>
      <c r="P1424" s="9">
        <v>44693</v>
      </c>
      <c r="Q1424" s="9">
        <v>44858</v>
      </c>
      <c r="R1424"/>
      <c r="S1424"/>
      <c r="T1424"/>
      <c r="U1424"/>
    </row>
    <row r="1425" spans="1:21" hidden="1">
      <c r="A1425" s="7" t="s">
        <v>8763</v>
      </c>
      <c r="B1425" s="7" t="s">
        <v>5405</v>
      </c>
      <c r="C1425" s="8" t="s">
        <v>5317</v>
      </c>
      <c r="D1425" t="s">
        <v>216</v>
      </c>
      <c r="E1425" t="s">
        <v>25</v>
      </c>
      <c r="F1425" t="s">
        <v>280</v>
      </c>
      <c r="G1425" t="s">
        <v>1541</v>
      </c>
      <c r="H1425" s="9">
        <v>44657</v>
      </c>
      <c r="I1425" t="s">
        <v>8634</v>
      </c>
      <c r="J1425" t="s">
        <v>0</v>
      </c>
      <c r="K1425" s="9">
        <v>44858</v>
      </c>
      <c r="L1425" t="s">
        <v>29</v>
      </c>
      <c r="M1425"/>
      <c r="N1425" s="9">
        <v>44686</v>
      </c>
      <c r="O1425" s="9">
        <v>44693</v>
      </c>
      <c r="P1425" s="9">
        <v>44693</v>
      </c>
      <c r="Q1425" s="9">
        <v>44858</v>
      </c>
      <c r="R1425"/>
      <c r="S1425"/>
      <c r="T1425"/>
      <c r="U1425"/>
    </row>
    <row r="1426" spans="1:21" hidden="1">
      <c r="A1426" s="7" t="s">
        <v>8763</v>
      </c>
      <c r="B1426" s="7" t="s">
        <v>5405</v>
      </c>
      <c r="C1426" s="8" t="s">
        <v>5317</v>
      </c>
      <c r="D1426" t="s">
        <v>216</v>
      </c>
      <c r="E1426" t="s">
        <v>25</v>
      </c>
      <c r="F1426" t="s">
        <v>280</v>
      </c>
      <c r="G1426" t="s">
        <v>1542</v>
      </c>
      <c r="H1426" s="9">
        <v>44657</v>
      </c>
      <c r="I1426" t="s">
        <v>8634</v>
      </c>
      <c r="J1426" t="s">
        <v>0</v>
      </c>
      <c r="K1426" s="9">
        <v>44858</v>
      </c>
      <c r="L1426" t="s">
        <v>29</v>
      </c>
      <c r="M1426"/>
      <c r="N1426" s="9">
        <v>44686</v>
      </c>
      <c r="O1426" s="9">
        <v>44693</v>
      </c>
      <c r="P1426" s="9">
        <v>44693</v>
      </c>
      <c r="Q1426" s="9">
        <v>44858</v>
      </c>
      <c r="R1426"/>
      <c r="S1426"/>
      <c r="T1426"/>
      <c r="U1426"/>
    </row>
    <row r="1427" spans="1:21" hidden="1">
      <c r="A1427" s="7" t="s">
        <v>8758</v>
      </c>
      <c r="B1427" s="7" t="s">
        <v>5405</v>
      </c>
      <c r="C1427" s="8" t="s">
        <v>5317</v>
      </c>
      <c r="D1427" t="s">
        <v>216</v>
      </c>
      <c r="E1427" t="s">
        <v>25</v>
      </c>
      <c r="F1427" t="s">
        <v>493</v>
      </c>
      <c r="G1427" t="s">
        <v>1543</v>
      </c>
      <c r="H1427" s="9">
        <v>44657</v>
      </c>
      <c r="I1427" t="s">
        <v>8634</v>
      </c>
      <c r="J1427" t="s">
        <v>0</v>
      </c>
      <c r="K1427" s="9">
        <v>44862</v>
      </c>
      <c r="L1427" t="s">
        <v>29</v>
      </c>
      <c r="M1427"/>
      <c r="N1427" s="9">
        <v>44686</v>
      </c>
      <c r="O1427" s="9">
        <v>44693</v>
      </c>
      <c r="P1427" s="9">
        <v>44693</v>
      </c>
      <c r="Q1427" s="9">
        <v>44862</v>
      </c>
      <c r="R1427"/>
      <c r="S1427"/>
      <c r="T1427"/>
      <c r="U1427"/>
    </row>
    <row r="1428" spans="1:21" hidden="1">
      <c r="A1428" s="7" t="s">
        <v>8758</v>
      </c>
      <c r="B1428" s="7" t="s">
        <v>5405</v>
      </c>
      <c r="C1428" s="8" t="s">
        <v>5317</v>
      </c>
      <c r="D1428" t="s">
        <v>216</v>
      </c>
      <c r="E1428" t="s">
        <v>25</v>
      </c>
      <c r="F1428" t="s">
        <v>493</v>
      </c>
      <c r="G1428" t="s">
        <v>1544</v>
      </c>
      <c r="H1428" s="9">
        <v>44657</v>
      </c>
      <c r="I1428" t="s">
        <v>8634</v>
      </c>
      <c r="J1428" t="s">
        <v>0</v>
      </c>
      <c r="K1428" s="9">
        <v>44862</v>
      </c>
      <c r="L1428" t="s">
        <v>29</v>
      </c>
      <c r="M1428"/>
      <c r="N1428" s="9">
        <v>44686</v>
      </c>
      <c r="O1428" s="9">
        <v>44693</v>
      </c>
      <c r="P1428" s="9">
        <v>44693</v>
      </c>
      <c r="Q1428" s="9">
        <v>44862</v>
      </c>
      <c r="R1428" s="9">
        <v>44818.644305555601</v>
      </c>
      <c r="S1428"/>
      <c r="T1428"/>
      <c r="U1428"/>
    </row>
    <row r="1429" spans="1:21" hidden="1">
      <c r="A1429" s="7" t="s">
        <v>8763</v>
      </c>
      <c r="B1429" s="7" t="s">
        <v>5405</v>
      </c>
      <c r="C1429" s="8" t="s">
        <v>5317</v>
      </c>
      <c r="D1429" t="s">
        <v>216</v>
      </c>
      <c r="E1429" t="s">
        <v>25</v>
      </c>
      <c r="F1429" t="s">
        <v>280</v>
      </c>
      <c r="G1429" t="s">
        <v>1545</v>
      </c>
      <c r="H1429" s="9">
        <v>44657</v>
      </c>
      <c r="I1429" t="s">
        <v>8634</v>
      </c>
      <c r="J1429" t="s">
        <v>0</v>
      </c>
      <c r="K1429" s="9">
        <v>44858</v>
      </c>
      <c r="L1429" t="s">
        <v>29</v>
      </c>
      <c r="M1429"/>
      <c r="N1429" s="9">
        <v>44686</v>
      </c>
      <c r="O1429" s="9">
        <v>44693</v>
      </c>
      <c r="P1429" s="9">
        <v>44693</v>
      </c>
      <c r="Q1429" s="9">
        <v>44858</v>
      </c>
      <c r="R1429"/>
      <c r="S1429"/>
      <c r="T1429"/>
      <c r="U1429"/>
    </row>
    <row r="1430" spans="1:21" hidden="1">
      <c r="A1430" s="7" t="s">
        <v>8758</v>
      </c>
      <c r="B1430" s="7" t="s">
        <v>5405</v>
      </c>
      <c r="C1430" s="8" t="s">
        <v>5317</v>
      </c>
      <c r="D1430" t="s">
        <v>216</v>
      </c>
      <c r="E1430" t="s">
        <v>25</v>
      </c>
      <c r="F1430" t="s">
        <v>493</v>
      </c>
      <c r="G1430" t="s">
        <v>1546</v>
      </c>
      <c r="H1430" s="9">
        <v>44657</v>
      </c>
      <c r="I1430" t="s">
        <v>8634</v>
      </c>
      <c r="J1430" t="s">
        <v>0</v>
      </c>
      <c r="K1430" s="9">
        <v>44862</v>
      </c>
      <c r="L1430" t="s">
        <v>29</v>
      </c>
      <c r="M1430"/>
      <c r="N1430" s="9">
        <v>44686</v>
      </c>
      <c r="O1430" s="9">
        <v>44693</v>
      </c>
      <c r="P1430" s="9">
        <v>44693</v>
      </c>
      <c r="Q1430" s="9">
        <v>44862</v>
      </c>
      <c r="R1430"/>
      <c r="S1430"/>
      <c r="T1430"/>
      <c r="U1430"/>
    </row>
    <row r="1431" spans="1:21" hidden="1">
      <c r="A1431" s="7" t="s">
        <v>8763</v>
      </c>
      <c r="B1431" s="7" t="s">
        <v>5405</v>
      </c>
      <c r="C1431" s="8" t="s">
        <v>5317</v>
      </c>
      <c r="D1431" t="s">
        <v>216</v>
      </c>
      <c r="E1431" t="s">
        <v>25</v>
      </c>
      <c r="F1431" t="s">
        <v>280</v>
      </c>
      <c r="G1431" t="s">
        <v>1547</v>
      </c>
      <c r="H1431" s="9">
        <v>44657</v>
      </c>
      <c r="I1431" t="s">
        <v>8634</v>
      </c>
      <c r="J1431" t="s">
        <v>0</v>
      </c>
      <c r="K1431" s="9">
        <v>44858</v>
      </c>
      <c r="L1431" t="s">
        <v>29</v>
      </c>
      <c r="M1431"/>
      <c r="N1431" s="9">
        <v>44686</v>
      </c>
      <c r="O1431" s="9">
        <v>44693</v>
      </c>
      <c r="P1431" s="9">
        <v>44693</v>
      </c>
      <c r="Q1431" s="9">
        <v>44858</v>
      </c>
      <c r="R1431"/>
      <c r="S1431"/>
      <c r="T1431"/>
      <c r="U1431"/>
    </row>
    <row r="1432" spans="1:21" hidden="1">
      <c r="A1432" s="7" t="s">
        <v>8758</v>
      </c>
      <c r="B1432" s="7" t="s">
        <v>5405</v>
      </c>
      <c r="C1432" s="8" t="s">
        <v>5317</v>
      </c>
      <c r="D1432" t="s">
        <v>216</v>
      </c>
      <c r="E1432" t="s">
        <v>25</v>
      </c>
      <c r="F1432" t="s">
        <v>493</v>
      </c>
      <c r="G1432" t="s">
        <v>1548</v>
      </c>
      <c r="H1432" s="9">
        <v>44657</v>
      </c>
      <c r="I1432" t="s">
        <v>8634</v>
      </c>
      <c r="J1432" t="s">
        <v>0</v>
      </c>
      <c r="K1432" s="9">
        <v>44862</v>
      </c>
      <c r="L1432" t="s">
        <v>29</v>
      </c>
      <c r="M1432"/>
      <c r="N1432" s="9">
        <v>44686</v>
      </c>
      <c r="O1432" s="9">
        <v>44693</v>
      </c>
      <c r="P1432" s="9">
        <v>44693</v>
      </c>
      <c r="Q1432" s="9">
        <v>44862</v>
      </c>
      <c r="R1432"/>
      <c r="S1432"/>
      <c r="T1432"/>
      <c r="U1432"/>
    </row>
    <row r="1433" spans="1:21" hidden="1">
      <c r="A1433" s="7" t="s">
        <v>8763</v>
      </c>
      <c r="B1433" s="7" t="s">
        <v>5405</v>
      </c>
      <c r="C1433" s="8" t="s">
        <v>5317</v>
      </c>
      <c r="D1433" t="s">
        <v>216</v>
      </c>
      <c r="E1433" t="s">
        <v>25</v>
      </c>
      <c r="F1433" t="s">
        <v>280</v>
      </c>
      <c r="G1433" t="s">
        <v>1549</v>
      </c>
      <c r="H1433" s="9">
        <v>44657</v>
      </c>
      <c r="I1433" t="s">
        <v>8634</v>
      </c>
      <c r="J1433" t="s">
        <v>0</v>
      </c>
      <c r="K1433" s="9">
        <v>44858</v>
      </c>
      <c r="L1433" t="s">
        <v>29</v>
      </c>
      <c r="M1433"/>
      <c r="N1433" s="9">
        <v>44686</v>
      </c>
      <c r="O1433" s="9">
        <v>44693</v>
      </c>
      <c r="P1433" s="9">
        <v>44693</v>
      </c>
      <c r="Q1433" s="9">
        <v>44858</v>
      </c>
      <c r="R1433"/>
      <c r="S1433"/>
      <c r="T1433"/>
      <c r="U1433"/>
    </row>
    <row r="1434" spans="1:21" hidden="1">
      <c r="A1434" s="7" t="s">
        <v>8763</v>
      </c>
      <c r="B1434" s="7" t="s">
        <v>5405</v>
      </c>
      <c r="C1434" s="8" t="s">
        <v>5317</v>
      </c>
      <c r="D1434" t="s">
        <v>216</v>
      </c>
      <c r="E1434" t="s">
        <v>25</v>
      </c>
      <c r="F1434" t="s">
        <v>280</v>
      </c>
      <c r="G1434" t="s">
        <v>1550</v>
      </c>
      <c r="H1434" s="9">
        <v>44657</v>
      </c>
      <c r="I1434" t="s">
        <v>8634</v>
      </c>
      <c r="J1434" t="s">
        <v>0</v>
      </c>
      <c r="K1434" s="9">
        <v>44858</v>
      </c>
      <c r="L1434" t="s">
        <v>29</v>
      </c>
      <c r="M1434"/>
      <c r="N1434" s="9">
        <v>44686</v>
      </c>
      <c r="O1434" s="9">
        <v>44693</v>
      </c>
      <c r="P1434" s="9">
        <v>44693</v>
      </c>
      <c r="Q1434" s="9">
        <v>44858</v>
      </c>
      <c r="R1434" s="9">
        <v>44818.639027777797</v>
      </c>
      <c r="S1434"/>
      <c r="T1434"/>
      <c r="U1434"/>
    </row>
    <row r="1435" spans="1:21" hidden="1">
      <c r="A1435" s="7" t="s">
        <v>8763</v>
      </c>
      <c r="B1435" s="7" t="s">
        <v>5405</v>
      </c>
      <c r="C1435" s="8" t="s">
        <v>5317</v>
      </c>
      <c r="D1435" t="s">
        <v>216</v>
      </c>
      <c r="E1435" t="s">
        <v>25</v>
      </c>
      <c r="F1435" t="s">
        <v>280</v>
      </c>
      <c r="G1435" t="s">
        <v>1551</v>
      </c>
      <c r="H1435" s="9">
        <v>44657</v>
      </c>
      <c r="I1435" t="s">
        <v>8634</v>
      </c>
      <c r="J1435" t="s">
        <v>0</v>
      </c>
      <c r="K1435" s="9">
        <v>44858</v>
      </c>
      <c r="L1435" t="s">
        <v>29</v>
      </c>
      <c r="M1435"/>
      <c r="N1435" s="9">
        <v>44686</v>
      </c>
      <c r="O1435" s="9">
        <v>44693</v>
      </c>
      <c r="P1435" s="9">
        <v>44693</v>
      </c>
      <c r="Q1435" s="9">
        <v>44858</v>
      </c>
      <c r="R1435"/>
      <c r="S1435"/>
      <c r="T1435"/>
      <c r="U1435"/>
    </row>
    <row r="1436" spans="1:21" hidden="1">
      <c r="A1436" s="7" t="s">
        <v>8758</v>
      </c>
      <c r="B1436" s="7" t="s">
        <v>5405</v>
      </c>
      <c r="C1436" s="8" t="s">
        <v>5317</v>
      </c>
      <c r="D1436" t="s">
        <v>216</v>
      </c>
      <c r="E1436" t="s">
        <v>25</v>
      </c>
      <c r="F1436" t="s">
        <v>493</v>
      </c>
      <c r="G1436" t="s">
        <v>1552</v>
      </c>
      <c r="H1436" s="9">
        <v>44657</v>
      </c>
      <c r="I1436" t="s">
        <v>8634</v>
      </c>
      <c r="J1436" t="s">
        <v>0</v>
      </c>
      <c r="K1436" s="9">
        <v>44862</v>
      </c>
      <c r="L1436" t="s">
        <v>29</v>
      </c>
      <c r="M1436"/>
      <c r="N1436" s="9">
        <v>44686</v>
      </c>
      <c r="O1436" s="9">
        <v>44693</v>
      </c>
      <c r="P1436" s="9">
        <v>44693</v>
      </c>
      <c r="Q1436" s="9">
        <v>44862</v>
      </c>
      <c r="R1436"/>
      <c r="S1436"/>
      <c r="T1436"/>
      <c r="U1436"/>
    </row>
    <row r="1437" spans="1:21" hidden="1">
      <c r="A1437" s="7" t="s">
        <v>8763</v>
      </c>
      <c r="B1437" s="7" t="s">
        <v>5405</v>
      </c>
      <c r="C1437" s="8" t="s">
        <v>5317</v>
      </c>
      <c r="D1437" t="s">
        <v>216</v>
      </c>
      <c r="E1437" t="s">
        <v>25</v>
      </c>
      <c r="F1437" t="s">
        <v>280</v>
      </c>
      <c r="G1437" t="s">
        <v>1553</v>
      </c>
      <c r="H1437" s="9">
        <v>44657</v>
      </c>
      <c r="I1437" t="s">
        <v>8634</v>
      </c>
      <c r="J1437" t="s">
        <v>0</v>
      </c>
      <c r="K1437" s="9">
        <v>44858</v>
      </c>
      <c r="L1437" t="s">
        <v>29</v>
      </c>
      <c r="M1437"/>
      <c r="N1437" s="9">
        <v>44686</v>
      </c>
      <c r="O1437" s="9">
        <v>44693</v>
      </c>
      <c r="P1437" s="9">
        <v>44693</v>
      </c>
      <c r="Q1437" s="9">
        <v>44858</v>
      </c>
      <c r="R1437" s="9">
        <v>44818.639027777797</v>
      </c>
      <c r="S1437"/>
      <c r="T1437"/>
      <c r="U1437"/>
    </row>
    <row r="1438" spans="1:21" hidden="1">
      <c r="A1438" s="7" t="s">
        <v>8758</v>
      </c>
      <c r="B1438" s="7" t="s">
        <v>5405</v>
      </c>
      <c r="C1438" s="8" t="s">
        <v>5317</v>
      </c>
      <c r="D1438" t="s">
        <v>216</v>
      </c>
      <c r="E1438" t="s">
        <v>25</v>
      </c>
      <c r="F1438" t="s">
        <v>493</v>
      </c>
      <c r="G1438" t="s">
        <v>1554</v>
      </c>
      <c r="H1438" s="9">
        <v>44657</v>
      </c>
      <c r="I1438" t="s">
        <v>8634</v>
      </c>
      <c r="J1438" t="s">
        <v>0</v>
      </c>
      <c r="K1438" s="9">
        <v>44862</v>
      </c>
      <c r="L1438" t="s">
        <v>29</v>
      </c>
      <c r="M1438"/>
      <c r="N1438" s="9">
        <v>44686</v>
      </c>
      <c r="O1438" s="9">
        <v>44693</v>
      </c>
      <c r="P1438" s="9">
        <v>44693</v>
      </c>
      <c r="Q1438" s="9">
        <v>44862</v>
      </c>
      <c r="R1438"/>
      <c r="S1438"/>
      <c r="T1438"/>
      <c r="U1438"/>
    </row>
    <row r="1439" spans="1:21" hidden="1">
      <c r="A1439" s="7" t="s">
        <v>8758</v>
      </c>
      <c r="B1439" s="7" t="s">
        <v>5405</v>
      </c>
      <c r="C1439" s="8" t="s">
        <v>5317</v>
      </c>
      <c r="D1439" t="s">
        <v>216</v>
      </c>
      <c r="E1439" t="s">
        <v>25</v>
      </c>
      <c r="F1439" t="s">
        <v>493</v>
      </c>
      <c r="G1439" t="s">
        <v>1555</v>
      </c>
      <c r="H1439" s="9">
        <v>44657</v>
      </c>
      <c r="I1439" t="s">
        <v>8634</v>
      </c>
      <c r="J1439" t="s">
        <v>0</v>
      </c>
      <c r="K1439" s="9">
        <v>44862</v>
      </c>
      <c r="L1439" t="s">
        <v>29</v>
      </c>
      <c r="M1439"/>
      <c r="N1439" s="9">
        <v>44686</v>
      </c>
      <c r="O1439" s="9">
        <v>44693</v>
      </c>
      <c r="P1439" s="9">
        <v>44693</v>
      </c>
      <c r="Q1439" s="9">
        <v>44862</v>
      </c>
      <c r="R1439" s="9">
        <v>44830.799050925903</v>
      </c>
      <c r="S1439"/>
      <c r="T1439"/>
      <c r="U1439"/>
    </row>
    <row r="1440" spans="1:21" hidden="1">
      <c r="A1440" s="7" t="s">
        <v>8758</v>
      </c>
      <c r="B1440" s="7" t="s">
        <v>5405</v>
      </c>
      <c r="C1440" s="8" t="s">
        <v>5317</v>
      </c>
      <c r="D1440" t="s">
        <v>216</v>
      </c>
      <c r="E1440" t="s">
        <v>25</v>
      </c>
      <c r="F1440" t="s">
        <v>493</v>
      </c>
      <c r="G1440" t="s">
        <v>1556</v>
      </c>
      <c r="H1440" s="9">
        <v>44657</v>
      </c>
      <c r="I1440" t="s">
        <v>8634</v>
      </c>
      <c r="J1440" t="s">
        <v>0</v>
      </c>
      <c r="K1440" s="9">
        <v>44862</v>
      </c>
      <c r="L1440" t="s">
        <v>29</v>
      </c>
      <c r="M1440"/>
      <c r="N1440" s="9">
        <v>44686</v>
      </c>
      <c r="O1440" s="9">
        <v>44693</v>
      </c>
      <c r="P1440" s="9">
        <v>44693</v>
      </c>
      <c r="Q1440" s="9">
        <v>44862</v>
      </c>
      <c r="R1440" s="9">
        <v>44818.644305555601</v>
      </c>
      <c r="S1440"/>
      <c r="T1440"/>
      <c r="U1440"/>
    </row>
    <row r="1441" spans="1:21" hidden="1">
      <c r="A1441" s="7" t="s">
        <v>8758</v>
      </c>
      <c r="B1441" s="7" t="s">
        <v>5405</v>
      </c>
      <c r="C1441" s="8" t="s">
        <v>5317</v>
      </c>
      <c r="D1441" t="s">
        <v>216</v>
      </c>
      <c r="E1441" t="s">
        <v>25</v>
      </c>
      <c r="F1441" t="s">
        <v>493</v>
      </c>
      <c r="G1441" t="s">
        <v>1557</v>
      </c>
      <c r="H1441" s="9">
        <v>44657</v>
      </c>
      <c r="I1441" t="s">
        <v>8634</v>
      </c>
      <c r="J1441" t="s">
        <v>0</v>
      </c>
      <c r="K1441" s="9">
        <v>44862</v>
      </c>
      <c r="L1441" t="s">
        <v>29</v>
      </c>
      <c r="M1441"/>
      <c r="N1441" s="9">
        <v>44686</v>
      </c>
      <c r="O1441" s="9">
        <v>44693</v>
      </c>
      <c r="P1441" s="9">
        <v>44693</v>
      </c>
      <c r="Q1441" s="9">
        <v>44862</v>
      </c>
      <c r="R1441" s="9">
        <v>44818.644305555601</v>
      </c>
      <c r="S1441"/>
      <c r="T1441"/>
      <c r="U1441"/>
    </row>
    <row r="1442" spans="1:21" hidden="1">
      <c r="A1442" s="7" t="s">
        <v>8758</v>
      </c>
      <c r="B1442" s="7" t="s">
        <v>5405</v>
      </c>
      <c r="C1442" s="8" t="s">
        <v>5317</v>
      </c>
      <c r="D1442" t="s">
        <v>216</v>
      </c>
      <c r="E1442" t="s">
        <v>25</v>
      </c>
      <c r="F1442" t="s">
        <v>493</v>
      </c>
      <c r="G1442" t="s">
        <v>1558</v>
      </c>
      <c r="H1442" s="9">
        <v>44657</v>
      </c>
      <c r="I1442" t="s">
        <v>8634</v>
      </c>
      <c r="J1442" t="s">
        <v>0</v>
      </c>
      <c r="K1442" s="9">
        <v>44862</v>
      </c>
      <c r="L1442" t="s">
        <v>29</v>
      </c>
      <c r="M1442"/>
      <c r="N1442" s="9">
        <v>44686</v>
      </c>
      <c r="O1442" s="9">
        <v>44693</v>
      </c>
      <c r="P1442" s="9">
        <v>44693</v>
      </c>
      <c r="Q1442" s="9">
        <v>44862</v>
      </c>
      <c r="R1442"/>
      <c r="S1442"/>
      <c r="T1442"/>
      <c r="U1442"/>
    </row>
    <row r="1443" spans="1:21" hidden="1">
      <c r="A1443" s="7" t="s">
        <v>8758</v>
      </c>
      <c r="B1443" s="7" t="s">
        <v>5405</v>
      </c>
      <c r="C1443" s="8" t="s">
        <v>5317</v>
      </c>
      <c r="D1443" t="s">
        <v>216</v>
      </c>
      <c r="E1443" t="s">
        <v>25</v>
      </c>
      <c r="F1443" t="s">
        <v>493</v>
      </c>
      <c r="G1443" t="s">
        <v>1559</v>
      </c>
      <c r="H1443" s="9">
        <v>44657</v>
      </c>
      <c r="I1443" t="s">
        <v>8634</v>
      </c>
      <c r="J1443" t="s">
        <v>0</v>
      </c>
      <c r="K1443" s="9">
        <v>44862</v>
      </c>
      <c r="L1443" t="s">
        <v>29</v>
      </c>
      <c r="M1443"/>
      <c r="N1443" s="9">
        <v>44686</v>
      </c>
      <c r="O1443" s="9">
        <v>44693</v>
      </c>
      <c r="P1443" s="9">
        <v>44693</v>
      </c>
      <c r="Q1443" s="9">
        <v>44862</v>
      </c>
      <c r="R1443"/>
      <c r="S1443"/>
      <c r="T1443"/>
      <c r="U1443"/>
    </row>
    <row r="1444" spans="1:21" hidden="1">
      <c r="A1444" s="7" t="s">
        <v>8758</v>
      </c>
      <c r="B1444" s="7" t="s">
        <v>5405</v>
      </c>
      <c r="C1444" s="8" t="s">
        <v>5317</v>
      </c>
      <c r="D1444" t="s">
        <v>216</v>
      </c>
      <c r="E1444" t="s">
        <v>25</v>
      </c>
      <c r="F1444" t="s">
        <v>493</v>
      </c>
      <c r="G1444" t="s">
        <v>1560</v>
      </c>
      <c r="H1444" s="9">
        <v>44657</v>
      </c>
      <c r="I1444" t="s">
        <v>8634</v>
      </c>
      <c r="J1444" t="s">
        <v>0</v>
      </c>
      <c r="K1444" s="9">
        <v>44862</v>
      </c>
      <c r="L1444" t="s">
        <v>29</v>
      </c>
      <c r="M1444"/>
      <c r="N1444" s="9">
        <v>44686</v>
      </c>
      <c r="O1444" s="9">
        <v>44693</v>
      </c>
      <c r="P1444" s="9">
        <v>44693</v>
      </c>
      <c r="Q1444" s="9">
        <v>44862</v>
      </c>
      <c r="R1444"/>
      <c r="S1444"/>
      <c r="T1444"/>
      <c r="U1444"/>
    </row>
    <row r="1445" spans="1:21" hidden="1">
      <c r="A1445" s="7" t="s">
        <v>8763</v>
      </c>
      <c r="B1445" s="7" t="s">
        <v>5405</v>
      </c>
      <c r="C1445" s="8" t="s">
        <v>5317</v>
      </c>
      <c r="D1445" t="s">
        <v>216</v>
      </c>
      <c r="E1445" t="s">
        <v>25</v>
      </c>
      <c r="F1445" t="s">
        <v>280</v>
      </c>
      <c r="G1445" t="s">
        <v>1561</v>
      </c>
      <c r="H1445" s="9">
        <v>44657</v>
      </c>
      <c r="I1445" t="s">
        <v>8634</v>
      </c>
      <c r="J1445" t="s">
        <v>0</v>
      </c>
      <c r="K1445" s="9">
        <v>44858</v>
      </c>
      <c r="L1445" t="s">
        <v>29</v>
      </c>
      <c r="M1445"/>
      <c r="N1445" s="9">
        <v>44686</v>
      </c>
      <c r="O1445" s="9">
        <v>44693</v>
      </c>
      <c r="P1445" s="9">
        <v>44693</v>
      </c>
      <c r="Q1445" s="9">
        <v>44858</v>
      </c>
      <c r="R1445"/>
      <c r="S1445"/>
      <c r="T1445"/>
      <c r="U1445"/>
    </row>
    <row r="1446" spans="1:21" hidden="1">
      <c r="A1446" s="7" t="s">
        <v>8758</v>
      </c>
      <c r="B1446" s="7" t="s">
        <v>5405</v>
      </c>
      <c r="C1446" s="8" t="s">
        <v>5317</v>
      </c>
      <c r="D1446" t="s">
        <v>216</v>
      </c>
      <c r="E1446" t="s">
        <v>25</v>
      </c>
      <c r="F1446" t="s">
        <v>493</v>
      </c>
      <c r="G1446" t="s">
        <v>1562</v>
      </c>
      <c r="H1446" s="9">
        <v>44657</v>
      </c>
      <c r="I1446" t="s">
        <v>8634</v>
      </c>
      <c r="J1446" t="s">
        <v>0</v>
      </c>
      <c r="K1446" s="9">
        <v>44862</v>
      </c>
      <c r="L1446" t="s">
        <v>29</v>
      </c>
      <c r="M1446"/>
      <c r="N1446" s="9">
        <v>44686</v>
      </c>
      <c r="O1446" s="9">
        <v>44693</v>
      </c>
      <c r="P1446" s="9">
        <v>44693</v>
      </c>
      <c r="Q1446" s="9">
        <v>44862</v>
      </c>
      <c r="R1446"/>
      <c r="S1446"/>
      <c r="T1446"/>
      <c r="U1446"/>
    </row>
    <row r="1447" spans="1:21" hidden="1">
      <c r="A1447" s="7" t="s">
        <v>8758</v>
      </c>
      <c r="B1447" s="7" t="s">
        <v>5405</v>
      </c>
      <c r="C1447" s="8" t="s">
        <v>5317</v>
      </c>
      <c r="D1447" t="s">
        <v>216</v>
      </c>
      <c r="E1447" t="s">
        <v>25</v>
      </c>
      <c r="F1447" t="s">
        <v>493</v>
      </c>
      <c r="G1447" t="s">
        <v>1563</v>
      </c>
      <c r="H1447" s="9">
        <v>44657</v>
      </c>
      <c r="I1447" t="s">
        <v>8634</v>
      </c>
      <c r="J1447" t="s">
        <v>0</v>
      </c>
      <c r="K1447" s="9">
        <v>44862</v>
      </c>
      <c r="L1447" t="s">
        <v>29</v>
      </c>
      <c r="M1447"/>
      <c r="N1447" s="9">
        <v>44686</v>
      </c>
      <c r="O1447" s="9">
        <v>44693</v>
      </c>
      <c r="P1447" s="9">
        <v>44693</v>
      </c>
      <c r="Q1447" s="9">
        <v>44862</v>
      </c>
      <c r="R1447" s="9">
        <v>44818.644305555601</v>
      </c>
      <c r="S1447"/>
      <c r="T1447"/>
      <c r="U1447"/>
    </row>
    <row r="1448" spans="1:21" hidden="1">
      <c r="A1448" s="7" t="s">
        <v>8758</v>
      </c>
      <c r="B1448" s="7" t="s">
        <v>5405</v>
      </c>
      <c r="C1448" s="8" t="s">
        <v>5317</v>
      </c>
      <c r="D1448" t="s">
        <v>216</v>
      </c>
      <c r="E1448" t="s">
        <v>25</v>
      </c>
      <c r="F1448" t="s">
        <v>493</v>
      </c>
      <c r="G1448" t="s">
        <v>1564</v>
      </c>
      <c r="H1448" s="9">
        <v>44657</v>
      </c>
      <c r="I1448" t="s">
        <v>8634</v>
      </c>
      <c r="J1448" t="s">
        <v>0</v>
      </c>
      <c r="K1448" s="9">
        <v>44862</v>
      </c>
      <c r="L1448" t="s">
        <v>29</v>
      </c>
      <c r="M1448"/>
      <c r="N1448" s="9">
        <v>44686</v>
      </c>
      <c r="O1448" s="9">
        <v>44693</v>
      </c>
      <c r="P1448" s="9">
        <v>44693</v>
      </c>
      <c r="Q1448" s="9">
        <v>44862</v>
      </c>
      <c r="R1448"/>
      <c r="S1448"/>
      <c r="T1448"/>
      <c r="U1448"/>
    </row>
    <row r="1449" spans="1:21" hidden="1">
      <c r="A1449" s="7" t="s">
        <v>8758</v>
      </c>
      <c r="B1449" s="7" t="s">
        <v>5405</v>
      </c>
      <c r="C1449" s="8" t="s">
        <v>5317</v>
      </c>
      <c r="D1449" t="s">
        <v>216</v>
      </c>
      <c r="E1449" t="s">
        <v>25</v>
      </c>
      <c r="F1449" t="s">
        <v>493</v>
      </c>
      <c r="G1449" t="s">
        <v>1565</v>
      </c>
      <c r="H1449" s="9">
        <v>44657</v>
      </c>
      <c r="I1449" t="s">
        <v>8634</v>
      </c>
      <c r="J1449" t="s">
        <v>0</v>
      </c>
      <c r="K1449" s="9">
        <v>44862</v>
      </c>
      <c r="L1449" t="s">
        <v>29</v>
      </c>
      <c r="M1449"/>
      <c r="N1449" s="9">
        <v>44686</v>
      </c>
      <c r="O1449" s="9">
        <v>44693</v>
      </c>
      <c r="P1449" s="9">
        <v>44693</v>
      </c>
      <c r="Q1449" s="9">
        <v>44862</v>
      </c>
      <c r="R1449"/>
      <c r="S1449"/>
      <c r="T1449"/>
      <c r="U1449"/>
    </row>
    <row r="1450" spans="1:21" hidden="1">
      <c r="A1450" s="7" t="s">
        <v>8758</v>
      </c>
      <c r="B1450" s="7" t="s">
        <v>5405</v>
      </c>
      <c r="C1450" s="8" t="s">
        <v>5317</v>
      </c>
      <c r="D1450" t="s">
        <v>216</v>
      </c>
      <c r="E1450" t="s">
        <v>25</v>
      </c>
      <c r="F1450" t="s">
        <v>493</v>
      </c>
      <c r="G1450" t="s">
        <v>1566</v>
      </c>
      <c r="H1450" s="9">
        <v>44657</v>
      </c>
      <c r="I1450" t="s">
        <v>8634</v>
      </c>
      <c r="J1450" t="s">
        <v>0</v>
      </c>
      <c r="K1450" s="9">
        <v>44862</v>
      </c>
      <c r="L1450" t="s">
        <v>29</v>
      </c>
      <c r="M1450"/>
      <c r="N1450" s="9">
        <v>44686</v>
      </c>
      <c r="O1450" s="9">
        <v>44693</v>
      </c>
      <c r="P1450" s="9">
        <v>44693</v>
      </c>
      <c r="Q1450" s="9">
        <v>44862</v>
      </c>
      <c r="R1450"/>
      <c r="S1450"/>
      <c r="T1450"/>
      <c r="U1450"/>
    </row>
    <row r="1451" spans="1:21" hidden="1">
      <c r="A1451" s="7" t="s">
        <v>8758</v>
      </c>
      <c r="B1451" s="7" t="s">
        <v>5405</v>
      </c>
      <c r="C1451" s="8" t="s">
        <v>5317</v>
      </c>
      <c r="D1451" t="s">
        <v>216</v>
      </c>
      <c r="E1451" t="s">
        <v>25</v>
      </c>
      <c r="F1451" t="s">
        <v>493</v>
      </c>
      <c r="G1451" t="s">
        <v>1567</v>
      </c>
      <c r="H1451" s="9">
        <v>44657</v>
      </c>
      <c r="I1451" t="s">
        <v>8634</v>
      </c>
      <c r="J1451" t="s">
        <v>0</v>
      </c>
      <c r="K1451" s="9">
        <v>44862</v>
      </c>
      <c r="L1451" t="s">
        <v>29</v>
      </c>
      <c r="M1451"/>
      <c r="N1451" s="9">
        <v>44686</v>
      </c>
      <c r="O1451" s="9">
        <v>44693</v>
      </c>
      <c r="P1451" s="9">
        <v>44693</v>
      </c>
      <c r="Q1451" s="9">
        <v>44862</v>
      </c>
      <c r="R1451"/>
      <c r="S1451"/>
      <c r="T1451"/>
      <c r="U1451"/>
    </row>
    <row r="1452" spans="1:21" hidden="1">
      <c r="A1452" s="7" t="s">
        <v>8751</v>
      </c>
      <c r="B1452" s="7" t="s">
        <v>5405</v>
      </c>
      <c r="C1452" s="8" t="s">
        <v>5317</v>
      </c>
      <c r="D1452" t="s">
        <v>216</v>
      </c>
      <c r="E1452" t="s">
        <v>25</v>
      </c>
      <c r="F1452" t="s">
        <v>435</v>
      </c>
      <c r="G1452" t="s">
        <v>1568</v>
      </c>
      <c r="H1452" s="9">
        <v>44657</v>
      </c>
      <c r="I1452" t="s">
        <v>8634</v>
      </c>
      <c r="J1452" t="s">
        <v>0</v>
      </c>
      <c r="K1452" s="9">
        <v>44881</v>
      </c>
      <c r="L1452" t="s">
        <v>29</v>
      </c>
      <c r="M1452"/>
      <c r="N1452" s="9">
        <v>44686</v>
      </c>
      <c r="O1452" s="9">
        <v>44693</v>
      </c>
      <c r="P1452" s="9">
        <v>44693</v>
      </c>
      <c r="Q1452" s="9">
        <v>44881</v>
      </c>
      <c r="R1452"/>
      <c r="S1452"/>
      <c r="T1452"/>
      <c r="U1452"/>
    </row>
    <row r="1453" spans="1:21" hidden="1">
      <c r="A1453" s="7" t="s">
        <v>8763</v>
      </c>
      <c r="B1453" s="7" t="s">
        <v>5405</v>
      </c>
      <c r="C1453" s="8" t="s">
        <v>5317</v>
      </c>
      <c r="D1453" t="s">
        <v>216</v>
      </c>
      <c r="E1453" t="s">
        <v>25</v>
      </c>
      <c r="F1453" t="s">
        <v>280</v>
      </c>
      <c r="G1453" t="s">
        <v>1569</v>
      </c>
      <c r="H1453" s="9">
        <v>44657</v>
      </c>
      <c r="I1453" t="s">
        <v>8634</v>
      </c>
      <c r="J1453" t="s">
        <v>0</v>
      </c>
      <c r="K1453" s="9">
        <v>44858</v>
      </c>
      <c r="L1453" t="s">
        <v>29</v>
      </c>
      <c r="M1453"/>
      <c r="N1453" s="9">
        <v>44686</v>
      </c>
      <c r="O1453" s="9">
        <v>44693</v>
      </c>
      <c r="P1453" s="9">
        <v>44693</v>
      </c>
      <c r="Q1453" s="9">
        <v>44858</v>
      </c>
      <c r="R1453"/>
      <c r="S1453"/>
      <c r="T1453"/>
      <c r="U1453"/>
    </row>
    <row r="1454" spans="1:21" hidden="1">
      <c r="A1454" s="7" t="s">
        <v>8762</v>
      </c>
      <c r="B1454" s="7" t="s">
        <v>5405</v>
      </c>
      <c r="C1454" s="8" t="s">
        <v>5317</v>
      </c>
      <c r="D1454" t="s">
        <v>216</v>
      </c>
      <c r="E1454" t="s">
        <v>25</v>
      </c>
      <c r="F1454" t="s">
        <v>433</v>
      </c>
      <c r="G1454" t="s">
        <v>1570</v>
      </c>
      <c r="H1454" s="9">
        <v>44657</v>
      </c>
      <c r="I1454" t="s">
        <v>8634</v>
      </c>
      <c r="J1454" t="s">
        <v>0</v>
      </c>
      <c r="K1454" s="9">
        <v>44844</v>
      </c>
      <c r="L1454" t="s">
        <v>29</v>
      </c>
      <c r="M1454"/>
      <c r="N1454" s="9">
        <v>44686</v>
      </c>
      <c r="O1454" s="9">
        <v>44693</v>
      </c>
      <c r="P1454" s="9">
        <v>44693</v>
      </c>
      <c r="Q1454" s="9">
        <v>44844</v>
      </c>
      <c r="R1454"/>
      <c r="S1454"/>
      <c r="T1454"/>
      <c r="U1454"/>
    </row>
    <row r="1455" spans="1:21" hidden="1">
      <c r="A1455" s="7" t="s">
        <v>8758</v>
      </c>
      <c r="B1455" s="7" t="s">
        <v>5405</v>
      </c>
      <c r="C1455" s="8" t="s">
        <v>5317</v>
      </c>
      <c r="D1455" t="s">
        <v>216</v>
      </c>
      <c r="E1455" t="s">
        <v>25</v>
      </c>
      <c r="F1455" t="s">
        <v>493</v>
      </c>
      <c r="G1455" t="s">
        <v>1571</v>
      </c>
      <c r="H1455" s="9">
        <v>44657</v>
      </c>
      <c r="I1455" t="s">
        <v>8634</v>
      </c>
      <c r="J1455" t="s">
        <v>0</v>
      </c>
      <c r="K1455" s="9">
        <v>44862</v>
      </c>
      <c r="L1455" t="s">
        <v>29</v>
      </c>
      <c r="M1455"/>
      <c r="N1455" s="9">
        <v>44686</v>
      </c>
      <c r="O1455" s="9">
        <v>44693</v>
      </c>
      <c r="P1455" s="9">
        <v>44693</v>
      </c>
      <c r="Q1455" s="9">
        <v>44862</v>
      </c>
      <c r="R1455"/>
      <c r="S1455"/>
      <c r="T1455"/>
      <c r="U1455"/>
    </row>
    <row r="1456" spans="1:21" hidden="1">
      <c r="A1456" s="7" t="s">
        <v>8763</v>
      </c>
      <c r="B1456" s="7" t="s">
        <v>5405</v>
      </c>
      <c r="C1456" s="8" t="s">
        <v>5317</v>
      </c>
      <c r="D1456" t="s">
        <v>216</v>
      </c>
      <c r="E1456" t="s">
        <v>25</v>
      </c>
      <c r="F1456" t="s">
        <v>280</v>
      </c>
      <c r="G1456" t="s">
        <v>587</v>
      </c>
      <c r="H1456" s="9">
        <v>44657</v>
      </c>
      <c r="I1456" t="s">
        <v>8634</v>
      </c>
      <c r="J1456" t="s">
        <v>0</v>
      </c>
      <c r="K1456" s="9">
        <v>44858</v>
      </c>
      <c r="L1456" t="s">
        <v>29</v>
      </c>
      <c r="M1456"/>
      <c r="N1456" s="9">
        <v>44686</v>
      </c>
      <c r="O1456" s="9">
        <v>44693</v>
      </c>
      <c r="P1456" s="9">
        <v>44693</v>
      </c>
      <c r="Q1456" s="9">
        <v>44858</v>
      </c>
      <c r="R1456"/>
      <c r="S1456"/>
      <c r="T1456"/>
      <c r="U1456"/>
    </row>
    <row r="1457" spans="1:21" hidden="1">
      <c r="A1457" s="7" t="s">
        <v>8758</v>
      </c>
      <c r="B1457" s="7" t="s">
        <v>5405</v>
      </c>
      <c r="C1457" s="8" t="s">
        <v>5317</v>
      </c>
      <c r="D1457" t="s">
        <v>216</v>
      </c>
      <c r="E1457" t="s">
        <v>25</v>
      </c>
      <c r="F1457" t="s">
        <v>493</v>
      </c>
      <c r="G1457" t="s">
        <v>1572</v>
      </c>
      <c r="H1457" s="9">
        <v>44657</v>
      </c>
      <c r="I1457" t="s">
        <v>8634</v>
      </c>
      <c r="J1457" t="s">
        <v>0</v>
      </c>
      <c r="K1457" s="9">
        <v>44862</v>
      </c>
      <c r="L1457" t="s">
        <v>29</v>
      </c>
      <c r="M1457"/>
      <c r="N1457" s="9">
        <v>44686</v>
      </c>
      <c r="O1457" s="9">
        <v>44693</v>
      </c>
      <c r="P1457" s="9">
        <v>44693</v>
      </c>
      <c r="Q1457" s="9">
        <v>44862</v>
      </c>
      <c r="R1457"/>
      <c r="S1457"/>
      <c r="T1457"/>
      <c r="U1457"/>
    </row>
    <row r="1458" spans="1:21" hidden="1">
      <c r="A1458" s="7" t="s">
        <v>8763</v>
      </c>
      <c r="B1458" s="7" t="s">
        <v>5405</v>
      </c>
      <c r="C1458" s="8" t="s">
        <v>5317</v>
      </c>
      <c r="D1458" t="s">
        <v>216</v>
      </c>
      <c r="E1458" t="s">
        <v>25</v>
      </c>
      <c r="F1458" t="s">
        <v>280</v>
      </c>
      <c r="G1458" t="s">
        <v>588</v>
      </c>
      <c r="H1458" s="9">
        <v>44657</v>
      </c>
      <c r="I1458" t="s">
        <v>8634</v>
      </c>
      <c r="J1458" t="s">
        <v>0</v>
      </c>
      <c r="K1458" s="9">
        <v>44858</v>
      </c>
      <c r="L1458" t="s">
        <v>29</v>
      </c>
      <c r="M1458"/>
      <c r="N1458" s="9">
        <v>44686</v>
      </c>
      <c r="O1458" s="9">
        <v>44693</v>
      </c>
      <c r="P1458" s="9">
        <v>44693</v>
      </c>
      <c r="Q1458" s="9">
        <v>44858</v>
      </c>
      <c r="R1458"/>
      <c r="S1458"/>
      <c r="T1458"/>
      <c r="U1458"/>
    </row>
    <row r="1459" spans="1:21" hidden="1">
      <c r="A1459" s="7" t="s">
        <v>8758</v>
      </c>
      <c r="B1459" s="7" t="s">
        <v>5405</v>
      </c>
      <c r="C1459" s="8" t="s">
        <v>5317</v>
      </c>
      <c r="D1459" t="s">
        <v>216</v>
      </c>
      <c r="E1459" t="s">
        <v>25</v>
      </c>
      <c r="F1459" t="s">
        <v>493</v>
      </c>
      <c r="G1459" t="s">
        <v>1573</v>
      </c>
      <c r="H1459" s="9">
        <v>44657</v>
      </c>
      <c r="I1459" t="s">
        <v>8634</v>
      </c>
      <c r="J1459" t="s">
        <v>0</v>
      </c>
      <c r="K1459" s="9">
        <v>44862</v>
      </c>
      <c r="L1459" t="s">
        <v>29</v>
      </c>
      <c r="M1459"/>
      <c r="N1459" s="9">
        <v>44686</v>
      </c>
      <c r="O1459" s="9">
        <v>44693</v>
      </c>
      <c r="P1459" s="9">
        <v>44693</v>
      </c>
      <c r="Q1459" s="9">
        <v>44862</v>
      </c>
      <c r="R1459" s="9">
        <v>44818.644305555601</v>
      </c>
      <c r="S1459"/>
      <c r="T1459"/>
      <c r="U1459"/>
    </row>
    <row r="1460" spans="1:21" hidden="1">
      <c r="A1460" s="7" t="s">
        <v>8758</v>
      </c>
      <c r="B1460" s="7" t="s">
        <v>5405</v>
      </c>
      <c r="C1460" s="8" t="s">
        <v>5317</v>
      </c>
      <c r="D1460" t="s">
        <v>216</v>
      </c>
      <c r="E1460" t="s">
        <v>25</v>
      </c>
      <c r="F1460" t="s">
        <v>493</v>
      </c>
      <c r="G1460" t="s">
        <v>1574</v>
      </c>
      <c r="H1460" s="9">
        <v>44657</v>
      </c>
      <c r="I1460" t="s">
        <v>8634</v>
      </c>
      <c r="J1460" t="s">
        <v>0</v>
      </c>
      <c r="K1460" s="9">
        <v>44862</v>
      </c>
      <c r="L1460" t="s">
        <v>29</v>
      </c>
      <c r="M1460"/>
      <c r="N1460" s="9">
        <v>44686</v>
      </c>
      <c r="O1460" s="9">
        <v>44693</v>
      </c>
      <c r="P1460" s="9">
        <v>44693</v>
      </c>
      <c r="Q1460" s="9">
        <v>44862</v>
      </c>
      <c r="R1460" s="9">
        <v>44818.644305555601</v>
      </c>
      <c r="S1460"/>
      <c r="T1460"/>
      <c r="U1460"/>
    </row>
    <row r="1461" spans="1:21" hidden="1">
      <c r="A1461" s="7" t="s">
        <v>8763</v>
      </c>
      <c r="B1461" s="7" t="s">
        <v>5405</v>
      </c>
      <c r="C1461" s="8" t="s">
        <v>5317</v>
      </c>
      <c r="D1461" t="s">
        <v>216</v>
      </c>
      <c r="E1461" t="s">
        <v>25</v>
      </c>
      <c r="F1461" t="s">
        <v>280</v>
      </c>
      <c r="G1461" t="s">
        <v>1575</v>
      </c>
      <c r="H1461" s="9">
        <v>44657</v>
      </c>
      <c r="I1461" t="s">
        <v>8634</v>
      </c>
      <c r="J1461" t="s">
        <v>0</v>
      </c>
      <c r="K1461" s="9">
        <v>44858</v>
      </c>
      <c r="L1461" t="s">
        <v>29</v>
      </c>
      <c r="M1461"/>
      <c r="N1461" s="9">
        <v>44686</v>
      </c>
      <c r="O1461" s="9">
        <v>44693</v>
      </c>
      <c r="P1461" s="9">
        <v>44693</v>
      </c>
      <c r="Q1461" s="9">
        <v>44858</v>
      </c>
      <c r="R1461"/>
      <c r="S1461"/>
      <c r="T1461"/>
      <c r="U1461"/>
    </row>
    <row r="1462" spans="1:21" hidden="1">
      <c r="A1462" s="7" t="s">
        <v>8763</v>
      </c>
      <c r="B1462" s="7" t="s">
        <v>5405</v>
      </c>
      <c r="C1462" s="8" t="s">
        <v>5317</v>
      </c>
      <c r="D1462" t="s">
        <v>216</v>
      </c>
      <c r="E1462" t="s">
        <v>25</v>
      </c>
      <c r="F1462" t="s">
        <v>280</v>
      </c>
      <c r="G1462" t="s">
        <v>1576</v>
      </c>
      <c r="H1462" s="9">
        <v>44657</v>
      </c>
      <c r="I1462" t="s">
        <v>8634</v>
      </c>
      <c r="J1462" t="s">
        <v>0</v>
      </c>
      <c r="K1462" s="9">
        <v>44858</v>
      </c>
      <c r="L1462" t="s">
        <v>29</v>
      </c>
      <c r="M1462"/>
      <c r="N1462" s="9">
        <v>44686</v>
      </c>
      <c r="O1462" s="9">
        <v>44693</v>
      </c>
      <c r="P1462" s="9">
        <v>44693</v>
      </c>
      <c r="Q1462" s="9">
        <v>44858</v>
      </c>
      <c r="R1462"/>
      <c r="S1462"/>
      <c r="T1462"/>
      <c r="U1462"/>
    </row>
    <row r="1463" spans="1:21" hidden="1">
      <c r="A1463" s="7" t="s">
        <v>8763</v>
      </c>
      <c r="B1463" s="7" t="s">
        <v>5405</v>
      </c>
      <c r="C1463" s="8" t="s">
        <v>5317</v>
      </c>
      <c r="D1463" t="s">
        <v>216</v>
      </c>
      <c r="E1463" t="s">
        <v>25</v>
      </c>
      <c r="F1463" t="s">
        <v>280</v>
      </c>
      <c r="G1463" t="s">
        <v>592</v>
      </c>
      <c r="H1463" s="9">
        <v>44657</v>
      </c>
      <c r="I1463" t="s">
        <v>8634</v>
      </c>
      <c r="J1463" t="s">
        <v>0</v>
      </c>
      <c r="K1463" s="9">
        <v>44858</v>
      </c>
      <c r="L1463" t="s">
        <v>29</v>
      </c>
      <c r="M1463"/>
      <c r="N1463" s="9">
        <v>44686</v>
      </c>
      <c r="O1463" s="9">
        <v>44693</v>
      </c>
      <c r="P1463" s="9">
        <v>44693</v>
      </c>
      <c r="Q1463" s="9">
        <v>44858</v>
      </c>
      <c r="R1463"/>
      <c r="S1463"/>
      <c r="T1463"/>
      <c r="U1463"/>
    </row>
    <row r="1464" spans="1:21" hidden="1">
      <c r="A1464" s="7" t="s">
        <v>8763</v>
      </c>
      <c r="B1464" s="7" t="s">
        <v>5405</v>
      </c>
      <c r="C1464" s="8" t="s">
        <v>5317</v>
      </c>
      <c r="D1464" t="s">
        <v>216</v>
      </c>
      <c r="E1464" t="s">
        <v>25</v>
      </c>
      <c r="F1464" t="s">
        <v>280</v>
      </c>
      <c r="G1464" t="s">
        <v>593</v>
      </c>
      <c r="H1464" s="9">
        <v>44657</v>
      </c>
      <c r="I1464" t="s">
        <v>8634</v>
      </c>
      <c r="J1464" t="s">
        <v>0</v>
      </c>
      <c r="K1464" s="9">
        <v>44858</v>
      </c>
      <c r="L1464" t="s">
        <v>29</v>
      </c>
      <c r="M1464"/>
      <c r="N1464" s="9">
        <v>44686</v>
      </c>
      <c r="O1464" s="9">
        <v>44693</v>
      </c>
      <c r="P1464" s="9">
        <v>44693</v>
      </c>
      <c r="Q1464" s="9">
        <v>44858</v>
      </c>
      <c r="R1464"/>
      <c r="S1464"/>
      <c r="T1464"/>
      <c r="U1464"/>
    </row>
    <row r="1465" spans="1:21" hidden="1">
      <c r="A1465" s="7" t="s">
        <v>8763</v>
      </c>
      <c r="B1465" s="7" t="s">
        <v>5405</v>
      </c>
      <c r="C1465" s="8" t="s">
        <v>5317</v>
      </c>
      <c r="D1465" t="s">
        <v>216</v>
      </c>
      <c r="E1465" t="s">
        <v>25</v>
      </c>
      <c r="F1465" t="s">
        <v>280</v>
      </c>
      <c r="G1465" t="s">
        <v>595</v>
      </c>
      <c r="H1465" s="9">
        <v>44657</v>
      </c>
      <c r="I1465" t="s">
        <v>8634</v>
      </c>
      <c r="J1465" t="s">
        <v>0</v>
      </c>
      <c r="K1465" s="9">
        <v>44858</v>
      </c>
      <c r="L1465" t="s">
        <v>29</v>
      </c>
      <c r="M1465"/>
      <c r="N1465" s="9">
        <v>44686</v>
      </c>
      <c r="O1465" s="9">
        <v>44693</v>
      </c>
      <c r="P1465" s="9">
        <v>44693</v>
      </c>
      <c r="Q1465" s="9">
        <v>44858</v>
      </c>
      <c r="R1465"/>
      <c r="S1465"/>
      <c r="T1465"/>
      <c r="U1465"/>
    </row>
    <row r="1466" spans="1:21" hidden="1">
      <c r="A1466" s="7" t="s">
        <v>8758</v>
      </c>
      <c r="B1466" s="7" t="s">
        <v>5405</v>
      </c>
      <c r="C1466" s="8" t="s">
        <v>5317</v>
      </c>
      <c r="D1466" t="s">
        <v>216</v>
      </c>
      <c r="E1466" t="s">
        <v>25</v>
      </c>
      <c r="F1466" t="s">
        <v>493</v>
      </c>
      <c r="G1466" t="s">
        <v>1577</v>
      </c>
      <c r="H1466" s="9">
        <v>44657</v>
      </c>
      <c r="I1466" t="s">
        <v>8634</v>
      </c>
      <c r="J1466" t="s">
        <v>0</v>
      </c>
      <c r="K1466" s="9">
        <v>44862</v>
      </c>
      <c r="L1466" t="s">
        <v>29</v>
      </c>
      <c r="M1466"/>
      <c r="N1466" s="9">
        <v>44686</v>
      </c>
      <c r="O1466" s="9">
        <v>44693</v>
      </c>
      <c r="P1466" s="9">
        <v>44693</v>
      </c>
      <c r="Q1466" s="9">
        <v>44862</v>
      </c>
      <c r="R1466"/>
      <c r="S1466"/>
      <c r="T1466"/>
      <c r="U1466"/>
    </row>
    <row r="1467" spans="1:21" hidden="1">
      <c r="A1467" s="7" t="s">
        <v>8763</v>
      </c>
      <c r="B1467" s="7" t="s">
        <v>5405</v>
      </c>
      <c r="C1467" s="8" t="s">
        <v>5317</v>
      </c>
      <c r="D1467" t="s">
        <v>216</v>
      </c>
      <c r="E1467" t="s">
        <v>25</v>
      </c>
      <c r="F1467" t="s">
        <v>280</v>
      </c>
      <c r="G1467" t="s">
        <v>1578</v>
      </c>
      <c r="H1467" s="9">
        <v>44657</v>
      </c>
      <c r="I1467" t="s">
        <v>8634</v>
      </c>
      <c r="J1467" t="s">
        <v>0</v>
      </c>
      <c r="K1467" s="9">
        <v>44858</v>
      </c>
      <c r="L1467" t="s">
        <v>29</v>
      </c>
      <c r="M1467"/>
      <c r="N1467" s="9">
        <v>44686</v>
      </c>
      <c r="O1467" s="9">
        <v>44693</v>
      </c>
      <c r="P1467" s="9">
        <v>44693</v>
      </c>
      <c r="Q1467" s="9">
        <v>44858</v>
      </c>
      <c r="R1467"/>
      <c r="S1467"/>
      <c r="T1467"/>
      <c r="U1467"/>
    </row>
    <row r="1468" spans="1:21" hidden="1">
      <c r="A1468" s="7" t="s">
        <v>8763</v>
      </c>
      <c r="B1468" s="7" t="s">
        <v>5405</v>
      </c>
      <c r="C1468" s="8" t="s">
        <v>5317</v>
      </c>
      <c r="D1468" t="s">
        <v>216</v>
      </c>
      <c r="E1468" t="s">
        <v>25</v>
      </c>
      <c r="F1468" t="s">
        <v>280</v>
      </c>
      <c r="G1468" t="s">
        <v>1579</v>
      </c>
      <c r="H1468" s="9">
        <v>44657</v>
      </c>
      <c r="I1468" t="s">
        <v>8634</v>
      </c>
      <c r="J1468" t="s">
        <v>0</v>
      </c>
      <c r="K1468" s="9">
        <v>44858</v>
      </c>
      <c r="L1468" t="s">
        <v>29</v>
      </c>
      <c r="M1468"/>
      <c r="N1468" s="9">
        <v>44686</v>
      </c>
      <c r="O1468" s="9">
        <v>44693</v>
      </c>
      <c r="P1468" s="9">
        <v>44693</v>
      </c>
      <c r="Q1468" s="9">
        <v>44858</v>
      </c>
      <c r="R1468"/>
      <c r="S1468"/>
      <c r="T1468"/>
      <c r="U1468"/>
    </row>
    <row r="1469" spans="1:21" hidden="1">
      <c r="A1469" s="7" t="s">
        <v>8763</v>
      </c>
      <c r="B1469" s="7" t="s">
        <v>5405</v>
      </c>
      <c r="C1469" s="8" t="s">
        <v>5317</v>
      </c>
      <c r="D1469" t="s">
        <v>216</v>
      </c>
      <c r="E1469" t="s">
        <v>25</v>
      </c>
      <c r="F1469" t="s">
        <v>280</v>
      </c>
      <c r="G1469" t="s">
        <v>1580</v>
      </c>
      <c r="H1469" s="9">
        <v>44657</v>
      </c>
      <c r="I1469" t="s">
        <v>8634</v>
      </c>
      <c r="J1469" t="s">
        <v>0</v>
      </c>
      <c r="K1469" s="9">
        <v>44858</v>
      </c>
      <c r="L1469" t="s">
        <v>29</v>
      </c>
      <c r="M1469"/>
      <c r="N1469" s="9">
        <v>44686</v>
      </c>
      <c r="O1469" s="9">
        <v>44693</v>
      </c>
      <c r="P1469" s="9">
        <v>44693</v>
      </c>
      <c r="Q1469" s="9">
        <v>44858</v>
      </c>
      <c r="R1469"/>
      <c r="S1469"/>
      <c r="T1469"/>
      <c r="U1469"/>
    </row>
    <row r="1470" spans="1:21" hidden="1">
      <c r="A1470" s="7" t="s">
        <v>8763</v>
      </c>
      <c r="B1470" s="7" t="s">
        <v>5405</v>
      </c>
      <c r="C1470" s="8" t="s">
        <v>5317</v>
      </c>
      <c r="D1470" t="s">
        <v>216</v>
      </c>
      <c r="E1470" t="s">
        <v>25</v>
      </c>
      <c r="F1470" t="s">
        <v>280</v>
      </c>
      <c r="G1470" t="s">
        <v>1581</v>
      </c>
      <c r="H1470" s="9">
        <v>44657</v>
      </c>
      <c r="I1470" t="s">
        <v>8634</v>
      </c>
      <c r="J1470" t="s">
        <v>0</v>
      </c>
      <c r="K1470" s="9">
        <v>44858</v>
      </c>
      <c r="L1470" t="s">
        <v>29</v>
      </c>
      <c r="M1470"/>
      <c r="N1470" s="9">
        <v>44686</v>
      </c>
      <c r="O1470" s="9">
        <v>44693</v>
      </c>
      <c r="P1470" s="9">
        <v>44693</v>
      </c>
      <c r="Q1470" s="9">
        <v>44858</v>
      </c>
      <c r="R1470"/>
      <c r="S1470"/>
      <c r="T1470"/>
      <c r="U1470"/>
    </row>
    <row r="1471" spans="1:21" hidden="1">
      <c r="A1471" s="7" t="s">
        <v>8758</v>
      </c>
      <c r="B1471" s="7" t="s">
        <v>5405</v>
      </c>
      <c r="C1471" s="8" t="s">
        <v>5317</v>
      </c>
      <c r="D1471" t="s">
        <v>216</v>
      </c>
      <c r="E1471" t="s">
        <v>25</v>
      </c>
      <c r="F1471" t="s">
        <v>493</v>
      </c>
      <c r="G1471" t="s">
        <v>1582</v>
      </c>
      <c r="H1471" s="9">
        <v>44657</v>
      </c>
      <c r="I1471" t="s">
        <v>8634</v>
      </c>
      <c r="J1471" t="s">
        <v>0</v>
      </c>
      <c r="K1471" s="9">
        <v>44862</v>
      </c>
      <c r="L1471" t="s">
        <v>29</v>
      </c>
      <c r="M1471"/>
      <c r="N1471" s="9">
        <v>44686</v>
      </c>
      <c r="O1471" s="9">
        <v>44693</v>
      </c>
      <c r="P1471" s="9">
        <v>44693</v>
      </c>
      <c r="Q1471" s="9">
        <v>44862</v>
      </c>
      <c r="R1471" s="9">
        <v>44818.644305555601</v>
      </c>
      <c r="S1471"/>
      <c r="T1471"/>
      <c r="U1471"/>
    </row>
    <row r="1472" spans="1:21" hidden="1">
      <c r="A1472" s="7" t="s">
        <v>8763</v>
      </c>
      <c r="B1472" s="7" t="s">
        <v>5405</v>
      </c>
      <c r="C1472" s="8" t="s">
        <v>5317</v>
      </c>
      <c r="D1472" t="s">
        <v>216</v>
      </c>
      <c r="E1472" t="s">
        <v>25</v>
      </c>
      <c r="F1472" t="s">
        <v>280</v>
      </c>
      <c r="G1472" t="s">
        <v>1583</v>
      </c>
      <c r="H1472" s="9">
        <v>44657</v>
      </c>
      <c r="I1472" t="s">
        <v>8634</v>
      </c>
      <c r="J1472" t="s">
        <v>0</v>
      </c>
      <c r="K1472" s="9">
        <v>44858</v>
      </c>
      <c r="L1472" t="s">
        <v>29</v>
      </c>
      <c r="M1472"/>
      <c r="N1472" s="9">
        <v>44686</v>
      </c>
      <c r="O1472" s="9">
        <v>44693</v>
      </c>
      <c r="P1472" s="9">
        <v>44693</v>
      </c>
      <c r="Q1472" s="9">
        <v>44858</v>
      </c>
      <c r="R1472" s="9">
        <v>44818.639027777797</v>
      </c>
      <c r="S1472"/>
      <c r="T1472"/>
      <c r="U1472"/>
    </row>
    <row r="1473" spans="1:21" hidden="1">
      <c r="A1473" s="7" t="s">
        <v>8763</v>
      </c>
      <c r="B1473" s="7" t="s">
        <v>5405</v>
      </c>
      <c r="C1473" s="8" t="s">
        <v>5317</v>
      </c>
      <c r="D1473" t="s">
        <v>216</v>
      </c>
      <c r="E1473" t="s">
        <v>25</v>
      </c>
      <c r="F1473" t="s">
        <v>280</v>
      </c>
      <c r="G1473" t="s">
        <v>597</v>
      </c>
      <c r="H1473" s="9">
        <v>44657</v>
      </c>
      <c r="I1473" t="s">
        <v>8634</v>
      </c>
      <c r="J1473" t="s">
        <v>0</v>
      </c>
      <c r="K1473" s="9">
        <v>44858</v>
      </c>
      <c r="L1473" t="s">
        <v>29</v>
      </c>
      <c r="M1473"/>
      <c r="N1473" s="9">
        <v>44686</v>
      </c>
      <c r="O1473" s="9">
        <v>44693</v>
      </c>
      <c r="P1473" s="9">
        <v>44693</v>
      </c>
      <c r="Q1473" s="9">
        <v>44858</v>
      </c>
      <c r="R1473"/>
      <c r="S1473"/>
      <c r="T1473"/>
      <c r="U1473"/>
    </row>
    <row r="1474" spans="1:21" hidden="1">
      <c r="A1474" s="7" t="s">
        <v>8758</v>
      </c>
      <c r="B1474" s="7" t="s">
        <v>5405</v>
      </c>
      <c r="C1474" s="8" t="s">
        <v>5317</v>
      </c>
      <c r="D1474" t="s">
        <v>216</v>
      </c>
      <c r="E1474" t="s">
        <v>25</v>
      </c>
      <c r="F1474" t="s">
        <v>493</v>
      </c>
      <c r="G1474" t="s">
        <v>1584</v>
      </c>
      <c r="H1474" s="9">
        <v>44657</v>
      </c>
      <c r="I1474" t="s">
        <v>8634</v>
      </c>
      <c r="J1474" t="s">
        <v>0</v>
      </c>
      <c r="K1474" s="9">
        <v>44862</v>
      </c>
      <c r="L1474" t="s">
        <v>29</v>
      </c>
      <c r="M1474"/>
      <c r="N1474" s="9">
        <v>44686</v>
      </c>
      <c r="O1474" s="9">
        <v>44693</v>
      </c>
      <c r="P1474" s="9">
        <v>44693</v>
      </c>
      <c r="Q1474" s="9">
        <v>44862</v>
      </c>
      <c r="R1474" s="9">
        <v>44818.644305555601</v>
      </c>
      <c r="S1474"/>
      <c r="T1474"/>
      <c r="U1474"/>
    </row>
    <row r="1475" spans="1:21" hidden="1">
      <c r="A1475" s="7" t="s">
        <v>8758</v>
      </c>
      <c r="B1475" s="7" t="s">
        <v>5405</v>
      </c>
      <c r="C1475" s="8" t="s">
        <v>5317</v>
      </c>
      <c r="D1475" t="s">
        <v>216</v>
      </c>
      <c r="E1475" t="s">
        <v>25</v>
      </c>
      <c r="F1475" t="s">
        <v>493</v>
      </c>
      <c r="G1475" t="s">
        <v>1585</v>
      </c>
      <c r="H1475" s="9">
        <v>44657</v>
      </c>
      <c r="I1475" t="s">
        <v>8634</v>
      </c>
      <c r="J1475" t="s">
        <v>0</v>
      </c>
      <c r="K1475" s="9">
        <v>44862</v>
      </c>
      <c r="L1475" t="s">
        <v>29</v>
      </c>
      <c r="M1475"/>
      <c r="N1475" s="9">
        <v>44686</v>
      </c>
      <c r="O1475" s="9">
        <v>44693</v>
      </c>
      <c r="P1475" s="9">
        <v>44693</v>
      </c>
      <c r="Q1475" s="9">
        <v>44862</v>
      </c>
      <c r="R1475" s="9">
        <v>44818.644305555601</v>
      </c>
      <c r="S1475"/>
      <c r="T1475"/>
      <c r="U1475"/>
    </row>
    <row r="1476" spans="1:21" hidden="1">
      <c r="A1476" s="7" t="s">
        <v>8758</v>
      </c>
      <c r="B1476" s="7" t="s">
        <v>5405</v>
      </c>
      <c r="C1476" s="8" t="s">
        <v>5317</v>
      </c>
      <c r="D1476" t="s">
        <v>216</v>
      </c>
      <c r="E1476" t="s">
        <v>25</v>
      </c>
      <c r="F1476" t="s">
        <v>493</v>
      </c>
      <c r="G1476" t="s">
        <v>1586</v>
      </c>
      <c r="H1476" s="9">
        <v>44657</v>
      </c>
      <c r="I1476" t="s">
        <v>8634</v>
      </c>
      <c r="J1476" t="s">
        <v>0</v>
      </c>
      <c r="K1476" s="9">
        <v>44862</v>
      </c>
      <c r="L1476" t="s">
        <v>29</v>
      </c>
      <c r="M1476"/>
      <c r="N1476" s="9">
        <v>44686</v>
      </c>
      <c r="O1476" s="9">
        <v>44693</v>
      </c>
      <c r="P1476" s="9">
        <v>44693</v>
      </c>
      <c r="Q1476" s="9">
        <v>44862</v>
      </c>
      <c r="R1476" s="9">
        <v>44818.644305555601</v>
      </c>
      <c r="S1476"/>
      <c r="T1476"/>
      <c r="U1476"/>
    </row>
    <row r="1477" spans="1:21" hidden="1">
      <c r="A1477" s="7" t="s">
        <v>8763</v>
      </c>
      <c r="B1477" s="7" t="s">
        <v>5405</v>
      </c>
      <c r="C1477" s="8" t="s">
        <v>5317</v>
      </c>
      <c r="D1477" t="s">
        <v>216</v>
      </c>
      <c r="E1477" t="s">
        <v>25</v>
      </c>
      <c r="F1477" t="s">
        <v>280</v>
      </c>
      <c r="G1477" t="s">
        <v>1587</v>
      </c>
      <c r="H1477" s="9">
        <v>44657</v>
      </c>
      <c r="I1477" t="s">
        <v>8634</v>
      </c>
      <c r="J1477" t="s">
        <v>0</v>
      </c>
      <c r="K1477" s="9">
        <v>44858</v>
      </c>
      <c r="L1477" t="s">
        <v>29</v>
      </c>
      <c r="M1477"/>
      <c r="N1477" s="9">
        <v>44686</v>
      </c>
      <c r="O1477" s="9">
        <v>44693</v>
      </c>
      <c r="P1477" s="9">
        <v>44693</v>
      </c>
      <c r="Q1477" s="9">
        <v>44858</v>
      </c>
      <c r="R1477"/>
      <c r="S1477"/>
      <c r="T1477"/>
      <c r="U1477"/>
    </row>
    <row r="1478" spans="1:21" hidden="1">
      <c r="A1478" s="7" t="s">
        <v>8758</v>
      </c>
      <c r="B1478" s="7" t="s">
        <v>5405</v>
      </c>
      <c r="C1478" s="8" t="s">
        <v>5317</v>
      </c>
      <c r="D1478" t="s">
        <v>216</v>
      </c>
      <c r="E1478" t="s">
        <v>25</v>
      </c>
      <c r="F1478" t="s">
        <v>493</v>
      </c>
      <c r="G1478" t="s">
        <v>1588</v>
      </c>
      <c r="H1478" s="9">
        <v>44657</v>
      </c>
      <c r="I1478" t="s">
        <v>8634</v>
      </c>
      <c r="J1478" t="s">
        <v>0</v>
      </c>
      <c r="K1478" s="9">
        <v>44862</v>
      </c>
      <c r="L1478" t="s">
        <v>29</v>
      </c>
      <c r="M1478"/>
      <c r="N1478" s="9">
        <v>44686</v>
      </c>
      <c r="O1478" s="9">
        <v>44693</v>
      </c>
      <c r="P1478" s="9">
        <v>44693</v>
      </c>
      <c r="Q1478" s="9">
        <v>44862</v>
      </c>
      <c r="R1478"/>
      <c r="S1478"/>
      <c r="T1478"/>
      <c r="U1478"/>
    </row>
    <row r="1479" spans="1:21" hidden="1">
      <c r="A1479" s="7" t="s">
        <v>8758</v>
      </c>
      <c r="B1479" s="7" t="s">
        <v>5405</v>
      </c>
      <c r="C1479" s="8" t="s">
        <v>5317</v>
      </c>
      <c r="D1479" t="s">
        <v>216</v>
      </c>
      <c r="E1479" t="s">
        <v>25</v>
      </c>
      <c r="F1479" t="s">
        <v>493</v>
      </c>
      <c r="G1479" t="s">
        <v>1589</v>
      </c>
      <c r="H1479" s="9">
        <v>44657</v>
      </c>
      <c r="I1479" t="s">
        <v>8634</v>
      </c>
      <c r="J1479" t="s">
        <v>0</v>
      </c>
      <c r="K1479" s="9">
        <v>44862</v>
      </c>
      <c r="L1479" t="s">
        <v>29</v>
      </c>
      <c r="M1479"/>
      <c r="N1479" s="9">
        <v>44686</v>
      </c>
      <c r="O1479" s="9">
        <v>44693</v>
      </c>
      <c r="P1479" s="9">
        <v>44693</v>
      </c>
      <c r="Q1479" s="9">
        <v>44862</v>
      </c>
      <c r="R1479"/>
      <c r="S1479"/>
      <c r="T1479"/>
      <c r="U1479"/>
    </row>
    <row r="1480" spans="1:21" hidden="1">
      <c r="A1480" s="7" t="s">
        <v>8758</v>
      </c>
      <c r="B1480" s="7" t="s">
        <v>5405</v>
      </c>
      <c r="C1480" s="8" t="s">
        <v>5317</v>
      </c>
      <c r="D1480" t="s">
        <v>216</v>
      </c>
      <c r="E1480" t="s">
        <v>25</v>
      </c>
      <c r="F1480" t="s">
        <v>493</v>
      </c>
      <c r="G1480" t="s">
        <v>1590</v>
      </c>
      <c r="H1480" s="9">
        <v>44657</v>
      </c>
      <c r="I1480" t="s">
        <v>8634</v>
      </c>
      <c r="J1480" t="s">
        <v>0</v>
      </c>
      <c r="K1480" s="9">
        <v>44862</v>
      </c>
      <c r="L1480" t="s">
        <v>29</v>
      </c>
      <c r="M1480"/>
      <c r="N1480" s="9">
        <v>44686</v>
      </c>
      <c r="O1480" s="9">
        <v>44693</v>
      </c>
      <c r="P1480" s="9">
        <v>44693</v>
      </c>
      <c r="Q1480" s="9">
        <v>44862</v>
      </c>
      <c r="R1480"/>
      <c r="S1480"/>
      <c r="T1480"/>
      <c r="U1480"/>
    </row>
    <row r="1481" spans="1:21" hidden="1">
      <c r="A1481" s="7" t="s">
        <v>8758</v>
      </c>
      <c r="B1481" s="7" t="s">
        <v>5405</v>
      </c>
      <c r="C1481" s="8" t="s">
        <v>5317</v>
      </c>
      <c r="D1481" t="s">
        <v>216</v>
      </c>
      <c r="E1481" t="s">
        <v>25</v>
      </c>
      <c r="F1481" t="s">
        <v>493</v>
      </c>
      <c r="G1481" t="s">
        <v>1591</v>
      </c>
      <c r="H1481" s="9">
        <v>44657</v>
      </c>
      <c r="I1481" t="s">
        <v>8634</v>
      </c>
      <c r="J1481" t="s">
        <v>0</v>
      </c>
      <c r="K1481" s="9">
        <v>44862</v>
      </c>
      <c r="L1481" t="s">
        <v>29</v>
      </c>
      <c r="M1481"/>
      <c r="N1481" s="9">
        <v>44686</v>
      </c>
      <c r="O1481" s="9">
        <v>44693</v>
      </c>
      <c r="P1481" s="9">
        <v>44693</v>
      </c>
      <c r="Q1481" s="9">
        <v>44862</v>
      </c>
      <c r="R1481"/>
      <c r="S1481"/>
      <c r="T1481"/>
      <c r="U1481"/>
    </row>
    <row r="1482" spans="1:21" hidden="1">
      <c r="A1482" s="7" t="s">
        <v>8758</v>
      </c>
      <c r="B1482" s="7" t="s">
        <v>5405</v>
      </c>
      <c r="C1482" s="8" t="s">
        <v>5317</v>
      </c>
      <c r="D1482" t="s">
        <v>216</v>
      </c>
      <c r="E1482" t="s">
        <v>25</v>
      </c>
      <c r="F1482" t="s">
        <v>493</v>
      </c>
      <c r="G1482" t="s">
        <v>1592</v>
      </c>
      <c r="H1482" s="9">
        <v>44657</v>
      </c>
      <c r="I1482" t="s">
        <v>8634</v>
      </c>
      <c r="J1482" t="s">
        <v>163</v>
      </c>
      <c r="K1482" s="9">
        <v>44693</v>
      </c>
      <c r="L1482" t="s">
        <v>29</v>
      </c>
      <c r="M1482"/>
      <c r="N1482" s="9">
        <v>44686</v>
      </c>
      <c r="O1482" s="9">
        <v>44693</v>
      </c>
      <c r="P1482" s="9">
        <v>44693</v>
      </c>
      <c r="Q1482"/>
      <c r="R1482"/>
      <c r="S1482"/>
      <c r="T1482"/>
      <c r="U1482"/>
    </row>
    <row r="1483" spans="1:21" hidden="1">
      <c r="A1483" s="7" t="s">
        <v>8758</v>
      </c>
      <c r="B1483" s="7" t="s">
        <v>5405</v>
      </c>
      <c r="C1483" s="8" t="s">
        <v>5317</v>
      </c>
      <c r="D1483" t="s">
        <v>216</v>
      </c>
      <c r="E1483" t="s">
        <v>25</v>
      </c>
      <c r="F1483" t="s">
        <v>493</v>
      </c>
      <c r="G1483" t="s">
        <v>1593</v>
      </c>
      <c r="H1483" s="9">
        <v>44657</v>
      </c>
      <c r="I1483" t="s">
        <v>8634</v>
      </c>
      <c r="J1483" t="s">
        <v>163</v>
      </c>
      <c r="K1483" s="9">
        <v>44693</v>
      </c>
      <c r="L1483" t="s">
        <v>29</v>
      </c>
      <c r="M1483"/>
      <c r="N1483" s="9">
        <v>44686</v>
      </c>
      <c r="O1483" s="9">
        <v>44693</v>
      </c>
      <c r="P1483" s="9">
        <v>44693</v>
      </c>
      <c r="Q1483"/>
      <c r="R1483"/>
      <c r="S1483"/>
      <c r="T1483"/>
      <c r="U1483"/>
    </row>
    <row r="1484" spans="1:21" hidden="1">
      <c r="A1484" s="7" t="s">
        <v>8758</v>
      </c>
      <c r="B1484" s="7" t="s">
        <v>5405</v>
      </c>
      <c r="C1484" s="8" t="s">
        <v>5317</v>
      </c>
      <c r="D1484" t="s">
        <v>216</v>
      </c>
      <c r="E1484" t="s">
        <v>25</v>
      </c>
      <c r="F1484" t="s">
        <v>493</v>
      </c>
      <c r="G1484" t="s">
        <v>1594</v>
      </c>
      <c r="H1484" s="9">
        <v>44657</v>
      </c>
      <c r="I1484" t="s">
        <v>8634</v>
      </c>
      <c r="J1484" t="s">
        <v>0</v>
      </c>
      <c r="K1484" s="9">
        <v>44862</v>
      </c>
      <c r="L1484" t="s">
        <v>29</v>
      </c>
      <c r="M1484"/>
      <c r="N1484" s="9">
        <v>44686</v>
      </c>
      <c r="O1484" s="9">
        <v>44693</v>
      </c>
      <c r="P1484" s="9">
        <v>44693</v>
      </c>
      <c r="Q1484" s="9">
        <v>44862</v>
      </c>
      <c r="R1484"/>
      <c r="S1484"/>
      <c r="T1484"/>
      <c r="U1484"/>
    </row>
    <row r="1485" spans="1:21" hidden="1">
      <c r="A1485" s="7" t="s">
        <v>8758</v>
      </c>
      <c r="B1485" s="7" t="s">
        <v>5405</v>
      </c>
      <c r="C1485" s="8" t="s">
        <v>5317</v>
      </c>
      <c r="D1485" t="s">
        <v>216</v>
      </c>
      <c r="E1485" t="s">
        <v>25</v>
      </c>
      <c r="F1485" t="s">
        <v>493</v>
      </c>
      <c r="G1485" t="s">
        <v>1595</v>
      </c>
      <c r="H1485" s="9">
        <v>44657</v>
      </c>
      <c r="I1485" t="s">
        <v>8634</v>
      </c>
      <c r="J1485" t="s">
        <v>0</v>
      </c>
      <c r="K1485" s="9">
        <v>44862</v>
      </c>
      <c r="L1485" t="s">
        <v>29</v>
      </c>
      <c r="M1485"/>
      <c r="N1485" s="9">
        <v>44686</v>
      </c>
      <c r="O1485" s="9">
        <v>44693</v>
      </c>
      <c r="P1485" s="9">
        <v>44693</v>
      </c>
      <c r="Q1485" s="9">
        <v>44862</v>
      </c>
      <c r="R1485" s="9">
        <v>44818.644305555601</v>
      </c>
      <c r="S1485"/>
      <c r="T1485"/>
      <c r="U1485"/>
    </row>
    <row r="1486" spans="1:21" hidden="1">
      <c r="A1486" s="7" t="s">
        <v>8758</v>
      </c>
      <c r="B1486" s="7" t="s">
        <v>5405</v>
      </c>
      <c r="C1486" s="8" t="s">
        <v>5317</v>
      </c>
      <c r="D1486" t="s">
        <v>216</v>
      </c>
      <c r="E1486" t="s">
        <v>25</v>
      </c>
      <c r="F1486" t="s">
        <v>493</v>
      </c>
      <c r="G1486" t="s">
        <v>1596</v>
      </c>
      <c r="H1486" s="9">
        <v>44657</v>
      </c>
      <c r="I1486" t="s">
        <v>8634</v>
      </c>
      <c r="J1486" t="s">
        <v>0</v>
      </c>
      <c r="K1486" s="9">
        <v>44862</v>
      </c>
      <c r="L1486" t="s">
        <v>29</v>
      </c>
      <c r="M1486"/>
      <c r="N1486" s="9">
        <v>44686</v>
      </c>
      <c r="O1486" s="9">
        <v>44693</v>
      </c>
      <c r="P1486" s="9">
        <v>44693</v>
      </c>
      <c r="Q1486" s="9">
        <v>44862</v>
      </c>
      <c r="R1486" s="9">
        <v>44818.644305555601</v>
      </c>
      <c r="S1486"/>
      <c r="T1486"/>
      <c r="U1486"/>
    </row>
    <row r="1487" spans="1:21" hidden="1">
      <c r="A1487" s="7" t="s">
        <v>8758</v>
      </c>
      <c r="B1487" s="7" t="s">
        <v>5405</v>
      </c>
      <c r="C1487" s="8" t="s">
        <v>5317</v>
      </c>
      <c r="D1487" t="s">
        <v>216</v>
      </c>
      <c r="E1487" t="s">
        <v>25</v>
      </c>
      <c r="F1487" t="s">
        <v>493</v>
      </c>
      <c r="G1487" t="s">
        <v>1597</v>
      </c>
      <c r="H1487" s="9">
        <v>44657</v>
      </c>
      <c r="I1487" t="s">
        <v>8634</v>
      </c>
      <c r="J1487" t="s">
        <v>0</v>
      </c>
      <c r="K1487" s="9">
        <v>44862</v>
      </c>
      <c r="L1487" t="s">
        <v>29</v>
      </c>
      <c r="M1487"/>
      <c r="N1487" s="9">
        <v>44686</v>
      </c>
      <c r="O1487" s="9">
        <v>44693</v>
      </c>
      <c r="P1487" s="9">
        <v>44693</v>
      </c>
      <c r="Q1487" s="9">
        <v>44862</v>
      </c>
      <c r="R1487" s="9">
        <v>44818.644305555601</v>
      </c>
      <c r="S1487"/>
      <c r="T1487"/>
      <c r="U1487"/>
    </row>
    <row r="1488" spans="1:21" hidden="1">
      <c r="A1488" s="7" t="s">
        <v>8758</v>
      </c>
      <c r="B1488" s="7" t="s">
        <v>5405</v>
      </c>
      <c r="C1488" s="8" t="s">
        <v>5317</v>
      </c>
      <c r="D1488" t="s">
        <v>216</v>
      </c>
      <c r="E1488" t="s">
        <v>25</v>
      </c>
      <c r="F1488" t="s">
        <v>493</v>
      </c>
      <c r="G1488" t="s">
        <v>1598</v>
      </c>
      <c r="H1488" s="9">
        <v>44657</v>
      </c>
      <c r="I1488" t="s">
        <v>8634</v>
      </c>
      <c r="J1488" t="s">
        <v>0</v>
      </c>
      <c r="K1488" s="9">
        <v>44862</v>
      </c>
      <c r="L1488" t="s">
        <v>29</v>
      </c>
      <c r="M1488"/>
      <c r="N1488" s="9">
        <v>44686</v>
      </c>
      <c r="O1488" s="9">
        <v>44693</v>
      </c>
      <c r="P1488" s="9">
        <v>44693</v>
      </c>
      <c r="Q1488" s="9">
        <v>44862</v>
      </c>
      <c r="R1488"/>
      <c r="S1488"/>
      <c r="T1488"/>
      <c r="U1488"/>
    </row>
    <row r="1489" spans="1:21" hidden="1">
      <c r="A1489" s="7" t="s">
        <v>8758</v>
      </c>
      <c r="B1489" s="7" t="s">
        <v>5405</v>
      </c>
      <c r="C1489" s="8" t="s">
        <v>5317</v>
      </c>
      <c r="D1489" t="s">
        <v>216</v>
      </c>
      <c r="E1489" t="s">
        <v>25</v>
      </c>
      <c r="F1489" t="s">
        <v>493</v>
      </c>
      <c r="G1489" t="s">
        <v>1599</v>
      </c>
      <c r="H1489" s="9">
        <v>44657</v>
      </c>
      <c r="I1489" t="s">
        <v>8634</v>
      </c>
      <c r="J1489" t="s">
        <v>0</v>
      </c>
      <c r="K1489" s="9">
        <v>44862</v>
      </c>
      <c r="L1489" t="s">
        <v>29</v>
      </c>
      <c r="M1489"/>
      <c r="N1489" s="9">
        <v>44686</v>
      </c>
      <c r="O1489" s="9">
        <v>44693</v>
      </c>
      <c r="P1489" s="9">
        <v>44693</v>
      </c>
      <c r="Q1489" s="9">
        <v>44862</v>
      </c>
      <c r="R1489"/>
      <c r="S1489"/>
      <c r="T1489"/>
      <c r="U1489"/>
    </row>
    <row r="1490" spans="1:21" hidden="1">
      <c r="A1490" s="7" t="s">
        <v>8751</v>
      </c>
      <c r="B1490" s="7" t="s">
        <v>5405</v>
      </c>
      <c r="C1490" s="8" t="s">
        <v>5317</v>
      </c>
      <c r="D1490" t="s">
        <v>216</v>
      </c>
      <c r="E1490" t="s">
        <v>25</v>
      </c>
      <c r="F1490" t="s">
        <v>435</v>
      </c>
      <c r="G1490" t="s">
        <v>1600</v>
      </c>
      <c r="H1490" s="9">
        <v>44657</v>
      </c>
      <c r="I1490" t="s">
        <v>8634</v>
      </c>
      <c r="J1490" t="s">
        <v>0</v>
      </c>
      <c r="K1490" s="9">
        <v>44881</v>
      </c>
      <c r="L1490" t="s">
        <v>29</v>
      </c>
      <c r="M1490"/>
      <c r="N1490" s="9">
        <v>44686</v>
      </c>
      <c r="O1490" s="9">
        <v>44693</v>
      </c>
      <c r="P1490" s="9">
        <v>44693</v>
      </c>
      <c r="Q1490" s="9">
        <v>44881</v>
      </c>
      <c r="R1490"/>
      <c r="S1490"/>
      <c r="T1490"/>
      <c r="U1490"/>
    </row>
    <row r="1491" spans="1:21" hidden="1">
      <c r="A1491" s="7" t="s">
        <v>8763</v>
      </c>
      <c r="B1491" s="7" t="s">
        <v>5405</v>
      </c>
      <c r="C1491" s="8" t="s">
        <v>5317</v>
      </c>
      <c r="D1491" t="s">
        <v>216</v>
      </c>
      <c r="E1491" t="s">
        <v>25</v>
      </c>
      <c r="F1491" t="s">
        <v>280</v>
      </c>
      <c r="G1491" t="s">
        <v>1601</v>
      </c>
      <c r="H1491" s="9">
        <v>44657</v>
      </c>
      <c r="I1491" t="s">
        <v>8634</v>
      </c>
      <c r="J1491" t="s">
        <v>0</v>
      </c>
      <c r="K1491" s="9">
        <v>44858</v>
      </c>
      <c r="L1491" t="s">
        <v>29</v>
      </c>
      <c r="M1491"/>
      <c r="N1491" s="9">
        <v>44686</v>
      </c>
      <c r="O1491" s="9">
        <v>44693</v>
      </c>
      <c r="P1491" s="9">
        <v>44693</v>
      </c>
      <c r="Q1491" s="9">
        <v>44858</v>
      </c>
      <c r="R1491"/>
      <c r="S1491"/>
      <c r="T1491"/>
      <c r="U1491"/>
    </row>
    <row r="1492" spans="1:21" hidden="1">
      <c r="A1492" s="7" t="s">
        <v>8763</v>
      </c>
      <c r="B1492" s="7" t="s">
        <v>5405</v>
      </c>
      <c r="C1492" s="8" t="s">
        <v>5317</v>
      </c>
      <c r="D1492" t="s">
        <v>216</v>
      </c>
      <c r="E1492" t="s">
        <v>25</v>
      </c>
      <c r="F1492" t="s">
        <v>280</v>
      </c>
      <c r="G1492" t="s">
        <v>1602</v>
      </c>
      <c r="H1492" s="9">
        <v>44657</v>
      </c>
      <c r="I1492" t="s">
        <v>8634</v>
      </c>
      <c r="J1492" t="s">
        <v>0</v>
      </c>
      <c r="K1492" s="9">
        <v>44858</v>
      </c>
      <c r="L1492" t="s">
        <v>29</v>
      </c>
      <c r="M1492"/>
      <c r="N1492" s="9">
        <v>44686</v>
      </c>
      <c r="O1492" s="9">
        <v>44693</v>
      </c>
      <c r="P1492" s="9">
        <v>44693</v>
      </c>
      <c r="Q1492" s="9">
        <v>44858</v>
      </c>
      <c r="R1492"/>
      <c r="S1492"/>
      <c r="T1492"/>
      <c r="U1492"/>
    </row>
    <row r="1493" spans="1:21" hidden="1">
      <c r="A1493" s="7" t="s">
        <v>8758</v>
      </c>
      <c r="B1493" s="7" t="s">
        <v>5405</v>
      </c>
      <c r="C1493" s="8" t="s">
        <v>5317</v>
      </c>
      <c r="D1493" t="s">
        <v>216</v>
      </c>
      <c r="E1493" t="s">
        <v>25</v>
      </c>
      <c r="F1493" t="s">
        <v>493</v>
      </c>
      <c r="G1493" t="s">
        <v>1603</v>
      </c>
      <c r="H1493" s="9">
        <v>44657</v>
      </c>
      <c r="I1493" t="s">
        <v>8634</v>
      </c>
      <c r="J1493" t="s">
        <v>0</v>
      </c>
      <c r="K1493" s="9">
        <v>44862</v>
      </c>
      <c r="L1493" t="s">
        <v>29</v>
      </c>
      <c r="M1493"/>
      <c r="N1493" s="9">
        <v>44686</v>
      </c>
      <c r="O1493" s="9">
        <v>44693</v>
      </c>
      <c r="P1493" s="9">
        <v>44693</v>
      </c>
      <c r="Q1493" s="9">
        <v>44862</v>
      </c>
      <c r="R1493" s="9">
        <v>44769.506967592599</v>
      </c>
      <c r="S1493"/>
      <c r="T1493"/>
      <c r="U1493"/>
    </row>
    <row r="1494" spans="1:21" hidden="1">
      <c r="A1494" s="7" t="s">
        <v>8758</v>
      </c>
      <c r="B1494" s="7" t="s">
        <v>5405</v>
      </c>
      <c r="C1494" s="8" t="s">
        <v>5317</v>
      </c>
      <c r="D1494" t="s">
        <v>216</v>
      </c>
      <c r="E1494" t="s">
        <v>25</v>
      </c>
      <c r="F1494" t="s">
        <v>493</v>
      </c>
      <c r="G1494" t="s">
        <v>1604</v>
      </c>
      <c r="H1494" s="9">
        <v>44657</v>
      </c>
      <c r="I1494" t="s">
        <v>8634</v>
      </c>
      <c r="J1494" t="s">
        <v>0</v>
      </c>
      <c r="K1494" s="9">
        <v>44862</v>
      </c>
      <c r="L1494" t="s">
        <v>29</v>
      </c>
      <c r="M1494"/>
      <c r="N1494" s="9">
        <v>44686</v>
      </c>
      <c r="O1494" s="9">
        <v>44693</v>
      </c>
      <c r="P1494" s="9">
        <v>44693</v>
      </c>
      <c r="Q1494" s="9">
        <v>44862</v>
      </c>
      <c r="R1494"/>
      <c r="S1494"/>
      <c r="T1494"/>
      <c r="U1494"/>
    </row>
    <row r="1495" spans="1:21" hidden="1">
      <c r="A1495" s="7" t="s">
        <v>8763</v>
      </c>
      <c r="B1495" s="7" t="s">
        <v>5405</v>
      </c>
      <c r="C1495" s="8" t="s">
        <v>5317</v>
      </c>
      <c r="D1495" t="s">
        <v>216</v>
      </c>
      <c r="E1495" t="s">
        <v>25</v>
      </c>
      <c r="F1495" t="s">
        <v>280</v>
      </c>
      <c r="G1495" t="s">
        <v>1605</v>
      </c>
      <c r="H1495" s="9">
        <v>44657</v>
      </c>
      <c r="I1495" t="s">
        <v>8634</v>
      </c>
      <c r="J1495" t="s">
        <v>163</v>
      </c>
      <c r="K1495" s="9">
        <v>44693</v>
      </c>
      <c r="L1495" t="s">
        <v>29</v>
      </c>
      <c r="M1495"/>
      <c r="N1495" s="9">
        <v>44686</v>
      </c>
      <c r="O1495" s="9">
        <v>44693</v>
      </c>
      <c r="P1495" s="9">
        <v>44693</v>
      </c>
      <c r="Q1495"/>
      <c r="R1495"/>
      <c r="S1495"/>
      <c r="T1495"/>
      <c r="U1495"/>
    </row>
    <row r="1496" spans="1:21" hidden="1">
      <c r="A1496" s="7" t="s">
        <v>8758</v>
      </c>
      <c r="B1496" s="7" t="s">
        <v>5405</v>
      </c>
      <c r="C1496" s="8" t="s">
        <v>5317</v>
      </c>
      <c r="D1496" t="s">
        <v>216</v>
      </c>
      <c r="E1496" t="s">
        <v>25</v>
      </c>
      <c r="F1496" t="s">
        <v>493</v>
      </c>
      <c r="G1496" t="s">
        <v>1606</v>
      </c>
      <c r="H1496" s="9">
        <v>44657</v>
      </c>
      <c r="I1496" t="s">
        <v>8634</v>
      </c>
      <c r="J1496" t="s">
        <v>0</v>
      </c>
      <c r="K1496" s="9">
        <v>44862</v>
      </c>
      <c r="L1496" t="s">
        <v>29</v>
      </c>
      <c r="M1496"/>
      <c r="N1496" s="9">
        <v>44686</v>
      </c>
      <c r="O1496" s="9">
        <v>44693</v>
      </c>
      <c r="P1496" s="9">
        <v>44693</v>
      </c>
      <c r="Q1496" s="9">
        <v>44862</v>
      </c>
      <c r="R1496" s="9">
        <v>44818.644305555601</v>
      </c>
      <c r="S1496"/>
      <c r="T1496"/>
      <c r="U1496"/>
    </row>
    <row r="1497" spans="1:21" hidden="1">
      <c r="A1497" s="7" t="s">
        <v>8763</v>
      </c>
      <c r="B1497" s="7" t="s">
        <v>5405</v>
      </c>
      <c r="C1497" s="8" t="s">
        <v>5317</v>
      </c>
      <c r="D1497" t="s">
        <v>216</v>
      </c>
      <c r="E1497" t="s">
        <v>25</v>
      </c>
      <c r="F1497" t="s">
        <v>280</v>
      </c>
      <c r="G1497" t="s">
        <v>1607</v>
      </c>
      <c r="H1497" s="9">
        <v>44657</v>
      </c>
      <c r="I1497" t="s">
        <v>8634</v>
      </c>
      <c r="J1497" t="s">
        <v>163</v>
      </c>
      <c r="K1497" s="9">
        <v>44693</v>
      </c>
      <c r="L1497" t="s">
        <v>29</v>
      </c>
      <c r="M1497"/>
      <c r="N1497" s="9">
        <v>44686</v>
      </c>
      <c r="O1497" s="9">
        <v>44693</v>
      </c>
      <c r="P1497" s="9">
        <v>44693</v>
      </c>
      <c r="Q1497"/>
      <c r="R1497"/>
      <c r="S1497"/>
      <c r="T1497"/>
      <c r="U1497"/>
    </row>
    <row r="1498" spans="1:21" hidden="1">
      <c r="A1498" s="7" t="s">
        <v>8758</v>
      </c>
      <c r="B1498" s="7" t="s">
        <v>5405</v>
      </c>
      <c r="C1498" s="8" t="s">
        <v>5317</v>
      </c>
      <c r="D1498" t="s">
        <v>216</v>
      </c>
      <c r="E1498" t="s">
        <v>25</v>
      </c>
      <c r="F1498" t="s">
        <v>493</v>
      </c>
      <c r="G1498" t="s">
        <v>1608</v>
      </c>
      <c r="H1498" s="9">
        <v>44657</v>
      </c>
      <c r="I1498" t="s">
        <v>8634</v>
      </c>
      <c r="J1498" t="s">
        <v>0</v>
      </c>
      <c r="K1498" s="9">
        <v>44862</v>
      </c>
      <c r="L1498" t="s">
        <v>29</v>
      </c>
      <c r="M1498"/>
      <c r="N1498" s="9">
        <v>44686</v>
      </c>
      <c r="O1498" s="9">
        <v>44693</v>
      </c>
      <c r="P1498" s="9">
        <v>44693</v>
      </c>
      <c r="Q1498" s="9">
        <v>44862</v>
      </c>
      <c r="R1498"/>
      <c r="S1498"/>
      <c r="T1498"/>
      <c r="U1498"/>
    </row>
    <row r="1499" spans="1:21" hidden="1">
      <c r="A1499" s="7" t="s">
        <v>8758</v>
      </c>
      <c r="B1499" s="7" t="s">
        <v>5405</v>
      </c>
      <c r="C1499" s="8" t="s">
        <v>5317</v>
      </c>
      <c r="D1499" t="s">
        <v>216</v>
      </c>
      <c r="E1499" t="s">
        <v>25</v>
      </c>
      <c r="F1499" t="s">
        <v>493</v>
      </c>
      <c r="G1499" t="s">
        <v>1609</v>
      </c>
      <c r="H1499" s="9">
        <v>44657</v>
      </c>
      <c r="I1499" t="s">
        <v>8634</v>
      </c>
      <c r="J1499" t="s">
        <v>0</v>
      </c>
      <c r="K1499" s="9">
        <v>44862</v>
      </c>
      <c r="L1499" t="s">
        <v>29</v>
      </c>
      <c r="M1499"/>
      <c r="N1499" s="9">
        <v>44686</v>
      </c>
      <c r="O1499" s="9">
        <v>44693</v>
      </c>
      <c r="P1499" s="9">
        <v>44693</v>
      </c>
      <c r="Q1499" s="9">
        <v>44862</v>
      </c>
      <c r="R1499"/>
      <c r="S1499"/>
      <c r="T1499"/>
      <c r="U1499"/>
    </row>
    <row r="1500" spans="1:21" hidden="1">
      <c r="A1500" s="7" t="s">
        <v>8763</v>
      </c>
      <c r="B1500" s="7" t="s">
        <v>5405</v>
      </c>
      <c r="C1500" s="8" t="s">
        <v>5317</v>
      </c>
      <c r="D1500" t="s">
        <v>216</v>
      </c>
      <c r="E1500" t="s">
        <v>25</v>
      </c>
      <c r="F1500" t="s">
        <v>280</v>
      </c>
      <c r="G1500" t="s">
        <v>1610</v>
      </c>
      <c r="H1500" s="9">
        <v>44657</v>
      </c>
      <c r="I1500" t="s">
        <v>8634</v>
      </c>
      <c r="J1500" t="s">
        <v>0</v>
      </c>
      <c r="K1500" s="9">
        <v>44858</v>
      </c>
      <c r="L1500" t="s">
        <v>29</v>
      </c>
      <c r="M1500"/>
      <c r="N1500" s="9">
        <v>44686</v>
      </c>
      <c r="O1500" s="9">
        <v>44693</v>
      </c>
      <c r="P1500" s="9">
        <v>44693</v>
      </c>
      <c r="Q1500" s="9">
        <v>44858</v>
      </c>
      <c r="R1500"/>
      <c r="S1500"/>
      <c r="T1500"/>
      <c r="U1500"/>
    </row>
    <row r="1501" spans="1:21" hidden="1">
      <c r="A1501" s="7" t="s">
        <v>8764</v>
      </c>
      <c r="B1501" s="7" t="s">
        <v>5405</v>
      </c>
      <c r="C1501" s="8" t="s">
        <v>5317</v>
      </c>
      <c r="D1501" t="s">
        <v>216</v>
      </c>
      <c r="E1501" t="s">
        <v>25</v>
      </c>
      <c r="F1501" t="s">
        <v>75</v>
      </c>
      <c r="G1501" t="s">
        <v>1611</v>
      </c>
      <c r="H1501" s="9">
        <v>44658</v>
      </c>
      <c r="I1501" t="s">
        <v>8634</v>
      </c>
      <c r="J1501" t="s">
        <v>0</v>
      </c>
      <c r="K1501" s="9">
        <v>44862</v>
      </c>
      <c r="L1501" t="s">
        <v>29</v>
      </c>
      <c r="M1501"/>
      <c r="N1501" s="9">
        <v>44686</v>
      </c>
      <c r="O1501" s="9">
        <v>44693</v>
      </c>
      <c r="P1501" s="9">
        <v>44693</v>
      </c>
      <c r="Q1501" s="9">
        <v>44862</v>
      </c>
      <c r="R1501" s="9">
        <v>44810.577604166698</v>
      </c>
      <c r="S1501"/>
      <c r="T1501"/>
      <c r="U1501"/>
    </row>
    <row r="1502" spans="1:21" hidden="1">
      <c r="A1502" s="7" t="s">
        <v>8764</v>
      </c>
      <c r="B1502" s="7" t="s">
        <v>5405</v>
      </c>
      <c r="C1502" s="8" t="s">
        <v>5317</v>
      </c>
      <c r="D1502" t="s">
        <v>216</v>
      </c>
      <c r="E1502" t="s">
        <v>25</v>
      </c>
      <c r="F1502" t="s">
        <v>75</v>
      </c>
      <c r="G1502" t="s">
        <v>1612</v>
      </c>
      <c r="H1502" s="9">
        <v>44658</v>
      </c>
      <c r="I1502" t="s">
        <v>8634</v>
      </c>
      <c r="J1502" t="s">
        <v>0</v>
      </c>
      <c r="K1502" s="9">
        <v>44862</v>
      </c>
      <c r="L1502" t="s">
        <v>29</v>
      </c>
      <c r="M1502"/>
      <c r="N1502" s="9">
        <v>44686</v>
      </c>
      <c r="O1502" s="9">
        <v>44693</v>
      </c>
      <c r="P1502" s="9">
        <v>44693</v>
      </c>
      <c r="Q1502" s="9">
        <v>44862</v>
      </c>
      <c r="R1502" s="9">
        <v>44810.577604166698</v>
      </c>
      <c r="S1502"/>
      <c r="T1502"/>
      <c r="U1502"/>
    </row>
    <row r="1503" spans="1:21" hidden="1">
      <c r="A1503" s="7" t="s">
        <v>8758</v>
      </c>
      <c r="B1503" s="7" t="s">
        <v>5405</v>
      </c>
      <c r="C1503" s="8" t="s">
        <v>5317</v>
      </c>
      <c r="D1503" t="s">
        <v>216</v>
      </c>
      <c r="E1503" t="s">
        <v>25</v>
      </c>
      <c r="F1503" t="s">
        <v>493</v>
      </c>
      <c r="G1503" t="s">
        <v>1613</v>
      </c>
      <c r="H1503" s="9">
        <v>44657</v>
      </c>
      <c r="I1503" t="s">
        <v>8634</v>
      </c>
      <c r="J1503" t="s">
        <v>0</v>
      </c>
      <c r="K1503" s="9">
        <v>44862</v>
      </c>
      <c r="L1503" t="s">
        <v>29</v>
      </c>
      <c r="M1503"/>
      <c r="N1503" s="9">
        <v>44686</v>
      </c>
      <c r="O1503" s="9">
        <v>44693</v>
      </c>
      <c r="P1503" s="9">
        <v>44693</v>
      </c>
      <c r="Q1503" s="9">
        <v>44862</v>
      </c>
      <c r="R1503" s="9">
        <v>44776.735254629602</v>
      </c>
      <c r="S1503"/>
      <c r="T1503"/>
      <c r="U1503"/>
    </row>
    <row r="1504" spans="1:21" hidden="1">
      <c r="A1504" s="7" t="s">
        <v>8763</v>
      </c>
      <c r="B1504" s="7" t="s">
        <v>5405</v>
      </c>
      <c r="C1504" s="8" t="s">
        <v>5317</v>
      </c>
      <c r="D1504" t="s">
        <v>216</v>
      </c>
      <c r="E1504" t="s">
        <v>25</v>
      </c>
      <c r="F1504" t="s">
        <v>280</v>
      </c>
      <c r="G1504" t="s">
        <v>1614</v>
      </c>
      <c r="H1504" s="9">
        <v>44657</v>
      </c>
      <c r="I1504" t="s">
        <v>8634</v>
      </c>
      <c r="J1504" t="s">
        <v>0</v>
      </c>
      <c r="K1504" s="9">
        <v>44858</v>
      </c>
      <c r="L1504" t="s">
        <v>29</v>
      </c>
      <c r="M1504"/>
      <c r="N1504" s="9">
        <v>44686</v>
      </c>
      <c r="O1504" s="9">
        <v>44693</v>
      </c>
      <c r="P1504" s="9">
        <v>44693</v>
      </c>
      <c r="Q1504" s="9">
        <v>44858</v>
      </c>
      <c r="R1504"/>
      <c r="S1504"/>
      <c r="T1504"/>
      <c r="U1504"/>
    </row>
    <row r="1505" spans="1:21" hidden="1">
      <c r="A1505" s="7" t="s">
        <v>8758</v>
      </c>
      <c r="B1505" s="7" t="s">
        <v>5405</v>
      </c>
      <c r="C1505" s="8" t="s">
        <v>5317</v>
      </c>
      <c r="D1505" t="s">
        <v>216</v>
      </c>
      <c r="E1505" t="s">
        <v>25</v>
      </c>
      <c r="F1505" t="s">
        <v>493</v>
      </c>
      <c r="G1505" t="s">
        <v>874</v>
      </c>
      <c r="H1505" s="9">
        <v>44657</v>
      </c>
      <c r="I1505" t="s">
        <v>8634</v>
      </c>
      <c r="J1505" t="s">
        <v>0</v>
      </c>
      <c r="K1505" s="9">
        <v>44862</v>
      </c>
      <c r="L1505" t="s">
        <v>29</v>
      </c>
      <c r="M1505"/>
      <c r="N1505" s="9">
        <v>44686</v>
      </c>
      <c r="O1505" s="9">
        <v>44693</v>
      </c>
      <c r="P1505" s="9">
        <v>44693</v>
      </c>
      <c r="Q1505" s="9">
        <v>44862</v>
      </c>
      <c r="R1505" s="9">
        <v>44769.506967592599</v>
      </c>
      <c r="S1505"/>
      <c r="T1505"/>
      <c r="U1505"/>
    </row>
    <row r="1506" spans="1:21" hidden="1">
      <c r="A1506" s="7" t="s">
        <v>8763</v>
      </c>
      <c r="B1506" s="7" t="s">
        <v>5405</v>
      </c>
      <c r="C1506" s="8" t="s">
        <v>5317</v>
      </c>
      <c r="D1506" t="s">
        <v>216</v>
      </c>
      <c r="E1506" t="s">
        <v>25</v>
      </c>
      <c r="F1506" t="s">
        <v>280</v>
      </c>
      <c r="G1506" t="s">
        <v>1615</v>
      </c>
      <c r="H1506" s="9">
        <v>44657</v>
      </c>
      <c r="I1506" t="s">
        <v>8634</v>
      </c>
      <c r="J1506" t="s">
        <v>0</v>
      </c>
      <c r="K1506" s="9">
        <v>44858</v>
      </c>
      <c r="L1506" t="s">
        <v>29</v>
      </c>
      <c r="M1506"/>
      <c r="N1506" s="9">
        <v>44686</v>
      </c>
      <c r="O1506" s="9">
        <v>44693</v>
      </c>
      <c r="P1506" s="9">
        <v>44693</v>
      </c>
      <c r="Q1506" s="9">
        <v>44858</v>
      </c>
      <c r="R1506"/>
      <c r="S1506"/>
      <c r="T1506"/>
      <c r="U1506"/>
    </row>
    <row r="1507" spans="1:21" hidden="1">
      <c r="A1507" s="7" t="s">
        <v>8825</v>
      </c>
      <c r="B1507" s="7" t="s">
        <v>5405</v>
      </c>
      <c r="C1507" s="8" t="s">
        <v>5317</v>
      </c>
      <c r="D1507" t="s">
        <v>216</v>
      </c>
      <c r="E1507" t="s">
        <v>25</v>
      </c>
      <c r="F1507" t="s">
        <v>111</v>
      </c>
      <c r="G1507" t="s">
        <v>1616</v>
      </c>
      <c r="H1507" s="9">
        <v>44657</v>
      </c>
      <c r="I1507" t="s">
        <v>8634</v>
      </c>
      <c r="J1507" t="s">
        <v>0</v>
      </c>
      <c r="K1507" s="9">
        <v>44881</v>
      </c>
      <c r="L1507" t="s">
        <v>29</v>
      </c>
      <c r="M1507"/>
      <c r="N1507" s="9">
        <v>44686</v>
      </c>
      <c r="O1507" s="9">
        <v>44693</v>
      </c>
      <c r="P1507" s="9">
        <v>44693</v>
      </c>
      <c r="Q1507" s="9">
        <v>44881</v>
      </c>
      <c r="R1507"/>
      <c r="S1507"/>
      <c r="T1507"/>
      <c r="U1507"/>
    </row>
    <row r="1508" spans="1:21" hidden="1">
      <c r="A1508" s="7" t="s">
        <v>8825</v>
      </c>
      <c r="B1508" s="7" t="s">
        <v>5405</v>
      </c>
      <c r="C1508" s="8" t="s">
        <v>5317</v>
      </c>
      <c r="D1508" t="s">
        <v>216</v>
      </c>
      <c r="E1508" t="s">
        <v>25</v>
      </c>
      <c r="F1508" t="s">
        <v>111</v>
      </c>
      <c r="G1508" t="s">
        <v>1617</v>
      </c>
      <c r="H1508" s="9">
        <v>44657</v>
      </c>
      <c r="I1508" t="s">
        <v>8634</v>
      </c>
      <c r="J1508" t="s">
        <v>0</v>
      </c>
      <c r="K1508" s="9">
        <v>44881</v>
      </c>
      <c r="L1508" t="s">
        <v>29</v>
      </c>
      <c r="M1508"/>
      <c r="N1508" s="9">
        <v>44686</v>
      </c>
      <c r="O1508" s="9">
        <v>44693</v>
      </c>
      <c r="P1508" s="9">
        <v>44693</v>
      </c>
      <c r="Q1508" s="9">
        <v>44881</v>
      </c>
      <c r="R1508"/>
      <c r="S1508"/>
      <c r="T1508"/>
      <c r="U1508"/>
    </row>
    <row r="1509" spans="1:21" hidden="1">
      <c r="A1509" s="7" t="s">
        <v>8763</v>
      </c>
      <c r="B1509" s="7" t="s">
        <v>5405</v>
      </c>
      <c r="C1509" s="8" t="s">
        <v>5317</v>
      </c>
      <c r="D1509" t="s">
        <v>216</v>
      </c>
      <c r="E1509" t="s">
        <v>25</v>
      </c>
      <c r="F1509" t="s">
        <v>280</v>
      </c>
      <c r="G1509" t="s">
        <v>1618</v>
      </c>
      <c r="H1509" s="9">
        <v>44657</v>
      </c>
      <c r="I1509" t="s">
        <v>8634</v>
      </c>
      <c r="J1509" t="s">
        <v>0</v>
      </c>
      <c r="K1509" s="9">
        <v>44858</v>
      </c>
      <c r="L1509" t="s">
        <v>29</v>
      </c>
      <c r="M1509"/>
      <c r="N1509" s="9">
        <v>44686</v>
      </c>
      <c r="O1509" s="9">
        <v>44693</v>
      </c>
      <c r="P1509" s="9">
        <v>44693</v>
      </c>
      <c r="Q1509" s="9">
        <v>44858</v>
      </c>
      <c r="R1509"/>
      <c r="S1509"/>
      <c r="T1509"/>
      <c r="U1509"/>
    </row>
    <row r="1510" spans="1:21" hidden="1">
      <c r="A1510" s="7" t="s">
        <v>8763</v>
      </c>
      <c r="B1510" s="7" t="s">
        <v>5405</v>
      </c>
      <c r="C1510" s="8" t="s">
        <v>5317</v>
      </c>
      <c r="D1510" t="s">
        <v>216</v>
      </c>
      <c r="E1510" t="s">
        <v>25</v>
      </c>
      <c r="F1510" t="s">
        <v>280</v>
      </c>
      <c r="G1510" t="s">
        <v>1619</v>
      </c>
      <c r="H1510" s="9">
        <v>44657</v>
      </c>
      <c r="I1510" t="s">
        <v>8634</v>
      </c>
      <c r="J1510" t="s">
        <v>0</v>
      </c>
      <c r="K1510" s="9">
        <v>44858</v>
      </c>
      <c r="L1510" t="s">
        <v>29</v>
      </c>
      <c r="M1510"/>
      <c r="N1510" s="9">
        <v>44686</v>
      </c>
      <c r="O1510" s="9">
        <v>44693</v>
      </c>
      <c r="P1510" s="9">
        <v>44693</v>
      </c>
      <c r="Q1510" s="9">
        <v>44858</v>
      </c>
      <c r="R1510"/>
      <c r="S1510"/>
      <c r="T1510"/>
      <c r="U1510"/>
    </row>
    <row r="1511" spans="1:21" hidden="1">
      <c r="A1511" s="7" t="s">
        <v>8763</v>
      </c>
      <c r="B1511" s="7" t="s">
        <v>5405</v>
      </c>
      <c r="C1511" s="8" t="s">
        <v>5317</v>
      </c>
      <c r="D1511" t="s">
        <v>216</v>
      </c>
      <c r="E1511" t="s">
        <v>25</v>
      </c>
      <c r="F1511" t="s">
        <v>280</v>
      </c>
      <c r="G1511" t="s">
        <v>1620</v>
      </c>
      <c r="H1511" s="9">
        <v>44657</v>
      </c>
      <c r="I1511" t="s">
        <v>8634</v>
      </c>
      <c r="J1511" t="s">
        <v>0</v>
      </c>
      <c r="K1511" s="9">
        <v>44858</v>
      </c>
      <c r="L1511" t="s">
        <v>29</v>
      </c>
      <c r="M1511"/>
      <c r="N1511" s="9">
        <v>44686</v>
      </c>
      <c r="O1511" s="9">
        <v>44693</v>
      </c>
      <c r="P1511" s="9">
        <v>44693</v>
      </c>
      <c r="Q1511" s="9">
        <v>44858</v>
      </c>
      <c r="R1511"/>
      <c r="S1511"/>
      <c r="T1511"/>
      <c r="U1511"/>
    </row>
    <row r="1512" spans="1:21" hidden="1">
      <c r="A1512" s="7" t="s">
        <v>8758</v>
      </c>
      <c r="B1512" s="7" t="s">
        <v>5405</v>
      </c>
      <c r="C1512" s="8" t="s">
        <v>5317</v>
      </c>
      <c r="D1512" t="s">
        <v>216</v>
      </c>
      <c r="E1512" t="s">
        <v>25</v>
      </c>
      <c r="F1512" t="s">
        <v>493</v>
      </c>
      <c r="G1512" t="s">
        <v>1621</v>
      </c>
      <c r="H1512" s="9">
        <v>44657</v>
      </c>
      <c r="I1512" t="s">
        <v>8634</v>
      </c>
      <c r="J1512" t="s">
        <v>0</v>
      </c>
      <c r="K1512" s="9">
        <v>44862</v>
      </c>
      <c r="L1512" t="s">
        <v>29</v>
      </c>
      <c r="M1512"/>
      <c r="N1512" s="9">
        <v>44686</v>
      </c>
      <c r="O1512" s="9">
        <v>44693</v>
      </c>
      <c r="P1512" s="9">
        <v>44693</v>
      </c>
      <c r="Q1512" s="9">
        <v>44862</v>
      </c>
      <c r="R1512" s="9">
        <v>44776.735254629602</v>
      </c>
      <c r="S1512"/>
      <c r="T1512"/>
      <c r="U1512"/>
    </row>
    <row r="1513" spans="1:21" hidden="1">
      <c r="A1513" s="7" t="s">
        <v>8763</v>
      </c>
      <c r="B1513" s="7" t="s">
        <v>5405</v>
      </c>
      <c r="C1513" s="8" t="s">
        <v>5317</v>
      </c>
      <c r="D1513" t="s">
        <v>216</v>
      </c>
      <c r="E1513" t="s">
        <v>25</v>
      </c>
      <c r="F1513" t="s">
        <v>280</v>
      </c>
      <c r="G1513" t="s">
        <v>618</v>
      </c>
      <c r="H1513" s="9">
        <v>44657</v>
      </c>
      <c r="I1513" t="s">
        <v>8634</v>
      </c>
      <c r="J1513" t="s">
        <v>0</v>
      </c>
      <c r="K1513" s="9">
        <v>44858</v>
      </c>
      <c r="L1513" t="s">
        <v>29</v>
      </c>
      <c r="M1513"/>
      <c r="N1513" s="9">
        <v>44686</v>
      </c>
      <c r="O1513" s="9">
        <v>44693</v>
      </c>
      <c r="P1513" s="9">
        <v>44693</v>
      </c>
      <c r="Q1513" s="9">
        <v>44858</v>
      </c>
      <c r="R1513"/>
      <c r="S1513"/>
      <c r="T1513"/>
      <c r="U1513"/>
    </row>
    <row r="1514" spans="1:21" hidden="1">
      <c r="A1514" s="7" t="s">
        <v>8763</v>
      </c>
      <c r="B1514" s="7" t="s">
        <v>5405</v>
      </c>
      <c r="C1514" s="8" t="s">
        <v>5317</v>
      </c>
      <c r="D1514" t="s">
        <v>216</v>
      </c>
      <c r="E1514" t="s">
        <v>25</v>
      </c>
      <c r="F1514" t="s">
        <v>280</v>
      </c>
      <c r="G1514" t="s">
        <v>1622</v>
      </c>
      <c r="H1514" s="9">
        <v>44657</v>
      </c>
      <c r="I1514" t="s">
        <v>8634</v>
      </c>
      <c r="J1514" t="s">
        <v>0</v>
      </c>
      <c r="K1514" s="9">
        <v>44858</v>
      </c>
      <c r="L1514" t="s">
        <v>29</v>
      </c>
      <c r="M1514"/>
      <c r="N1514" s="9">
        <v>44686</v>
      </c>
      <c r="O1514" s="9">
        <v>44693</v>
      </c>
      <c r="P1514" s="9">
        <v>44693</v>
      </c>
      <c r="Q1514" s="9">
        <v>44858</v>
      </c>
      <c r="R1514"/>
      <c r="S1514"/>
      <c r="T1514"/>
      <c r="U1514"/>
    </row>
    <row r="1515" spans="1:21" hidden="1">
      <c r="A1515" s="7" t="s">
        <v>8763</v>
      </c>
      <c r="B1515" s="7" t="s">
        <v>5405</v>
      </c>
      <c r="C1515" s="8" t="s">
        <v>5317</v>
      </c>
      <c r="D1515" t="s">
        <v>216</v>
      </c>
      <c r="E1515" t="s">
        <v>25</v>
      </c>
      <c r="F1515" t="s">
        <v>280</v>
      </c>
      <c r="G1515" t="s">
        <v>1623</v>
      </c>
      <c r="H1515" s="9">
        <v>44657</v>
      </c>
      <c r="I1515" t="s">
        <v>8634</v>
      </c>
      <c r="J1515" t="s">
        <v>0</v>
      </c>
      <c r="K1515" s="9">
        <v>44858</v>
      </c>
      <c r="L1515" t="s">
        <v>29</v>
      </c>
      <c r="M1515"/>
      <c r="N1515" s="9">
        <v>44686</v>
      </c>
      <c r="O1515" s="9">
        <v>44693</v>
      </c>
      <c r="P1515" s="9">
        <v>44693</v>
      </c>
      <c r="Q1515" s="9">
        <v>44858</v>
      </c>
      <c r="R1515"/>
      <c r="S1515"/>
      <c r="T1515"/>
      <c r="U1515"/>
    </row>
    <row r="1516" spans="1:21" hidden="1">
      <c r="A1516" s="7" t="s">
        <v>8763</v>
      </c>
      <c r="B1516" s="7" t="s">
        <v>5405</v>
      </c>
      <c r="C1516" s="8" t="s">
        <v>5317</v>
      </c>
      <c r="D1516" t="s">
        <v>216</v>
      </c>
      <c r="E1516" t="s">
        <v>25</v>
      </c>
      <c r="F1516" t="s">
        <v>280</v>
      </c>
      <c r="G1516" t="s">
        <v>1624</v>
      </c>
      <c r="H1516" s="9">
        <v>44657</v>
      </c>
      <c r="I1516" t="s">
        <v>8634</v>
      </c>
      <c r="J1516" t="s">
        <v>0</v>
      </c>
      <c r="K1516" s="9">
        <v>44858</v>
      </c>
      <c r="L1516" t="s">
        <v>29</v>
      </c>
      <c r="M1516"/>
      <c r="N1516" s="9">
        <v>44686</v>
      </c>
      <c r="O1516" s="9">
        <v>44693</v>
      </c>
      <c r="P1516" s="9">
        <v>44693</v>
      </c>
      <c r="Q1516" s="9">
        <v>44858</v>
      </c>
      <c r="R1516"/>
      <c r="S1516"/>
      <c r="T1516"/>
      <c r="U1516"/>
    </row>
    <row r="1517" spans="1:21" hidden="1">
      <c r="A1517" s="7" t="s">
        <v>8763</v>
      </c>
      <c r="B1517" s="7" t="s">
        <v>5405</v>
      </c>
      <c r="C1517" s="8" t="s">
        <v>5317</v>
      </c>
      <c r="D1517" t="s">
        <v>216</v>
      </c>
      <c r="E1517" t="s">
        <v>25</v>
      </c>
      <c r="F1517" t="s">
        <v>280</v>
      </c>
      <c r="G1517" t="s">
        <v>1625</v>
      </c>
      <c r="H1517" s="9">
        <v>44657</v>
      </c>
      <c r="I1517" t="s">
        <v>8634</v>
      </c>
      <c r="J1517" t="s">
        <v>0</v>
      </c>
      <c r="K1517" s="9">
        <v>44858</v>
      </c>
      <c r="L1517" t="s">
        <v>29</v>
      </c>
      <c r="M1517"/>
      <c r="N1517" s="9">
        <v>44686</v>
      </c>
      <c r="O1517" s="9">
        <v>44693</v>
      </c>
      <c r="P1517" s="9">
        <v>44693</v>
      </c>
      <c r="Q1517" s="9">
        <v>44858</v>
      </c>
      <c r="R1517"/>
      <c r="S1517"/>
      <c r="T1517"/>
      <c r="U1517"/>
    </row>
    <row r="1518" spans="1:21" hidden="1">
      <c r="A1518" s="7" t="s">
        <v>8763</v>
      </c>
      <c r="B1518" s="7" t="s">
        <v>5405</v>
      </c>
      <c r="C1518" s="8" t="s">
        <v>5317</v>
      </c>
      <c r="D1518" t="s">
        <v>216</v>
      </c>
      <c r="E1518" t="s">
        <v>25</v>
      </c>
      <c r="F1518" t="s">
        <v>280</v>
      </c>
      <c r="G1518" t="s">
        <v>1626</v>
      </c>
      <c r="H1518" s="9">
        <v>44657</v>
      </c>
      <c r="I1518" t="s">
        <v>8634</v>
      </c>
      <c r="J1518" t="s">
        <v>0</v>
      </c>
      <c r="K1518" s="9">
        <v>44858</v>
      </c>
      <c r="L1518" t="s">
        <v>29</v>
      </c>
      <c r="M1518"/>
      <c r="N1518" s="9">
        <v>44686</v>
      </c>
      <c r="O1518" s="9">
        <v>44693</v>
      </c>
      <c r="P1518" s="9">
        <v>44693</v>
      </c>
      <c r="Q1518" s="9">
        <v>44858</v>
      </c>
      <c r="R1518"/>
      <c r="S1518"/>
      <c r="T1518"/>
      <c r="U1518"/>
    </row>
    <row r="1519" spans="1:21" hidden="1">
      <c r="A1519" s="7" t="s">
        <v>8763</v>
      </c>
      <c r="B1519" s="7" t="s">
        <v>5405</v>
      </c>
      <c r="C1519" s="8" t="s">
        <v>5317</v>
      </c>
      <c r="D1519" t="s">
        <v>216</v>
      </c>
      <c r="E1519" t="s">
        <v>25</v>
      </c>
      <c r="F1519" t="s">
        <v>280</v>
      </c>
      <c r="G1519" t="s">
        <v>1627</v>
      </c>
      <c r="H1519" s="9">
        <v>44657</v>
      </c>
      <c r="I1519" t="s">
        <v>8634</v>
      </c>
      <c r="J1519" t="s">
        <v>0</v>
      </c>
      <c r="K1519" s="9">
        <v>44858</v>
      </c>
      <c r="L1519" t="s">
        <v>29</v>
      </c>
      <c r="M1519"/>
      <c r="N1519" s="9">
        <v>44686</v>
      </c>
      <c r="O1519" s="9">
        <v>44693</v>
      </c>
      <c r="P1519" s="9">
        <v>44693</v>
      </c>
      <c r="Q1519" s="9">
        <v>44858</v>
      </c>
      <c r="R1519"/>
      <c r="S1519"/>
      <c r="T1519"/>
      <c r="U1519"/>
    </row>
    <row r="1520" spans="1:21" hidden="1">
      <c r="A1520" s="7" t="s">
        <v>8758</v>
      </c>
      <c r="B1520" s="7" t="s">
        <v>5405</v>
      </c>
      <c r="C1520" s="8" t="s">
        <v>5317</v>
      </c>
      <c r="D1520" t="s">
        <v>216</v>
      </c>
      <c r="E1520" t="s">
        <v>25</v>
      </c>
      <c r="F1520" t="s">
        <v>493</v>
      </c>
      <c r="G1520" t="s">
        <v>1628</v>
      </c>
      <c r="H1520" s="9">
        <v>44657</v>
      </c>
      <c r="I1520" t="s">
        <v>8634</v>
      </c>
      <c r="J1520" t="s">
        <v>0</v>
      </c>
      <c r="K1520" s="9">
        <v>44862</v>
      </c>
      <c r="L1520" t="s">
        <v>29</v>
      </c>
      <c r="M1520"/>
      <c r="N1520" s="9">
        <v>44686</v>
      </c>
      <c r="O1520" s="9">
        <v>44693</v>
      </c>
      <c r="P1520" s="9">
        <v>44693</v>
      </c>
      <c r="Q1520" s="9">
        <v>44862</v>
      </c>
      <c r="R1520" s="9">
        <v>44769.506967592599</v>
      </c>
      <c r="S1520"/>
      <c r="T1520"/>
      <c r="U1520"/>
    </row>
    <row r="1521" spans="1:21" hidden="1">
      <c r="A1521" s="7" t="s">
        <v>8763</v>
      </c>
      <c r="B1521" s="7" t="s">
        <v>5405</v>
      </c>
      <c r="C1521" s="8" t="s">
        <v>5317</v>
      </c>
      <c r="D1521" t="s">
        <v>216</v>
      </c>
      <c r="E1521" t="s">
        <v>25</v>
      </c>
      <c r="F1521" t="s">
        <v>280</v>
      </c>
      <c r="G1521" t="s">
        <v>1629</v>
      </c>
      <c r="H1521" s="9">
        <v>44657</v>
      </c>
      <c r="I1521" t="s">
        <v>8634</v>
      </c>
      <c r="J1521" t="s">
        <v>0</v>
      </c>
      <c r="K1521" s="9">
        <v>44858</v>
      </c>
      <c r="L1521" t="s">
        <v>29</v>
      </c>
      <c r="M1521"/>
      <c r="N1521" s="9">
        <v>44686</v>
      </c>
      <c r="O1521" s="9">
        <v>44693</v>
      </c>
      <c r="P1521" s="9">
        <v>44693</v>
      </c>
      <c r="Q1521" s="9">
        <v>44858</v>
      </c>
      <c r="R1521"/>
      <c r="S1521"/>
      <c r="T1521"/>
      <c r="U1521"/>
    </row>
    <row r="1522" spans="1:21" hidden="1">
      <c r="A1522" s="7" t="s">
        <v>8763</v>
      </c>
      <c r="B1522" s="7" t="s">
        <v>5405</v>
      </c>
      <c r="C1522" s="8" t="s">
        <v>5317</v>
      </c>
      <c r="D1522" t="s">
        <v>216</v>
      </c>
      <c r="E1522" t="s">
        <v>25</v>
      </c>
      <c r="F1522" t="s">
        <v>280</v>
      </c>
      <c r="G1522" t="s">
        <v>626</v>
      </c>
      <c r="H1522" s="9">
        <v>44657</v>
      </c>
      <c r="I1522" t="s">
        <v>8634</v>
      </c>
      <c r="J1522" t="s">
        <v>0</v>
      </c>
      <c r="K1522" s="9">
        <v>44858</v>
      </c>
      <c r="L1522" t="s">
        <v>29</v>
      </c>
      <c r="M1522"/>
      <c r="N1522" s="9">
        <v>44686</v>
      </c>
      <c r="O1522" s="9">
        <v>44693</v>
      </c>
      <c r="P1522" s="9">
        <v>44693</v>
      </c>
      <c r="Q1522" s="9">
        <v>44858</v>
      </c>
      <c r="R1522"/>
      <c r="S1522"/>
      <c r="T1522"/>
      <c r="U1522"/>
    </row>
    <row r="1523" spans="1:21" hidden="1">
      <c r="A1523" s="7" t="s">
        <v>8758</v>
      </c>
      <c r="B1523" s="7" t="s">
        <v>5405</v>
      </c>
      <c r="C1523" s="8" t="s">
        <v>5317</v>
      </c>
      <c r="D1523" t="s">
        <v>216</v>
      </c>
      <c r="E1523" t="s">
        <v>25</v>
      </c>
      <c r="F1523" t="s">
        <v>493</v>
      </c>
      <c r="G1523" t="s">
        <v>1630</v>
      </c>
      <c r="H1523" s="9">
        <v>44657</v>
      </c>
      <c r="I1523" t="s">
        <v>8634</v>
      </c>
      <c r="J1523" t="s">
        <v>0</v>
      </c>
      <c r="K1523" s="9">
        <v>44862</v>
      </c>
      <c r="L1523" t="s">
        <v>29</v>
      </c>
      <c r="M1523"/>
      <c r="N1523" s="9">
        <v>44686</v>
      </c>
      <c r="O1523" s="9">
        <v>44693</v>
      </c>
      <c r="P1523" s="9">
        <v>44693</v>
      </c>
      <c r="Q1523" s="9">
        <v>44862</v>
      </c>
      <c r="R1523" s="9">
        <v>44776.735254629602</v>
      </c>
      <c r="S1523"/>
      <c r="T1523"/>
      <c r="U1523"/>
    </row>
    <row r="1524" spans="1:21" hidden="1">
      <c r="A1524" s="7" t="s">
        <v>8763</v>
      </c>
      <c r="B1524" s="7" t="s">
        <v>5405</v>
      </c>
      <c r="C1524" s="8" t="s">
        <v>5317</v>
      </c>
      <c r="D1524" t="s">
        <v>216</v>
      </c>
      <c r="E1524" t="s">
        <v>25</v>
      </c>
      <c r="F1524" t="s">
        <v>280</v>
      </c>
      <c r="G1524" t="s">
        <v>1631</v>
      </c>
      <c r="H1524" s="9">
        <v>44657</v>
      </c>
      <c r="I1524" t="s">
        <v>8634</v>
      </c>
      <c r="J1524" t="s">
        <v>0</v>
      </c>
      <c r="K1524" s="9">
        <v>44858</v>
      </c>
      <c r="L1524" t="s">
        <v>29</v>
      </c>
      <c r="M1524"/>
      <c r="N1524" s="9">
        <v>44686</v>
      </c>
      <c r="O1524" s="9">
        <v>44693</v>
      </c>
      <c r="P1524" s="9">
        <v>44693</v>
      </c>
      <c r="Q1524" s="9">
        <v>44858</v>
      </c>
      <c r="R1524"/>
      <c r="S1524"/>
      <c r="T1524"/>
      <c r="U1524"/>
    </row>
    <row r="1525" spans="1:21" hidden="1">
      <c r="A1525" s="7" t="s">
        <v>8758</v>
      </c>
      <c r="B1525" s="7" t="s">
        <v>5405</v>
      </c>
      <c r="C1525" s="8" t="s">
        <v>5317</v>
      </c>
      <c r="D1525" t="s">
        <v>216</v>
      </c>
      <c r="E1525" t="s">
        <v>25</v>
      </c>
      <c r="F1525" t="s">
        <v>493</v>
      </c>
      <c r="G1525" t="s">
        <v>1631</v>
      </c>
      <c r="H1525" s="9">
        <v>44657</v>
      </c>
      <c r="I1525" t="s">
        <v>8634</v>
      </c>
      <c r="J1525" t="s">
        <v>0</v>
      </c>
      <c r="K1525" s="9">
        <v>44862</v>
      </c>
      <c r="L1525" t="s">
        <v>29</v>
      </c>
      <c r="M1525"/>
      <c r="N1525" s="9">
        <v>44686</v>
      </c>
      <c r="O1525" s="9">
        <v>44693</v>
      </c>
      <c r="P1525" s="9">
        <v>44693</v>
      </c>
      <c r="Q1525" s="9">
        <v>44862</v>
      </c>
      <c r="R1525"/>
      <c r="S1525"/>
      <c r="T1525"/>
      <c r="U1525"/>
    </row>
    <row r="1526" spans="1:21" hidden="1">
      <c r="A1526" s="7" t="s">
        <v>8758</v>
      </c>
      <c r="B1526" s="7" t="s">
        <v>5405</v>
      </c>
      <c r="C1526" s="8" t="s">
        <v>5317</v>
      </c>
      <c r="D1526" t="s">
        <v>216</v>
      </c>
      <c r="E1526" t="s">
        <v>25</v>
      </c>
      <c r="F1526" t="s">
        <v>493</v>
      </c>
      <c r="G1526" t="s">
        <v>1632</v>
      </c>
      <c r="H1526" s="9">
        <v>44657</v>
      </c>
      <c r="I1526" t="s">
        <v>8634</v>
      </c>
      <c r="J1526" t="s">
        <v>0</v>
      </c>
      <c r="K1526" s="9">
        <v>44862</v>
      </c>
      <c r="L1526" t="s">
        <v>29</v>
      </c>
      <c r="M1526"/>
      <c r="N1526" s="9">
        <v>44686</v>
      </c>
      <c r="O1526" s="9">
        <v>44693</v>
      </c>
      <c r="P1526" s="9">
        <v>44693</v>
      </c>
      <c r="Q1526" s="9">
        <v>44862</v>
      </c>
      <c r="R1526" s="9">
        <v>44776.735254629602</v>
      </c>
      <c r="S1526"/>
      <c r="T1526"/>
      <c r="U1526"/>
    </row>
    <row r="1527" spans="1:21" hidden="1">
      <c r="A1527" s="7" t="s">
        <v>8758</v>
      </c>
      <c r="B1527" s="7" t="s">
        <v>5405</v>
      </c>
      <c r="C1527" s="8" t="s">
        <v>5317</v>
      </c>
      <c r="D1527" t="s">
        <v>216</v>
      </c>
      <c r="E1527" t="s">
        <v>25</v>
      </c>
      <c r="F1527" t="s">
        <v>493</v>
      </c>
      <c r="G1527" t="s">
        <v>1633</v>
      </c>
      <c r="H1527" s="9">
        <v>44657</v>
      </c>
      <c r="I1527" t="s">
        <v>8634</v>
      </c>
      <c r="J1527" t="s">
        <v>0</v>
      </c>
      <c r="K1527" s="9">
        <v>44862</v>
      </c>
      <c r="L1527" t="s">
        <v>29</v>
      </c>
      <c r="M1527"/>
      <c r="N1527" s="9">
        <v>44686</v>
      </c>
      <c r="O1527" s="9">
        <v>44693</v>
      </c>
      <c r="P1527" s="9">
        <v>44693</v>
      </c>
      <c r="Q1527" s="9">
        <v>44862</v>
      </c>
      <c r="R1527" s="9">
        <v>44776.735254629602</v>
      </c>
      <c r="S1527"/>
      <c r="T1527"/>
      <c r="U1527"/>
    </row>
    <row r="1528" spans="1:21" hidden="1">
      <c r="A1528" s="7" t="s">
        <v>8763</v>
      </c>
      <c r="B1528" s="7" t="s">
        <v>5405</v>
      </c>
      <c r="C1528" s="8" t="s">
        <v>5317</v>
      </c>
      <c r="D1528" t="s">
        <v>216</v>
      </c>
      <c r="E1528" t="s">
        <v>25</v>
      </c>
      <c r="F1528" t="s">
        <v>280</v>
      </c>
      <c r="G1528" t="s">
        <v>1634</v>
      </c>
      <c r="H1528" s="9">
        <v>44657</v>
      </c>
      <c r="I1528" t="s">
        <v>8634</v>
      </c>
      <c r="J1528" t="s">
        <v>0</v>
      </c>
      <c r="K1528" s="9">
        <v>44858</v>
      </c>
      <c r="L1528" t="s">
        <v>29</v>
      </c>
      <c r="M1528"/>
      <c r="N1528" s="9">
        <v>44686</v>
      </c>
      <c r="O1528" s="9">
        <v>44693</v>
      </c>
      <c r="P1528" s="9">
        <v>44693</v>
      </c>
      <c r="Q1528" s="9">
        <v>44858</v>
      </c>
      <c r="R1528"/>
      <c r="S1528"/>
      <c r="T1528"/>
      <c r="U1528"/>
    </row>
    <row r="1529" spans="1:21" hidden="1">
      <c r="A1529" s="7" t="s">
        <v>8758</v>
      </c>
      <c r="B1529" s="7" t="s">
        <v>5405</v>
      </c>
      <c r="C1529" s="8" t="s">
        <v>5317</v>
      </c>
      <c r="D1529" t="s">
        <v>216</v>
      </c>
      <c r="E1529" t="s">
        <v>25</v>
      </c>
      <c r="F1529" t="s">
        <v>493</v>
      </c>
      <c r="G1529" t="s">
        <v>1634</v>
      </c>
      <c r="H1529" s="9">
        <v>44657</v>
      </c>
      <c r="I1529" t="s">
        <v>8634</v>
      </c>
      <c r="J1529" t="s">
        <v>0</v>
      </c>
      <c r="K1529" s="9">
        <v>44862</v>
      </c>
      <c r="L1529" t="s">
        <v>29</v>
      </c>
      <c r="M1529"/>
      <c r="N1529" s="9">
        <v>44686</v>
      </c>
      <c r="O1529" s="9">
        <v>44693</v>
      </c>
      <c r="P1529" s="9">
        <v>44693</v>
      </c>
      <c r="Q1529" s="9">
        <v>44862</v>
      </c>
      <c r="R1529"/>
      <c r="S1529"/>
      <c r="T1529"/>
      <c r="U1529"/>
    </row>
    <row r="1530" spans="1:21" hidden="1">
      <c r="A1530" s="7" t="s">
        <v>8758</v>
      </c>
      <c r="B1530" s="7" t="s">
        <v>5405</v>
      </c>
      <c r="C1530" s="8" t="s">
        <v>5317</v>
      </c>
      <c r="D1530" t="s">
        <v>216</v>
      </c>
      <c r="E1530" t="s">
        <v>25</v>
      </c>
      <c r="F1530" t="s">
        <v>493</v>
      </c>
      <c r="G1530" t="s">
        <v>1635</v>
      </c>
      <c r="H1530" s="9">
        <v>44657</v>
      </c>
      <c r="I1530" t="s">
        <v>8634</v>
      </c>
      <c r="J1530" t="s">
        <v>0</v>
      </c>
      <c r="K1530" s="9">
        <v>44862</v>
      </c>
      <c r="L1530" t="s">
        <v>29</v>
      </c>
      <c r="M1530"/>
      <c r="N1530" s="9">
        <v>44686</v>
      </c>
      <c r="O1530" s="9">
        <v>44693</v>
      </c>
      <c r="P1530" s="9">
        <v>44693</v>
      </c>
      <c r="Q1530" s="9">
        <v>44862</v>
      </c>
      <c r="R1530" s="9">
        <v>44776.735254629602</v>
      </c>
      <c r="S1530"/>
      <c r="T1530"/>
      <c r="U1530"/>
    </row>
    <row r="1531" spans="1:21" hidden="1">
      <c r="A1531" s="7" t="s">
        <v>8758</v>
      </c>
      <c r="B1531" s="7" t="s">
        <v>5405</v>
      </c>
      <c r="C1531" s="8" t="s">
        <v>5317</v>
      </c>
      <c r="D1531" t="s">
        <v>216</v>
      </c>
      <c r="E1531" t="s">
        <v>25</v>
      </c>
      <c r="F1531" t="s">
        <v>493</v>
      </c>
      <c r="G1531" t="s">
        <v>1636</v>
      </c>
      <c r="H1531" s="9">
        <v>44657</v>
      </c>
      <c r="I1531" t="s">
        <v>8634</v>
      </c>
      <c r="J1531" t="s">
        <v>0</v>
      </c>
      <c r="K1531" s="9">
        <v>44862</v>
      </c>
      <c r="L1531" t="s">
        <v>29</v>
      </c>
      <c r="M1531"/>
      <c r="N1531" s="9">
        <v>44686</v>
      </c>
      <c r="O1531" s="9">
        <v>44693</v>
      </c>
      <c r="P1531" s="9">
        <v>44693</v>
      </c>
      <c r="Q1531" s="9">
        <v>44862</v>
      </c>
      <c r="R1531" s="9">
        <v>44776.735254629602</v>
      </c>
      <c r="S1531"/>
      <c r="T1531"/>
      <c r="U1531"/>
    </row>
    <row r="1532" spans="1:21" hidden="1">
      <c r="A1532" s="7" t="s">
        <v>8758</v>
      </c>
      <c r="B1532" s="7" t="s">
        <v>5405</v>
      </c>
      <c r="C1532" s="8" t="s">
        <v>5317</v>
      </c>
      <c r="D1532" t="s">
        <v>216</v>
      </c>
      <c r="E1532" t="s">
        <v>25</v>
      </c>
      <c r="F1532" t="s">
        <v>493</v>
      </c>
      <c r="G1532" t="s">
        <v>1637</v>
      </c>
      <c r="H1532" s="9">
        <v>44657</v>
      </c>
      <c r="I1532" t="s">
        <v>8634</v>
      </c>
      <c r="J1532" t="s">
        <v>0</v>
      </c>
      <c r="K1532" s="9">
        <v>44862</v>
      </c>
      <c r="L1532" t="s">
        <v>29</v>
      </c>
      <c r="M1532"/>
      <c r="N1532" s="9">
        <v>44686</v>
      </c>
      <c r="O1532" s="9">
        <v>44693</v>
      </c>
      <c r="P1532" s="9">
        <v>44693</v>
      </c>
      <c r="Q1532" s="9">
        <v>44862</v>
      </c>
      <c r="R1532" s="9">
        <v>44776.735254629602</v>
      </c>
      <c r="S1532"/>
      <c r="T1532"/>
      <c r="U1532"/>
    </row>
    <row r="1533" spans="1:21" hidden="1">
      <c r="A1533" s="7" t="s">
        <v>8763</v>
      </c>
      <c r="B1533" s="7" t="s">
        <v>5405</v>
      </c>
      <c r="C1533" s="8" t="s">
        <v>5317</v>
      </c>
      <c r="D1533" t="s">
        <v>216</v>
      </c>
      <c r="E1533" t="s">
        <v>25</v>
      </c>
      <c r="F1533" t="s">
        <v>280</v>
      </c>
      <c r="G1533" t="s">
        <v>1638</v>
      </c>
      <c r="H1533" s="9">
        <v>44657</v>
      </c>
      <c r="I1533" t="s">
        <v>8634</v>
      </c>
      <c r="J1533" t="s">
        <v>0</v>
      </c>
      <c r="K1533" s="9">
        <v>44858</v>
      </c>
      <c r="L1533" t="s">
        <v>29</v>
      </c>
      <c r="M1533"/>
      <c r="N1533" s="9">
        <v>44686</v>
      </c>
      <c r="O1533" s="9">
        <v>44693</v>
      </c>
      <c r="P1533" s="9">
        <v>44693</v>
      </c>
      <c r="Q1533" s="9">
        <v>44858</v>
      </c>
      <c r="R1533"/>
      <c r="S1533"/>
      <c r="T1533"/>
      <c r="U1533"/>
    </row>
    <row r="1534" spans="1:21" hidden="1">
      <c r="A1534" s="7" t="s">
        <v>8763</v>
      </c>
      <c r="B1534" s="7" t="s">
        <v>5405</v>
      </c>
      <c r="C1534" s="8" t="s">
        <v>5317</v>
      </c>
      <c r="D1534" t="s">
        <v>216</v>
      </c>
      <c r="E1534" t="s">
        <v>25</v>
      </c>
      <c r="F1534" t="s">
        <v>280</v>
      </c>
      <c r="G1534" t="s">
        <v>1639</v>
      </c>
      <c r="H1534" s="9">
        <v>44657</v>
      </c>
      <c r="I1534" t="s">
        <v>8634</v>
      </c>
      <c r="J1534" t="s">
        <v>0</v>
      </c>
      <c r="K1534" s="9">
        <v>44858</v>
      </c>
      <c r="L1534" t="s">
        <v>29</v>
      </c>
      <c r="M1534"/>
      <c r="N1534" s="9">
        <v>44686</v>
      </c>
      <c r="O1534" s="9">
        <v>44693</v>
      </c>
      <c r="P1534" s="9">
        <v>44693</v>
      </c>
      <c r="Q1534" s="9">
        <v>44858</v>
      </c>
      <c r="R1534"/>
      <c r="S1534"/>
      <c r="T1534"/>
      <c r="U1534"/>
    </row>
    <row r="1535" spans="1:21" hidden="1">
      <c r="A1535" s="7" t="s">
        <v>8758</v>
      </c>
      <c r="B1535" s="7" t="s">
        <v>5405</v>
      </c>
      <c r="C1535" s="8" t="s">
        <v>5317</v>
      </c>
      <c r="D1535" t="s">
        <v>216</v>
      </c>
      <c r="E1535" t="s">
        <v>25</v>
      </c>
      <c r="F1535" t="s">
        <v>493</v>
      </c>
      <c r="G1535" t="s">
        <v>1639</v>
      </c>
      <c r="H1535" s="9">
        <v>44657</v>
      </c>
      <c r="I1535" t="s">
        <v>8634</v>
      </c>
      <c r="J1535" t="s">
        <v>0</v>
      </c>
      <c r="K1535" s="9">
        <v>44862</v>
      </c>
      <c r="L1535" t="s">
        <v>29</v>
      </c>
      <c r="M1535"/>
      <c r="N1535" s="9">
        <v>44686</v>
      </c>
      <c r="O1535" s="9">
        <v>44693</v>
      </c>
      <c r="P1535" s="9">
        <v>44693</v>
      </c>
      <c r="Q1535" s="9">
        <v>44862</v>
      </c>
      <c r="R1535"/>
      <c r="S1535"/>
      <c r="T1535"/>
      <c r="U1535"/>
    </row>
    <row r="1536" spans="1:21" hidden="1">
      <c r="A1536" s="7" t="s">
        <v>8757</v>
      </c>
      <c r="B1536" s="7" t="s">
        <v>5405</v>
      </c>
      <c r="C1536" s="8" t="s">
        <v>5317</v>
      </c>
      <c r="D1536" t="s">
        <v>216</v>
      </c>
      <c r="E1536" t="s">
        <v>25</v>
      </c>
      <c r="F1536" t="s">
        <v>491</v>
      </c>
      <c r="G1536" t="s">
        <v>1640</v>
      </c>
      <c r="H1536" s="9">
        <v>44657</v>
      </c>
      <c r="I1536" t="s">
        <v>8634</v>
      </c>
      <c r="J1536" t="s">
        <v>0</v>
      </c>
      <c r="K1536" s="9">
        <v>44827</v>
      </c>
      <c r="L1536" t="s">
        <v>29</v>
      </c>
      <c r="M1536"/>
      <c r="N1536" s="9">
        <v>44686</v>
      </c>
      <c r="O1536" s="9">
        <v>44693</v>
      </c>
      <c r="P1536" s="9">
        <v>44693</v>
      </c>
      <c r="Q1536" s="9">
        <v>44827</v>
      </c>
      <c r="R1536" s="9">
        <v>44776.7336574074</v>
      </c>
      <c r="S1536"/>
      <c r="T1536"/>
      <c r="U1536"/>
    </row>
    <row r="1537" spans="1:21" hidden="1">
      <c r="A1537" s="7" t="s">
        <v>8758</v>
      </c>
      <c r="B1537" s="7" t="s">
        <v>5405</v>
      </c>
      <c r="C1537" s="8" t="s">
        <v>5317</v>
      </c>
      <c r="D1537" t="s">
        <v>216</v>
      </c>
      <c r="E1537" t="s">
        <v>25</v>
      </c>
      <c r="F1537" t="s">
        <v>493</v>
      </c>
      <c r="G1537" t="s">
        <v>1640</v>
      </c>
      <c r="H1537" s="9">
        <v>44657</v>
      </c>
      <c r="I1537" t="s">
        <v>8634</v>
      </c>
      <c r="J1537" t="s">
        <v>0</v>
      </c>
      <c r="K1537" s="9">
        <v>44862</v>
      </c>
      <c r="L1537" t="s">
        <v>29</v>
      </c>
      <c r="M1537"/>
      <c r="N1537" s="9">
        <v>44686</v>
      </c>
      <c r="O1537" s="9">
        <v>44693</v>
      </c>
      <c r="P1537" s="9">
        <v>44693</v>
      </c>
      <c r="Q1537" s="9">
        <v>44862</v>
      </c>
      <c r="R1537" s="9">
        <v>44776.735254629602</v>
      </c>
      <c r="S1537"/>
      <c r="T1537"/>
      <c r="U1537"/>
    </row>
    <row r="1538" spans="1:21" hidden="1">
      <c r="A1538" s="7" t="s">
        <v>8763</v>
      </c>
      <c r="B1538" s="7" t="s">
        <v>5405</v>
      </c>
      <c r="C1538" s="8" t="s">
        <v>5317</v>
      </c>
      <c r="D1538" t="s">
        <v>216</v>
      </c>
      <c r="E1538" t="s">
        <v>25</v>
      </c>
      <c r="F1538" t="s">
        <v>280</v>
      </c>
      <c r="G1538" t="s">
        <v>1641</v>
      </c>
      <c r="H1538" s="9">
        <v>44657</v>
      </c>
      <c r="I1538" t="s">
        <v>8634</v>
      </c>
      <c r="J1538" t="s">
        <v>0</v>
      </c>
      <c r="K1538" s="9">
        <v>44858</v>
      </c>
      <c r="L1538" t="s">
        <v>29</v>
      </c>
      <c r="M1538"/>
      <c r="N1538" s="9">
        <v>44686</v>
      </c>
      <c r="O1538" s="9">
        <v>44693</v>
      </c>
      <c r="P1538" s="9">
        <v>44693</v>
      </c>
      <c r="Q1538" s="9">
        <v>44858</v>
      </c>
      <c r="R1538"/>
      <c r="S1538"/>
      <c r="T1538"/>
      <c r="U1538"/>
    </row>
    <row r="1539" spans="1:21" hidden="1">
      <c r="A1539" s="7" t="s">
        <v>8758</v>
      </c>
      <c r="B1539" s="7" t="s">
        <v>5405</v>
      </c>
      <c r="C1539" s="8" t="s">
        <v>5317</v>
      </c>
      <c r="D1539" t="s">
        <v>216</v>
      </c>
      <c r="E1539" t="s">
        <v>25</v>
      </c>
      <c r="F1539" t="s">
        <v>493</v>
      </c>
      <c r="G1539" t="s">
        <v>1642</v>
      </c>
      <c r="H1539" s="9">
        <v>44657</v>
      </c>
      <c r="I1539" t="s">
        <v>8634</v>
      </c>
      <c r="J1539" t="s">
        <v>0</v>
      </c>
      <c r="K1539" s="9">
        <v>44862</v>
      </c>
      <c r="L1539" t="s">
        <v>29</v>
      </c>
      <c r="M1539"/>
      <c r="N1539" s="9">
        <v>44686</v>
      </c>
      <c r="O1539" s="9">
        <v>44693</v>
      </c>
      <c r="P1539" s="9">
        <v>44693</v>
      </c>
      <c r="Q1539" s="9">
        <v>44862</v>
      </c>
      <c r="R1539" s="9">
        <v>44769.506967592599</v>
      </c>
      <c r="S1539"/>
      <c r="T1539"/>
      <c r="U1539"/>
    </row>
    <row r="1540" spans="1:21" hidden="1">
      <c r="A1540" s="7" t="s">
        <v>8758</v>
      </c>
      <c r="B1540" s="7" t="s">
        <v>5405</v>
      </c>
      <c r="C1540" s="8" t="s">
        <v>5317</v>
      </c>
      <c r="D1540" t="s">
        <v>216</v>
      </c>
      <c r="E1540" t="s">
        <v>25</v>
      </c>
      <c r="F1540" t="s">
        <v>493</v>
      </c>
      <c r="G1540" t="s">
        <v>1643</v>
      </c>
      <c r="H1540" s="9">
        <v>44657</v>
      </c>
      <c r="I1540" t="s">
        <v>8634</v>
      </c>
      <c r="J1540" t="s">
        <v>0</v>
      </c>
      <c r="K1540" s="9">
        <v>44862</v>
      </c>
      <c r="L1540" t="s">
        <v>29</v>
      </c>
      <c r="M1540"/>
      <c r="N1540" s="9">
        <v>44686</v>
      </c>
      <c r="O1540" s="9">
        <v>44693</v>
      </c>
      <c r="P1540" s="9">
        <v>44693</v>
      </c>
      <c r="Q1540" s="9">
        <v>44862</v>
      </c>
      <c r="R1540" s="9">
        <v>44769.506967592599</v>
      </c>
      <c r="S1540"/>
      <c r="T1540"/>
      <c r="U1540"/>
    </row>
    <row r="1541" spans="1:21" hidden="1">
      <c r="A1541" s="7" t="s">
        <v>8758</v>
      </c>
      <c r="B1541" s="7" t="s">
        <v>5405</v>
      </c>
      <c r="C1541" s="8" t="s">
        <v>5317</v>
      </c>
      <c r="D1541" t="s">
        <v>216</v>
      </c>
      <c r="E1541" t="s">
        <v>25</v>
      </c>
      <c r="F1541" t="s">
        <v>493</v>
      </c>
      <c r="G1541" t="s">
        <v>1644</v>
      </c>
      <c r="H1541" s="9">
        <v>44657</v>
      </c>
      <c r="I1541" t="s">
        <v>8634</v>
      </c>
      <c r="J1541" t="s">
        <v>0</v>
      </c>
      <c r="K1541" s="9">
        <v>44862</v>
      </c>
      <c r="L1541" t="s">
        <v>29</v>
      </c>
      <c r="M1541"/>
      <c r="N1541" s="9">
        <v>44686</v>
      </c>
      <c r="O1541" s="9">
        <v>44693</v>
      </c>
      <c r="P1541" s="9">
        <v>44693</v>
      </c>
      <c r="Q1541" s="9">
        <v>44862</v>
      </c>
      <c r="R1541" s="9">
        <v>44769.506967592599</v>
      </c>
      <c r="S1541"/>
      <c r="T1541"/>
      <c r="U1541"/>
    </row>
    <row r="1542" spans="1:21" hidden="1">
      <c r="A1542" s="7" t="s">
        <v>8763</v>
      </c>
      <c r="B1542" s="7" t="s">
        <v>5405</v>
      </c>
      <c r="C1542" s="8" t="s">
        <v>5317</v>
      </c>
      <c r="D1542" t="s">
        <v>216</v>
      </c>
      <c r="E1542" t="s">
        <v>25</v>
      </c>
      <c r="F1542" t="s">
        <v>280</v>
      </c>
      <c r="G1542" t="s">
        <v>1645</v>
      </c>
      <c r="H1542" s="9">
        <v>44657</v>
      </c>
      <c r="I1542" t="s">
        <v>8634</v>
      </c>
      <c r="J1542" t="s">
        <v>0</v>
      </c>
      <c r="K1542" s="9">
        <v>44858</v>
      </c>
      <c r="L1542" t="s">
        <v>29</v>
      </c>
      <c r="M1542"/>
      <c r="N1542" s="9">
        <v>44686</v>
      </c>
      <c r="O1542" s="9">
        <v>44693</v>
      </c>
      <c r="P1542" s="9">
        <v>44693</v>
      </c>
      <c r="Q1542" s="9">
        <v>44858</v>
      </c>
      <c r="R1542"/>
      <c r="S1542"/>
      <c r="T1542"/>
      <c r="U1542"/>
    </row>
    <row r="1543" spans="1:21" hidden="1">
      <c r="A1543" s="7" t="s">
        <v>8758</v>
      </c>
      <c r="B1543" s="7" t="s">
        <v>5405</v>
      </c>
      <c r="C1543" s="8" t="s">
        <v>5317</v>
      </c>
      <c r="D1543" t="s">
        <v>216</v>
      </c>
      <c r="E1543" t="s">
        <v>25</v>
      </c>
      <c r="F1543" t="s">
        <v>493</v>
      </c>
      <c r="G1543" t="s">
        <v>1646</v>
      </c>
      <c r="H1543" s="9">
        <v>44657</v>
      </c>
      <c r="I1543" t="s">
        <v>8634</v>
      </c>
      <c r="J1543" t="s">
        <v>0</v>
      </c>
      <c r="K1543" s="9">
        <v>44862</v>
      </c>
      <c r="L1543" t="s">
        <v>29</v>
      </c>
      <c r="M1543"/>
      <c r="N1543" s="9">
        <v>44686</v>
      </c>
      <c r="O1543" s="9">
        <v>44693</v>
      </c>
      <c r="P1543" s="9">
        <v>44693</v>
      </c>
      <c r="Q1543" s="9">
        <v>44862</v>
      </c>
      <c r="R1543" s="9">
        <v>44769.506967592599</v>
      </c>
      <c r="S1543"/>
      <c r="T1543"/>
      <c r="U1543"/>
    </row>
    <row r="1544" spans="1:21" hidden="1">
      <c r="A1544" s="7" t="s">
        <v>8763</v>
      </c>
      <c r="B1544" s="7" t="s">
        <v>5405</v>
      </c>
      <c r="C1544" s="8" t="s">
        <v>5317</v>
      </c>
      <c r="D1544" t="s">
        <v>216</v>
      </c>
      <c r="E1544" t="s">
        <v>25</v>
      </c>
      <c r="F1544" t="s">
        <v>280</v>
      </c>
      <c r="G1544" t="s">
        <v>1647</v>
      </c>
      <c r="H1544" s="9">
        <v>44657</v>
      </c>
      <c r="I1544" t="s">
        <v>8634</v>
      </c>
      <c r="J1544" t="s">
        <v>0</v>
      </c>
      <c r="K1544" s="9">
        <v>44858</v>
      </c>
      <c r="L1544" t="s">
        <v>29</v>
      </c>
      <c r="M1544"/>
      <c r="N1544" s="9">
        <v>44686</v>
      </c>
      <c r="O1544" s="9">
        <v>44693</v>
      </c>
      <c r="P1544" s="9">
        <v>44693</v>
      </c>
      <c r="Q1544" s="9">
        <v>44858</v>
      </c>
      <c r="R1544"/>
      <c r="S1544"/>
      <c r="T1544"/>
      <c r="U1544"/>
    </row>
    <row r="1545" spans="1:21" hidden="1">
      <c r="A1545" s="7" t="s">
        <v>8763</v>
      </c>
      <c r="B1545" s="7" t="s">
        <v>5405</v>
      </c>
      <c r="C1545" s="8" t="s">
        <v>5317</v>
      </c>
      <c r="D1545" t="s">
        <v>216</v>
      </c>
      <c r="E1545" t="s">
        <v>25</v>
      </c>
      <c r="F1545" t="s">
        <v>280</v>
      </c>
      <c r="G1545" t="s">
        <v>644</v>
      </c>
      <c r="H1545" s="9">
        <v>44657</v>
      </c>
      <c r="I1545" t="s">
        <v>8634</v>
      </c>
      <c r="J1545" t="s">
        <v>0</v>
      </c>
      <c r="K1545" s="9">
        <v>44858</v>
      </c>
      <c r="L1545" t="s">
        <v>29</v>
      </c>
      <c r="M1545"/>
      <c r="N1545" s="9">
        <v>44686</v>
      </c>
      <c r="O1545" s="9">
        <v>44693</v>
      </c>
      <c r="P1545" s="9">
        <v>44693</v>
      </c>
      <c r="Q1545" s="9">
        <v>44858</v>
      </c>
      <c r="R1545"/>
      <c r="S1545"/>
      <c r="T1545"/>
      <c r="U1545"/>
    </row>
    <row r="1546" spans="1:21" hidden="1">
      <c r="A1546" s="7" t="s">
        <v>8763</v>
      </c>
      <c r="B1546" s="7" t="s">
        <v>5405</v>
      </c>
      <c r="C1546" s="8" t="s">
        <v>5317</v>
      </c>
      <c r="D1546" t="s">
        <v>216</v>
      </c>
      <c r="E1546" t="s">
        <v>25</v>
      </c>
      <c r="F1546" t="s">
        <v>280</v>
      </c>
      <c r="G1546" t="s">
        <v>1648</v>
      </c>
      <c r="H1546" s="9">
        <v>44657</v>
      </c>
      <c r="I1546" t="s">
        <v>8634</v>
      </c>
      <c r="J1546" t="s">
        <v>0</v>
      </c>
      <c r="K1546" s="9">
        <v>44858</v>
      </c>
      <c r="L1546" t="s">
        <v>29</v>
      </c>
      <c r="M1546"/>
      <c r="N1546" s="9">
        <v>44686</v>
      </c>
      <c r="O1546" s="9">
        <v>44693</v>
      </c>
      <c r="P1546" s="9">
        <v>44693</v>
      </c>
      <c r="Q1546" s="9">
        <v>44858</v>
      </c>
      <c r="R1546"/>
      <c r="S1546"/>
      <c r="T1546"/>
      <c r="U1546"/>
    </row>
    <row r="1547" spans="1:21" hidden="1">
      <c r="A1547" s="7" t="s">
        <v>8764</v>
      </c>
      <c r="B1547" s="7" t="s">
        <v>5405</v>
      </c>
      <c r="C1547" s="8" t="s">
        <v>5317</v>
      </c>
      <c r="D1547" t="s">
        <v>216</v>
      </c>
      <c r="E1547" t="s">
        <v>25</v>
      </c>
      <c r="F1547" t="s">
        <v>75</v>
      </c>
      <c r="G1547" t="s">
        <v>1649</v>
      </c>
      <c r="H1547" s="9">
        <v>44658</v>
      </c>
      <c r="I1547" t="s">
        <v>8634</v>
      </c>
      <c r="J1547" t="s">
        <v>0</v>
      </c>
      <c r="K1547" s="9">
        <v>44862</v>
      </c>
      <c r="L1547" t="s">
        <v>29</v>
      </c>
      <c r="M1547"/>
      <c r="N1547" s="9">
        <v>44686</v>
      </c>
      <c r="O1547" s="9">
        <v>44693</v>
      </c>
      <c r="P1547" s="9">
        <v>44693</v>
      </c>
      <c r="Q1547" s="9">
        <v>44862</v>
      </c>
      <c r="R1547" s="9">
        <v>44810.577604166698</v>
      </c>
      <c r="S1547"/>
      <c r="T1547"/>
      <c r="U1547"/>
    </row>
    <row r="1548" spans="1:21" hidden="1">
      <c r="A1548" s="7" t="s">
        <v>8758</v>
      </c>
      <c r="B1548" s="7" t="s">
        <v>5405</v>
      </c>
      <c r="C1548" s="8" t="s">
        <v>5317</v>
      </c>
      <c r="D1548" t="s">
        <v>216</v>
      </c>
      <c r="E1548" t="s">
        <v>25</v>
      </c>
      <c r="F1548" t="s">
        <v>493</v>
      </c>
      <c r="G1548" t="s">
        <v>1650</v>
      </c>
      <c r="H1548" s="9">
        <v>44657</v>
      </c>
      <c r="I1548" t="s">
        <v>8634</v>
      </c>
      <c r="J1548" t="s">
        <v>0</v>
      </c>
      <c r="K1548" s="9">
        <v>44862</v>
      </c>
      <c r="L1548" t="s">
        <v>29</v>
      </c>
      <c r="M1548"/>
      <c r="N1548" s="9">
        <v>44686</v>
      </c>
      <c r="O1548" s="9">
        <v>44693</v>
      </c>
      <c r="P1548" s="9">
        <v>44693</v>
      </c>
      <c r="Q1548" s="9">
        <v>44862</v>
      </c>
      <c r="R1548" s="9">
        <v>44776.735254629602</v>
      </c>
      <c r="S1548"/>
      <c r="T1548"/>
      <c r="U1548"/>
    </row>
    <row r="1549" spans="1:21" hidden="1">
      <c r="A1549" s="7" t="s">
        <v>8758</v>
      </c>
      <c r="B1549" s="7" t="s">
        <v>5405</v>
      </c>
      <c r="C1549" s="8" t="s">
        <v>5317</v>
      </c>
      <c r="D1549" t="s">
        <v>216</v>
      </c>
      <c r="E1549" t="s">
        <v>25</v>
      </c>
      <c r="F1549" t="s">
        <v>493</v>
      </c>
      <c r="G1549" t="s">
        <v>1651</v>
      </c>
      <c r="H1549" s="9">
        <v>44657</v>
      </c>
      <c r="I1549" t="s">
        <v>8634</v>
      </c>
      <c r="J1549" t="s">
        <v>0</v>
      </c>
      <c r="K1549" s="9">
        <v>44862</v>
      </c>
      <c r="L1549" t="s">
        <v>29</v>
      </c>
      <c r="M1549"/>
      <c r="N1549" s="9">
        <v>44686</v>
      </c>
      <c r="O1549" s="9">
        <v>44693</v>
      </c>
      <c r="P1549" s="9">
        <v>44693</v>
      </c>
      <c r="Q1549" s="9">
        <v>44862</v>
      </c>
      <c r="R1549" s="9">
        <v>44769.506967592599</v>
      </c>
      <c r="S1549"/>
      <c r="T1549"/>
      <c r="U1549"/>
    </row>
    <row r="1550" spans="1:21" hidden="1">
      <c r="A1550" s="7" t="s">
        <v>8825</v>
      </c>
      <c r="B1550" s="7" t="s">
        <v>5405</v>
      </c>
      <c r="C1550" s="8" t="s">
        <v>5317</v>
      </c>
      <c r="D1550" t="s">
        <v>216</v>
      </c>
      <c r="E1550" t="s">
        <v>25</v>
      </c>
      <c r="F1550" t="s">
        <v>111</v>
      </c>
      <c r="G1550" t="s">
        <v>1652</v>
      </c>
      <c r="H1550" s="9">
        <v>44657</v>
      </c>
      <c r="I1550" t="s">
        <v>8634</v>
      </c>
      <c r="J1550" t="s">
        <v>0</v>
      </c>
      <c r="K1550" s="9">
        <v>44881</v>
      </c>
      <c r="L1550" t="s">
        <v>29</v>
      </c>
      <c r="M1550"/>
      <c r="N1550" s="9">
        <v>44686</v>
      </c>
      <c r="O1550" s="9">
        <v>44693</v>
      </c>
      <c r="P1550" s="9">
        <v>44693</v>
      </c>
      <c r="Q1550" s="9">
        <v>44881</v>
      </c>
      <c r="R1550"/>
      <c r="S1550"/>
      <c r="T1550"/>
      <c r="U1550"/>
    </row>
    <row r="1551" spans="1:21" hidden="1">
      <c r="A1551" s="7" t="s">
        <v>8763</v>
      </c>
      <c r="B1551" s="7" t="s">
        <v>5405</v>
      </c>
      <c r="C1551" s="8" t="s">
        <v>5317</v>
      </c>
      <c r="D1551" t="s">
        <v>216</v>
      </c>
      <c r="E1551" t="s">
        <v>25</v>
      </c>
      <c r="F1551" t="s">
        <v>280</v>
      </c>
      <c r="G1551" t="s">
        <v>1653</v>
      </c>
      <c r="H1551" s="9">
        <v>44657</v>
      </c>
      <c r="I1551" t="s">
        <v>8634</v>
      </c>
      <c r="J1551" t="s">
        <v>0</v>
      </c>
      <c r="K1551" s="9">
        <v>44858</v>
      </c>
      <c r="L1551" t="s">
        <v>29</v>
      </c>
      <c r="M1551"/>
      <c r="N1551" s="9">
        <v>44686</v>
      </c>
      <c r="O1551" s="9">
        <v>44693</v>
      </c>
      <c r="P1551" s="9">
        <v>44693</v>
      </c>
      <c r="Q1551" s="9">
        <v>44858</v>
      </c>
      <c r="R1551"/>
      <c r="S1551"/>
      <c r="T1551"/>
      <c r="U1551"/>
    </row>
    <row r="1552" spans="1:21" hidden="1">
      <c r="A1552" s="7" t="s">
        <v>8763</v>
      </c>
      <c r="B1552" s="7" t="s">
        <v>5405</v>
      </c>
      <c r="C1552" s="8" t="s">
        <v>5317</v>
      </c>
      <c r="D1552" t="s">
        <v>216</v>
      </c>
      <c r="E1552" t="s">
        <v>25</v>
      </c>
      <c r="F1552" t="s">
        <v>280</v>
      </c>
      <c r="G1552" t="s">
        <v>726</v>
      </c>
      <c r="H1552" s="9">
        <v>44657</v>
      </c>
      <c r="I1552" t="s">
        <v>8634</v>
      </c>
      <c r="J1552" t="s">
        <v>0</v>
      </c>
      <c r="K1552" s="9">
        <v>44858</v>
      </c>
      <c r="L1552" t="s">
        <v>29</v>
      </c>
      <c r="M1552"/>
      <c r="N1552" s="9">
        <v>44686</v>
      </c>
      <c r="O1552" s="9">
        <v>44693</v>
      </c>
      <c r="P1552" s="9">
        <v>44693</v>
      </c>
      <c r="Q1552" s="9">
        <v>44858</v>
      </c>
      <c r="R1552"/>
      <c r="S1552"/>
      <c r="T1552"/>
      <c r="U1552"/>
    </row>
    <row r="1553" spans="1:21" hidden="1">
      <c r="A1553" s="7" t="s">
        <v>8763</v>
      </c>
      <c r="B1553" s="7" t="s">
        <v>5405</v>
      </c>
      <c r="C1553" s="8" t="s">
        <v>5317</v>
      </c>
      <c r="D1553" t="s">
        <v>216</v>
      </c>
      <c r="E1553" t="s">
        <v>25</v>
      </c>
      <c r="F1553" t="s">
        <v>280</v>
      </c>
      <c r="G1553" t="s">
        <v>1654</v>
      </c>
      <c r="H1553" s="9">
        <v>44657</v>
      </c>
      <c r="I1553" t="s">
        <v>8634</v>
      </c>
      <c r="J1553" t="s">
        <v>0</v>
      </c>
      <c r="K1553" s="9">
        <v>44858</v>
      </c>
      <c r="L1553" t="s">
        <v>29</v>
      </c>
      <c r="M1553"/>
      <c r="N1553" s="9">
        <v>44686</v>
      </c>
      <c r="O1553" s="9">
        <v>44693</v>
      </c>
      <c r="P1553" s="9">
        <v>44693</v>
      </c>
      <c r="Q1553" s="9">
        <v>44858</v>
      </c>
      <c r="R1553"/>
      <c r="S1553"/>
      <c r="T1553"/>
      <c r="U1553"/>
    </row>
    <row r="1554" spans="1:21" hidden="1">
      <c r="A1554" s="7" t="s">
        <v>8826</v>
      </c>
      <c r="B1554" s="7" t="s">
        <v>5405</v>
      </c>
      <c r="C1554" s="8" t="s">
        <v>5317</v>
      </c>
      <c r="D1554" t="s">
        <v>1655</v>
      </c>
      <c r="E1554" t="s">
        <v>25</v>
      </c>
      <c r="F1554" t="s">
        <v>117</v>
      </c>
      <c r="G1554" t="s">
        <v>1656</v>
      </c>
      <c r="H1554" s="9">
        <v>44658</v>
      </c>
      <c r="I1554" t="s">
        <v>8634</v>
      </c>
      <c r="J1554" t="s">
        <v>163</v>
      </c>
      <c r="K1554" s="9">
        <v>44693</v>
      </c>
      <c r="L1554" t="s">
        <v>29</v>
      </c>
      <c r="M1554"/>
      <c r="N1554" s="9">
        <v>44686</v>
      </c>
      <c r="O1554" s="9">
        <v>44693</v>
      </c>
      <c r="P1554" s="9">
        <v>44693</v>
      </c>
      <c r="Q1554"/>
      <c r="R1554"/>
      <c r="S1554"/>
      <c r="T1554"/>
      <c r="U1554"/>
    </row>
    <row r="1555" spans="1:21" hidden="1">
      <c r="A1555" s="7" t="s">
        <v>8826</v>
      </c>
      <c r="B1555" s="7" t="s">
        <v>5405</v>
      </c>
      <c r="C1555" s="8" t="s">
        <v>5317</v>
      </c>
      <c r="D1555" t="s">
        <v>1655</v>
      </c>
      <c r="E1555" t="s">
        <v>25</v>
      </c>
      <c r="F1555" t="s">
        <v>117</v>
      </c>
      <c r="G1555" t="s">
        <v>1657</v>
      </c>
      <c r="H1555" s="9">
        <v>44658</v>
      </c>
      <c r="I1555" t="s">
        <v>8634</v>
      </c>
      <c r="J1555" t="s">
        <v>163</v>
      </c>
      <c r="K1555" s="9">
        <v>44693</v>
      </c>
      <c r="L1555" t="s">
        <v>29</v>
      </c>
      <c r="M1555"/>
      <c r="N1555" s="9">
        <v>44686</v>
      </c>
      <c r="O1555" s="9">
        <v>44693</v>
      </c>
      <c r="P1555" s="9">
        <v>44693</v>
      </c>
      <c r="Q1555"/>
      <c r="R1555"/>
      <c r="S1555"/>
      <c r="T1555"/>
      <c r="U1555"/>
    </row>
    <row r="1556" spans="1:21" hidden="1">
      <c r="A1556" s="7" t="s">
        <v>8827</v>
      </c>
      <c r="B1556" s="7" t="s">
        <v>5513</v>
      </c>
      <c r="C1556" s="8" t="s">
        <v>5317</v>
      </c>
      <c r="D1556" t="s">
        <v>1655</v>
      </c>
      <c r="E1556" t="s">
        <v>1658</v>
      </c>
      <c r="F1556" t="s">
        <v>193</v>
      </c>
      <c r="G1556" t="s">
        <v>1659</v>
      </c>
      <c r="H1556" s="9">
        <v>44657</v>
      </c>
      <c r="I1556" t="s">
        <v>1660</v>
      </c>
      <c r="J1556" t="s">
        <v>2</v>
      </c>
      <c r="K1556" s="9">
        <v>44726</v>
      </c>
      <c r="L1556" t="s">
        <v>29</v>
      </c>
      <c r="M1556" t="s">
        <v>331</v>
      </c>
      <c r="N1556"/>
      <c r="O1556"/>
      <c r="P1556"/>
      <c r="Q1556" s="9">
        <v>44677</v>
      </c>
      <c r="R1556"/>
      <c r="S1556"/>
      <c r="T1556"/>
      <c r="U1556"/>
    </row>
    <row r="1557" spans="1:21" hidden="1">
      <c r="A1557" s="7" t="s">
        <v>8827</v>
      </c>
      <c r="B1557" s="7" t="s">
        <v>5513</v>
      </c>
      <c r="C1557" s="8" t="s">
        <v>5317</v>
      </c>
      <c r="D1557" t="s">
        <v>1655</v>
      </c>
      <c r="E1557" t="s">
        <v>1658</v>
      </c>
      <c r="F1557" t="s">
        <v>193</v>
      </c>
      <c r="G1557" t="s">
        <v>1661</v>
      </c>
      <c r="H1557" s="9">
        <v>44657</v>
      </c>
      <c r="I1557" t="s">
        <v>1660</v>
      </c>
      <c r="J1557" t="s">
        <v>2</v>
      </c>
      <c r="K1557" s="9">
        <v>44726</v>
      </c>
      <c r="L1557" t="s">
        <v>29</v>
      </c>
      <c r="M1557" t="s">
        <v>331</v>
      </c>
      <c r="N1557"/>
      <c r="O1557"/>
      <c r="P1557"/>
      <c r="Q1557" s="9">
        <v>44677</v>
      </c>
      <c r="R1557"/>
      <c r="S1557"/>
      <c r="T1557"/>
      <c r="U1557"/>
    </row>
    <row r="1558" spans="1:21" hidden="1">
      <c r="A1558" s="7" t="s">
        <v>8827</v>
      </c>
      <c r="B1558" s="7" t="s">
        <v>5513</v>
      </c>
      <c r="C1558" s="8" t="s">
        <v>5317</v>
      </c>
      <c r="D1558" t="s">
        <v>1655</v>
      </c>
      <c r="E1558" t="s">
        <v>1658</v>
      </c>
      <c r="F1558" t="s">
        <v>193</v>
      </c>
      <c r="G1558" t="s">
        <v>1662</v>
      </c>
      <c r="H1558" s="9">
        <v>44657</v>
      </c>
      <c r="I1558" t="s">
        <v>1660</v>
      </c>
      <c r="J1558" t="s">
        <v>2</v>
      </c>
      <c r="K1558" s="9">
        <v>44726</v>
      </c>
      <c r="L1558" t="s">
        <v>29</v>
      </c>
      <c r="M1558" t="s">
        <v>331</v>
      </c>
      <c r="N1558"/>
      <c r="O1558"/>
      <c r="P1558"/>
      <c r="Q1558" s="9">
        <v>44677</v>
      </c>
      <c r="R1558"/>
      <c r="S1558"/>
      <c r="T1558"/>
      <c r="U1558"/>
    </row>
    <row r="1559" spans="1:21" hidden="1">
      <c r="A1559" s="7" t="s">
        <v>8827</v>
      </c>
      <c r="B1559" s="7" t="s">
        <v>5513</v>
      </c>
      <c r="C1559" s="8" t="s">
        <v>5317</v>
      </c>
      <c r="D1559" t="s">
        <v>1655</v>
      </c>
      <c r="E1559" t="s">
        <v>1658</v>
      </c>
      <c r="F1559" t="s">
        <v>193</v>
      </c>
      <c r="G1559" t="s">
        <v>1663</v>
      </c>
      <c r="H1559" s="9">
        <v>44657</v>
      </c>
      <c r="I1559" t="s">
        <v>1660</v>
      </c>
      <c r="J1559" t="s">
        <v>2</v>
      </c>
      <c r="K1559" s="9">
        <v>44726</v>
      </c>
      <c r="L1559" t="s">
        <v>29</v>
      </c>
      <c r="M1559" t="s">
        <v>331</v>
      </c>
      <c r="N1559"/>
      <c r="O1559"/>
      <c r="P1559"/>
      <c r="Q1559" s="9">
        <v>44677</v>
      </c>
      <c r="R1559"/>
      <c r="S1559"/>
      <c r="T1559"/>
      <c r="U1559"/>
    </row>
    <row r="1560" spans="1:21" hidden="1">
      <c r="A1560" s="7" t="s">
        <v>8827</v>
      </c>
      <c r="B1560" s="7" t="s">
        <v>5513</v>
      </c>
      <c r="C1560" s="8" t="s">
        <v>5317</v>
      </c>
      <c r="D1560" t="s">
        <v>1655</v>
      </c>
      <c r="E1560" t="s">
        <v>1658</v>
      </c>
      <c r="F1560" t="s">
        <v>193</v>
      </c>
      <c r="G1560" t="s">
        <v>1664</v>
      </c>
      <c r="H1560" s="9">
        <v>44657</v>
      </c>
      <c r="I1560" t="s">
        <v>1660</v>
      </c>
      <c r="J1560" t="s">
        <v>2</v>
      </c>
      <c r="K1560" s="9">
        <v>44762</v>
      </c>
      <c r="L1560" t="s">
        <v>29</v>
      </c>
      <c r="M1560" t="s">
        <v>331</v>
      </c>
      <c r="N1560"/>
      <c r="O1560"/>
      <c r="P1560"/>
      <c r="Q1560" s="9">
        <v>44677</v>
      </c>
      <c r="R1560"/>
      <c r="S1560"/>
      <c r="T1560"/>
      <c r="U1560"/>
    </row>
    <row r="1561" spans="1:21" hidden="1">
      <c r="A1561" s="7" t="s">
        <v>8827</v>
      </c>
      <c r="B1561" s="7" t="s">
        <v>5513</v>
      </c>
      <c r="C1561" s="8" t="s">
        <v>5317</v>
      </c>
      <c r="D1561" t="s">
        <v>1655</v>
      </c>
      <c r="E1561" t="s">
        <v>1658</v>
      </c>
      <c r="F1561" t="s">
        <v>193</v>
      </c>
      <c r="G1561" t="s">
        <v>1665</v>
      </c>
      <c r="H1561" s="9">
        <v>44657</v>
      </c>
      <c r="I1561" t="s">
        <v>1660</v>
      </c>
      <c r="J1561" t="s">
        <v>2</v>
      </c>
      <c r="K1561" s="9">
        <v>44726</v>
      </c>
      <c r="L1561" t="s">
        <v>29</v>
      </c>
      <c r="M1561" t="s">
        <v>331</v>
      </c>
      <c r="N1561"/>
      <c r="O1561"/>
      <c r="P1561"/>
      <c r="Q1561" s="9">
        <v>44677</v>
      </c>
      <c r="R1561"/>
      <c r="S1561"/>
      <c r="T1561"/>
      <c r="U1561"/>
    </row>
    <row r="1562" spans="1:21" hidden="1">
      <c r="A1562" s="7" t="s">
        <v>8827</v>
      </c>
      <c r="B1562" s="7" t="s">
        <v>5513</v>
      </c>
      <c r="C1562" s="8" t="s">
        <v>5317</v>
      </c>
      <c r="D1562" t="s">
        <v>1655</v>
      </c>
      <c r="E1562" t="s">
        <v>1658</v>
      </c>
      <c r="F1562" t="s">
        <v>193</v>
      </c>
      <c r="G1562" t="s">
        <v>1666</v>
      </c>
      <c r="H1562" s="9">
        <v>44657</v>
      </c>
      <c r="I1562" t="s">
        <v>1660</v>
      </c>
      <c r="J1562" t="s">
        <v>2</v>
      </c>
      <c r="K1562" s="9">
        <v>44726</v>
      </c>
      <c r="L1562" t="s">
        <v>29</v>
      </c>
      <c r="M1562" t="s">
        <v>331</v>
      </c>
      <c r="N1562"/>
      <c r="O1562"/>
      <c r="P1562"/>
      <c r="Q1562" s="9">
        <v>44677</v>
      </c>
      <c r="R1562"/>
      <c r="S1562"/>
      <c r="T1562"/>
      <c r="U1562"/>
    </row>
    <row r="1563" spans="1:21" hidden="1">
      <c r="A1563" s="7" t="s">
        <v>8827</v>
      </c>
      <c r="B1563" s="7" t="s">
        <v>5513</v>
      </c>
      <c r="C1563" s="8" t="s">
        <v>5317</v>
      </c>
      <c r="D1563" t="s">
        <v>1655</v>
      </c>
      <c r="E1563" t="s">
        <v>1658</v>
      </c>
      <c r="F1563" t="s">
        <v>193</v>
      </c>
      <c r="G1563" t="s">
        <v>1667</v>
      </c>
      <c r="H1563" s="9">
        <v>44657</v>
      </c>
      <c r="I1563" t="s">
        <v>1660</v>
      </c>
      <c r="J1563" t="s">
        <v>2</v>
      </c>
      <c r="K1563" s="9">
        <v>44726</v>
      </c>
      <c r="L1563" t="s">
        <v>29</v>
      </c>
      <c r="M1563" t="s">
        <v>331</v>
      </c>
      <c r="N1563"/>
      <c r="O1563"/>
      <c r="P1563"/>
      <c r="Q1563" s="9">
        <v>44677</v>
      </c>
      <c r="R1563"/>
      <c r="S1563"/>
      <c r="T1563"/>
      <c r="U1563"/>
    </row>
    <row r="1564" spans="1:21" hidden="1">
      <c r="A1564" s="7" t="s">
        <v>8827</v>
      </c>
      <c r="B1564" s="7" t="s">
        <v>5513</v>
      </c>
      <c r="C1564" s="8" t="s">
        <v>5317</v>
      </c>
      <c r="D1564" t="s">
        <v>1655</v>
      </c>
      <c r="E1564" t="s">
        <v>1658</v>
      </c>
      <c r="F1564" t="s">
        <v>193</v>
      </c>
      <c r="G1564" t="s">
        <v>1668</v>
      </c>
      <c r="H1564" s="9">
        <v>44657</v>
      </c>
      <c r="I1564" t="s">
        <v>1660</v>
      </c>
      <c r="J1564" t="s">
        <v>2</v>
      </c>
      <c r="K1564" s="9">
        <v>44726</v>
      </c>
      <c r="L1564" t="s">
        <v>29</v>
      </c>
      <c r="M1564" t="s">
        <v>331</v>
      </c>
      <c r="N1564"/>
      <c r="O1564"/>
      <c r="P1564"/>
      <c r="Q1564" s="9">
        <v>44677</v>
      </c>
      <c r="R1564"/>
      <c r="S1564"/>
      <c r="T1564"/>
      <c r="U1564"/>
    </row>
    <row r="1565" spans="1:21" hidden="1">
      <c r="A1565" s="7" t="s">
        <v>8827</v>
      </c>
      <c r="B1565" s="7" t="s">
        <v>5513</v>
      </c>
      <c r="C1565" s="8" t="s">
        <v>5317</v>
      </c>
      <c r="D1565" t="s">
        <v>1655</v>
      </c>
      <c r="E1565" t="s">
        <v>1658</v>
      </c>
      <c r="F1565" t="s">
        <v>193</v>
      </c>
      <c r="G1565" t="s">
        <v>1669</v>
      </c>
      <c r="H1565" s="9">
        <v>44657</v>
      </c>
      <c r="I1565" t="s">
        <v>1660</v>
      </c>
      <c r="J1565" t="s">
        <v>2</v>
      </c>
      <c r="K1565" s="9">
        <v>44726</v>
      </c>
      <c r="L1565" t="s">
        <v>29</v>
      </c>
      <c r="M1565" t="s">
        <v>331</v>
      </c>
      <c r="N1565"/>
      <c r="O1565"/>
      <c r="P1565"/>
      <c r="Q1565" s="9">
        <v>44677</v>
      </c>
      <c r="R1565"/>
      <c r="S1565"/>
      <c r="T1565"/>
      <c r="U1565"/>
    </row>
    <row r="1566" spans="1:21" hidden="1">
      <c r="A1566" s="7" t="s">
        <v>8827</v>
      </c>
      <c r="B1566" s="7" t="s">
        <v>5513</v>
      </c>
      <c r="C1566" s="8" t="s">
        <v>5317</v>
      </c>
      <c r="D1566" t="s">
        <v>1655</v>
      </c>
      <c r="E1566" t="s">
        <v>1658</v>
      </c>
      <c r="F1566" t="s">
        <v>193</v>
      </c>
      <c r="G1566" t="s">
        <v>1670</v>
      </c>
      <c r="H1566" s="9">
        <v>44657</v>
      </c>
      <c r="I1566" t="s">
        <v>1660</v>
      </c>
      <c r="J1566" t="s">
        <v>2</v>
      </c>
      <c r="K1566" s="9">
        <v>44726</v>
      </c>
      <c r="L1566" t="s">
        <v>29</v>
      </c>
      <c r="M1566" t="s">
        <v>331</v>
      </c>
      <c r="N1566"/>
      <c r="O1566"/>
      <c r="P1566"/>
      <c r="Q1566" s="9">
        <v>44677</v>
      </c>
      <c r="R1566"/>
      <c r="S1566"/>
      <c r="T1566"/>
      <c r="U1566"/>
    </row>
    <row r="1567" spans="1:21" hidden="1">
      <c r="A1567" s="7" t="s">
        <v>8827</v>
      </c>
      <c r="B1567" s="7" t="s">
        <v>5513</v>
      </c>
      <c r="C1567" s="8" t="s">
        <v>5317</v>
      </c>
      <c r="D1567" t="s">
        <v>1655</v>
      </c>
      <c r="E1567" t="s">
        <v>1658</v>
      </c>
      <c r="F1567" t="s">
        <v>193</v>
      </c>
      <c r="G1567" t="s">
        <v>1671</v>
      </c>
      <c r="H1567" s="9">
        <v>44657</v>
      </c>
      <c r="I1567" t="s">
        <v>1660</v>
      </c>
      <c r="J1567" t="s">
        <v>2</v>
      </c>
      <c r="K1567" s="9">
        <v>44726</v>
      </c>
      <c r="L1567" t="s">
        <v>29</v>
      </c>
      <c r="M1567" t="s">
        <v>331</v>
      </c>
      <c r="N1567"/>
      <c r="O1567"/>
      <c r="P1567"/>
      <c r="Q1567" s="9">
        <v>44677</v>
      </c>
      <c r="R1567"/>
      <c r="S1567"/>
      <c r="T1567"/>
      <c r="U1567"/>
    </row>
    <row r="1568" spans="1:21" hidden="1">
      <c r="A1568" s="7" t="s">
        <v>8827</v>
      </c>
      <c r="B1568" s="7" t="s">
        <v>5513</v>
      </c>
      <c r="C1568" s="8" t="s">
        <v>5317</v>
      </c>
      <c r="D1568" t="s">
        <v>1655</v>
      </c>
      <c r="E1568" t="s">
        <v>1658</v>
      </c>
      <c r="F1568" t="s">
        <v>193</v>
      </c>
      <c r="G1568" t="s">
        <v>1672</v>
      </c>
      <c r="H1568" s="9">
        <v>44657</v>
      </c>
      <c r="I1568" t="s">
        <v>1660</v>
      </c>
      <c r="J1568" t="s">
        <v>2</v>
      </c>
      <c r="K1568" s="9">
        <v>44726</v>
      </c>
      <c r="L1568" t="s">
        <v>29</v>
      </c>
      <c r="M1568" t="s">
        <v>331</v>
      </c>
      <c r="N1568"/>
      <c r="O1568"/>
      <c r="P1568"/>
      <c r="Q1568" s="9">
        <v>44677</v>
      </c>
      <c r="R1568"/>
      <c r="S1568"/>
      <c r="T1568"/>
      <c r="U1568"/>
    </row>
    <row r="1569" spans="1:21" hidden="1">
      <c r="A1569" s="7" t="s">
        <v>8827</v>
      </c>
      <c r="B1569" s="7" t="s">
        <v>5513</v>
      </c>
      <c r="C1569" s="8" t="s">
        <v>5317</v>
      </c>
      <c r="D1569" t="s">
        <v>1655</v>
      </c>
      <c r="E1569" t="s">
        <v>1658</v>
      </c>
      <c r="F1569" t="s">
        <v>193</v>
      </c>
      <c r="G1569" t="s">
        <v>1673</v>
      </c>
      <c r="H1569" s="9">
        <v>44657</v>
      </c>
      <c r="I1569" t="s">
        <v>1660</v>
      </c>
      <c r="J1569" t="s">
        <v>2</v>
      </c>
      <c r="K1569" s="9">
        <v>44726</v>
      </c>
      <c r="L1569" t="s">
        <v>29</v>
      </c>
      <c r="M1569" t="s">
        <v>331</v>
      </c>
      <c r="N1569"/>
      <c r="O1569"/>
      <c r="P1569"/>
      <c r="Q1569" s="9">
        <v>44677</v>
      </c>
      <c r="R1569"/>
      <c r="S1569"/>
      <c r="T1569"/>
      <c r="U1569"/>
    </row>
    <row r="1570" spans="1:21" hidden="1">
      <c r="A1570" s="7" t="s">
        <v>8827</v>
      </c>
      <c r="B1570" s="7" t="s">
        <v>5513</v>
      </c>
      <c r="C1570" s="8" t="s">
        <v>5317</v>
      </c>
      <c r="D1570" t="s">
        <v>1655</v>
      </c>
      <c r="E1570" t="s">
        <v>1658</v>
      </c>
      <c r="F1570" t="s">
        <v>193</v>
      </c>
      <c r="G1570" t="s">
        <v>1674</v>
      </c>
      <c r="H1570" s="9">
        <v>44657</v>
      </c>
      <c r="I1570" t="s">
        <v>1660</v>
      </c>
      <c r="J1570" t="s">
        <v>2</v>
      </c>
      <c r="K1570" s="9">
        <v>44726</v>
      </c>
      <c r="L1570" t="s">
        <v>29</v>
      </c>
      <c r="M1570" t="s">
        <v>331</v>
      </c>
      <c r="N1570"/>
      <c r="O1570"/>
      <c r="P1570"/>
      <c r="Q1570" s="9">
        <v>44677</v>
      </c>
      <c r="R1570"/>
      <c r="S1570"/>
      <c r="T1570"/>
      <c r="U1570"/>
    </row>
    <row r="1571" spans="1:21" hidden="1">
      <c r="A1571" s="7" t="s">
        <v>8827</v>
      </c>
      <c r="B1571" s="7" t="s">
        <v>5513</v>
      </c>
      <c r="C1571" s="8" t="s">
        <v>5317</v>
      </c>
      <c r="D1571" t="s">
        <v>1655</v>
      </c>
      <c r="E1571" t="s">
        <v>1658</v>
      </c>
      <c r="F1571" t="s">
        <v>193</v>
      </c>
      <c r="G1571" t="s">
        <v>1675</v>
      </c>
      <c r="H1571" s="9">
        <v>44657</v>
      </c>
      <c r="I1571" t="s">
        <v>1660</v>
      </c>
      <c r="J1571" t="s">
        <v>2</v>
      </c>
      <c r="K1571" s="9">
        <v>44726</v>
      </c>
      <c r="L1571" t="s">
        <v>29</v>
      </c>
      <c r="M1571" t="s">
        <v>331</v>
      </c>
      <c r="N1571"/>
      <c r="O1571"/>
      <c r="P1571"/>
      <c r="Q1571" s="9">
        <v>44677</v>
      </c>
      <c r="R1571"/>
      <c r="S1571"/>
      <c r="T1571"/>
      <c r="U1571"/>
    </row>
    <row r="1572" spans="1:21" hidden="1">
      <c r="A1572" s="7" t="s">
        <v>8826</v>
      </c>
      <c r="B1572" s="7" t="s">
        <v>5405</v>
      </c>
      <c r="C1572" s="8" t="s">
        <v>5317</v>
      </c>
      <c r="D1572" t="s">
        <v>1655</v>
      </c>
      <c r="E1572" t="s">
        <v>25</v>
      </c>
      <c r="F1572" t="s">
        <v>117</v>
      </c>
      <c r="G1572" t="s">
        <v>1676</v>
      </c>
      <c r="H1572" s="9">
        <v>44658</v>
      </c>
      <c r="I1572" t="s">
        <v>8634</v>
      </c>
      <c r="J1572" t="s">
        <v>163</v>
      </c>
      <c r="K1572" s="9">
        <v>44693</v>
      </c>
      <c r="L1572" t="s">
        <v>29</v>
      </c>
      <c r="M1572"/>
      <c r="N1572" s="9">
        <v>44686</v>
      </c>
      <c r="O1572" s="9">
        <v>44693</v>
      </c>
      <c r="P1572" s="9">
        <v>44693</v>
      </c>
      <c r="Q1572"/>
      <c r="R1572"/>
      <c r="S1572"/>
      <c r="T1572"/>
      <c r="U1572"/>
    </row>
    <row r="1573" spans="1:21" hidden="1">
      <c r="A1573" s="7" t="s">
        <v>8826</v>
      </c>
      <c r="B1573" s="7" t="s">
        <v>5405</v>
      </c>
      <c r="C1573" s="8" t="s">
        <v>5317</v>
      </c>
      <c r="D1573" t="s">
        <v>1655</v>
      </c>
      <c r="E1573" t="s">
        <v>25</v>
      </c>
      <c r="F1573" t="s">
        <v>117</v>
      </c>
      <c r="G1573" t="s">
        <v>1677</v>
      </c>
      <c r="H1573" s="9">
        <v>44658</v>
      </c>
      <c r="I1573" t="s">
        <v>8634</v>
      </c>
      <c r="J1573" t="s">
        <v>163</v>
      </c>
      <c r="K1573" s="9">
        <v>44693</v>
      </c>
      <c r="L1573" t="s">
        <v>29</v>
      </c>
      <c r="M1573"/>
      <c r="N1573" s="9">
        <v>44686</v>
      </c>
      <c r="O1573" s="9">
        <v>44693</v>
      </c>
      <c r="P1573" s="9">
        <v>44693</v>
      </c>
      <c r="Q1573"/>
      <c r="R1573"/>
      <c r="S1573"/>
      <c r="T1573"/>
      <c r="U1573"/>
    </row>
    <row r="1574" spans="1:21" hidden="1">
      <c r="A1574" s="7" t="s">
        <v>8826</v>
      </c>
      <c r="B1574" s="7" t="s">
        <v>5405</v>
      </c>
      <c r="C1574" s="8" t="s">
        <v>5317</v>
      </c>
      <c r="D1574" t="s">
        <v>1655</v>
      </c>
      <c r="E1574" t="s">
        <v>25</v>
      </c>
      <c r="F1574" t="s">
        <v>117</v>
      </c>
      <c r="G1574" t="s">
        <v>1678</v>
      </c>
      <c r="H1574" s="9">
        <v>44658</v>
      </c>
      <c r="I1574" t="s">
        <v>8634</v>
      </c>
      <c r="J1574" t="s">
        <v>163</v>
      </c>
      <c r="K1574" s="9">
        <v>44693</v>
      </c>
      <c r="L1574" t="s">
        <v>29</v>
      </c>
      <c r="M1574"/>
      <c r="N1574" s="9">
        <v>44686</v>
      </c>
      <c r="O1574" s="9">
        <v>44693</v>
      </c>
      <c r="P1574" s="9">
        <v>44693</v>
      </c>
      <c r="Q1574"/>
      <c r="R1574"/>
      <c r="S1574"/>
      <c r="T1574"/>
      <c r="U1574"/>
    </row>
    <row r="1575" spans="1:21" hidden="1">
      <c r="A1575" s="7" t="s">
        <v>8826</v>
      </c>
      <c r="B1575" s="7" t="s">
        <v>5405</v>
      </c>
      <c r="C1575" s="8" t="s">
        <v>5317</v>
      </c>
      <c r="D1575" t="s">
        <v>1655</v>
      </c>
      <c r="E1575" t="s">
        <v>25</v>
      </c>
      <c r="F1575" t="s">
        <v>117</v>
      </c>
      <c r="G1575" t="s">
        <v>1679</v>
      </c>
      <c r="H1575" s="9">
        <v>44658</v>
      </c>
      <c r="I1575" t="s">
        <v>8634</v>
      </c>
      <c r="J1575" t="s">
        <v>163</v>
      </c>
      <c r="K1575" s="9">
        <v>44693</v>
      </c>
      <c r="L1575" t="s">
        <v>29</v>
      </c>
      <c r="M1575"/>
      <c r="N1575" s="9">
        <v>44686</v>
      </c>
      <c r="O1575" s="9">
        <v>44693</v>
      </c>
      <c r="P1575" s="9">
        <v>44693</v>
      </c>
      <c r="Q1575"/>
      <c r="R1575"/>
      <c r="S1575"/>
      <c r="T1575"/>
      <c r="U1575"/>
    </row>
    <row r="1576" spans="1:21" hidden="1">
      <c r="A1576" s="7" t="s">
        <v>8826</v>
      </c>
      <c r="B1576" s="7" t="s">
        <v>5405</v>
      </c>
      <c r="C1576" s="8" t="s">
        <v>5317</v>
      </c>
      <c r="D1576" t="s">
        <v>1655</v>
      </c>
      <c r="E1576" t="s">
        <v>25</v>
      </c>
      <c r="F1576" t="s">
        <v>117</v>
      </c>
      <c r="G1576" t="s">
        <v>1680</v>
      </c>
      <c r="H1576" s="9">
        <v>44658</v>
      </c>
      <c r="I1576" t="s">
        <v>8634</v>
      </c>
      <c r="J1576" t="s">
        <v>163</v>
      </c>
      <c r="K1576" s="9">
        <v>44693</v>
      </c>
      <c r="L1576" t="s">
        <v>29</v>
      </c>
      <c r="M1576"/>
      <c r="N1576" s="9">
        <v>44686</v>
      </c>
      <c r="O1576" s="9">
        <v>44693</v>
      </c>
      <c r="P1576" s="9">
        <v>44693</v>
      </c>
      <c r="Q1576"/>
      <c r="R1576"/>
      <c r="S1576"/>
      <c r="T1576"/>
      <c r="U1576"/>
    </row>
    <row r="1577" spans="1:21" hidden="1">
      <c r="A1577" s="7" t="s">
        <v>8826</v>
      </c>
      <c r="B1577" s="7" t="s">
        <v>5405</v>
      </c>
      <c r="C1577" s="8" t="s">
        <v>5317</v>
      </c>
      <c r="D1577" t="s">
        <v>1655</v>
      </c>
      <c r="E1577" t="s">
        <v>25</v>
      </c>
      <c r="F1577" t="s">
        <v>117</v>
      </c>
      <c r="G1577" t="s">
        <v>1681</v>
      </c>
      <c r="H1577" s="9">
        <v>44658</v>
      </c>
      <c r="I1577" t="s">
        <v>8634</v>
      </c>
      <c r="J1577" t="s">
        <v>163</v>
      </c>
      <c r="K1577" s="9">
        <v>44693</v>
      </c>
      <c r="L1577" t="s">
        <v>29</v>
      </c>
      <c r="M1577"/>
      <c r="N1577" s="9">
        <v>44686</v>
      </c>
      <c r="O1577" s="9">
        <v>44693</v>
      </c>
      <c r="P1577" s="9">
        <v>44693</v>
      </c>
      <c r="Q1577"/>
      <c r="R1577"/>
      <c r="S1577"/>
      <c r="T1577"/>
      <c r="U1577"/>
    </row>
    <row r="1578" spans="1:21" hidden="1">
      <c r="A1578" s="7" t="s">
        <v>8826</v>
      </c>
      <c r="B1578" s="7" t="s">
        <v>5405</v>
      </c>
      <c r="C1578" s="8" t="s">
        <v>5317</v>
      </c>
      <c r="D1578" t="s">
        <v>1655</v>
      </c>
      <c r="E1578" t="s">
        <v>25</v>
      </c>
      <c r="F1578" t="s">
        <v>117</v>
      </c>
      <c r="G1578" t="s">
        <v>1682</v>
      </c>
      <c r="H1578" s="9">
        <v>44658</v>
      </c>
      <c r="I1578" t="s">
        <v>8634</v>
      </c>
      <c r="J1578" t="s">
        <v>163</v>
      </c>
      <c r="K1578" s="9">
        <v>44693</v>
      </c>
      <c r="L1578" t="s">
        <v>29</v>
      </c>
      <c r="M1578"/>
      <c r="N1578" s="9">
        <v>44686</v>
      </c>
      <c r="O1578" s="9">
        <v>44693</v>
      </c>
      <c r="P1578" s="9">
        <v>44693</v>
      </c>
      <c r="Q1578"/>
      <c r="R1578"/>
      <c r="S1578"/>
      <c r="T1578"/>
      <c r="U1578"/>
    </row>
    <row r="1579" spans="1:21" hidden="1">
      <c r="A1579" s="7" t="s">
        <v>8826</v>
      </c>
      <c r="B1579" s="7" t="s">
        <v>5405</v>
      </c>
      <c r="C1579" s="8" t="s">
        <v>5317</v>
      </c>
      <c r="D1579" t="s">
        <v>1655</v>
      </c>
      <c r="E1579" t="s">
        <v>25</v>
      </c>
      <c r="F1579" t="s">
        <v>117</v>
      </c>
      <c r="G1579" t="s">
        <v>1683</v>
      </c>
      <c r="H1579" s="9">
        <v>44658</v>
      </c>
      <c r="I1579" t="s">
        <v>8634</v>
      </c>
      <c r="J1579" t="s">
        <v>163</v>
      </c>
      <c r="K1579" s="9">
        <v>44693</v>
      </c>
      <c r="L1579" t="s">
        <v>29</v>
      </c>
      <c r="M1579"/>
      <c r="N1579" s="9">
        <v>44686</v>
      </c>
      <c r="O1579" s="9">
        <v>44693</v>
      </c>
      <c r="P1579" s="9">
        <v>44693</v>
      </c>
      <c r="Q1579"/>
      <c r="R1579"/>
      <c r="S1579"/>
      <c r="T1579"/>
      <c r="U1579"/>
    </row>
    <row r="1580" spans="1:21" hidden="1">
      <c r="A1580" s="7" t="s">
        <v>8826</v>
      </c>
      <c r="B1580" s="7" t="s">
        <v>5405</v>
      </c>
      <c r="C1580" s="8" t="s">
        <v>5317</v>
      </c>
      <c r="D1580" t="s">
        <v>1655</v>
      </c>
      <c r="E1580" t="s">
        <v>25</v>
      </c>
      <c r="F1580" t="s">
        <v>117</v>
      </c>
      <c r="G1580" t="s">
        <v>1684</v>
      </c>
      <c r="H1580" s="9">
        <v>44658</v>
      </c>
      <c r="I1580" t="s">
        <v>8634</v>
      </c>
      <c r="J1580" t="s">
        <v>0</v>
      </c>
      <c r="K1580" s="9">
        <v>44827</v>
      </c>
      <c r="L1580" t="s">
        <v>29</v>
      </c>
      <c r="M1580"/>
      <c r="N1580" s="9">
        <v>44686</v>
      </c>
      <c r="O1580" s="9">
        <v>44693</v>
      </c>
      <c r="P1580" s="9">
        <v>44693</v>
      </c>
      <c r="Q1580" s="9">
        <v>44827</v>
      </c>
      <c r="R1580"/>
      <c r="S1580"/>
      <c r="T1580"/>
      <c r="U1580"/>
    </row>
    <row r="1581" spans="1:21" hidden="1">
      <c r="A1581" s="7" t="s">
        <v>8826</v>
      </c>
      <c r="B1581" s="7" t="s">
        <v>5405</v>
      </c>
      <c r="C1581" s="8" t="s">
        <v>5317</v>
      </c>
      <c r="D1581" t="s">
        <v>1655</v>
      </c>
      <c r="E1581" t="s">
        <v>25</v>
      </c>
      <c r="F1581" t="s">
        <v>117</v>
      </c>
      <c r="G1581" t="s">
        <v>1685</v>
      </c>
      <c r="H1581" s="9">
        <v>44658</v>
      </c>
      <c r="I1581" t="s">
        <v>8634</v>
      </c>
      <c r="J1581" t="s">
        <v>163</v>
      </c>
      <c r="K1581" s="9">
        <v>44693</v>
      </c>
      <c r="L1581" t="s">
        <v>29</v>
      </c>
      <c r="M1581"/>
      <c r="N1581" s="9">
        <v>44686</v>
      </c>
      <c r="O1581" s="9">
        <v>44693</v>
      </c>
      <c r="P1581" s="9">
        <v>44693</v>
      </c>
      <c r="Q1581"/>
      <c r="R1581"/>
      <c r="S1581"/>
      <c r="T1581"/>
      <c r="U1581"/>
    </row>
    <row r="1582" spans="1:21" hidden="1">
      <c r="A1582" s="7" t="s">
        <v>8816</v>
      </c>
      <c r="B1582" s="7" t="s">
        <v>7729</v>
      </c>
      <c r="C1582" s="8" t="s">
        <v>5317</v>
      </c>
      <c r="D1582" t="s">
        <v>164</v>
      </c>
      <c r="E1582" t="s">
        <v>1072</v>
      </c>
      <c r="F1582" t="s">
        <v>117</v>
      </c>
      <c r="G1582" t="s">
        <v>1073</v>
      </c>
      <c r="H1582" s="9">
        <v>44657</v>
      </c>
      <c r="I1582" t="s">
        <v>1070</v>
      </c>
      <c r="J1582" t="s">
        <v>2</v>
      </c>
      <c r="K1582" s="9">
        <v>44726</v>
      </c>
      <c r="L1582" t="s">
        <v>29</v>
      </c>
      <c r="M1582" t="s">
        <v>1686</v>
      </c>
      <c r="N1582" s="9">
        <v>44686</v>
      </c>
      <c r="O1582" s="9">
        <v>44693</v>
      </c>
      <c r="P1582" s="9">
        <v>44693</v>
      </c>
      <c r="Q1582"/>
      <c r="R1582"/>
      <c r="S1582"/>
      <c r="T1582"/>
      <c r="U1582"/>
    </row>
    <row r="1583" spans="1:21" hidden="1">
      <c r="A1583" s="7" t="s">
        <v>8816</v>
      </c>
      <c r="B1583" s="7" t="s">
        <v>7729</v>
      </c>
      <c r="C1583" s="8" t="s">
        <v>5317</v>
      </c>
      <c r="D1583" t="s">
        <v>164</v>
      </c>
      <c r="E1583" t="s">
        <v>1072</v>
      </c>
      <c r="F1583" t="s">
        <v>117</v>
      </c>
      <c r="G1583" t="s">
        <v>1074</v>
      </c>
      <c r="H1583" s="9">
        <v>44657</v>
      </c>
      <c r="I1583" t="s">
        <v>1070</v>
      </c>
      <c r="J1583" t="s">
        <v>2</v>
      </c>
      <c r="K1583" s="9">
        <v>44726</v>
      </c>
      <c r="L1583" t="s">
        <v>29</v>
      </c>
      <c r="M1583" t="s">
        <v>1686</v>
      </c>
      <c r="N1583" s="9">
        <v>44686</v>
      </c>
      <c r="O1583" s="9">
        <v>44693</v>
      </c>
      <c r="P1583" s="9">
        <v>44693</v>
      </c>
      <c r="Q1583"/>
      <c r="R1583"/>
      <c r="S1583"/>
      <c r="T1583"/>
      <c r="U1583"/>
    </row>
    <row r="1584" spans="1:21" hidden="1">
      <c r="A1584" s="7" t="s">
        <v>8828</v>
      </c>
      <c r="B1584" s="7" t="s">
        <v>5405</v>
      </c>
      <c r="C1584" s="8" t="s">
        <v>5317</v>
      </c>
      <c r="D1584" t="s">
        <v>164</v>
      </c>
      <c r="E1584" t="s">
        <v>25</v>
      </c>
      <c r="F1584" t="s">
        <v>1687</v>
      </c>
      <c r="G1584" t="s">
        <v>1688</v>
      </c>
      <c r="H1584" s="9">
        <v>44657</v>
      </c>
      <c r="I1584" t="s">
        <v>8634</v>
      </c>
      <c r="J1584" t="s">
        <v>163</v>
      </c>
      <c r="K1584" s="9">
        <v>44693</v>
      </c>
      <c r="L1584" t="s">
        <v>29</v>
      </c>
      <c r="M1584"/>
      <c r="N1584" s="9">
        <v>44686</v>
      </c>
      <c r="O1584" s="9">
        <v>44693</v>
      </c>
      <c r="P1584" s="9">
        <v>44693</v>
      </c>
      <c r="Q1584"/>
      <c r="R1584"/>
      <c r="S1584"/>
      <c r="T1584"/>
      <c r="U1584"/>
    </row>
    <row r="1585" spans="1:21" hidden="1">
      <c r="A1585" s="7" t="s">
        <v>8743</v>
      </c>
      <c r="B1585" s="7" t="s">
        <v>7376</v>
      </c>
      <c r="C1585" s="8" t="s">
        <v>5317</v>
      </c>
      <c r="D1585" t="s">
        <v>164</v>
      </c>
      <c r="E1585" t="s">
        <v>328</v>
      </c>
      <c r="F1585" t="s">
        <v>117</v>
      </c>
      <c r="G1585" t="s">
        <v>1689</v>
      </c>
      <c r="H1585" s="9">
        <v>44657</v>
      </c>
      <c r="I1585" t="s">
        <v>330</v>
      </c>
      <c r="J1585" t="s">
        <v>2</v>
      </c>
      <c r="K1585" s="9">
        <v>44726</v>
      </c>
      <c r="L1585" t="s">
        <v>29</v>
      </c>
      <c r="M1585" t="s">
        <v>1686</v>
      </c>
      <c r="N1585" s="9">
        <v>44686</v>
      </c>
      <c r="O1585" s="9">
        <v>44693</v>
      </c>
      <c r="P1585" s="9">
        <v>44693</v>
      </c>
      <c r="Q1585"/>
      <c r="R1585"/>
      <c r="S1585"/>
      <c r="T1585"/>
      <c r="U1585"/>
    </row>
    <row r="1586" spans="1:21" hidden="1">
      <c r="A1586" s="7" t="s">
        <v>8828</v>
      </c>
      <c r="B1586" s="7" t="s">
        <v>5405</v>
      </c>
      <c r="C1586" s="8" t="s">
        <v>5317</v>
      </c>
      <c r="D1586" t="s">
        <v>164</v>
      </c>
      <c r="E1586" t="s">
        <v>25</v>
      </c>
      <c r="F1586" t="s">
        <v>1687</v>
      </c>
      <c r="G1586" t="s">
        <v>1690</v>
      </c>
      <c r="H1586" s="9">
        <v>44657</v>
      </c>
      <c r="I1586" t="s">
        <v>8634</v>
      </c>
      <c r="J1586" t="s">
        <v>163</v>
      </c>
      <c r="K1586" s="9">
        <v>44693</v>
      </c>
      <c r="L1586" t="s">
        <v>29</v>
      </c>
      <c r="M1586"/>
      <c r="N1586" s="9">
        <v>44686</v>
      </c>
      <c r="O1586" s="9">
        <v>44693</v>
      </c>
      <c r="P1586" s="9">
        <v>44693</v>
      </c>
      <c r="Q1586"/>
      <c r="R1586"/>
      <c r="S1586"/>
      <c r="T1586"/>
      <c r="U1586"/>
    </row>
    <row r="1587" spans="1:21" hidden="1">
      <c r="A1587" s="7" t="s">
        <v>8737</v>
      </c>
      <c r="B1587" s="7" t="s">
        <v>6549</v>
      </c>
      <c r="C1587" s="8" t="s">
        <v>5317</v>
      </c>
      <c r="D1587" t="s">
        <v>164</v>
      </c>
      <c r="E1587" t="s">
        <v>273</v>
      </c>
      <c r="F1587" t="s">
        <v>280</v>
      </c>
      <c r="G1587" t="s">
        <v>1691</v>
      </c>
      <c r="H1587" s="9">
        <v>44657</v>
      </c>
      <c r="I1587" t="s">
        <v>282</v>
      </c>
      <c r="J1587" t="s">
        <v>2</v>
      </c>
      <c r="K1587" s="9">
        <v>44873.5401851852</v>
      </c>
      <c r="L1587" t="s">
        <v>29</v>
      </c>
      <c r="M1587" t="s">
        <v>1686</v>
      </c>
      <c r="N1587" s="9">
        <v>44686</v>
      </c>
      <c r="O1587" s="9">
        <v>44693</v>
      </c>
      <c r="P1587" s="9">
        <v>44693</v>
      </c>
      <c r="Q1587" s="9">
        <v>44882</v>
      </c>
      <c r="R1587" s="9">
        <v>44873.538483796299</v>
      </c>
      <c r="S1587"/>
      <c r="T1587"/>
      <c r="U1587"/>
    </row>
    <row r="1588" spans="1:21" hidden="1">
      <c r="A1588" s="7" t="s">
        <v>8737</v>
      </c>
      <c r="B1588" s="7" t="s">
        <v>6549</v>
      </c>
      <c r="C1588" s="8" t="s">
        <v>5317</v>
      </c>
      <c r="D1588" t="s">
        <v>164</v>
      </c>
      <c r="E1588" t="s">
        <v>273</v>
      </c>
      <c r="F1588" t="s">
        <v>280</v>
      </c>
      <c r="G1588" t="s">
        <v>1692</v>
      </c>
      <c r="H1588" s="9">
        <v>44657</v>
      </c>
      <c r="I1588" t="s">
        <v>282</v>
      </c>
      <c r="J1588" t="s">
        <v>2</v>
      </c>
      <c r="K1588" s="9">
        <v>44873.5401851852</v>
      </c>
      <c r="L1588" t="s">
        <v>29</v>
      </c>
      <c r="M1588" t="s">
        <v>1686</v>
      </c>
      <c r="N1588" s="9">
        <v>44686</v>
      </c>
      <c r="O1588" s="9">
        <v>44693</v>
      </c>
      <c r="P1588" s="9">
        <v>44693</v>
      </c>
      <c r="Q1588" s="9">
        <v>44882</v>
      </c>
      <c r="R1588" s="9">
        <v>44873.538483796299</v>
      </c>
      <c r="S1588"/>
      <c r="T1588"/>
      <c r="U1588"/>
    </row>
    <row r="1589" spans="1:21" hidden="1">
      <c r="A1589" s="7" t="s">
        <v>8739</v>
      </c>
      <c r="B1589" s="7" t="s">
        <v>6549</v>
      </c>
      <c r="C1589" s="8" t="s">
        <v>5317</v>
      </c>
      <c r="D1589" t="s">
        <v>164</v>
      </c>
      <c r="E1589" t="s">
        <v>273</v>
      </c>
      <c r="F1589" t="s">
        <v>103</v>
      </c>
      <c r="G1589" t="s">
        <v>299</v>
      </c>
      <c r="H1589" s="9">
        <v>44657</v>
      </c>
      <c r="I1589" t="s">
        <v>282</v>
      </c>
      <c r="J1589" t="s">
        <v>2</v>
      </c>
      <c r="K1589" s="9">
        <v>44726</v>
      </c>
      <c r="L1589" t="s">
        <v>29</v>
      </c>
      <c r="M1589" t="s">
        <v>1686</v>
      </c>
      <c r="N1589" s="9">
        <v>44686</v>
      </c>
      <c r="O1589" s="9">
        <v>44693</v>
      </c>
      <c r="P1589" s="9">
        <v>44693</v>
      </c>
      <c r="Q1589"/>
      <c r="R1589"/>
      <c r="S1589"/>
      <c r="T1589"/>
      <c r="U1589"/>
    </row>
    <row r="1590" spans="1:21" hidden="1">
      <c r="A1590" s="7" t="s">
        <v>8737</v>
      </c>
      <c r="B1590" s="7" t="s">
        <v>6549</v>
      </c>
      <c r="C1590" s="8" t="s">
        <v>5317</v>
      </c>
      <c r="D1590" t="s">
        <v>164</v>
      </c>
      <c r="E1590" t="s">
        <v>273</v>
      </c>
      <c r="F1590" t="s">
        <v>280</v>
      </c>
      <c r="G1590" t="s">
        <v>1693</v>
      </c>
      <c r="H1590" s="9">
        <v>44657</v>
      </c>
      <c r="I1590" t="s">
        <v>282</v>
      </c>
      <c r="J1590" t="s">
        <v>2</v>
      </c>
      <c r="K1590" s="9">
        <v>44873.5401851852</v>
      </c>
      <c r="L1590" t="s">
        <v>29</v>
      </c>
      <c r="M1590" t="s">
        <v>331</v>
      </c>
      <c r="N1590" s="9">
        <v>44686</v>
      </c>
      <c r="O1590" s="9">
        <v>44693</v>
      </c>
      <c r="P1590" s="9">
        <v>44693</v>
      </c>
      <c r="Q1590" s="9">
        <v>44882</v>
      </c>
      <c r="R1590" s="9">
        <v>44873.538483796299</v>
      </c>
      <c r="S1590"/>
      <c r="T1590"/>
      <c r="U1590"/>
    </row>
    <row r="1591" spans="1:21" hidden="1">
      <c r="A1591" s="7" t="s">
        <v>8739</v>
      </c>
      <c r="B1591" s="7" t="s">
        <v>6549</v>
      </c>
      <c r="C1591" s="8" t="s">
        <v>5317</v>
      </c>
      <c r="D1591" t="s">
        <v>164</v>
      </c>
      <c r="E1591" t="s">
        <v>273</v>
      </c>
      <c r="F1591" t="s">
        <v>103</v>
      </c>
      <c r="G1591" t="s">
        <v>300</v>
      </c>
      <c r="H1591" s="9">
        <v>44657</v>
      </c>
      <c r="I1591" t="s">
        <v>282</v>
      </c>
      <c r="J1591" t="s">
        <v>2</v>
      </c>
      <c r="K1591" s="9">
        <v>44726</v>
      </c>
      <c r="L1591" t="s">
        <v>29</v>
      </c>
      <c r="M1591" t="s">
        <v>1686</v>
      </c>
      <c r="N1591" s="9">
        <v>44686</v>
      </c>
      <c r="O1591" s="9">
        <v>44693</v>
      </c>
      <c r="P1591" s="9">
        <v>44693</v>
      </c>
      <c r="Q1591"/>
      <c r="R1591"/>
      <c r="S1591"/>
      <c r="T1591"/>
      <c r="U1591"/>
    </row>
    <row r="1592" spans="1:21" hidden="1">
      <c r="A1592" s="7" t="s">
        <v>8737</v>
      </c>
      <c r="B1592" s="7" t="s">
        <v>6549</v>
      </c>
      <c r="C1592" s="8" t="s">
        <v>5317</v>
      </c>
      <c r="D1592" t="s">
        <v>164</v>
      </c>
      <c r="E1592" t="s">
        <v>273</v>
      </c>
      <c r="F1592" t="s">
        <v>280</v>
      </c>
      <c r="G1592" t="s">
        <v>1121</v>
      </c>
      <c r="H1592" s="9">
        <v>44657</v>
      </c>
      <c r="I1592" t="s">
        <v>282</v>
      </c>
      <c r="J1592" t="s">
        <v>2</v>
      </c>
      <c r="K1592" s="9">
        <v>44873.5401851852</v>
      </c>
      <c r="L1592" t="s">
        <v>29</v>
      </c>
      <c r="M1592" t="s">
        <v>1686</v>
      </c>
      <c r="N1592" s="9">
        <v>44686</v>
      </c>
      <c r="O1592" s="9">
        <v>44693</v>
      </c>
      <c r="P1592" s="9">
        <v>44693</v>
      </c>
      <c r="Q1592" s="9">
        <v>44882</v>
      </c>
      <c r="R1592" s="9">
        <v>44873.538483796299</v>
      </c>
      <c r="S1592"/>
      <c r="T1592"/>
      <c r="U1592"/>
    </row>
    <row r="1593" spans="1:21" hidden="1">
      <c r="A1593" s="7" t="s">
        <v>8739</v>
      </c>
      <c r="B1593" s="7" t="s">
        <v>6549</v>
      </c>
      <c r="C1593" s="8" t="s">
        <v>5317</v>
      </c>
      <c r="D1593" t="s">
        <v>164</v>
      </c>
      <c r="E1593" t="s">
        <v>273</v>
      </c>
      <c r="F1593" t="s">
        <v>103</v>
      </c>
      <c r="G1593" t="s">
        <v>1694</v>
      </c>
      <c r="H1593" s="9">
        <v>44657</v>
      </c>
      <c r="I1593" t="s">
        <v>282</v>
      </c>
      <c r="J1593" t="s">
        <v>2</v>
      </c>
      <c r="K1593" s="9">
        <v>44726</v>
      </c>
      <c r="L1593" t="s">
        <v>29</v>
      </c>
      <c r="M1593" t="s">
        <v>1686</v>
      </c>
      <c r="N1593" s="9">
        <v>44686</v>
      </c>
      <c r="O1593" s="9">
        <v>44693</v>
      </c>
      <c r="P1593" s="9">
        <v>44693</v>
      </c>
      <c r="Q1593"/>
      <c r="R1593"/>
      <c r="S1593"/>
      <c r="T1593"/>
      <c r="U1593"/>
    </row>
    <row r="1594" spans="1:21" hidden="1">
      <c r="A1594" s="7" t="s">
        <v>8737</v>
      </c>
      <c r="B1594" s="7" t="s">
        <v>6549</v>
      </c>
      <c r="C1594" s="8" t="s">
        <v>5317</v>
      </c>
      <c r="D1594" t="s">
        <v>164</v>
      </c>
      <c r="E1594" t="s">
        <v>273</v>
      </c>
      <c r="F1594" t="s">
        <v>280</v>
      </c>
      <c r="G1594" t="s">
        <v>1695</v>
      </c>
      <c r="H1594" s="9">
        <v>44657</v>
      </c>
      <c r="I1594" t="s">
        <v>282</v>
      </c>
      <c r="J1594" t="s">
        <v>2</v>
      </c>
      <c r="K1594" s="9">
        <v>44873.5401851852</v>
      </c>
      <c r="L1594" t="s">
        <v>29</v>
      </c>
      <c r="M1594" t="s">
        <v>1686</v>
      </c>
      <c r="N1594" s="9">
        <v>44686</v>
      </c>
      <c r="O1594" s="9">
        <v>44693</v>
      </c>
      <c r="P1594" s="9">
        <v>44693</v>
      </c>
      <c r="Q1594" s="9">
        <v>44882</v>
      </c>
      <c r="R1594" s="9">
        <v>44873.538483796299</v>
      </c>
      <c r="S1594"/>
      <c r="T1594"/>
      <c r="U1594"/>
    </row>
    <row r="1595" spans="1:21" hidden="1">
      <c r="A1595" s="7" t="s">
        <v>8738</v>
      </c>
      <c r="B1595" s="7" t="s">
        <v>6549</v>
      </c>
      <c r="C1595" s="8" t="s">
        <v>5317</v>
      </c>
      <c r="D1595" t="s">
        <v>164</v>
      </c>
      <c r="E1595" t="s">
        <v>273</v>
      </c>
      <c r="F1595" t="s">
        <v>97</v>
      </c>
      <c r="G1595" t="s">
        <v>1696</v>
      </c>
      <c r="H1595" s="9">
        <v>44657</v>
      </c>
      <c r="I1595" t="s">
        <v>297</v>
      </c>
      <c r="J1595" t="s">
        <v>0</v>
      </c>
      <c r="K1595" s="9">
        <v>44676</v>
      </c>
      <c r="L1595" t="s">
        <v>29</v>
      </c>
      <c r="M1595"/>
      <c r="N1595"/>
      <c r="O1595"/>
      <c r="P1595"/>
      <c r="Q1595" s="9">
        <v>44676</v>
      </c>
      <c r="R1595"/>
      <c r="S1595"/>
      <c r="T1595"/>
      <c r="U1595"/>
    </row>
    <row r="1596" spans="1:21" hidden="1">
      <c r="A1596" s="7" t="s">
        <v>8738</v>
      </c>
      <c r="B1596" s="7" t="s">
        <v>6549</v>
      </c>
      <c r="C1596" s="8" t="s">
        <v>5317</v>
      </c>
      <c r="D1596" t="s">
        <v>164</v>
      </c>
      <c r="E1596" t="s">
        <v>273</v>
      </c>
      <c r="F1596" t="s">
        <v>97</v>
      </c>
      <c r="G1596" t="s">
        <v>1697</v>
      </c>
      <c r="H1596" s="9">
        <v>44657</v>
      </c>
      <c r="I1596" t="s">
        <v>297</v>
      </c>
      <c r="J1596" t="s">
        <v>2</v>
      </c>
      <c r="K1596" s="9">
        <v>44762</v>
      </c>
      <c r="L1596" t="s">
        <v>29</v>
      </c>
      <c r="M1596" t="s">
        <v>1686</v>
      </c>
      <c r="N1596"/>
      <c r="O1596"/>
      <c r="P1596"/>
      <c r="Q1596" s="9">
        <v>44676</v>
      </c>
      <c r="R1596"/>
      <c r="S1596"/>
      <c r="T1596"/>
      <c r="U1596"/>
    </row>
    <row r="1597" spans="1:21" hidden="1">
      <c r="A1597" s="7" t="s">
        <v>8737</v>
      </c>
      <c r="B1597" s="7" t="s">
        <v>6549</v>
      </c>
      <c r="C1597" s="8" t="s">
        <v>5317</v>
      </c>
      <c r="D1597" t="s">
        <v>164</v>
      </c>
      <c r="E1597" t="s">
        <v>273</v>
      </c>
      <c r="F1597" t="s">
        <v>280</v>
      </c>
      <c r="G1597" t="s">
        <v>1698</v>
      </c>
      <c r="H1597" s="9">
        <v>44657</v>
      </c>
      <c r="I1597" t="s">
        <v>282</v>
      </c>
      <c r="J1597" t="s">
        <v>2</v>
      </c>
      <c r="K1597" s="9">
        <v>44873.5401851852</v>
      </c>
      <c r="L1597" t="s">
        <v>29</v>
      </c>
      <c r="M1597" t="s">
        <v>1686</v>
      </c>
      <c r="N1597" s="9">
        <v>44686</v>
      </c>
      <c r="O1597" s="9">
        <v>44693</v>
      </c>
      <c r="P1597" s="9">
        <v>44693</v>
      </c>
      <c r="Q1597" s="9">
        <v>44882</v>
      </c>
      <c r="R1597" s="9">
        <v>44873.538483796299</v>
      </c>
      <c r="S1597"/>
      <c r="T1597"/>
      <c r="U1597"/>
    </row>
    <row r="1598" spans="1:21" hidden="1">
      <c r="A1598" s="7" t="s">
        <v>8737</v>
      </c>
      <c r="B1598" s="7" t="s">
        <v>6549</v>
      </c>
      <c r="C1598" s="8" t="s">
        <v>5317</v>
      </c>
      <c r="D1598" t="s">
        <v>164</v>
      </c>
      <c r="E1598" t="s">
        <v>273</v>
      </c>
      <c r="F1598" t="s">
        <v>280</v>
      </c>
      <c r="G1598" t="s">
        <v>1122</v>
      </c>
      <c r="H1598" s="9">
        <v>44657</v>
      </c>
      <c r="I1598" t="s">
        <v>282</v>
      </c>
      <c r="J1598" t="s">
        <v>2</v>
      </c>
      <c r="K1598" s="9">
        <v>44873.5401851852</v>
      </c>
      <c r="L1598" t="s">
        <v>29</v>
      </c>
      <c r="M1598" t="s">
        <v>1686</v>
      </c>
      <c r="N1598" s="9">
        <v>44686</v>
      </c>
      <c r="O1598" s="9">
        <v>44693</v>
      </c>
      <c r="P1598" s="9">
        <v>44693</v>
      </c>
      <c r="Q1598" s="9">
        <v>44882</v>
      </c>
      <c r="R1598" s="9">
        <v>44873.538483796299</v>
      </c>
      <c r="S1598"/>
      <c r="T1598"/>
      <c r="U1598"/>
    </row>
    <row r="1599" spans="1:21" hidden="1">
      <c r="A1599" s="7" t="s">
        <v>8738</v>
      </c>
      <c r="B1599" s="7" t="s">
        <v>6549</v>
      </c>
      <c r="C1599" s="8" t="s">
        <v>5317</v>
      </c>
      <c r="D1599" t="s">
        <v>164</v>
      </c>
      <c r="E1599" t="s">
        <v>273</v>
      </c>
      <c r="F1599" t="s">
        <v>97</v>
      </c>
      <c r="G1599" t="s">
        <v>1699</v>
      </c>
      <c r="H1599" s="9">
        <v>44657</v>
      </c>
      <c r="I1599" t="s">
        <v>297</v>
      </c>
      <c r="J1599" t="s">
        <v>2</v>
      </c>
      <c r="K1599" s="9">
        <v>44762</v>
      </c>
      <c r="L1599" t="s">
        <v>29</v>
      </c>
      <c r="M1599" t="s">
        <v>1686</v>
      </c>
      <c r="N1599"/>
      <c r="O1599"/>
      <c r="P1599"/>
      <c r="Q1599" s="9">
        <v>44676</v>
      </c>
      <c r="R1599"/>
      <c r="S1599"/>
      <c r="T1599"/>
      <c r="U1599"/>
    </row>
    <row r="1600" spans="1:21" hidden="1">
      <c r="A1600" s="7" t="s">
        <v>8737</v>
      </c>
      <c r="B1600" s="7" t="s">
        <v>6549</v>
      </c>
      <c r="C1600" s="8" t="s">
        <v>5317</v>
      </c>
      <c r="D1600" t="s">
        <v>164</v>
      </c>
      <c r="E1600" t="s">
        <v>273</v>
      </c>
      <c r="F1600" t="s">
        <v>280</v>
      </c>
      <c r="G1600" t="s">
        <v>1700</v>
      </c>
      <c r="H1600" s="9">
        <v>44657</v>
      </c>
      <c r="I1600" t="s">
        <v>282</v>
      </c>
      <c r="J1600" t="s">
        <v>2</v>
      </c>
      <c r="K1600" s="9">
        <v>44873.5401851852</v>
      </c>
      <c r="L1600" t="s">
        <v>29</v>
      </c>
      <c r="M1600" t="s">
        <v>1686</v>
      </c>
      <c r="N1600" s="9">
        <v>44686</v>
      </c>
      <c r="O1600" s="9">
        <v>44693</v>
      </c>
      <c r="P1600" s="9">
        <v>44693</v>
      </c>
      <c r="Q1600" s="9">
        <v>44882</v>
      </c>
      <c r="R1600" s="9">
        <v>44873.538483796299</v>
      </c>
      <c r="S1600"/>
      <c r="T1600"/>
      <c r="U1600"/>
    </row>
    <row r="1601" spans="1:21" hidden="1">
      <c r="A1601" s="7" t="s">
        <v>8738</v>
      </c>
      <c r="B1601" s="7" t="s">
        <v>6549</v>
      </c>
      <c r="C1601" s="8" t="s">
        <v>5317</v>
      </c>
      <c r="D1601" t="s">
        <v>164</v>
      </c>
      <c r="E1601" t="s">
        <v>273</v>
      </c>
      <c r="F1601" t="s">
        <v>97</v>
      </c>
      <c r="G1601" t="s">
        <v>1701</v>
      </c>
      <c r="H1601" s="9">
        <v>44657</v>
      </c>
      <c r="I1601" t="s">
        <v>297</v>
      </c>
      <c r="J1601" t="s">
        <v>2</v>
      </c>
      <c r="K1601" s="9">
        <v>44762</v>
      </c>
      <c r="L1601" t="s">
        <v>29</v>
      </c>
      <c r="M1601" t="s">
        <v>1686</v>
      </c>
      <c r="N1601"/>
      <c r="O1601"/>
      <c r="P1601"/>
      <c r="Q1601" s="9">
        <v>44676</v>
      </c>
      <c r="R1601"/>
      <c r="S1601"/>
      <c r="T1601"/>
      <c r="U1601"/>
    </row>
    <row r="1602" spans="1:21" hidden="1">
      <c r="A1602" s="7" t="s">
        <v>8737</v>
      </c>
      <c r="B1602" s="7" t="s">
        <v>6549</v>
      </c>
      <c r="C1602" s="8" t="s">
        <v>5317</v>
      </c>
      <c r="D1602" t="s">
        <v>164</v>
      </c>
      <c r="E1602" t="s">
        <v>273</v>
      </c>
      <c r="F1602" t="s">
        <v>280</v>
      </c>
      <c r="G1602" t="s">
        <v>1702</v>
      </c>
      <c r="H1602" s="9">
        <v>44657</v>
      </c>
      <c r="I1602" t="s">
        <v>282</v>
      </c>
      <c r="J1602" t="s">
        <v>2</v>
      </c>
      <c r="K1602" s="9">
        <v>44873.5401851852</v>
      </c>
      <c r="L1602" t="s">
        <v>29</v>
      </c>
      <c r="M1602" t="s">
        <v>1686</v>
      </c>
      <c r="N1602" s="9">
        <v>44686</v>
      </c>
      <c r="O1602" s="9">
        <v>44693</v>
      </c>
      <c r="P1602" s="9">
        <v>44693</v>
      </c>
      <c r="Q1602" s="9">
        <v>44882</v>
      </c>
      <c r="R1602" s="9">
        <v>44873.538483796299</v>
      </c>
      <c r="S1602"/>
      <c r="T1602"/>
      <c r="U1602"/>
    </row>
    <row r="1603" spans="1:21" hidden="1">
      <c r="A1603" s="7" t="s">
        <v>8737</v>
      </c>
      <c r="B1603" s="7" t="s">
        <v>6549</v>
      </c>
      <c r="C1603" s="8" t="s">
        <v>5317</v>
      </c>
      <c r="D1603" t="s">
        <v>164</v>
      </c>
      <c r="E1603" t="s">
        <v>273</v>
      </c>
      <c r="F1603" t="s">
        <v>280</v>
      </c>
      <c r="G1603" t="s">
        <v>1703</v>
      </c>
      <c r="H1603" s="9">
        <v>44657</v>
      </c>
      <c r="I1603" t="s">
        <v>282</v>
      </c>
      <c r="J1603" t="s">
        <v>2</v>
      </c>
      <c r="K1603" s="9">
        <v>44873.5401851852</v>
      </c>
      <c r="L1603" t="s">
        <v>29</v>
      </c>
      <c r="M1603" t="s">
        <v>1686</v>
      </c>
      <c r="N1603" s="9">
        <v>44686</v>
      </c>
      <c r="O1603" s="9">
        <v>44693</v>
      </c>
      <c r="P1603" s="9">
        <v>44693</v>
      </c>
      <c r="Q1603" s="9">
        <v>44882</v>
      </c>
      <c r="R1603" s="9">
        <v>44873.538483796299</v>
      </c>
      <c r="S1603"/>
      <c r="T1603"/>
      <c r="U1603"/>
    </row>
    <row r="1604" spans="1:21" hidden="1">
      <c r="A1604" s="7" t="s">
        <v>8739</v>
      </c>
      <c r="B1604" s="7" t="s">
        <v>6549</v>
      </c>
      <c r="C1604" s="8" t="s">
        <v>5317</v>
      </c>
      <c r="D1604" t="s">
        <v>164</v>
      </c>
      <c r="E1604" t="s">
        <v>273</v>
      </c>
      <c r="F1604" t="s">
        <v>103</v>
      </c>
      <c r="G1604" t="s">
        <v>1704</v>
      </c>
      <c r="H1604" s="9">
        <v>44657</v>
      </c>
      <c r="I1604" t="s">
        <v>282</v>
      </c>
      <c r="J1604" t="s">
        <v>2</v>
      </c>
      <c r="K1604" s="9">
        <v>44726</v>
      </c>
      <c r="L1604" t="s">
        <v>29</v>
      </c>
      <c r="M1604" t="s">
        <v>1686</v>
      </c>
      <c r="N1604" s="9">
        <v>44686</v>
      </c>
      <c r="O1604" s="9">
        <v>44693</v>
      </c>
      <c r="P1604" s="9">
        <v>44693</v>
      </c>
      <c r="Q1604"/>
      <c r="R1604"/>
      <c r="S1604"/>
      <c r="T1604"/>
      <c r="U1604"/>
    </row>
    <row r="1605" spans="1:21" hidden="1">
      <c r="A1605" s="7" t="s">
        <v>8738</v>
      </c>
      <c r="B1605" s="7" t="s">
        <v>6549</v>
      </c>
      <c r="C1605" s="8" t="s">
        <v>5317</v>
      </c>
      <c r="D1605" t="s">
        <v>164</v>
      </c>
      <c r="E1605" t="s">
        <v>273</v>
      </c>
      <c r="F1605" t="s">
        <v>97</v>
      </c>
      <c r="G1605" t="s">
        <v>1705</v>
      </c>
      <c r="H1605" s="9">
        <v>44657</v>
      </c>
      <c r="I1605" t="s">
        <v>297</v>
      </c>
      <c r="J1605" t="s">
        <v>2</v>
      </c>
      <c r="K1605" s="9">
        <v>44762</v>
      </c>
      <c r="L1605" t="s">
        <v>29</v>
      </c>
      <c r="M1605" t="s">
        <v>1686</v>
      </c>
      <c r="N1605"/>
      <c r="O1605"/>
      <c r="P1605"/>
      <c r="Q1605" s="9">
        <v>44676</v>
      </c>
      <c r="R1605"/>
      <c r="S1605"/>
      <c r="T1605"/>
      <c r="U1605"/>
    </row>
    <row r="1606" spans="1:21" hidden="1">
      <c r="A1606" s="7" t="s">
        <v>8737</v>
      </c>
      <c r="B1606" s="7" t="s">
        <v>6549</v>
      </c>
      <c r="C1606" s="8" t="s">
        <v>5317</v>
      </c>
      <c r="D1606" t="s">
        <v>164</v>
      </c>
      <c r="E1606" t="s">
        <v>273</v>
      </c>
      <c r="F1606" t="s">
        <v>280</v>
      </c>
      <c r="G1606" t="s">
        <v>1706</v>
      </c>
      <c r="H1606" s="9">
        <v>44657</v>
      </c>
      <c r="I1606" t="s">
        <v>282</v>
      </c>
      <c r="J1606" t="s">
        <v>2</v>
      </c>
      <c r="K1606" s="9">
        <v>44873.5401851852</v>
      </c>
      <c r="L1606" t="s">
        <v>29</v>
      </c>
      <c r="M1606" t="s">
        <v>1686</v>
      </c>
      <c r="N1606" s="9">
        <v>44686</v>
      </c>
      <c r="O1606" s="9">
        <v>44693</v>
      </c>
      <c r="P1606" s="9">
        <v>44693</v>
      </c>
      <c r="Q1606" s="9">
        <v>44882</v>
      </c>
      <c r="R1606" s="9">
        <v>44873.538483796299</v>
      </c>
      <c r="S1606"/>
      <c r="T1606"/>
      <c r="U1606"/>
    </row>
    <row r="1607" spans="1:21" hidden="1">
      <c r="A1607" s="7" t="s">
        <v>8737</v>
      </c>
      <c r="B1607" s="7" t="s">
        <v>6549</v>
      </c>
      <c r="C1607" s="8" t="s">
        <v>5317</v>
      </c>
      <c r="D1607" t="s">
        <v>164</v>
      </c>
      <c r="E1607" t="s">
        <v>273</v>
      </c>
      <c r="F1607" t="s">
        <v>280</v>
      </c>
      <c r="G1607" t="s">
        <v>1124</v>
      </c>
      <c r="H1607" s="9">
        <v>44657</v>
      </c>
      <c r="I1607" t="s">
        <v>282</v>
      </c>
      <c r="J1607" t="s">
        <v>2</v>
      </c>
      <c r="K1607" s="9">
        <v>44873.5401851852</v>
      </c>
      <c r="L1607" t="s">
        <v>29</v>
      </c>
      <c r="M1607" t="s">
        <v>1686</v>
      </c>
      <c r="N1607" s="9">
        <v>44686</v>
      </c>
      <c r="O1607" s="9">
        <v>44693</v>
      </c>
      <c r="P1607" s="9">
        <v>44693</v>
      </c>
      <c r="Q1607" s="9">
        <v>44882</v>
      </c>
      <c r="R1607" s="9">
        <v>44873.538483796299</v>
      </c>
      <c r="S1607"/>
      <c r="T1607"/>
      <c r="U1607"/>
    </row>
    <row r="1608" spans="1:21" hidden="1">
      <c r="A1608" s="7" t="s">
        <v>8739</v>
      </c>
      <c r="B1608" s="7" t="s">
        <v>6549</v>
      </c>
      <c r="C1608" s="8" t="s">
        <v>5317</v>
      </c>
      <c r="D1608" t="s">
        <v>164</v>
      </c>
      <c r="E1608" t="s">
        <v>273</v>
      </c>
      <c r="F1608" t="s">
        <v>103</v>
      </c>
      <c r="G1608" t="s">
        <v>1124</v>
      </c>
      <c r="H1608" s="9">
        <v>44657</v>
      </c>
      <c r="I1608" t="s">
        <v>282</v>
      </c>
      <c r="J1608" t="s">
        <v>2</v>
      </c>
      <c r="K1608" s="9">
        <v>44726</v>
      </c>
      <c r="L1608" t="s">
        <v>29</v>
      </c>
      <c r="M1608" t="s">
        <v>1686</v>
      </c>
      <c r="N1608" s="9">
        <v>44686</v>
      </c>
      <c r="O1608" s="9">
        <v>44693</v>
      </c>
      <c r="P1608" s="9">
        <v>44693</v>
      </c>
      <c r="Q1608"/>
      <c r="R1608"/>
      <c r="S1608"/>
      <c r="T1608"/>
      <c r="U1608"/>
    </row>
    <row r="1609" spans="1:21" hidden="1">
      <c r="A1609" s="7" t="s">
        <v>8737</v>
      </c>
      <c r="B1609" s="7" t="s">
        <v>6549</v>
      </c>
      <c r="C1609" s="8" t="s">
        <v>5317</v>
      </c>
      <c r="D1609" t="s">
        <v>164</v>
      </c>
      <c r="E1609" t="s">
        <v>273</v>
      </c>
      <c r="F1609" t="s">
        <v>280</v>
      </c>
      <c r="G1609" t="s">
        <v>1707</v>
      </c>
      <c r="H1609" s="9">
        <v>44657</v>
      </c>
      <c r="I1609" t="s">
        <v>282</v>
      </c>
      <c r="J1609" t="s">
        <v>2</v>
      </c>
      <c r="K1609" s="9">
        <v>44873.5401851852</v>
      </c>
      <c r="L1609" t="s">
        <v>29</v>
      </c>
      <c r="M1609" t="s">
        <v>1686</v>
      </c>
      <c r="N1609" s="9">
        <v>44686</v>
      </c>
      <c r="O1609" s="9">
        <v>44693</v>
      </c>
      <c r="P1609" s="9">
        <v>44693</v>
      </c>
      <c r="Q1609" s="9">
        <v>44882</v>
      </c>
      <c r="R1609" s="9">
        <v>44873.538483796299</v>
      </c>
      <c r="S1609"/>
      <c r="T1609"/>
      <c r="U1609"/>
    </row>
    <row r="1610" spans="1:21" hidden="1">
      <c r="A1610" s="7" t="s">
        <v>8737</v>
      </c>
      <c r="B1610" s="7" t="s">
        <v>6549</v>
      </c>
      <c r="C1610" s="8" t="s">
        <v>5317</v>
      </c>
      <c r="D1610" t="s">
        <v>164</v>
      </c>
      <c r="E1610" t="s">
        <v>273</v>
      </c>
      <c r="F1610" t="s">
        <v>280</v>
      </c>
      <c r="G1610" t="s">
        <v>1708</v>
      </c>
      <c r="H1610" s="9">
        <v>44657</v>
      </c>
      <c r="I1610" t="s">
        <v>282</v>
      </c>
      <c r="J1610" t="s">
        <v>2</v>
      </c>
      <c r="K1610" s="9">
        <v>44873.5401851852</v>
      </c>
      <c r="L1610" t="s">
        <v>29</v>
      </c>
      <c r="M1610" t="s">
        <v>1686</v>
      </c>
      <c r="N1610" s="9">
        <v>44686</v>
      </c>
      <c r="O1610" s="9">
        <v>44693</v>
      </c>
      <c r="P1610" s="9">
        <v>44693</v>
      </c>
      <c r="Q1610" s="9">
        <v>44882</v>
      </c>
      <c r="R1610" s="9">
        <v>44873.538483796299</v>
      </c>
      <c r="S1610"/>
      <c r="T1610"/>
      <c r="U1610"/>
    </row>
    <row r="1611" spans="1:21" hidden="1">
      <c r="A1611" s="7" t="s">
        <v>8737</v>
      </c>
      <c r="B1611" s="7" t="s">
        <v>6549</v>
      </c>
      <c r="C1611" s="8" t="s">
        <v>5317</v>
      </c>
      <c r="D1611" t="s">
        <v>164</v>
      </c>
      <c r="E1611" t="s">
        <v>273</v>
      </c>
      <c r="F1611" t="s">
        <v>280</v>
      </c>
      <c r="G1611" t="s">
        <v>1709</v>
      </c>
      <c r="H1611" s="9">
        <v>44657</v>
      </c>
      <c r="I1611" t="s">
        <v>282</v>
      </c>
      <c r="J1611" t="s">
        <v>2</v>
      </c>
      <c r="K1611" s="9">
        <v>44873.5401851852</v>
      </c>
      <c r="L1611" t="s">
        <v>29</v>
      </c>
      <c r="M1611" t="s">
        <v>1686</v>
      </c>
      <c r="N1611" s="9">
        <v>44686</v>
      </c>
      <c r="O1611" s="9">
        <v>44693</v>
      </c>
      <c r="P1611" s="9">
        <v>44693</v>
      </c>
      <c r="Q1611" s="9">
        <v>44882</v>
      </c>
      <c r="R1611" s="9">
        <v>44873.538483796299</v>
      </c>
      <c r="S1611"/>
      <c r="T1611"/>
      <c r="U1611"/>
    </row>
    <row r="1612" spans="1:21" hidden="1">
      <c r="A1612" s="7" t="s">
        <v>8738</v>
      </c>
      <c r="B1612" s="7" t="s">
        <v>6549</v>
      </c>
      <c r="C1612" s="8" t="s">
        <v>5317</v>
      </c>
      <c r="D1612" t="s">
        <v>164</v>
      </c>
      <c r="E1612" t="s">
        <v>273</v>
      </c>
      <c r="F1612" t="s">
        <v>97</v>
      </c>
      <c r="G1612" t="s">
        <v>1710</v>
      </c>
      <c r="H1612" s="9">
        <v>44657</v>
      </c>
      <c r="I1612" t="s">
        <v>297</v>
      </c>
      <c r="J1612" t="s">
        <v>0</v>
      </c>
      <c r="K1612" s="9">
        <v>44676</v>
      </c>
      <c r="L1612" t="s">
        <v>29</v>
      </c>
      <c r="M1612"/>
      <c r="N1612"/>
      <c r="O1612"/>
      <c r="P1612"/>
      <c r="Q1612" s="9">
        <v>44676</v>
      </c>
      <c r="R1612"/>
      <c r="S1612"/>
      <c r="T1612"/>
      <c r="U1612"/>
    </row>
    <row r="1613" spans="1:21" hidden="1">
      <c r="A1613" s="7" t="s">
        <v>8737</v>
      </c>
      <c r="B1613" s="7" t="s">
        <v>6549</v>
      </c>
      <c r="C1613" s="8" t="s">
        <v>5317</v>
      </c>
      <c r="D1613" t="s">
        <v>164</v>
      </c>
      <c r="E1613" t="s">
        <v>273</v>
      </c>
      <c r="F1613" t="s">
        <v>280</v>
      </c>
      <c r="G1613" t="s">
        <v>281</v>
      </c>
      <c r="H1613" s="9">
        <v>44657</v>
      </c>
      <c r="I1613" t="s">
        <v>282</v>
      </c>
      <c r="J1613" t="s">
        <v>2</v>
      </c>
      <c r="K1613" s="9">
        <v>44873.5401851852</v>
      </c>
      <c r="L1613" t="s">
        <v>29</v>
      </c>
      <c r="M1613" t="s">
        <v>1686</v>
      </c>
      <c r="N1613" s="9">
        <v>44686</v>
      </c>
      <c r="O1613" s="9">
        <v>44693</v>
      </c>
      <c r="P1613" s="9">
        <v>44693</v>
      </c>
      <c r="Q1613" s="9">
        <v>44882</v>
      </c>
      <c r="R1613" s="9">
        <v>44873.538483796299</v>
      </c>
      <c r="S1613"/>
      <c r="T1613"/>
      <c r="U1613"/>
    </row>
    <row r="1614" spans="1:21" hidden="1">
      <c r="A1614" s="7" t="s">
        <v>8737</v>
      </c>
      <c r="B1614" s="7" t="s">
        <v>6549</v>
      </c>
      <c r="C1614" s="8" t="s">
        <v>5317</v>
      </c>
      <c r="D1614" t="s">
        <v>164</v>
      </c>
      <c r="E1614" t="s">
        <v>273</v>
      </c>
      <c r="F1614" t="s">
        <v>280</v>
      </c>
      <c r="G1614" t="s">
        <v>283</v>
      </c>
      <c r="H1614" s="9">
        <v>44657</v>
      </c>
      <c r="I1614" t="s">
        <v>282</v>
      </c>
      <c r="J1614" t="s">
        <v>2</v>
      </c>
      <c r="K1614" s="9">
        <v>44873.5401851852</v>
      </c>
      <c r="L1614" t="s">
        <v>29</v>
      </c>
      <c r="M1614" t="s">
        <v>1686</v>
      </c>
      <c r="N1614" s="9">
        <v>44686</v>
      </c>
      <c r="O1614" s="9">
        <v>44693</v>
      </c>
      <c r="P1614" s="9">
        <v>44693</v>
      </c>
      <c r="Q1614" s="9">
        <v>44882</v>
      </c>
      <c r="R1614" s="9">
        <v>44873.538483796299</v>
      </c>
      <c r="S1614"/>
      <c r="T1614"/>
      <c r="U1614"/>
    </row>
    <row r="1615" spans="1:21" hidden="1">
      <c r="A1615" s="7" t="s">
        <v>8737</v>
      </c>
      <c r="B1615" s="7" t="s">
        <v>6549</v>
      </c>
      <c r="C1615" s="8" t="s">
        <v>5317</v>
      </c>
      <c r="D1615" t="s">
        <v>164</v>
      </c>
      <c r="E1615" t="s">
        <v>273</v>
      </c>
      <c r="F1615" t="s">
        <v>280</v>
      </c>
      <c r="G1615" t="s">
        <v>1125</v>
      </c>
      <c r="H1615" s="9">
        <v>44657</v>
      </c>
      <c r="I1615" t="s">
        <v>282</v>
      </c>
      <c r="J1615" t="s">
        <v>2</v>
      </c>
      <c r="K1615" s="9">
        <v>44873.5401851852</v>
      </c>
      <c r="L1615" t="s">
        <v>29</v>
      </c>
      <c r="M1615" t="s">
        <v>1686</v>
      </c>
      <c r="N1615" s="9">
        <v>44686</v>
      </c>
      <c r="O1615" s="9">
        <v>44693</v>
      </c>
      <c r="P1615" s="9">
        <v>44693</v>
      </c>
      <c r="Q1615" s="9">
        <v>44882</v>
      </c>
      <c r="R1615" s="9">
        <v>44873.538483796299</v>
      </c>
      <c r="S1615"/>
      <c r="T1615"/>
      <c r="U1615"/>
    </row>
    <row r="1616" spans="1:21" hidden="1">
      <c r="A1616" s="7" t="s">
        <v>8737</v>
      </c>
      <c r="B1616" s="7" t="s">
        <v>6549</v>
      </c>
      <c r="C1616" s="8" t="s">
        <v>5317</v>
      </c>
      <c r="D1616" t="s">
        <v>164</v>
      </c>
      <c r="E1616" t="s">
        <v>273</v>
      </c>
      <c r="F1616" t="s">
        <v>280</v>
      </c>
      <c r="G1616" t="s">
        <v>1126</v>
      </c>
      <c r="H1616" s="9">
        <v>44657</v>
      </c>
      <c r="I1616" t="s">
        <v>282</v>
      </c>
      <c r="J1616" t="s">
        <v>2</v>
      </c>
      <c r="K1616" s="9">
        <v>44873.5401851852</v>
      </c>
      <c r="L1616" t="s">
        <v>29</v>
      </c>
      <c r="M1616" t="s">
        <v>331</v>
      </c>
      <c r="N1616" s="9">
        <v>44686</v>
      </c>
      <c r="O1616" s="9">
        <v>44693</v>
      </c>
      <c r="P1616" s="9">
        <v>44693</v>
      </c>
      <c r="Q1616" s="9">
        <v>44882</v>
      </c>
      <c r="R1616" s="9">
        <v>44873.538483796299</v>
      </c>
      <c r="S1616"/>
      <c r="T1616"/>
      <c r="U1616"/>
    </row>
    <row r="1617" spans="1:21" hidden="1">
      <c r="A1617" s="7" t="s">
        <v>8737</v>
      </c>
      <c r="B1617" s="7" t="s">
        <v>6549</v>
      </c>
      <c r="C1617" s="8" t="s">
        <v>5317</v>
      </c>
      <c r="D1617" t="s">
        <v>164</v>
      </c>
      <c r="E1617" t="s">
        <v>273</v>
      </c>
      <c r="F1617" t="s">
        <v>280</v>
      </c>
      <c r="G1617" t="s">
        <v>1127</v>
      </c>
      <c r="H1617" s="9">
        <v>44657</v>
      </c>
      <c r="I1617" t="s">
        <v>282</v>
      </c>
      <c r="J1617" t="s">
        <v>2</v>
      </c>
      <c r="K1617" s="9">
        <v>44873.5401851852</v>
      </c>
      <c r="L1617" t="s">
        <v>29</v>
      </c>
      <c r="M1617" t="s">
        <v>1686</v>
      </c>
      <c r="N1617" s="9">
        <v>44686</v>
      </c>
      <c r="O1617" s="9">
        <v>44693</v>
      </c>
      <c r="P1617" s="9">
        <v>44693</v>
      </c>
      <c r="Q1617" s="9">
        <v>44882</v>
      </c>
      <c r="R1617" s="9">
        <v>44873.538483796299</v>
      </c>
      <c r="S1617"/>
      <c r="T1617"/>
      <c r="U1617"/>
    </row>
    <row r="1618" spans="1:21" hidden="1">
      <c r="A1618" s="7" t="s">
        <v>8737</v>
      </c>
      <c r="B1618" s="7" t="s">
        <v>6549</v>
      </c>
      <c r="C1618" s="8" t="s">
        <v>5317</v>
      </c>
      <c r="D1618" t="s">
        <v>164</v>
      </c>
      <c r="E1618" t="s">
        <v>273</v>
      </c>
      <c r="F1618" t="s">
        <v>280</v>
      </c>
      <c r="G1618" t="s">
        <v>1128</v>
      </c>
      <c r="H1618" s="9">
        <v>44657</v>
      </c>
      <c r="I1618" t="s">
        <v>282</v>
      </c>
      <c r="J1618" t="s">
        <v>2</v>
      </c>
      <c r="K1618" s="9">
        <v>44873.5401851852</v>
      </c>
      <c r="L1618" t="s">
        <v>29</v>
      </c>
      <c r="M1618" t="s">
        <v>1686</v>
      </c>
      <c r="N1618" s="9">
        <v>44686</v>
      </c>
      <c r="O1618" s="9">
        <v>44693</v>
      </c>
      <c r="P1618" s="9">
        <v>44693</v>
      </c>
      <c r="Q1618" s="9">
        <v>44882</v>
      </c>
      <c r="R1618" s="9">
        <v>44873.538483796299</v>
      </c>
      <c r="S1618"/>
      <c r="T1618"/>
      <c r="U1618"/>
    </row>
    <row r="1619" spans="1:21" hidden="1">
      <c r="A1619" s="7" t="s">
        <v>8739</v>
      </c>
      <c r="B1619" s="7" t="s">
        <v>6549</v>
      </c>
      <c r="C1619" s="8" t="s">
        <v>5317</v>
      </c>
      <c r="D1619" t="s">
        <v>164</v>
      </c>
      <c r="E1619" t="s">
        <v>273</v>
      </c>
      <c r="F1619" t="s">
        <v>103</v>
      </c>
      <c r="G1619" t="s">
        <v>1129</v>
      </c>
      <c r="H1619" s="9">
        <v>44657</v>
      </c>
      <c r="I1619" t="s">
        <v>282</v>
      </c>
      <c r="J1619" t="s">
        <v>2</v>
      </c>
      <c r="K1619" s="9">
        <v>44726</v>
      </c>
      <c r="L1619" t="s">
        <v>29</v>
      </c>
      <c r="M1619" t="s">
        <v>1686</v>
      </c>
      <c r="N1619" s="9">
        <v>44686</v>
      </c>
      <c r="O1619" s="9">
        <v>44693</v>
      </c>
      <c r="P1619" s="9">
        <v>44693</v>
      </c>
      <c r="Q1619"/>
      <c r="R1619"/>
      <c r="S1619"/>
      <c r="T1619"/>
      <c r="U1619"/>
    </row>
    <row r="1620" spans="1:21" hidden="1">
      <c r="A1620" s="7" t="s">
        <v>8739</v>
      </c>
      <c r="B1620" s="7" t="s">
        <v>6549</v>
      </c>
      <c r="C1620" s="8" t="s">
        <v>5317</v>
      </c>
      <c r="D1620" t="s">
        <v>164</v>
      </c>
      <c r="E1620" t="s">
        <v>273</v>
      </c>
      <c r="F1620" t="s">
        <v>103</v>
      </c>
      <c r="G1620" t="s">
        <v>1130</v>
      </c>
      <c r="H1620" s="9">
        <v>44657</v>
      </c>
      <c r="I1620" t="s">
        <v>282</v>
      </c>
      <c r="J1620" t="s">
        <v>2</v>
      </c>
      <c r="K1620" s="9">
        <v>44726</v>
      </c>
      <c r="L1620" t="s">
        <v>29</v>
      </c>
      <c r="M1620" t="s">
        <v>1686</v>
      </c>
      <c r="N1620" s="9">
        <v>44686</v>
      </c>
      <c r="O1620" s="9">
        <v>44693</v>
      </c>
      <c r="P1620" s="9">
        <v>44693</v>
      </c>
      <c r="Q1620"/>
      <c r="R1620"/>
      <c r="S1620"/>
      <c r="T1620"/>
      <c r="U1620"/>
    </row>
    <row r="1621" spans="1:21" hidden="1">
      <c r="A1621" s="7" t="s">
        <v>8739</v>
      </c>
      <c r="B1621" s="7" t="s">
        <v>6549</v>
      </c>
      <c r="C1621" s="8" t="s">
        <v>5317</v>
      </c>
      <c r="D1621" t="s">
        <v>164</v>
      </c>
      <c r="E1621" t="s">
        <v>273</v>
      </c>
      <c r="F1621" t="s">
        <v>103</v>
      </c>
      <c r="G1621" t="s">
        <v>1131</v>
      </c>
      <c r="H1621" s="9">
        <v>44657</v>
      </c>
      <c r="I1621" t="s">
        <v>282</v>
      </c>
      <c r="J1621" t="s">
        <v>2</v>
      </c>
      <c r="K1621" s="9">
        <v>44726</v>
      </c>
      <c r="L1621" t="s">
        <v>29</v>
      </c>
      <c r="M1621" t="s">
        <v>1686</v>
      </c>
      <c r="N1621" s="9">
        <v>44686</v>
      </c>
      <c r="O1621" s="9">
        <v>44693</v>
      </c>
      <c r="P1621" s="9">
        <v>44693</v>
      </c>
      <c r="Q1621"/>
      <c r="R1621"/>
      <c r="S1621"/>
      <c r="T1621"/>
      <c r="U1621"/>
    </row>
    <row r="1622" spans="1:21" hidden="1">
      <c r="A1622" s="7" t="s">
        <v>8737</v>
      </c>
      <c r="B1622" s="7" t="s">
        <v>6549</v>
      </c>
      <c r="C1622" s="8" t="s">
        <v>5317</v>
      </c>
      <c r="D1622" t="s">
        <v>164</v>
      </c>
      <c r="E1622" t="s">
        <v>273</v>
      </c>
      <c r="F1622" t="s">
        <v>280</v>
      </c>
      <c r="G1622" t="s">
        <v>1711</v>
      </c>
      <c r="H1622" s="9">
        <v>44657</v>
      </c>
      <c r="I1622" t="s">
        <v>282</v>
      </c>
      <c r="J1622" t="s">
        <v>2</v>
      </c>
      <c r="K1622" s="9">
        <v>44873.5401851852</v>
      </c>
      <c r="L1622" t="s">
        <v>29</v>
      </c>
      <c r="M1622" t="s">
        <v>1686</v>
      </c>
      <c r="N1622" s="9">
        <v>44686</v>
      </c>
      <c r="O1622" s="9">
        <v>44693</v>
      </c>
      <c r="P1622" s="9">
        <v>44693</v>
      </c>
      <c r="Q1622" s="9">
        <v>44882</v>
      </c>
      <c r="R1622" s="9">
        <v>44873.538483796299</v>
      </c>
      <c r="S1622"/>
      <c r="T1622"/>
      <c r="U1622"/>
    </row>
    <row r="1623" spans="1:21" hidden="1">
      <c r="A1623" s="7" t="s">
        <v>8737</v>
      </c>
      <c r="B1623" s="7" t="s">
        <v>6549</v>
      </c>
      <c r="C1623" s="8" t="s">
        <v>5317</v>
      </c>
      <c r="D1623" t="s">
        <v>164</v>
      </c>
      <c r="E1623" t="s">
        <v>273</v>
      </c>
      <c r="F1623" t="s">
        <v>280</v>
      </c>
      <c r="G1623" t="s">
        <v>284</v>
      </c>
      <c r="H1623" s="9">
        <v>44657</v>
      </c>
      <c r="I1623" t="s">
        <v>282</v>
      </c>
      <c r="J1623" t="s">
        <v>2</v>
      </c>
      <c r="K1623" s="9">
        <v>44873.5401851852</v>
      </c>
      <c r="L1623" t="s">
        <v>29</v>
      </c>
      <c r="M1623" t="s">
        <v>1686</v>
      </c>
      <c r="N1623" s="9">
        <v>44686</v>
      </c>
      <c r="O1623" s="9">
        <v>44693</v>
      </c>
      <c r="P1623" s="9">
        <v>44693</v>
      </c>
      <c r="Q1623" s="9">
        <v>44882</v>
      </c>
      <c r="R1623" s="9">
        <v>44873.538483796299</v>
      </c>
      <c r="S1623"/>
      <c r="T1623"/>
      <c r="U1623"/>
    </row>
    <row r="1624" spans="1:21" hidden="1">
      <c r="A1624" s="7" t="s">
        <v>8737</v>
      </c>
      <c r="B1624" s="7" t="s">
        <v>6549</v>
      </c>
      <c r="C1624" s="8" t="s">
        <v>5317</v>
      </c>
      <c r="D1624" t="s">
        <v>164</v>
      </c>
      <c r="E1624" t="s">
        <v>273</v>
      </c>
      <c r="F1624" t="s">
        <v>280</v>
      </c>
      <c r="G1624" t="s">
        <v>285</v>
      </c>
      <c r="H1624" s="9">
        <v>44657</v>
      </c>
      <c r="I1624" t="s">
        <v>282</v>
      </c>
      <c r="J1624" t="s">
        <v>2</v>
      </c>
      <c r="K1624" s="9">
        <v>44873.5401851852</v>
      </c>
      <c r="L1624" t="s">
        <v>29</v>
      </c>
      <c r="M1624" t="s">
        <v>1686</v>
      </c>
      <c r="N1624" s="9">
        <v>44686</v>
      </c>
      <c r="O1624" s="9">
        <v>44693</v>
      </c>
      <c r="P1624" s="9">
        <v>44693</v>
      </c>
      <c r="Q1624" s="9">
        <v>44882</v>
      </c>
      <c r="R1624" s="9">
        <v>44873.538483796299</v>
      </c>
      <c r="S1624"/>
      <c r="T1624"/>
      <c r="U1624"/>
    </row>
    <row r="1625" spans="1:21" hidden="1">
      <c r="A1625" s="7" t="s">
        <v>8738</v>
      </c>
      <c r="B1625" s="7" t="s">
        <v>6549</v>
      </c>
      <c r="C1625" s="8" t="s">
        <v>5317</v>
      </c>
      <c r="D1625" t="s">
        <v>164</v>
      </c>
      <c r="E1625" t="s">
        <v>273</v>
      </c>
      <c r="F1625" t="s">
        <v>97</v>
      </c>
      <c r="G1625" t="s">
        <v>1712</v>
      </c>
      <c r="H1625" s="9">
        <v>44657</v>
      </c>
      <c r="I1625" t="s">
        <v>297</v>
      </c>
      <c r="J1625" t="s">
        <v>2</v>
      </c>
      <c r="K1625" s="9">
        <v>44726</v>
      </c>
      <c r="L1625" t="s">
        <v>29</v>
      </c>
      <c r="M1625" t="s">
        <v>1686</v>
      </c>
      <c r="N1625"/>
      <c r="O1625"/>
      <c r="P1625"/>
      <c r="Q1625" s="9">
        <v>44676</v>
      </c>
      <c r="R1625"/>
      <c r="S1625"/>
      <c r="T1625"/>
      <c r="U1625"/>
    </row>
    <row r="1626" spans="1:21" hidden="1">
      <c r="A1626" s="7" t="s">
        <v>8737</v>
      </c>
      <c r="B1626" s="7" t="s">
        <v>6549</v>
      </c>
      <c r="C1626" s="8" t="s">
        <v>5317</v>
      </c>
      <c r="D1626" t="s">
        <v>164</v>
      </c>
      <c r="E1626" t="s">
        <v>273</v>
      </c>
      <c r="F1626" t="s">
        <v>280</v>
      </c>
      <c r="G1626" t="s">
        <v>1713</v>
      </c>
      <c r="H1626" s="9">
        <v>44657</v>
      </c>
      <c r="I1626" t="s">
        <v>282</v>
      </c>
      <c r="J1626" t="s">
        <v>2</v>
      </c>
      <c r="K1626" s="9">
        <v>44873.5401851852</v>
      </c>
      <c r="L1626" t="s">
        <v>29</v>
      </c>
      <c r="M1626" t="s">
        <v>1686</v>
      </c>
      <c r="N1626" s="9">
        <v>44686</v>
      </c>
      <c r="O1626" s="9">
        <v>44693</v>
      </c>
      <c r="P1626" s="9">
        <v>44693</v>
      </c>
      <c r="Q1626" s="9">
        <v>44882</v>
      </c>
      <c r="R1626" s="9">
        <v>44873.538483796299</v>
      </c>
      <c r="S1626"/>
      <c r="T1626"/>
      <c r="U1626"/>
    </row>
    <row r="1627" spans="1:21" hidden="1">
      <c r="A1627" s="7" t="s">
        <v>8737</v>
      </c>
      <c r="B1627" s="7" t="s">
        <v>6549</v>
      </c>
      <c r="C1627" s="8" t="s">
        <v>5317</v>
      </c>
      <c r="D1627" t="s">
        <v>164</v>
      </c>
      <c r="E1627" t="s">
        <v>273</v>
      </c>
      <c r="F1627" t="s">
        <v>280</v>
      </c>
      <c r="G1627" t="s">
        <v>286</v>
      </c>
      <c r="H1627" s="9">
        <v>44657</v>
      </c>
      <c r="I1627" t="s">
        <v>282</v>
      </c>
      <c r="J1627" t="s">
        <v>2</v>
      </c>
      <c r="K1627" s="9">
        <v>44873.5401851852</v>
      </c>
      <c r="L1627" t="s">
        <v>29</v>
      </c>
      <c r="M1627" t="s">
        <v>1686</v>
      </c>
      <c r="N1627" s="9">
        <v>44686</v>
      </c>
      <c r="O1627" s="9">
        <v>44693</v>
      </c>
      <c r="P1627" s="9">
        <v>44693</v>
      </c>
      <c r="Q1627" s="9">
        <v>44882</v>
      </c>
      <c r="R1627" s="9">
        <v>44873.538483796299</v>
      </c>
      <c r="S1627"/>
      <c r="T1627"/>
      <c r="U1627"/>
    </row>
    <row r="1628" spans="1:21" hidden="1">
      <c r="A1628" s="7" t="s">
        <v>8737</v>
      </c>
      <c r="B1628" s="7" t="s">
        <v>6549</v>
      </c>
      <c r="C1628" s="8" t="s">
        <v>5317</v>
      </c>
      <c r="D1628" t="s">
        <v>164</v>
      </c>
      <c r="E1628" t="s">
        <v>273</v>
      </c>
      <c r="F1628" t="s">
        <v>280</v>
      </c>
      <c r="G1628" t="s">
        <v>287</v>
      </c>
      <c r="H1628" s="9">
        <v>44657</v>
      </c>
      <c r="I1628" t="s">
        <v>282</v>
      </c>
      <c r="J1628" t="s">
        <v>2</v>
      </c>
      <c r="K1628" s="9">
        <v>44873.5401851852</v>
      </c>
      <c r="L1628" t="s">
        <v>29</v>
      </c>
      <c r="M1628" t="s">
        <v>1686</v>
      </c>
      <c r="N1628" s="9">
        <v>44686</v>
      </c>
      <c r="O1628" s="9">
        <v>44693</v>
      </c>
      <c r="P1628" s="9">
        <v>44693</v>
      </c>
      <c r="Q1628" s="9">
        <v>44882</v>
      </c>
      <c r="R1628" s="9">
        <v>44873.538483796299</v>
      </c>
      <c r="S1628"/>
      <c r="T1628"/>
      <c r="U1628"/>
    </row>
    <row r="1629" spans="1:21" hidden="1">
      <c r="A1629" s="7" t="s">
        <v>8737</v>
      </c>
      <c r="B1629" s="7" t="s">
        <v>6549</v>
      </c>
      <c r="C1629" s="8" t="s">
        <v>5317</v>
      </c>
      <c r="D1629" t="s">
        <v>164</v>
      </c>
      <c r="E1629" t="s">
        <v>273</v>
      </c>
      <c r="F1629" t="s">
        <v>280</v>
      </c>
      <c r="G1629" t="s">
        <v>288</v>
      </c>
      <c r="H1629" s="9">
        <v>44657</v>
      </c>
      <c r="I1629" t="s">
        <v>282</v>
      </c>
      <c r="J1629" t="s">
        <v>2</v>
      </c>
      <c r="K1629" s="9">
        <v>44873.5401851852</v>
      </c>
      <c r="L1629" t="s">
        <v>29</v>
      </c>
      <c r="M1629" t="s">
        <v>1686</v>
      </c>
      <c r="N1629" s="9">
        <v>44686</v>
      </c>
      <c r="O1629" s="9">
        <v>44693</v>
      </c>
      <c r="P1629" s="9">
        <v>44693</v>
      </c>
      <c r="Q1629" s="9">
        <v>44882</v>
      </c>
      <c r="R1629" s="9">
        <v>44873.538483796299</v>
      </c>
      <c r="S1629"/>
      <c r="T1629"/>
      <c r="U1629"/>
    </row>
    <row r="1630" spans="1:21" hidden="1">
      <c r="A1630" s="7" t="s">
        <v>8737</v>
      </c>
      <c r="B1630" s="7" t="s">
        <v>6549</v>
      </c>
      <c r="C1630" s="8" t="s">
        <v>5317</v>
      </c>
      <c r="D1630" t="s">
        <v>164</v>
      </c>
      <c r="E1630" t="s">
        <v>273</v>
      </c>
      <c r="F1630" t="s">
        <v>280</v>
      </c>
      <c r="G1630" t="s">
        <v>1133</v>
      </c>
      <c r="H1630" s="9">
        <v>44657</v>
      </c>
      <c r="I1630" t="s">
        <v>282</v>
      </c>
      <c r="J1630" t="s">
        <v>2</v>
      </c>
      <c r="K1630" s="9">
        <v>44873.5401851852</v>
      </c>
      <c r="L1630" t="s">
        <v>29</v>
      </c>
      <c r="M1630" t="s">
        <v>1686</v>
      </c>
      <c r="N1630" s="9">
        <v>44686</v>
      </c>
      <c r="O1630" s="9">
        <v>44693</v>
      </c>
      <c r="P1630" s="9">
        <v>44693</v>
      </c>
      <c r="Q1630" s="9">
        <v>44882</v>
      </c>
      <c r="R1630" s="9">
        <v>44873.538483796299</v>
      </c>
      <c r="S1630"/>
      <c r="T1630"/>
      <c r="U1630"/>
    </row>
    <row r="1631" spans="1:21" hidden="1">
      <c r="A1631" s="7" t="s">
        <v>8737</v>
      </c>
      <c r="B1631" s="7" t="s">
        <v>6549</v>
      </c>
      <c r="C1631" s="8" t="s">
        <v>5317</v>
      </c>
      <c r="D1631" t="s">
        <v>164</v>
      </c>
      <c r="E1631" t="s">
        <v>273</v>
      </c>
      <c r="F1631" t="s">
        <v>280</v>
      </c>
      <c r="G1631" t="s">
        <v>289</v>
      </c>
      <c r="H1631" s="9">
        <v>44657</v>
      </c>
      <c r="I1631" t="s">
        <v>282</v>
      </c>
      <c r="J1631" t="s">
        <v>2</v>
      </c>
      <c r="K1631" s="9">
        <v>44873.5401851852</v>
      </c>
      <c r="L1631" t="s">
        <v>29</v>
      </c>
      <c r="M1631" t="s">
        <v>1686</v>
      </c>
      <c r="N1631" s="9">
        <v>44686</v>
      </c>
      <c r="O1631" s="9">
        <v>44693</v>
      </c>
      <c r="P1631" s="9">
        <v>44693</v>
      </c>
      <c r="Q1631" s="9">
        <v>44882</v>
      </c>
      <c r="R1631" s="9">
        <v>44873.538483796299</v>
      </c>
      <c r="S1631"/>
      <c r="T1631"/>
      <c r="U1631"/>
    </row>
    <row r="1632" spans="1:21" hidden="1">
      <c r="A1632" s="7" t="s">
        <v>8737</v>
      </c>
      <c r="B1632" s="7" t="s">
        <v>6549</v>
      </c>
      <c r="C1632" s="8" t="s">
        <v>5317</v>
      </c>
      <c r="D1632" t="s">
        <v>164</v>
      </c>
      <c r="E1632" t="s">
        <v>273</v>
      </c>
      <c r="F1632" t="s">
        <v>280</v>
      </c>
      <c r="G1632" t="s">
        <v>290</v>
      </c>
      <c r="H1632" s="9">
        <v>44657</v>
      </c>
      <c r="I1632" t="s">
        <v>282</v>
      </c>
      <c r="J1632" t="s">
        <v>2</v>
      </c>
      <c r="K1632" s="9">
        <v>44873.5401851852</v>
      </c>
      <c r="L1632" t="s">
        <v>29</v>
      </c>
      <c r="M1632" t="s">
        <v>1686</v>
      </c>
      <c r="N1632" s="9">
        <v>44686</v>
      </c>
      <c r="O1632" s="9">
        <v>44693</v>
      </c>
      <c r="P1632" s="9">
        <v>44693</v>
      </c>
      <c r="Q1632" s="9">
        <v>44882</v>
      </c>
      <c r="R1632" s="9">
        <v>44873.538483796299</v>
      </c>
      <c r="S1632"/>
      <c r="T1632"/>
      <c r="U1632"/>
    </row>
    <row r="1633" spans="1:21" hidden="1">
      <c r="A1633" s="7" t="s">
        <v>8737</v>
      </c>
      <c r="B1633" s="7" t="s">
        <v>6549</v>
      </c>
      <c r="C1633" s="8" t="s">
        <v>5317</v>
      </c>
      <c r="D1633" t="s">
        <v>164</v>
      </c>
      <c r="E1633" t="s">
        <v>273</v>
      </c>
      <c r="F1633" t="s">
        <v>280</v>
      </c>
      <c r="G1633" t="s">
        <v>1134</v>
      </c>
      <c r="H1633" s="9">
        <v>44657</v>
      </c>
      <c r="I1633" t="s">
        <v>282</v>
      </c>
      <c r="J1633" t="s">
        <v>2</v>
      </c>
      <c r="K1633" s="9">
        <v>44873.5401851852</v>
      </c>
      <c r="L1633" t="s">
        <v>29</v>
      </c>
      <c r="M1633" t="s">
        <v>1686</v>
      </c>
      <c r="N1633" s="9">
        <v>44686</v>
      </c>
      <c r="O1633" s="9">
        <v>44693</v>
      </c>
      <c r="P1633" s="9">
        <v>44693</v>
      </c>
      <c r="Q1633" s="9">
        <v>44882</v>
      </c>
      <c r="R1633" s="9">
        <v>44873.538483796299</v>
      </c>
      <c r="S1633"/>
      <c r="T1633"/>
      <c r="U1633"/>
    </row>
    <row r="1634" spans="1:21" hidden="1">
      <c r="A1634" s="7" t="s">
        <v>8737</v>
      </c>
      <c r="B1634" s="7" t="s">
        <v>6549</v>
      </c>
      <c r="C1634" s="8" t="s">
        <v>5317</v>
      </c>
      <c r="D1634" t="s">
        <v>164</v>
      </c>
      <c r="E1634" t="s">
        <v>273</v>
      </c>
      <c r="F1634" t="s">
        <v>280</v>
      </c>
      <c r="G1634" t="s">
        <v>1135</v>
      </c>
      <c r="H1634" s="9">
        <v>44657</v>
      </c>
      <c r="I1634" t="s">
        <v>282</v>
      </c>
      <c r="J1634" t="s">
        <v>2</v>
      </c>
      <c r="K1634" s="9">
        <v>44873.5401851852</v>
      </c>
      <c r="L1634" t="s">
        <v>29</v>
      </c>
      <c r="M1634" t="s">
        <v>1686</v>
      </c>
      <c r="N1634" s="9">
        <v>44686</v>
      </c>
      <c r="O1634" s="9">
        <v>44693</v>
      </c>
      <c r="P1634" s="9">
        <v>44693</v>
      </c>
      <c r="Q1634" s="9">
        <v>44882</v>
      </c>
      <c r="R1634" s="9">
        <v>44873.538483796299</v>
      </c>
      <c r="S1634"/>
      <c r="T1634"/>
      <c r="U1634"/>
    </row>
    <row r="1635" spans="1:21" hidden="1">
      <c r="A1635" s="7" t="s">
        <v>8737</v>
      </c>
      <c r="B1635" s="7" t="s">
        <v>6549</v>
      </c>
      <c r="C1635" s="8" t="s">
        <v>5317</v>
      </c>
      <c r="D1635" t="s">
        <v>164</v>
      </c>
      <c r="E1635" t="s">
        <v>273</v>
      </c>
      <c r="F1635" t="s">
        <v>280</v>
      </c>
      <c r="G1635" t="s">
        <v>1136</v>
      </c>
      <c r="H1635" s="9">
        <v>44657</v>
      </c>
      <c r="I1635" t="s">
        <v>282</v>
      </c>
      <c r="J1635" t="s">
        <v>2</v>
      </c>
      <c r="K1635" s="9">
        <v>44873.5401851852</v>
      </c>
      <c r="L1635" t="s">
        <v>29</v>
      </c>
      <c r="M1635" t="s">
        <v>1686</v>
      </c>
      <c r="N1635" s="9">
        <v>44686</v>
      </c>
      <c r="O1635" s="9">
        <v>44693</v>
      </c>
      <c r="P1635" s="9">
        <v>44693</v>
      </c>
      <c r="Q1635" s="9">
        <v>44882</v>
      </c>
      <c r="R1635" s="9">
        <v>44873.538483796299</v>
      </c>
      <c r="S1635"/>
      <c r="T1635"/>
      <c r="U1635"/>
    </row>
    <row r="1636" spans="1:21" hidden="1">
      <c r="A1636" s="7" t="s">
        <v>8737</v>
      </c>
      <c r="B1636" s="7" t="s">
        <v>6549</v>
      </c>
      <c r="C1636" s="8" t="s">
        <v>5317</v>
      </c>
      <c r="D1636" t="s">
        <v>164</v>
      </c>
      <c r="E1636" t="s">
        <v>273</v>
      </c>
      <c r="F1636" t="s">
        <v>280</v>
      </c>
      <c r="G1636" t="s">
        <v>1137</v>
      </c>
      <c r="H1636" s="9">
        <v>44657</v>
      </c>
      <c r="I1636" t="s">
        <v>282</v>
      </c>
      <c r="J1636" t="s">
        <v>2</v>
      </c>
      <c r="K1636" s="9">
        <v>44873.5401851852</v>
      </c>
      <c r="L1636" t="s">
        <v>29</v>
      </c>
      <c r="M1636" t="s">
        <v>1686</v>
      </c>
      <c r="N1636" s="9">
        <v>44686</v>
      </c>
      <c r="O1636" s="9">
        <v>44693</v>
      </c>
      <c r="P1636" s="9">
        <v>44693</v>
      </c>
      <c r="Q1636" s="9">
        <v>44882</v>
      </c>
      <c r="R1636" s="9">
        <v>44873.538483796299</v>
      </c>
      <c r="S1636"/>
      <c r="T1636"/>
      <c r="U1636"/>
    </row>
    <row r="1637" spans="1:21" hidden="1">
      <c r="A1637" s="7" t="s">
        <v>8737</v>
      </c>
      <c r="B1637" s="7" t="s">
        <v>6549</v>
      </c>
      <c r="C1637" s="8" t="s">
        <v>5317</v>
      </c>
      <c r="D1637" t="s">
        <v>164</v>
      </c>
      <c r="E1637" t="s">
        <v>273</v>
      </c>
      <c r="F1637" t="s">
        <v>280</v>
      </c>
      <c r="G1637" t="s">
        <v>293</v>
      </c>
      <c r="H1637" s="9">
        <v>44657</v>
      </c>
      <c r="I1637" t="s">
        <v>282</v>
      </c>
      <c r="J1637" t="s">
        <v>2</v>
      </c>
      <c r="K1637" s="9">
        <v>44873.5401851852</v>
      </c>
      <c r="L1637" t="s">
        <v>29</v>
      </c>
      <c r="M1637" t="s">
        <v>1686</v>
      </c>
      <c r="N1637" s="9">
        <v>44686</v>
      </c>
      <c r="O1637" s="9">
        <v>44693</v>
      </c>
      <c r="P1637" s="9">
        <v>44693</v>
      </c>
      <c r="Q1637" s="9">
        <v>44882</v>
      </c>
      <c r="R1637" s="9">
        <v>44873.538483796299</v>
      </c>
      <c r="S1637"/>
      <c r="T1637"/>
      <c r="U1637"/>
    </row>
    <row r="1638" spans="1:21" hidden="1">
      <c r="A1638" s="7" t="s">
        <v>8737</v>
      </c>
      <c r="B1638" s="7" t="s">
        <v>6549</v>
      </c>
      <c r="C1638" s="8" t="s">
        <v>5317</v>
      </c>
      <c r="D1638" t="s">
        <v>164</v>
      </c>
      <c r="E1638" t="s">
        <v>273</v>
      </c>
      <c r="F1638" t="s">
        <v>280</v>
      </c>
      <c r="G1638" t="s">
        <v>294</v>
      </c>
      <c r="H1638" s="9">
        <v>44657</v>
      </c>
      <c r="I1638" t="s">
        <v>282</v>
      </c>
      <c r="J1638" t="s">
        <v>2</v>
      </c>
      <c r="K1638" s="9">
        <v>44873.5401851852</v>
      </c>
      <c r="L1638" t="s">
        <v>29</v>
      </c>
      <c r="M1638" t="s">
        <v>1686</v>
      </c>
      <c r="N1638" s="9">
        <v>44686</v>
      </c>
      <c r="O1638" s="9">
        <v>44693</v>
      </c>
      <c r="P1638" s="9">
        <v>44693</v>
      </c>
      <c r="Q1638" s="9">
        <v>44882</v>
      </c>
      <c r="R1638" s="9">
        <v>44873.538483796299</v>
      </c>
      <c r="S1638"/>
      <c r="T1638"/>
      <c r="U1638"/>
    </row>
    <row r="1639" spans="1:21" hidden="1">
      <c r="A1639" s="7" t="s">
        <v>8737</v>
      </c>
      <c r="B1639" s="7" t="s">
        <v>6549</v>
      </c>
      <c r="C1639" s="8" t="s">
        <v>5317</v>
      </c>
      <c r="D1639" t="s">
        <v>164</v>
      </c>
      <c r="E1639" t="s">
        <v>273</v>
      </c>
      <c r="F1639" t="s">
        <v>280</v>
      </c>
      <c r="G1639" t="s">
        <v>301</v>
      </c>
      <c r="H1639" s="9">
        <v>44657</v>
      </c>
      <c r="I1639" t="s">
        <v>282</v>
      </c>
      <c r="J1639" t="s">
        <v>2</v>
      </c>
      <c r="K1639" s="9">
        <v>44882.657094907401</v>
      </c>
      <c r="L1639" t="s">
        <v>29</v>
      </c>
      <c r="M1639" t="s">
        <v>1686</v>
      </c>
      <c r="N1639" s="9">
        <v>44686</v>
      </c>
      <c r="O1639" s="9">
        <v>44693</v>
      </c>
      <c r="P1639" s="9">
        <v>44693</v>
      </c>
      <c r="Q1639" s="9">
        <v>44882</v>
      </c>
      <c r="R1639" s="9">
        <v>44874.703877314802</v>
      </c>
      <c r="S1639"/>
      <c r="T1639"/>
      <c r="U1639"/>
    </row>
    <row r="1640" spans="1:21" hidden="1">
      <c r="A1640" s="7" t="s">
        <v>8739</v>
      </c>
      <c r="B1640" s="7" t="s">
        <v>6549</v>
      </c>
      <c r="C1640" s="8" t="s">
        <v>5317</v>
      </c>
      <c r="D1640" t="s">
        <v>164</v>
      </c>
      <c r="E1640" t="s">
        <v>273</v>
      </c>
      <c r="F1640" t="s">
        <v>103</v>
      </c>
      <c r="G1640" t="s">
        <v>301</v>
      </c>
      <c r="H1640" s="9">
        <v>44657</v>
      </c>
      <c r="I1640" t="s">
        <v>282</v>
      </c>
      <c r="J1640" t="s">
        <v>2</v>
      </c>
      <c r="K1640" s="9">
        <v>44726</v>
      </c>
      <c r="L1640" t="s">
        <v>29</v>
      </c>
      <c r="M1640" t="s">
        <v>1686</v>
      </c>
      <c r="N1640" s="9">
        <v>44686</v>
      </c>
      <c r="O1640" s="9">
        <v>44693</v>
      </c>
      <c r="P1640" s="9">
        <v>44693</v>
      </c>
      <c r="Q1640"/>
      <c r="R1640"/>
      <c r="S1640"/>
      <c r="T1640"/>
      <c r="U1640"/>
    </row>
    <row r="1641" spans="1:21" hidden="1">
      <c r="A1641" s="7" t="s">
        <v>8737</v>
      </c>
      <c r="B1641" s="7" t="s">
        <v>6549</v>
      </c>
      <c r="C1641" s="8" t="s">
        <v>5317</v>
      </c>
      <c r="D1641" t="s">
        <v>164</v>
      </c>
      <c r="E1641" t="s">
        <v>273</v>
      </c>
      <c r="F1641" t="s">
        <v>280</v>
      </c>
      <c r="G1641" t="s">
        <v>295</v>
      </c>
      <c r="H1641" s="9">
        <v>44657</v>
      </c>
      <c r="I1641" t="s">
        <v>282</v>
      </c>
      <c r="J1641" t="s">
        <v>2</v>
      </c>
      <c r="K1641" s="9">
        <v>44873.5401851852</v>
      </c>
      <c r="L1641" t="s">
        <v>29</v>
      </c>
      <c r="M1641" t="s">
        <v>331</v>
      </c>
      <c r="N1641" s="9">
        <v>44686</v>
      </c>
      <c r="O1641" s="9">
        <v>44693</v>
      </c>
      <c r="P1641" s="9">
        <v>44693</v>
      </c>
      <c r="Q1641" s="9">
        <v>44882</v>
      </c>
      <c r="R1641" s="9">
        <v>44873.538483796299</v>
      </c>
      <c r="S1641"/>
      <c r="T1641"/>
      <c r="U1641"/>
    </row>
    <row r="1642" spans="1:21" hidden="1">
      <c r="A1642" s="7" t="s">
        <v>8739</v>
      </c>
      <c r="B1642" s="7" t="s">
        <v>6549</v>
      </c>
      <c r="C1642" s="8" t="s">
        <v>5317</v>
      </c>
      <c r="D1642" t="s">
        <v>164</v>
      </c>
      <c r="E1642" t="s">
        <v>273</v>
      </c>
      <c r="F1642" t="s">
        <v>103</v>
      </c>
      <c r="G1642" t="s">
        <v>1138</v>
      </c>
      <c r="H1642" s="9">
        <v>44657</v>
      </c>
      <c r="I1642" t="s">
        <v>282</v>
      </c>
      <c r="J1642" t="s">
        <v>2</v>
      </c>
      <c r="K1642" s="9">
        <v>44726</v>
      </c>
      <c r="L1642" t="s">
        <v>29</v>
      </c>
      <c r="M1642" t="s">
        <v>1686</v>
      </c>
      <c r="N1642" s="9">
        <v>44686</v>
      </c>
      <c r="O1642" s="9">
        <v>44693</v>
      </c>
      <c r="P1642" s="9">
        <v>44693</v>
      </c>
      <c r="Q1642"/>
      <c r="R1642"/>
      <c r="S1642"/>
      <c r="T1642"/>
      <c r="U1642"/>
    </row>
    <row r="1643" spans="1:21" hidden="1">
      <c r="A1643" s="7" t="s">
        <v>8737</v>
      </c>
      <c r="B1643" s="7" t="s">
        <v>6549</v>
      </c>
      <c r="C1643" s="8" t="s">
        <v>5317</v>
      </c>
      <c r="D1643" t="s">
        <v>164</v>
      </c>
      <c r="E1643" t="s">
        <v>273</v>
      </c>
      <c r="F1643" t="s">
        <v>280</v>
      </c>
      <c r="G1643" t="s">
        <v>1714</v>
      </c>
      <c r="H1643" s="9">
        <v>44657</v>
      </c>
      <c r="I1643" t="s">
        <v>282</v>
      </c>
      <c r="J1643" t="s">
        <v>2</v>
      </c>
      <c r="K1643" s="9">
        <v>44873.5401851852</v>
      </c>
      <c r="L1643" t="s">
        <v>29</v>
      </c>
      <c r="M1643" t="s">
        <v>1686</v>
      </c>
      <c r="N1643" s="9">
        <v>44686</v>
      </c>
      <c r="O1643" s="9">
        <v>44693</v>
      </c>
      <c r="P1643" s="9">
        <v>44693</v>
      </c>
      <c r="Q1643" s="9">
        <v>44882</v>
      </c>
      <c r="R1643" s="9">
        <v>44873.538483796299</v>
      </c>
      <c r="S1643"/>
      <c r="T1643"/>
      <c r="U1643"/>
    </row>
    <row r="1644" spans="1:21" hidden="1">
      <c r="A1644" s="7" t="s">
        <v>8740</v>
      </c>
      <c r="B1644" s="7" t="s">
        <v>6627</v>
      </c>
      <c r="C1644" s="8" t="s">
        <v>5317</v>
      </c>
      <c r="D1644" t="s">
        <v>164</v>
      </c>
      <c r="E1644" t="s">
        <v>304</v>
      </c>
      <c r="F1644" t="s">
        <v>117</v>
      </c>
      <c r="G1644" t="s">
        <v>1140</v>
      </c>
      <c r="H1644" s="9">
        <v>44657</v>
      </c>
      <c r="I1644" t="s">
        <v>306</v>
      </c>
      <c r="J1644" t="s">
        <v>0</v>
      </c>
      <c r="K1644" s="9">
        <v>44711</v>
      </c>
      <c r="L1644" t="s">
        <v>29</v>
      </c>
      <c r="M1644"/>
      <c r="N1644" s="9">
        <v>44686</v>
      </c>
      <c r="O1644"/>
      <c r="P1644"/>
      <c r="Q1644" s="9">
        <v>44711</v>
      </c>
      <c r="R1644"/>
      <c r="S1644"/>
      <c r="T1644"/>
      <c r="U1644"/>
    </row>
    <row r="1645" spans="1:21" hidden="1">
      <c r="A1645" s="7" t="s">
        <v>8740</v>
      </c>
      <c r="B1645" s="7" t="s">
        <v>6627</v>
      </c>
      <c r="C1645" s="8" t="s">
        <v>5317</v>
      </c>
      <c r="D1645" t="s">
        <v>164</v>
      </c>
      <c r="E1645" t="s">
        <v>304</v>
      </c>
      <c r="F1645" t="s">
        <v>117</v>
      </c>
      <c r="G1645" t="s">
        <v>1141</v>
      </c>
      <c r="H1645" s="9">
        <v>44657</v>
      </c>
      <c r="I1645" t="s">
        <v>306</v>
      </c>
      <c r="J1645" t="s">
        <v>0</v>
      </c>
      <c r="K1645" s="9">
        <v>44711</v>
      </c>
      <c r="L1645" t="s">
        <v>29</v>
      </c>
      <c r="M1645"/>
      <c r="N1645" s="9">
        <v>44686</v>
      </c>
      <c r="O1645"/>
      <c r="P1645"/>
      <c r="Q1645" s="9">
        <v>44711</v>
      </c>
      <c r="R1645"/>
      <c r="S1645"/>
      <c r="T1645"/>
      <c r="U1645"/>
    </row>
    <row r="1646" spans="1:21" hidden="1">
      <c r="A1646" s="7" t="s">
        <v>8740</v>
      </c>
      <c r="B1646" s="7" t="s">
        <v>6627</v>
      </c>
      <c r="C1646" s="8" t="s">
        <v>5317</v>
      </c>
      <c r="D1646" t="s">
        <v>164</v>
      </c>
      <c r="E1646" t="s">
        <v>304</v>
      </c>
      <c r="F1646" t="s">
        <v>117</v>
      </c>
      <c r="G1646" t="s">
        <v>1142</v>
      </c>
      <c r="H1646" s="9">
        <v>44657</v>
      </c>
      <c r="I1646" t="s">
        <v>306</v>
      </c>
      <c r="J1646" t="s">
        <v>0</v>
      </c>
      <c r="K1646" s="9">
        <v>44711</v>
      </c>
      <c r="L1646" t="s">
        <v>29</v>
      </c>
      <c r="M1646"/>
      <c r="N1646" s="9">
        <v>44686</v>
      </c>
      <c r="O1646"/>
      <c r="P1646"/>
      <c r="Q1646" s="9">
        <v>44711</v>
      </c>
      <c r="R1646"/>
      <c r="S1646"/>
      <c r="T1646"/>
      <c r="U1646"/>
    </row>
    <row r="1647" spans="1:21" hidden="1">
      <c r="A1647" s="7" t="s">
        <v>8740</v>
      </c>
      <c r="B1647" s="7" t="s">
        <v>6627</v>
      </c>
      <c r="C1647" s="8" t="s">
        <v>5317</v>
      </c>
      <c r="D1647" t="s">
        <v>164</v>
      </c>
      <c r="E1647" t="s">
        <v>304</v>
      </c>
      <c r="F1647" t="s">
        <v>117</v>
      </c>
      <c r="G1647" t="s">
        <v>1143</v>
      </c>
      <c r="H1647" s="9">
        <v>44657</v>
      </c>
      <c r="I1647" t="s">
        <v>306</v>
      </c>
      <c r="J1647" t="s">
        <v>0</v>
      </c>
      <c r="K1647" s="9">
        <v>44711</v>
      </c>
      <c r="L1647" t="s">
        <v>29</v>
      </c>
      <c r="M1647"/>
      <c r="N1647" s="9">
        <v>44686</v>
      </c>
      <c r="O1647"/>
      <c r="P1647"/>
      <c r="Q1647" s="9">
        <v>44711</v>
      </c>
      <c r="R1647"/>
      <c r="S1647"/>
      <c r="T1647"/>
      <c r="U1647"/>
    </row>
    <row r="1648" spans="1:21" hidden="1">
      <c r="A1648" s="7" t="s">
        <v>8740</v>
      </c>
      <c r="B1648" s="7" t="s">
        <v>6627</v>
      </c>
      <c r="C1648" s="8" t="s">
        <v>5317</v>
      </c>
      <c r="D1648" t="s">
        <v>164</v>
      </c>
      <c r="E1648" t="s">
        <v>304</v>
      </c>
      <c r="F1648" t="s">
        <v>117</v>
      </c>
      <c r="G1648" t="s">
        <v>307</v>
      </c>
      <c r="H1648" s="9">
        <v>44657</v>
      </c>
      <c r="I1648" t="s">
        <v>306</v>
      </c>
      <c r="J1648" t="s">
        <v>0</v>
      </c>
      <c r="K1648" s="9">
        <v>44711</v>
      </c>
      <c r="L1648" t="s">
        <v>29</v>
      </c>
      <c r="M1648"/>
      <c r="N1648" s="9">
        <v>44686</v>
      </c>
      <c r="O1648"/>
      <c r="P1648"/>
      <c r="Q1648" s="9">
        <v>44711</v>
      </c>
      <c r="R1648"/>
      <c r="S1648"/>
      <c r="T1648"/>
      <c r="U1648"/>
    </row>
    <row r="1649" spans="1:21" hidden="1">
      <c r="A1649" s="7" t="s">
        <v>8740</v>
      </c>
      <c r="B1649" s="7" t="s">
        <v>6627</v>
      </c>
      <c r="C1649" s="8" t="s">
        <v>5317</v>
      </c>
      <c r="D1649" t="s">
        <v>164</v>
      </c>
      <c r="E1649" t="s">
        <v>304</v>
      </c>
      <c r="F1649" t="s">
        <v>117</v>
      </c>
      <c r="G1649" t="s">
        <v>1144</v>
      </c>
      <c r="H1649" s="9">
        <v>44657</v>
      </c>
      <c r="I1649" t="s">
        <v>306</v>
      </c>
      <c r="J1649" t="s">
        <v>0</v>
      </c>
      <c r="K1649" s="9">
        <v>44711</v>
      </c>
      <c r="L1649" t="s">
        <v>29</v>
      </c>
      <c r="M1649"/>
      <c r="N1649" s="9">
        <v>44686</v>
      </c>
      <c r="O1649"/>
      <c r="P1649"/>
      <c r="Q1649" s="9">
        <v>44711</v>
      </c>
      <c r="R1649"/>
      <c r="S1649"/>
      <c r="T1649"/>
      <c r="U1649"/>
    </row>
    <row r="1650" spans="1:21" hidden="1">
      <c r="A1650" s="7" t="s">
        <v>8740</v>
      </c>
      <c r="B1650" s="7" t="s">
        <v>6627</v>
      </c>
      <c r="C1650" s="8" t="s">
        <v>5317</v>
      </c>
      <c r="D1650" t="s">
        <v>164</v>
      </c>
      <c r="E1650" t="s">
        <v>304</v>
      </c>
      <c r="F1650" t="s">
        <v>117</v>
      </c>
      <c r="G1650" t="s">
        <v>1145</v>
      </c>
      <c r="H1650" s="9">
        <v>44657</v>
      </c>
      <c r="I1650" t="s">
        <v>306</v>
      </c>
      <c r="J1650" t="s">
        <v>0</v>
      </c>
      <c r="K1650" s="9">
        <v>44711</v>
      </c>
      <c r="L1650" t="s">
        <v>29</v>
      </c>
      <c r="M1650"/>
      <c r="N1650" s="9">
        <v>44686</v>
      </c>
      <c r="O1650"/>
      <c r="P1650"/>
      <c r="Q1650" s="9">
        <v>44711</v>
      </c>
      <c r="R1650"/>
      <c r="S1650"/>
      <c r="T1650"/>
      <c r="U1650"/>
    </row>
    <row r="1651" spans="1:21" hidden="1">
      <c r="A1651" s="7" t="s">
        <v>8740</v>
      </c>
      <c r="B1651" s="7" t="s">
        <v>6627</v>
      </c>
      <c r="C1651" s="8" t="s">
        <v>5317</v>
      </c>
      <c r="D1651" t="s">
        <v>164</v>
      </c>
      <c r="E1651" t="s">
        <v>304</v>
      </c>
      <c r="F1651" t="s">
        <v>117</v>
      </c>
      <c r="G1651" t="s">
        <v>308</v>
      </c>
      <c r="H1651" s="9">
        <v>44657</v>
      </c>
      <c r="I1651" t="s">
        <v>306</v>
      </c>
      <c r="J1651" t="s">
        <v>0</v>
      </c>
      <c r="K1651" s="9">
        <v>44711</v>
      </c>
      <c r="L1651" t="s">
        <v>29</v>
      </c>
      <c r="M1651"/>
      <c r="N1651" s="9">
        <v>44686</v>
      </c>
      <c r="O1651"/>
      <c r="P1651"/>
      <c r="Q1651" s="9">
        <v>44711</v>
      </c>
      <c r="R1651"/>
      <c r="S1651"/>
      <c r="T1651"/>
      <c r="U1651"/>
    </row>
    <row r="1652" spans="1:21" hidden="1">
      <c r="A1652" s="7" t="s">
        <v>8740</v>
      </c>
      <c r="B1652" s="7" t="s">
        <v>6627</v>
      </c>
      <c r="C1652" s="8" t="s">
        <v>5317</v>
      </c>
      <c r="D1652" t="s">
        <v>164</v>
      </c>
      <c r="E1652" t="s">
        <v>304</v>
      </c>
      <c r="F1652" t="s">
        <v>117</v>
      </c>
      <c r="G1652" t="s">
        <v>1146</v>
      </c>
      <c r="H1652" s="9">
        <v>44657</v>
      </c>
      <c r="I1652" t="s">
        <v>306</v>
      </c>
      <c r="J1652" t="s">
        <v>0</v>
      </c>
      <c r="K1652" s="9">
        <v>44711</v>
      </c>
      <c r="L1652" t="s">
        <v>29</v>
      </c>
      <c r="M1652"/>
      <c r="N1652" s="9">
        <v>44686</v>
      </c>
      <c r="O1652"/>
      <c r="P1652"/>
      <c r="Q1652" s="9">
        <v>44711</v>
      </c>
      <c r="R1652"/>
      <c r="S1652"/>
      <c r="T1652"/>
      <c r="U1652"/>
    </row>
    <row r="1653" spans="1:21" hidden="1">
      <c r="A1653" s="7" t="s">
        <v>8740</v>
      </c>
      <c r="B1653" s="7" t="s">
        <v>6627</v>
      </c>
      <c r="C1653" s="8" t="s">
        <v>5317</v>
      </c>
      <c r="D1653" t="s">
        <v>164</v>
      </c>
      <c r="E1653" t="s">
        <v>304</v>
      </c>
      <c r="F1653" t="s">
        <v>117</v>
      </c>
      <c r="G1653" t="s">
        <v>1147</v>
      </c>
      <c r="H1653" s="9">
        <v>44657</v>
      </c>
      <c r="I1653" t="s">
        <v>306</v>
      </c>
      <c r="J1653" t="s">
        <v>0</v>
      </c>
      <c r="K1653" s="9">
        <v>44711</v>
      </c>
      <c r="L1653" t="s">
        <v>29</v>
      </c>
      <c r="M1653"/>
      <c r="N1653" s="9">
        <v>44686</v>
      </c>
      <c r="O1653"/>
      <c r="P1653"/>
      <c r="Q1653" s="9">
        <v>44711</v>
      </c>
      <c r="R1653"/>
      <c r="S1653"/>
      <c r="T1653"/>
      <c r="U1653"/>
    </row>
    <row r="1654" spans="1:21" hidden="1">
      <c r="A1654" s="7" t="s">
        <v>8740</v>
      </c>
      <c r="B1654" s="7" t="s">
        <v>6627</v>
      </c>
      <c r="C1654" s="8" t="s">
        <v>5317</v>
      </c>
      <c r="D1654" t="s">
        <v>164</v>
      </c>
      <c r="E1654" t="s">
        <v>304</v>
      </c>
      <c r="F1654" t="s">
        <v>117</v>
      </c>
      <c r="G1654" t="s">
        <v>1148</v>
      </c>
      <c r="H1654" s="9">
        <v>44657</v>
      </c>
      <c r="I1654" t="s">
        <v>306</v>
      </c>
      <c r="J1654" t="s">
        <v>0</v>
      </c>
      <c r="K1654" s="9">
        <v>44711</v>
      </c>
      <c r="L1654" t="s">
        <v>29</v>
      </c>
      <c r="M1654"/>
      <c r="N1654" s="9">
        <v>44686</v>
      </c>
      <c r="O1654"/>
      <c r="P1654"/>
      <c r="Q1654" s="9">
        <v>44711</v>
      </c>
      <c r="R1654"/>
      <c r="S1654"/>
      <c r="T1654"/>
      <c r="U1654"/>
    </row>
    <row r="1655" spans="1:21" hidden="1">
      <c r="A1655" s="7" t="s">
        <v>8740</v>
      </c>
      <c r="B1655" s="7" t="s">
        <v>6627</v>
      </c>
      <c r="C1655" s="8" t="s">
        <v>5317</v>
      </c>
      <c r="D1655" t="s">
        <v>164</v>
      </c>
      <c r="E1655" t="s">
        <v>304</v>
      </c>
      <c r="F1655" t="s">
        <v>117</v>
      </c>
      <c r="G1655" t="s">
        <v>309</v>
      </c>
      <c r="H1655" s="9">
        <v>44657</v>
      </c>
      <c r="I1655" t="s">
        <v>306</v>
      </c>
      <c r="J1655" t="s">
        <v>0</v>
      </c>
      <c r="K1655" s="9">
        <v>44711</v>
      </c>
      <c r="L1655" t="s">
        <v>29</v>
      </c>
      <c r="M1655"/>
      <c r="N1655" s="9">
        <v>44686</v>
      </c>
      <c r="O1655"/>
      <c r="P1655"/>
      <c r="Q1655" s="9">
        <v>44711</v>
      </c>
      <c r="R1655"/>
      <c r="S1655"/>
      <c r="T1655"/>
      <c r="U1655"/>
    </row>
    <row r="1656" spans="1:21" hidden="1">
      <c r="A1656" s="7" t="s">
        <v>8740</v>
      </c>
      <c r="B1656" s="7" t="s">
        <v>6627</v>
      </c>
      <c r="C1656" s="8" t="s">
        <v>5317</v>
      </c>
      <c r="D1656" t="s">
        <v>164</v>
      </c>
      <c r="E1656" t="s">
        <v>304</v>
      </c>
      <c r="F1656" t="s">
        <v>117</v>
      </c>
      <c r="G1656" t="s">
        <v>1150</v>
      </c>
      <c r="H1656" s="9">
        <v>44657</v>
      </c>
      <c r="I1656" t="s">
        <v>306</v>
      </c>
      <c r="J1656" t="s">
        <v>0</v>
      </c>
      <c r="K1656" s="9">
        <v>44711</v>
      </c>
      <c r="L1656" t="s">
        <v>29</v>
      </c>
      <c r="M1656"/>
      <c r="N1656" s="9">
        <v>44686</v>
      </c>
      <c r="O1656"/>
      <c r="P1656"/>
      <c r="Q1656" s="9">
        <v>44711</v>
      </c>
      <c r="R1656"/>
      <c r="S1656"/>
      <c r="T1656"/>
      <c r="U1656"/>
    </row>
    <row r="1657" spans="1:21" hidden="1">
      <c r="A1657" s="7" t="s">
        <v>8740</v>
      </c>
      <c r="B1657" s="7" t="s">
        <v>6627</v>
      </c>
      <c r="C1657" s="8" t="s">
        <v>5317</v>
      </c>
      <c r="D1657" t="s">
        <v>164</v>
      </c>
      <c r="E1657" t="s">
        <v>304</v>
      </c>
      <c r="F1657" t="s">
        <v>117</v>
      </c>
      <c r="G1657" t="s">
        <v>1151</v>
      </c>
      <c r="H1657" s="9">
        <v>44657</v>
      </c>
      <c r="I1657" t="s">
        <v>306</v>
      </c>
      <c r="J1657" t="s">
        <v>0</v>
      </c>
      <c r="K1657" s="9">
        <v>44711</v>
      </c>
      <c r="L1657" t="s">
        <v>29</v>
      </c>
      <c r="M1657"/>
      <c r="N1657" s="9">
        <v>44686</v>
      </c>
      <c r="O1657"/>
      <c r="P1657"/>
      <c r="Q1657" s="9">
        <v>44711</v>
      </c>
      <c r="R1657"/>
      <c r="S1657"/>
      <c r="T1657"/>
      <c r="U1657"/>
    </row>
    <row r="1658" spans="1:21" hidden="1">
      <c r="A1658" s="7" t="s">
        <v>8740</v>
      </c>
      <c r="B1658" s="7" t="s">
        <v>6627</v>
      </c>
      <c r="C1658" s="8" t="s">
        <v>5317</v>
      </c>
      <c r="D1658" t="s">
        <v>164</v>
      </c>
      <c r="E1658" t="s">
        <v>304</v>
      </c>
      <c r="F1658" t="s">
        <v>117</v>
      </c>
      <c r="G1658" t="s">
        <v>1152</v>
      </c>
      <c r="H1658" s="9">
        <v>44657</v>
      </c>
      <c r="I1658" t="s">
        <v>306</v>
      </c>
      <c r="J1658" t="s">
        <v>0</v>
      </c>
      <c r="K1658" s="9">
        <v>44711</v>
      </c>
      <c r="L1658" t="s">
        <v>29</v>
      </c>
      <c r="M1658"/>
      <c r="N1658" s="9">
        <v>44686</v>
      </c>
      <c r="O1658"/>
      <c r="P1658"/>
      <c r="Q1658" s="9">
        <v>44711</v>
      </c>
      <c r="R1658"/>
      <c r="S1658"/>
      <c r="T1658"/>
      <c r="U1658"/>
    </row>
    <row r="1659" spans="1:21" hidden="1">
      <c r="A1659" s="7" t="s">
        <v>8740</v>
      </c>
      <c r="B1659" s="7" t="s">
        <v>6627</v>
      </c>
      <c r="C1659" s="8" t="s">
        <v>5317</v>
      </c>
      <c r="D1659" t="s">
        <v>164</v>
      </c>
      <c r="E1659" t="s">
        <v>304</v>
      </c>
      <c r="F1659" t="s">
        <v>117</v>
      </c>
      <c r="G1659" t="s">
        <v>1153</v>
      </c>
      <c r="H1659" s="9">
        <v>44657</v>
      </c>
      <c r="I1659" t="s">
        <v>306</v>
      </c>
      <c r="J1659" t="s">
        <v>0</v>
      </c>
      <c r="K1659" s="9">
        <v>44711</v>
      </c>
      <c r="L1659" t="s">
        <v>29</v>
      </c>
      <c r="M1659"/>
      <c r="N1659" s="9">
        <v>44686</v>
      </c>
      <c r="O1659"/>
      <c r="P1659"/>
      <c r="Q1659" s="9">
        <v>44711</v>
      </c>
      <c r="R1659"/>
      <c r="S1659"/>
      <c r="T1659"/>
      <c r="U1659"/>
    </row>
    <row r="1660" spans="1:21" hidden="1">
      <c r="A1660" s="7" t="s">
        <v>8740</v>
      </c>
      <c r="B1660" s="7" t="s">
        <v>6627</v>
      </c>
      <c r="C1660" s="8" t="s">
        <v>5317</v>
      </c>
      <c r="D1660" t="s">
        <v>164</v>
      </c>
      <c r="E1660" t="s">
        <v>304</v>
      </c>
      <c r="F1660" t="s">
        <v>117</v>
      </c>
      <c r="G1660" t="s">
        <v>1154</v>
      </c>
      <c r="H1660" s="9">
        <v>44657</v>
      </c>
      <c r="I1660" t="s">
        <v>306</v>
      </c>
      <c r="J1660" t="s">
        <v>0</v>
      </c>
      <c r="K1660" s="9">
        <v>44711</v>
      </c>
      <c r="L1660" t="s">
        <v>29</v>
      </c>
      <c r="M1660"/>
      <c r="N1660" s="9">
        <v>44686</v>
      </c>
      <c r="O1660"/>
      <c r="P1660"/>
      <c r="Q1660" s="9">
        <v>44711</v>
      </c>
      <c r="R1660"/>
      <c r="S1660"/>
      <c r="T1660"/>
      <c r="U1660"/>
    </row>
    <row r="1661" spans="1:21" hidden="1">
      <c r="A1661" s="7" t="s">
        <v>8740</v>
      </c>
      <c r="B1661" s="7" t="s">
        <v>6627</v>
      </c>
      <c r="C1661" s="8" t="s">
        <v>5317</v>
      </c>
      <c r="D1661" t="s">
        <v>164</v>
      </c>
      <c r="E1661" t="s">
        <v>304</v>
      </c>
      <c r="F1661" t="s">
        <v>117</v>
      </c>
      <c r="G1661" t="s">
        <v>1155</v>
      </c>
      <c r="H1661" s="9">
        <v>44657</v>
      </c>
      <c r="I1661" t="s">
        <v>306</v>
      </c>
      <c r="J1661" t="s">
        <v>0</v>
      </c>
      <c r="K1661" s="9">
        <v>44711</v>
      </c>
      <c r="L1661" t="s">
        <v>29</v>
      </c>
      <c r="M1661"/>
      <c r="N1661" s="9">
        <v>44686</v>
      </c>
      <c r="O1661"/>
      <c r="P1661"/>
      <c r="Q1661" s="9">
        <v>44711</v>
      </c>
      <c r="R1661"/>
      <c r="S1661"/>
      <c r="T1661"/>
      <c r="U1661"/>
    </row>
    <row r="1662" spans="1:21" hidden="1">
      <c r="A1662" s="7" t="s">
        <v>8740</v>
      </c>
      <c r="B1662" s="7" t="s">
        <v>6627</v>
      </c>
      <c r="C1662" s="8" t="s">
        <v>5317</v>
      </c>
      <c r="D1662" t="s">
        <v>164</v>
      </c>
      <c r="E1662" t="s">
        <v>304</v>
      </c>
      <c r="F1662" t="s">
        <v>117</v>
      </c>
      <c r="G1662" t="s">
        <v>1156</v>
      </c>
      <c r="H1662" s="9">
        <v>44657</v>
      </c>
      <c r="I1662" t="s">
        <v>306</v>
      </c>
      <c r="J1662" t="s">
        <v>0</v>
      </c>
      <c r="K1662" s="9">
        <v>44711</v>
      </c>
      <c r="L1662" t="s">
        <v>29</v>
      </c>
      <c r="M1662"/>
      <c r="N1662" s="9">
        <v>44686</v>
      </c>
      <c r="O1662"/>
      <c r="P1662"/>
      <c r="Q1662" s="9">
        <v>44711</v>
      </c>
      <c r="R1662"/>
      <c r="S1662"/>
      <c r="T1662"/>
      <c r="U1662"/>
    </row>
    <row r="1663" spans="1:21" hidden="1">
      <c r="A1663" s="7" t="s">
        <v>8740</v>
      </c>
      <c r="B1663" s="7" t="s">
        <v>6627</v>
      </c>
      <c r="C1663" s="8" t="s">
        <v>5317</v>
      </c>
      <c r="D1663" t="s">
        <v>164</v>
      </c>
      <c r="E1663" t="s">
        <v>304</v>
      </c>
      <c r="F1663" t="s">
        <v>117</v>
      </c>
      <c r="G1663" t="s">
        <v>1157</v>
      </c>
      <c r="H1663" s="9">
        <v>44657</v>
      </c>
      <c r="I1663" t="s">
        <v>306</v>
      </c>
      <c r="J1663" t="s">
        <v>0</v>
      </c>
      <c r="K1663" s="9">
        <v>44711</v>
      </c>
      <c r="L1663" t="s">
        <v>29</v>
      </c>
      <c r="M1663"/>
      <c r="N1663" s="9">
        <v>44686</v>
      </c>
      <c r="O1663"/>
      <c r="P1663"/>
      <c r="Q1663" s="9">
        <v>44711</v>
      </c>
      <c r="R1663"/>
      <c r="S1663"/>
      <c r="T1663"/>
      <c r="U1663"/>
    </row>
    <row r="1664" spans="1:21" hidden="1">
      <c r="A1664" s="7" t="s">
        <v>8740</v>
      </c>
      <c r="B1664" s="7" t="s">
        <v>6627</v>
      </c>
      <c r="C1664" s="8" t="s">
        <v>5317</v>
      </c>
      <c r="D1664" t="s">
        <v>164</v>
      </c>
      <c r="E1664" t="s">
        <v>304</v>
      </c>
      <c r="F1664" t="s">
        <v>117</v>
      </c>
      <c r="G1664" t="s">
        <v>1160</v>
      </c>
      <c r="H1664" s="9">
        <v>44657</v>
      </c>
      <c r="I1664" t="s">
        <v>306</v>
      </c>
      <c r="J1664" t="s">
        <v>0</v>
      </c>
      <c r="K1664" s="9">
        <v>44711</v>
      </c>
      <c r="L1664" t="s">
        <v>29</v>
      </c>
      <c r="M1664"/>
      <c r="N1664" s="9">
        <v>44686</v>
      </c>
      <c r="O1664"/>
      <c r="P1664"/>
      <c r="Q1664" s="9">
        <v>44711</v>
      </c>
      <c r="R1664"/>
      <c r="S1664"/>
      <c r="T1664"/>
      <c r="U1664"/>
    </row>
    <row r="1665" spans="1:21" hidden="1">
      <c r="A1665" s="7" t="s">
        <v>8740</v>
      </c>
      <c r="B1665" s="7" t="s">
        <v>6627</v>
      </c>
      <c r="C1665" s="8" t="s">
        <v>5317</v>
      </c>
      <c r="D1665" t="s">
        <v>164</v>
      </c>
      <c r="E1665" t="s">
        <v>304</v>
      </c>
      <c r="F1665" t="s">
        <v>117</v>
      </c>
      <c r="G1665" t="s">
        <v>1164</v>
      </c>
      <c r="H1665" s="9">
        <v>44657</v>
      </c>
      <c r="I1665" t="s">
        <v>306</v>
      </c>
      <c r="J1665" t="s">
        <v>0</v>
      </c>
      <c r="K1665" s="9">
        <v>44711</v>
      </c>
      <c r="L1665" t="s">
        <v>29</v>
      </c>
      <c r="M1665"/>
      <c r="N1665" s="9">
        <v>44686</v>
      </c>
      <c r="O1665"/>
      <c r="P1665"/>
      <c r="Q1665" s="9">
        <v>44711</v>
      </c>
      <c r="R1665"/>
      <c r="S1665"/>
      <c r="T1665"/>
      <c r="U1665"/>
    </row>
    <row r="1666" spans="1:21" hidden="1">
      <c r="A1666" s="7" t="s">
        <v>8740</v>
      </c>
      <c r="B1666" s="7" t="s">
        <v>6627</v>
      </c>
      <c r="C1666" s="8" t="s">
        <v>5317</v>
      </c>
      <c r="D1666" t="s">
        <v>164</v>
      </c>
      <c r="E1666" t="s">
        <v>304</v>
      </c>
      <c r="F1666" t="s">
        <v>117</v>
      </c>
      <c r="G1666" t="s">
        <v>1165</v>
      </c>
      <c r="H1666" s="9">
        <v>44657</v>
      </c>
      <c r="I1666" t="s">
        <v>306</v>
      </c>
      <c r="J1666" t="s">
        <v>0</v>
      </c>
      <c r="K1666" s="9">
        <v>44711</v>
      </c>
      <c r="L1666" t="s">
        <v>29</v>
      </c>
      <c r="M1666"/>
      <c r="N1666" s="9">
        <v>44686</v>
      </c>
      <c r="O1666"/>
      <c r="P1666"/>
      <c r="Q1666" s="9">
        <v>44711</v>
      </c>
      <c r="R1666"/>
      <c r="S1666"/>
      <c r="T1666"/>
      <c r="U1666"/>
    </row>
    <row r="1667" spans="1:21" hidden="1">
      <c r="A1667" s="7" t="s">
        <v>8740</v>
      </c>
      <c r="B1667" s="7" t="s">
        <v>6627</v>
      </c>
      <c r="C1667" s="8" t="s">
        <v>5317</v>
      </c>
      <c r="D1667" t="s">
        <v>164</v>
      </c>
      <c r="E1667" t="s">
        <v>304</v>
      </c>
      <c r="F1667" t="s">
        <v>117</v>
      </c>
      <c r="G1667" t="s">
        <v>1166</v>
      </c>
      <c r="H1667" s="9">
        <v>44657</v>
      </c>
      <c r="I1667" t="s">
        <v>306</v>
      </c>
      <c r="J1667" t="s">
        <v>0</v>
      </c>
      <c r="K1667" s="9">
        <v>44711</v>
      </c>
      <c r="L1667" t="s">
        <v>29</v>
      </c>
      <c r="M1667"/>
      <c r="N1667" s="9">
        <v>44686</v>
      </c>
      <c r="O1667"/>
      <c r="P1667"/>
      <c r="Q1667" s="9">
        <v>44711</v>
      </c>
      <c r="R1667"/>
      <c r="S1667"/>
      <c r="T1667"/>
      <c r="U1667"/>
    </row>
    <row r="1668" spans="1:21" hidden="1">
      <c r="A1668" s="7" t="s">
        <v>8740</v>
      </c>
      <c r="B1668" s="7" t="s">
        <v>6627</v>
      </c>
      <c r="C1668" s="8" t="s">
        <v>5317</v>
      </c>
      <c r="D1668" t="s">
        <v>164</v>
      </c>
      <c r="E1668" t="s">
        <v>304</v>
      </c>
      <c r="F1668" t="s">
        <v>117</v>
      </c>
      <c r="G1668" t="s">
        <v>1167</v>
      </c>
      <c r="H1668" s="9">
        <v>44657</v>
      </c>
      <c r="I1668" t="s">
        <v>306</v>
      </c>
      <c r="J1668" t="s">
        <v>0</v>
      </c>
      <c r="K1668" s="9">
        <v>44711</v>
      </c>
      <c r="L1668" t="s">
        <v>29</v>
      </c>
      <c r="M1668"/>
      <c r="N1668" s="9">
        <v>44686</v>
      </c>
      <c r="O1668"/>
      <c r="P1668"/>
      <c r="Q1668" s="9">
        <v>44711</v>
      </c>
      <c r="R1668"/>
      <c r="S1668"/>
      <c r="T1668"/>
      <c r="U1668"/>
    </row>
    <row r="1669" spans="1:21" hidden="1">
      <c r="A1669" s="7" t="s">
        <v>8740</v>
      </c>
      <c r="B1669" s="7" t="s">
        <v>6627</v>
      </c>
      <c r="C1669" s="8" t="s">
        <v>5317</v>
      </c>
      <c r="D1669" t="s">
        <v>164</v>
      </c>
      <c r="E1669" t="s">
        <v>304</v>
      </c>
      <c r="F1669" t="s">
        <v>117</v>
      </c>
      <c r="G1669" t="s">
        <v>1168</v>
      </c>
      <c r="H1669" s="9">
        <v>44657</v>
      </c>
      <c r="I1669" t="s">
        <v>306</v>
      </c>
      <c r="J1669" t="s">
        <v>0</v>
      </c>
      <c r="K1669" s="9">
        <v>44711</v>
      </c>
      <c r="L1669" t="s">
        <v>29</v>
      </c>
      <c r="M1669"/>
      <c r="N1669" s="9">
        <v>44686</v>
      </c>
      <c r="O1669"/>
      <c r="P1669"/>
      <c r="Q1669" s="9">
        <v>44711</v>
      </c>
      <c r="R1669"/>
      <c r="S1669"/>
      <c r="T1669"/>
      <c r="U1669"/>
    </row>
    <row r="1670" spans="1:21" hidden="1">
      <c r="A1670" s="7" t="s">
        <v>8740</v>
      </c>
      <c r="B1670" s="7" t="s">
        <v>6627</v>
      </c>
      <c r="C1670" s="8" t="s">
        <v>5317</v>
      </c>
      <c r="D1670" t="s">
        <v>164</v>
      </c>
      <c r="E1670" t="s">
        <v>304</v>
      </c>
      <c r="F1670" t="s">
        <v>117</v>
      </c>
      <c r="G1670" t="s">
        <v>310</v>
      </c>
      <c r="H1670" s="9">
        <v>44657</v>
      </c>
      <c r="I1670" t="s">
        <v>306</v>
      </c>
      <c r="J1670" t="s">
        <v>0</v>
      </c>
      <c r="K1670" s="9">
        <v>44711</v>
      </c>
      <c r="L1670" t="s">
        <v>29</v>
      </c>
      <c r="M1670"/>
      <c r="N1670" s="9">
        <v>44686</v>
      </c>
      <c r="O1670"/>
      <c r="P1670"/>
      <c r="Q1670" s="9">
        <v>44711</v>
      </c>
      <c r="R1670"/>
      <c r="S1670"/>
      <c r="T1670"/>
      <c r="U1670"/>
    </row>
    <row r="1671" spans="1:21" hidden="1">
      <c r="A1671" s="7" t="s">
        <v>8740</v>
      </c>
      <c r="B1671" s="7" t="s">
        <v>6627</v>
      </c>
      <c r="C1671" s="8" t="s">
        <v>5317</v>
      </c>
      <c r="D1671" t="s">
        <v>164</v>
      </c>
      <c r="E1671" t="s">
        <v>304</v>
      </c>
      <c r="F1671" t="s">
        <v>117</v>
      </c>
      <c r="G1671" t="s">
        <v>1169</v>
      </c>
      <c r="H1671" s="9">
        <v>44657</v>
      </c>
      <c r="I1671" t="s">
        <v>306</v>
      </c>
      <c r="J1671" t="s">
        <v>0</v>
      </c>
      <c r="K1671" s="9">
        <v>44711</v>
      </c>
      <c r="L1671" t="s">
        <v>29</v>
      </c>
      <c r="M1671"/>
      <c r="N1671" s="9">
        <v>44686</v>
      </c>
      <c r="O1671"/>
      <c r="P1671"/>
      <c r="Q1671" s="9">
        <v>44711</v>
      </c>
      <c r="R1671"/>
      <c r="S1671"/>
      <c r="T1671"/>
      <c r="U1671"/>
    </row>
    <row r="1672" spans="1:21" hidden="1">
      <c r="A1672" s="7" t="s">
        <v>8740</v>
      </c>
      <c r="B1672" s="7" t="s">
        <v>6627</v>
      </c>
      <c r="C1672" s="8" t="s">
        <v>5317</v>
      </c>
      <c r="D1672" t="s">
        <v>164</v>
      </c>
      <c r="E1672" t="s">
        <v>304</v>
      </c>
      <c r="F1672" t="s">
        <v>117</v>
      </c>
      <c r="G1672" t="s">
        <v>1170</v>
      </c>
      <c r="H1672" s="9">
        <v>44657</v>
      </c>
      <c r="I1672" t="s">
        <v>306</v>
      </c>
      <c r="J1672" t="s">
        <v>0</v>
      </c>
      <c r="K1672" s="9">
        <v>44711</v>
      </c>
      <c r="L1672" t="s">
        <v>29</v>
      </c>
      <c r="M1672"/>
      <c r="N1672" s="9">
        <v>44686</v>
      </c>
      <c r="O1672"/>
      <c r="P1672"/>
      <c r="Q1672" s="9">
        <v>44711</v>
      </c>
      <c r="R1672"/>
      <c r="S1672"/>
      <c r="T1672"/>
      <c r="U1672"/>
    </row>
    <row r="1673" spans="1:21" hidden="1">
      <c r="A1673" s="7" t="s">
        <v>8740</v>
      </c>
      <c r="B1673" s="7" t="s">
        <v>6627</v>
      </c>
      <c r="C1673" s="8" t="s">
        <v>5317</v>
      </c>
      <c r="D1673" t="s">
        <v>164</v>
      </c>
      <c r="E1673" t="s">
        <v>304</v>
      </c>
      <c r="F1673" t="s">
        <v>117</v>
      </c>
      <c r="G1673" t="s">
        <v>1171</v>
      </c>
      <c r="H1673" s="9">
        <v>44657</v>
      </c>
      <c r="I1673" t="s">
        <v>306</v>
      </c>
      <c r="J1673" t="s">
        <v>0</v>
      </c>
      <c r="K1673" s="9">
        <v>44711</v>
      </c>
      <c r="L1673" t="s">
        <v>29</v>
      </c>
      <c r="M1673"/>
      <c r="N1673" s="9">
        <v>44686</v>
      </c>
      <c r="O1673"/>
      <c r="P1673"/>
      <c r="Q1673" s="9">
        <v>44711</v>
      </c>
      <c r="R1673"/>
      <c r="S1673"/>
      <c r="T1673"/>
      <c r="U1673"/>
    </row>
    <row r="1674" spans="1:21" hidden="1">
      <c r="A1674" s="7" t="s">
        <v>8740</v>
      </c>
      <c r="B1674" s="7" t="s">
        <v>6627</v>
      </c>
      <c r="C1674" s="8" t="s">
        <v>5317</v>
      </c>
      <c r="D1674" t="s">
        <v>164</v>
      </c>
      <c r="E1674" t="s">
        <v>304</v>
      </c>
      <c r="F1674" t="s">
        <v>117</v>
      </c>
      <c r="G1674" t="s">
        <v>1172</v>
      </c>
      <c r="H1674" s="9">
        <v>44657</v>
      </c>
      <c r="I1674" t="s">
        <v>306</v>
      </c>
      <c r="J1674" t="s">
        <v>0</v>
      </c>
      <c r="K1674" s="9">
        <v>44711</v>
      </c>
      <c r="L1674" t="s">
        <v>29</v>
      </c>
      <c r="M1674"/>
      <c r="N1674" s="9">
        <v>44686</v>
      </c>
      <c r="O1674"/>
      <c r="P1674"/>
      <c r="Q1674" s="9">
        <v>44711</v>
      </c>
      <c r="R1674"/>
      <c r="S1674"/>
      <c r="T1674"/>
      <c r="U1674"/>
    </row>
    <row r="1675" spans="1:21" hidden="1">
      <c r="A1675" s="7" t="s">
        <v>8740</v>
      </c>
      <c r="B1675" s="7" t="s">
        <v>6627</v>
      </c>
      <c r="C1675" s="8" t="s">
        <v>5317</v>
      </c>
      <c r="D1675" t="s">
        <v>164</v>
      </c>
      <c r="E1675" t="s">
        <v>304</v>
      </c>
      <c r="F1675" t="s">
        <v>117</v>
      </c>
      <c r="G1675" t="s">
        <v>1173</v>
      </c>
      <c r="H1675" s="9">
        <v>44657</v>
      </c>
      <c r="I1675" t="s">
        <v>306</v>
      </c>
      <c r="J1675" t="s">
        <v>0</v>
      </c>
      <c r="K1675" s="9">
        <v>44711</v>
      </c>
      <c r="L1675" t="s">
        <v>29</v>
      </c>
      <c r="M1675"/>
      <c r="N1675" s="9">
        <v>44686</v>
      </c>
      <c r="O1675"/>
      <c r="P1675"/>
      <c r="Q1675" s="9">
        <v>44711</v>
      </c>
      <c r="R1675"/>
      <c r="S1675"/>
      <c r="T1675"/>
      <c r="U1675"/>
    </row>
    <row r="1676" spans="1:21" hidden="1">
      <c r="A1676" s="7" t="s">
        <v>8740</v>
      </c>
      <c r="B1676" s="7" t="s">
        <v>6627</v>
      </c>
      <c r="C1676" s="8" t="s">
        <v>5317</v>
      </c>
      <c r="D1676" t="s">
        <v>164</v>
      </c>
      <c r="E1676" t="s">
        <v>304</v>
      </c>
      <c r="F1676" t="s">
        <v>117</v>
      </c>
      <c r="G1676" t="s">
        <v>1174</v>
      </c>
      <c r="H1676" s="9">
        <v>44657</v>
      </c>
      <c r="I1676" t="s">
        <v>306</v>
      </c>
      <c r="J1676" t="s">
        <v>0</v>
      </c>
      <c r="K1676" s="9">
        <v>44711</v>
      </c>
      <c r="L1676" t="s">
        <v>29</v>
      </c>
      <c r="M1676"/>
      <c r="N1676" s="9">
        <v>44686</v>
      </c>
      <c r="O1676"/>
      <c r="P1676"/>
      <c r="Q1676" s="9">
        <v>44711</v>
      </c>
      <c r="R1676"/>
      <c r="S1676"/>
      <c r="T1676"/>
      <c r="U1676"/>
    </row>
    <row r="1677" spans="1:21" hidden="1">
      <c r="A1677" s="7" t="s">
        <v>8740</v>
      </c>
      <c r="B1677" s="7" t="s">
        <v>6627</v>
      </c>
      <c r="C1677" s="8" t="s">
        <v>5317</v>
      </c>
      <c r="D1677" t="s">
        <v>164</v>
      </c>
      <c r="E1677" t="s">
        <v>304</v>
      </c>
      <c r="F1677" t="s">
        <v>117</v>
      </c>
      <c r="G1677" t="s">
        <v>1175</v>
      </c>
      <c r="H1677" s="9">
        <v>44657</v>
      </c>
      <c r="I1677" t="s">
        <v>306</v>
      </c>
      <c r="J1677" t="s">
        <v>0</v>
      </c>
      <c r="K1677" s="9">
        <v>44711</v>
      </c>
      <c r="L1677" t="s">
        <v>29</v>
      </c>
      <c r="M1677"/>
      <c r="N1677" s="9">
        <v>44686</v>
      </c>
      <c r="O1677"/>
      <c r="P1677"/>
      <c r="Q1677" s="9">
        <v>44711</v>
      </c>
      <c r="R1677"/>
      <c r="S1677"/>
      <c r="T1677"/>
      <c r="U1677"/>
    </row>
    <row r="1678" spans="1:21" hidden="1">
      <c r="A1678" s="7" t="s">
        <v>8740</v>
      </c>
      <c r="B1678" s="7" t="s">
        <v>6627</v>
      </c>
      <c r="C1678" s="8" t="s">
        <v>5317</v>
      </c>
      <c r="D1678" t="s">
        <v>164</v>
      </c>
      <c r="E1678" t="s">
        <v>304</v>
      </c>
      <c r="F1678" t="s">
        <v>117</v>
      </c>
      <c r="G1678" t="s">
        <v>1176</v>
      </c>
      <c r="H1678" s="9">
        <v>44657</v>
      </c>
      <c r="I1678" t="s">
        <v>306</v>
      </c>
      <c r="J1678" t="s">
        <v>0</v>
      </c>
      <c r="K1678" s="9">
        <v>44711</v>
      </c>
      <c r="L1678" t="s">
        <v>29</v>
      </c>
      <c r="M1678"/>
      <c r="N1678" s="9">
        <v>44686</v>
      </c>
      <c r="O1678"/>
      <c r="P1678"/>
      <c r="Q1678" s="9">
        <v>44711</v>
      </c>
      <c r="R1678"/>
      <c r="S1678"/>
      <c r="T1678"/>
      <c r="U1678"/>
    </row>
    <row r="1679" spans="1:21" hidden="1">
      <c r="A1679" s="7" t="s">
        <v>8740</v>
      </c>
      <c r="B1679" s="7" t="s">
        <v>6627</v>
      </c>
      <c r="C1679" s="8" t="s">
        <v>5317</v>
      </c>
      <c r="D1679" t="s">
        <v>164</v>
      </c>
      <c r="E1679" t="s">
        <v>304</v>
      </c>
      <c r="F1679" t="s">
        <v>117</v>
      </c>
      <c r="G1679" t="s">
        <v>1177</v>
      </c>
      <c r="H1679" s="9">
        <v>44657</v>
      </c>
      <c r="I1679" t="s">
        <v>306</v>
      </c>
      <c r="J1679" t="s">
        <v>0</v>
      </c>
      <c r="K1679" s="9">
        <v>44711</v>
      </c>
      <c r="L1679" t="s">
        <v>29</v>
      </c>
      <c r="M1679"/>
      <c r="N1679" s="9">
        <v>44686</v>
      </c>
      <c r="O1679"/>
      <c r="P1679"/>
      <c r="Q1679" s="9">
        <v>44711</v>
      </c>
      <c r="R1679"/>
      <c r="S1679"/>
      <c r="T1679"/>
      <c r="U1679"/>
    </row>
    <row r="1680" spans="1:21" hidden="1">
      <c r="A1680" s="7" t="s">
        <v>8740</v>
      </c>
      <c r="B1680" s="7" t="s">
        <v>6627</v>
      </c>
      <c r="C1680" s="8" t="s">
        <v>5317</v>
      </c>
      <c r="D1680" t="s">
        <v>164</v>
      </c>
      <c r="E1680" t="s">
        <v>304</v>
      </c>
      <c r="F1680" t="s">
        <v>117</v>
      </c>
      <c r="G1680" t="s">
        <v>1179</v>
      </c>
      <c r="H1680" s="9">
        <v>44657</v>
      </c>
      <c r="I1680" t="s">
        <v>306</v>
      </c>
      <c r="J1680" t="s">
        <v>0</v>
      </c>
      <c r="K1680" s="9">
        <v>44711</v>
      </c>
      <c r="L1680" t="s">
        <v>29</v>
      </c>
      <c r="M1680"/>
      <c r="N1680" s="9">
        <v>44686</v>
      </c>
      <c r="O1680"/>
      <c r="P1680"/>
      <c r="Q1680" s="9">
        <v>44711</v>
      </c>
      <c r="R1680"/>
      <c r="S1680"/>
      <c r="T1680"/>
      <c r="U1680"/>
    </row>
    <row r="1681" spans="1:21" hidden="1">
      <c r="A1681" s="7" t="s">
        <v>8740</v>
      </c>
      <c r="B1681" s="7" t="s">
        <v>6627</v>
      </c>
      <c r="C1681" s="8" t="s">
        <v>5317</v>
      </c>
      <c r="D1681" t="s">
        <v>164</v>
      </c>
      <c r="E1681" t="s">
        <v>304</v>
      </c>
      <c r="F1681" t="s">
        <v>117</v>
      </c>
      <c r="G1681" t="s">
        <v>1180</v>
      </c>
      <c r="H1681" s="9">
        <v>44657</v>
      </c>
      <c r="I1681" t="s">
        <v>306</v>
      </c>
      <c r="J1681" t="s">
        <v>0</v>
      </c>
      <c r="K1681" s="9">
        <v>44711</v>
      </c>
      <c r="L1681" t="s">
        <v>29</v>
      </c>
      <c r="M1681"/>
      <c r="N1681" s="9">
        <v>44686</v>
      </c>
      <c r="O1681"/>
      <c r="P1681"/>
      <c r="Q1681" s="9">
        <v>44711</v>
      </c>
      <c r="R1681"/>
      <c r="S1681"/>
      <c r="T1681"/>
      <c r="U1681"/>
    </row>
    <row r="1682" spans="1:21" hidden="1">
      <c r="A1682" s="7" t="s">
        <v>8740</v>
      </c>
      <c r="B1682" s="7" t="s">
        <v>6627</v>
      </c>
      <c r="C1682" s="8" t="s">
        <v>5317</v>
      </c>
      <c r="D1682" t="s">
        <v>164</v>
      </c>
      <c r="E1682" t="s">
        <v>304</v>
      </c>
      <c r="F1682" t="s">
        <v>117</v>
      </c>
      <c r="G1682" t="s">
        <v>1181</v>
      </c>
      <c r="H1682" s="9">
        <v>44657</v>
      </c>
      <c r="I1682" t="s">
        <v>306</v>
      </c>
      <c r="J1682" t="s">
        <v>0</v>
      </c>
      <c r="K1682" s="9">
        <v>44711</v>
      </c>
      <c r="L1682" t="s">
        <v>29</v>
      </c>
      <c r="M1682"/>
      <c r="N1682" s="9">
        <v>44686</v>
      </c>
      <c r="O1682"/>
      <c r="P1682"/>
      <c r="Q1682" s="9">
        <v>44711</v>
      </c>
      <c r="R1682"/>
      <c r="S1682"/>
      <c r="T1682"/>
      <c r="U1682"/>
    </row>
    <row r="1683" spans="1:21" hidden="1">
      <c r="A1683" s="7" t="s">
        <v>8740</v>
      </c>
      <c r="B1683" s="7" t="s">
        <v>6627</v>
      </c>
      <c r="C1683" s="8" t="s">
        <v>5317</v>
      </c>
      <c r="D1683" t="s">
        <v>164</v>
      </c>
      <c r="E1683" t="s">
        <v>304</v>
      </c>
      <c r="F1683" t="s">
        <v>117</v>
      </c>
      <c r="G1683" t="s">
        <v>311</v>
      </c>
      <c r="H1683" s="9">
        <v>44657</v>
      </c>
      <c r="I1683" t="s">
        <v>306</v>
      </c>
      <c r="J1683" t="s">
        <v>0</v>
      </c>
      <c r="K1683" s="9">
        <v>44711</v>
      </c>
      <c r="L1683" t="s">
        <v>29</v>
      </c>
      <c r="M1683"/>
      <c r="N1683" s="9">
        <v>44686</v>
      </c>
      <c r="O1683"/>
      <c r="P1683"/>
      <c r="Q1683" s="9">
        <v>44711</v>
      </c>
      <c r="R1683"/>
      <c r="S1683"/>
      <c r="T1683"/>
      <c r="U1683"/>
    </row>
    <row r="1684" spans="1:21" hidden="1">
      <c r="A1684" s="7" t="s">
        <v>8740</v>
      </c>
      <c r="B1684" s="7" t="s">
        <v>6627</v>
      </c>
      <c r="C1684" s="8" t="s">
        <v>5317</v>
      </c>
      <c r="D1684" t="s">
        <v>164</v>
      </c>
      <c r="E1684" t="s">
        <v>304</v>
      </c>
      <c r="F1684" t="s">
        <v>117</v>
      </c>
      <c r="G1684" t="s">
        <v>1183</v>
      </c>
      <c r="H1684" s="9">
        <v>44657</v>
      </c>
      <c r="I1684" t="s">
        <v>306</v>
      </c>
      <c r="J1684" t="s">
        <v>0</v>
      </c>
      <c r="K1684" s="9">
        <v>44711</v>
      </c>
      <c r="L1684" t="s">
        <v>29</v>
      </c>
      <c r="M1684"/>
      <c r="N1684" s="9">
        <v>44686</v>
      </c>
      <c r="O1684"/>
      <c r="P1684"/>
      <c r="Q1684" s="9">
        <v>44711</v>
      </c>
      <c r="R1684"/>
      <c r="S1684"/>
      <c r="T1684"/>
      <c r="U1684"/>
    </row>
    <row r="1685" spans="1:21" hidden="1">
      <c r="A1685" s="7" t="s">
        <v>8740</v>
      </c>
      <c r="B1685" s="7" t="s">
        <v>6627</v>
      </c>
      <c r="C1685" s="8" t="s">
        <v>5317</v>
      </c>
      <c r="D1685" t="s">
        <v>164</v>
      </c>
      <c r="E1685" t="s">
        <v>304</v>
      </c>
      <c r="F1685" t="s">
        <v>117</v>
      </c>
      <c r="G1685" t="s">
        <v>1184</v>
      </c>
      <c r="H1685" s="9">
        <v>44657</v>
      </c>
      <c r="I1685" t="s">
        <v>306</v>
      </c>
      <c r="J1685" t="s">
        <v>0</v>
      </c>
      <c r="K1685" s="9">
        <v>44711</v>
      </c>
      <c r="L1685" t="s">
        <v>29</v>
      </c>
      <c r="M1685"/>
      <c r="N1685" s="9">
        <v>44686</v>
      </c>
      <c r="O1685"/>
      <c r="P1685"/>
      <c r="Q1685" s="9">
        <v>44711</v>
      </c>
      <c r="R1685"/>
      <c r="S1685"/>
      <c r="T1685"/>
      <c r="U1685"/>
    </row>
    <row r="1686" spans="1:21" hidden="1">
      <c r="A1686" s="7" t="s">
        <v>8740</v>
      </c>
      <c r="B1686" s="7" t="s">
        <v>6627</v>
      </c>
      <c r="C1686" s="8" t="s">
        <v>5317</v>
      </c>
      <c r="D1686" t="s">
        <v>164</v>
      </c>
      <c r="E1686" t="s">
        <v>304</v>
      </c>
      <c r="F1686" t="s">
        <v>117</v>
      </c>
      <c r="G1686" t="s">
        <v>1185</v>
      </c>
      <c r="H1686" s="9">
        <v>44657</v>
      </c>
      <c r="I1686" t="s">
        <v>306</v>
      </c>
      <c r="J1686" t="s">
        <v>0</v>
      </c>
      <c r="K1686" s="9">
        <v>44711</v>
      </c>
      <c r="L1686" t="s">
        <v>29</v>
      </c>
      <c r="M1686"/>
      <c r="N1686" s="9">
        <v>44686</v>
      </c>
      <c r="O1686"/>
      <c r="P1686"/>
      <c r="Q1686" s="9">
        <v>44711</v>
      </c>
      <c r="R1686"/>
      <c r="S1686"/>
      <c r="T1686"/>
      <c r="U1686"/>
    </row>
    <row r="1687" spans="1:21" hidden="1">
      <c r="A1687" s="7" t="s">
        <v>8740</v>
      </c>
      <c r="B1687" s="7" t="s">
        <v>6627</v>
      </c>
      <c r="C1687" s="8" t="s">
        <v>5317</v>
      </c>
      <c r="D1687" t="s">
        <v>164</v>
      </c>
      <c r="E1687" t="s">
        <v>304</v>
      </c>
      <c r="F1687" t="s">
        <v>117</v>
      </c>
      <c r="G1687" t="s">
        <v>1186</v>
      </c>
      <c r="H1687" s="9">
        <v>44657</v>
      </c>
      <c r="I1687" t="s">
        <v>306</v>
      </c>
      <c r="J1687" t="s">
        <v>0</v>
      </c>
      <c r="K1687" s="9">
        <v>44711</v>
      </c>
      <c r="L1687" t="s">
        <v>29</v>
      </c>
      <c r="M1687"/>
      <c r="N1687" s="9">
        <v>44686</v>
      </c>
      <c r="O1687"/>
      <c r="P1687"/>
      <c r="Q1687" s="9">
        <v>44711</v>
      </c>
      <c r="R1687"/>
      <c r="S1687"/>
      <c r="T1687"/>
      <c r="U1687"/>
    </row>
    <row r="1688" spans="1:21" hidden="1">
      <c r="A1688" s="7" t="s">
        <v>8740</v>
      </c>
      <c r="B1688" s="7" t="s">
        <v>6627</v>
      </c>
      <c r="C1688" s="8" t="s">
        <v>5317</v>
      </c>
      <c r="D1688" t="s">
        <v>164</v>
      </c>
      <c r="E1688" t="s">
        <v>304</v>
      </c>
      <c r="F1688" t="s">
        <v>117</v>
      </c>
      <c r="G1688" t="s">
        <v>1187</v>
      </c>
      <c r="H1688" s="9">
        <v>44657</v>
      </c>
      <c r="I1688" t="s">
        <v>306</v>
      </c>
      <c r="J1688" t="s">
        <v>0</v>
      </c>
      <c r="K1688" s="9">
        <v>44711</v>
      </c>
      <c r="L1688" t="s">
        <v>29</v>
      </c>
      <c r="M1688"/>
      <c r="N1688" s="9">
        <v>44686</v>
      </c>
      <c r="O1688"/>
      <c r="P1688"/>
      <c r="Q1688" s="9">
        <v>44711</v>
      </c>
      <c r="R1688"/>
      <c r="S1688"/>
      <c r="T1688"/>
      <c r="U1688"/>
    </row>
    <row r="1689" spans="1:21" hidden="1">
      <c r="A1689" s="7" t="s">
        <v>8740</v>
      </c>
      <c r="B1689" s="7" t="s">
        <v>6627</v>
      </c>
      <c r="C1689" s="8" t="s">
        <v>5317</v>
      </c>
      <c r="D1689" t="s">
        <v>164</v>
      </c>
      <c r="E1689" t="s">
        <v>304</v>
      </c>
      <c r="F1689" t="s">
        <v>117</v>
      </c>
      <c r="G1689" t="s">
        <v>1190</v>
      </c>
      <c r="H1689" s="9">
        <v>44657</v>
      </c>
      <c r="I1689" t="s">
        <v>306</v>
      </c>
      <c r="J1689" t="s">
        <v>0</v>
      </c>
      <c r="K1689" s="9">
        <v>44711</v>
      </c>
      <c r="L1689" t="s">
        <v>29</v>
      </c>
      <c r="M1689"/>
      <c r="N1689" s="9">
        <v>44686</v>
      </c>
      <c r="O1689"/>
      <c r="P1689"/>
      <c r="Q1689" s="9">
        <v>44711</v>
      </c>
      <c r="R1689"/>
      <c r="S1689"/>
      <c r="T1689"/>
      <c r="U1689"/>
    </row>
    <row r="1690" spans="1:21" hidden="1">
      <c r="A1690" s="7" t="s">
        <v>8740</v>
      </c>
      <c r="B1690" s="7" t="s">
        <v>6627</v>
      </c>
      <c r="C1690" s="8" t="s">
        <v>5317</v>
      </c>
      <c r="D1690" t="s">
        <v>164</v>
      </c>
      <c r="E1690" t="s">
        <v>304</v>
      </c>
      <c r="F1690" t="s">
        <v>117</v>
      </c>
      <c r="G1690" t="s">
        <v>1191</v>
      </c>
      <c r="H1690" s="9">
        <v>44657</v>
      </c>
      <c r="I1690" t="s">
        <v>306</v>
      </c>
      <c r="J1690" t="s">
        <v>0</v>
      </c>
      <c r="K1690" s="9">
        <v>44711</v>
      </c>
      <c r="L1690" t="s">
        <v>29</v>
      </c>
      <c r="M1690"/>
      <c r="N1690" s="9">
        <v>44686</v>
      </c>
      <c r="O1690"/>
      <c r="P1690"/>
      <c r="Q1690" s="9">
        <v>44711</v>
      </c>
      <c r="R1690"/>
      <c r="S1690"/>
      <c r="T1690"/>
      <c r="U1690"/>
    </row>
    <row r="1691" spans="1:21" hidden="1">
      <c r="A1691" s="7" t="s">
        <v>8740</v>
      </c>
      <c r="B1691" s="7" t="s">
        <v>6627</v>
      </c>
      <c r="C1691" s="8" t="s">
        <v>5317</v>
      </c>
      <c r="D1691" t="s">
        <v>164</v>
      </c>
      <c r="E1691" t="s">
        <v>304</v>
      </c>
      <c r="F1691" t="s">
        <v>117</v>
      </c>
      <c r="G1691" t="s">
        <v>1192</v>
      </c>
      <c r="H1691" s="9">
        <v>44657</v>
      </c>
      <c r="I1691" t="s">
        <v>306</v>
      </c>
      <c r="J1691" t="s">
        <v>0</v>
      </c>
      <c r="K1691" s="9">
        <v>44711</v>
      </c>
      <c r="L1691" t="s">
        <v>29</v>
      </c>
      <c r="M1691"/>
      <c r="N1691" s="9">
        <v>44686</v>
      </c>
      <c r="O1691"/>
      <c r="P1691"/>
      <c r="Q1691" s="9">
        <v>44711</v>
      </c>
      <c r="R1691"/>
      <c r="S1691"/>
      <c r="T1691"/>
      <c r="U1691"/>
    </row>
    <row r="1692" spans="1:21" hidden="1">
      <c r="A1692" s="7" t="s">
        <v>8740</v>
      </c>
      <c r="B1692" s="7" t="s">
        <v>6627</v>
      </c>
      <c r="C1692" s="8" t="s">
        <v>5317</v>
      </c>
      <c r="D1692" t="s">
        <v>164</v>
      </c>
      <c r="E1692" t="s">
        <v>304</v>
      </c>
      <c r="F1692" t="s">
        <v>117</v>
      </c>
      <c r="G1692" t="s">
        <v>1193</v>
      </c>
      <c r="H1692" s="9">
        <v>44657</v>
      </c>
      <c r="I1692" t="s">
        <v>306</v>
      </c>
      <c r="J1692" t="s">
        <v>0</v>
      </c>
      <c r="K1692" s="9">
        <v>44711</v>
      </c>
      <c r="L1692" t="s">
        <v>29</v>
      </c>
      <c r="M1692"/>
      <c r="N1692" s="9">
        <v>44686</v>
      </c>
      <c r="O1692"/>
      <c r="P1692"/>
      <c r="Q1692" s="9">
        <v>44711</v>
      </c>
      <c r="R1692"/>
      <c r="S1692"/>
      <c r="T1692"/>
      <c r="U1692"/>
    </row>
    <row r="1693" spans="1:21" hidden="1">
      <c r="A1693" s="7" t="s">
        <v>8740</v>
      </c>
      <c r="B1693" s="7" t="s">
        <v>6627</v>
      </c>
      <c r="C1693" s="8" t="s">
        <v>5317</v>
      </c>
      <c r="D1693" t="s">
        <v>164</v>
      </c>
      <c r="E1693" t="s">
        <v>304</v>
      </c>
      <c r="F1693" t="s">
        <v>117</v>
      </c>
      <c r="G1693" t="s">
        <v>1194</v>
      </c>
      <c r="H1693" s="9">
        <v>44657</v>
      </c>
      <c r="I1693" t="s">
        <v>306</v>
      </c>
      <c r="J1693" t="s">
        <v>0</v>
      </c>
      <c r="K1693" s="9">
        <v>44711</v>
      </c>
      <c r="L1693" t="s">
        <v>29</v>
      </c>
      <c r="M1693"/>
      <c r="N1693" s="9">
        <v>44686</v>
      </c>
      <c r="O1693"/>
      <c r="P1693"/>
      <c r="Q1693" s="9">
        <v>44711</v>
      </c>
      <c r="R1693"/>
      <c r="S1693"/>
      <c r="T1693"/>
      <c r="U1693"/>
    </row>
    <row r="1694" spans="1:21" hidden="1">
      <c r="A1694" s="7" t="s">
        <v>8740</v>
      </c>
      <c r="B1694" s="7" t="s">
        <v>6627</v>
      </c>
      <c r="C1694" s="8" t="s">
        <v>5317</v>
      </c>
      <c r="D1694" t="s">
        <v>164</v>
      </c>
      <c r="E1694" t="s">
        <v>304</v>
      </c>
      <c r="F1694" t="s">
        <v>117</v>
      </c>
      <c r="G1694" t="s">
        <v>1195</v>
      </c>
      <c r="H1694" s="9">
        <v>44657</v>
      </c>
      <c r="I1694" t="s">
        <v>306</v>
      </c>
      <c r="J1694" t="s">
        <v>0</v>
      </c>
      <c r="K1694" s="9">
        <v>44711</v>
      </c>
      <c r="L1694" t="s">
        <v>29</v>
      </c>
      <c r="M1694"/>
      <c r="N1694" s="9">
        <v>44686</v>
      </c>
      <c r="O1694"/>
      <c r="P1694"/>
      <c r="Q1694" s="9">
        <v>44711</v>
      </c>
      <c r="R1694"/>
      <c r="S1694"/>
      <c r="T1694"/>
      <c r="U1694"/>
    </row>
    <row r="1695" spans="1:21" hidden="1">
      <c r="A1695" s="7" t="s">
        <v>8740</v>
      </c>
      <c r="B1695" s="7" t="s">
        <v>6627</v>
      </c>
      <c r="C1695" s="8" t="s">
        <v>5317</v>
      </c>
      <c r="D1695" t="s">
        <v>164</v>
      </c>
      <c r="E1695" t="s">
        <v>304</v>
      </c>
      <c r="F1695" t="s">
        <v>117</v>
      </c>
      <c r="G1695" t="s">
        <v>1196</v>
      </c>
      <c r="H1695" s="9">
        <v>44657</v>
      </c>
      <c r="I1695" t="s">
        <v>306</v>
      </c>
      <c r="J1695" t="s">
        <v>0</v>
      </c>
      <c r="K1695" s="9">
        <v>44711</v>
      </c>
      <c r="L1695" t="s">
        <v>29</v>
      </c>
      <c r="M1695"/>
      <c r="N1695" s="9">
        <v>44686</v>
      </c>
      <c r="O1695"/>
      <c r="P1695"/>
      <c r="Q1695" s="9">
        <v>44711</v>
      </c>
      <c r="R1695"/>
      <c r="S1695"/>
      <c r="T1695"/>
      <c r="U1695"/>
    </row>
    <row r="1696" spans="1:21" hidden="1">
      <c r="A1696" s="7" t="s">
        <v>8740</v>
      </c>
      <c r="B1696" s="7" t="s">
        <v>6627</v>
      </c>
      <c r="C1696" s="8" t="s">
        <v>5317</v>
      </c>
      <c r="D1696" t="s">
        <v>164</v>
      </c>
      <c r="E1696" t="s">
        <v>304</v>
      </c>
      <c r="F1696" t="s">
        <v>117</v>
      </c>
      <c r="G1696" t="s">
        <v>1197</v>
      </c>
      <c r="H1696" s="9">
        <v>44657</v>
      </c>
      <c r="I1696" t="s">
        <v>306</v>
      </c>
      <c r="J1696" t="s">
        <v>0</v>
      </c>
      <c r="K1696" s="9">
        <v>44711</v>
      </c>
      <c r="L1696" t="s">
        <v>29</v>
      </c>
      <c r="M1696"/>
      <c r="N1696" s="9">
        <v>44686</v>
      </c>
      <c r="O1696"/>
      <c r="P1696"/>
      <c r="Q1696" s="9">
        <v>44711</v>
      </c>
      <c r="R1696"/>
      <c r="S1696"/>
      <c r="T1696"/>
      <c r="U1696"/>
    </row>
    <row r="1697" spans="1:21" hidden="1">
      <c r="A1697" s="7" t="s">
        <v>8740</v>
      </c>
      <c r="B1697" s="7" t="s">
        <v>6627</v>
      </c>
      <c r="C1697" s="8" t="s">
        <v>5317</v>
      </c>
      <c r="D1697" t="s">
        <v>164</v>
      </c>
      <c r="E1697" t="s">
        <v>304</v>
      </c>
      <c r="F1697" t="s">
        <v>117</v>
      </c>
      <c r="G1697" t="s">
        <v>1198</v>
      </c>
      <c r="H1697" s="9">
        <v>44657</v>
      </c>
      <c r="I1697" t="s">
        <v>306</v>
      </c>
      <c r="J1697" t="s">
        <v>0</v>
      </c>
      <c r="K1697" s="9">
        <v>44711</v>
      </c>
      <c r="L1697" t="s">
        <v>29</v>
      </c>
      <c r="M1697"/>
      <c r="N1697" s="9">
        <v>44686</v>
      </c>
      <c r="O1697"/>
      <c r="P1697"/>
      <c r="Q1697" s="9">
        <v>44711</v>
      </c>
      <c r="R1697"/>
      <c r="S1697"/>
      <c r="T1697"/>
      <c r="U1697"/>
    </row>
    <row r="1698" spans="1:21" hidden="1">
      <c r="A1698" s="7" t="s">
        <v>8740</v>
      </c>
      <c r="B1698" s="7" t="s">
        <v>6627</v>
      </c>
      <c r="C1698" s="8" t="s">
        <v>5317</v>
      </c>
      <c r="D1698" t="s">
        <v>164</v>
      </c>
      <c r="E1698" t="s">
        <v>304</v>
      </c>
      <c r="F1698" t="s">
        <v>117</v>
      </c>
      <c r="G1698" t="s">
        <v>1199</v>
      </c>
      <c r="H1698" s="9">
        <v>44657</v>
      </c>
      <c r="I1698" t="s">
        <v>306</v>
      </c>
      <c r="J1698" t="s">
        <v>0</v>
      </c>
      <c r="K1698" s="9">
        <v>44711</v>
      </c>
      <c r="L1698" t="s">
        <v>29</v>
      </c>
      <c r="M1698"/>
      <c r="N1698" s="9">
        <v>44686</v>
      </c>
      <c r="O1698"/>
      <c r="P1698"/>
      <c r="Q1698" s="9">
        <v>44711</v>
      </c>
      <c r="R1698"/>
      <c r="S1698"/>
      <c r="T1698"/>
      <c r="U1698"/>
    </row>
    <row r="1699" spans="1:21" hidden="1">
      <c r="A1699" s="7" t="s">
        <v>8740</v>
      </c>
      <c r="B1699" s="7" t="s">
        <v>6627</v>
      </c>
      <c r="C1699" s="8" t="s">
        <v>5317</v>
      </c>
      <c r="D1699" t="s">
        <v>164</v>
      </c>
      <c r="E1699" t="s">
        <v>304</v>
      </c>
      <c r="F1699" t="s">
        <v>117</v>
      </c>
      <c r="G1699" t="s">
        <v>1200</v>
      </c>
      <c r="H1699" s="9">
        <v>44657</v>
      </c>
      <c r="I1699" t="s">
        <v>306</v>
      </c>
      <c r="J1699" t="s">
        <v>0</v>
      </c>
      <c r="K1699" s="9">
        <v>44711</v>
      </c>
      <c r="L1699" t="s">
        <v>29</v>
      </c>
      <c r="M1699"/>
      <c r="N1699" s="9">
        <v>44686</v>
      </c>
      <c r="O1699"/>
      <c r="P1699"/>
      <c r="Q1699" s="9">
        <v>44711</v>
      </c>
      <c r="R1699"/>
      <c r="S1699"/>
      <c r="T1699"/>
      <c r="U1699"/>
    </row>
    <row r="1700" spans="1:21" hidden="1">
      <c r="A1700" s="7" t="s">
        <v>8740</v>
      </c>
      <c r="B1700" s="7" t="s">
        <v>6627</v>
      </c>
      <c r="C1700" s="8" t="s">
        <v>5317</v>
      </c>
      <c r="D1700" t="s">
        <v>164</v>
      </c>
      <c r="E1700" t="s">
        <v>304</v>
      </c>
      <c r="F1700" t="s">
        <v>117</v>
      </c>
      <c r="G1700" t="s">
        <v>1201</v>
      </c>
      <c r="H1700" s="9">
        <v>44657</v>
      </c>
      <c r="I1700" t="s">
        <v>306</v>
      </c>
      <c r="J1700" t="s">
        <v>0</v>
      </c>
      <c r="K1700" s="9">
        <v>44711</v>
      </c>
      <c r="L1700" t="s">
        <v>29</v>
      </c>
      <c r="M1700"/>
      <c r="N1700" s="9">
        <v>44686</v>
      </c>
      <c r="O1700"/>
      <c r="P1700"/>
      <c r="Q1700" s="9">
        <v>44711</v>
      </c>
      <c r="R1700"/>
      <c r="S1700"/>
      <c r="T1700"/>
      <c r="U1700"/>
    </row>
    <row r="1701" spans="1:21" hidden="1">
      <c r="A1701" s="7" t="s">
        <v>8740</v>
      </c>
      <c r="B1701" s="7" t="s">
        <v>6627</v>
      </c>
      <c r="C1701" s="8" t="s">
        <v>5317</v>
      </c>
      <c r="D1701" t="s">
        <v>164</v>
      </c>
      <c r="E1701" t="s">
        <v>304</v>
      </c>
      <c r="F1701" t="s">
        <v>117</v>
      </c>
      <c r="G1701" t="s">
        <v>1202</v>
      </c>
      <c r="H1701" s="9">
        <v>44657</v>
      </c>
      <c r="I1701" t="s">
        <v>306</v>
      </c>
      <c r="J1701" t="s">
        <v>0</v>
      </c>
      <c r="K1701" s="9">
        <v>44711</v>
      </c>
      <c r="L1701" t="s">
        <v>29</v>
      </c>
      <c r="M1701"/>
      <c r="N1701" s="9">
        <v>44686</v>
      </c>
      <c r="O1701"/>
      <c r="P1701"/>
      <c r="Q1701" s="9">
        <v>44711</v>
      </c>
      <c r="R1701"/>
      <c r="S1701"/>
      <c r="T1701"/>
      <c r="U1701"/>
    </row>
    <row r="1702" spans="1:21" hidden="1">
      <c r="A1702" s="7" t="s">
        <v>8740</v>
      </c>
      <c r="B1702" s="7" t="s">
        <v>6627</v>
      </c>
      <c r="C1702" s="8" t="s">
        <v>5317</v>
      </c>
      <c r="D1702" t="s">
        <v>164</v>
      </c>
      <c r="E1702" t="s">
        <v>304</v>
      </c>
      <c r="F1702" t="s">
        <v>117</v>
      </c>
      <c r="G1702" t="s">
        <v>1203</v>
      </c>
      <c r="H1702" s="9">
        <v>44657</v>
      </c>
      <c r="I1702" t="s">
        <v>306</v>
      </c>
      <c r="J1702" t="s">
        <v>0</v>
      </c>
      <c r="K1702" s="9">
        <v>44711</v>
      </c>
      <c r="L1702" t="s">
        <v>29</v>
      </c>
      <c r="M1702"/>
      <c r="N1702" s="9">
        <v>44686</v>
      </c>
      <c r="O1702"/>
      <c r="P1702"/>
      <c r="Q1702" s="9">
        <v>44711</v>
      </c>
      <c r="R1702"/>
      <c r="S1702"/>
      <c r="T1702"/>
      <c r="U1702"/>
    </row>
    <row r="1703" spans="1:21" hidden="1">
      <c r="A1703" s="7" t="s">
        <v>8740</v>
      </c>
      <c r="B1703" s="7" t="s">
        <v>6627</v>
      </c>
      <c r="C1703" s="8" t="s">
        <v>5317</v>
      </c>
      <c r="D1703" t="s">
        <v>164</v>
      </c>
      <c r="E1703" t="s">
        <v>304</v>
      </c>
      <c r="F1703" t="s">
        <v>117</v>
      </c>
      <c r="G1703" t="s">
        <v>1204</v>
      </c>
      <c r="H1703" s="9">
        <v>44657</v>
      </c>
      <c r="I1703" t="s">
        <v>306</v>
      </c>
      <c r="J1703" t="s">
        <v>0</v>
      </c>
      <c r="K1703" s="9">
        <v>44711</v>
      </c>
      <c r="L1703" t="s">
        <v>29</v>
      </c>
      <c r="M1703"/>
      <c r="N1703" s="9">
        <v>44686</v>
      </c>
      <c r="O1703"/>
      <c r="P1703"/>
      <c r="Q1703" s="9">
        <v>44711</v>
      </c>
      <c r="R1703"/>
      <c r="S1703"/>
      <c r="T1703"/>
      <c r="U1703"/>
    </row>
    <row r="1704" spans="1:21" hidden="1">
      <c r="A1704" s="7" t="s">
        <v>8740</v>
      </c>
      <c r="B1704" s="7" t="s">
        <v>6627</v>
      </c>
      <c r="C1704" s="8" t="s">
        <v>5317</v>
      </c>
      <c r="D1704" t="s">
        <v>164</v>
      </c>
      <c r="E1704" t="s">
        <v>304</v>
      </c>
      <c r="F1704" t="s">
        <v>117</v>
      </c>
      <c r="G1704" t="s">
        <v>1205</v>
      </c>
      <c r="H1704" s="9">
        <v>44657</v>
      </c>
      <c r="I1704" t="s">
        <v>306</v>
      </c>
      <c r="J1704" t="s">
        <v>0</v>
      </c>
      <c r="K1704" s="9">
        <v>44711</v>
      </c>
      <c r="L1704" t="s">
        <v>29</v>
      </c>
      <c r="M1704"/>
      <c r="N1704" s="9">
        <v>44686</v>
      </c>
      <c r="O1704"/>
      <c r="P1704"/>
      <c r="Q1704" s="9">
        <v>44711</v>
      </c>
      <c r="R1704"/>
      <c r="S1704"/>
      <c r="T1704"/>
      <c r="U1704"/>
    </row>
    <row r="1705" spans="1:21" hidden="1">
      <c r="A1705" s="7" t="s">
        <v>8740</v>
      </c>
      <c r="B1705" s="7" t="s">
        <v>6627</v>
      </c>
      <c r="C1705" s="8" t="s">
        <v>5317</v>
      </c>
      <c r="D1705" t="s">
        <v>164</v>
      </c>
      <c r="E1705" t="s">
        <v>304</v>
      </c>
      <c r="F1705" t="s">
        <v>117</v>
      </c>
      <c r="G1705" t="s">
        <v>1207</v>
      </c>
      <c r="H1705" s="9">
        <v>44657</v>
      </c>
      <c r="I1705" t="s">
        <v>306</v>
      </c>
      <c r="J1705" t="s">
        <v>0</v>
      </c>
      <c r="K1705" s="9">
        <v>44711</v>
      </c>
      <c r="L1705" t="s">
        <v>29</v>
      </c>
      <c r="M1705"/>
      <c r="N1705" s="9">
        <v>44686</v>
      </c>
      <c r="O1705"/>
      <c r="P1705"/>
      <c r="Q1705" s="9">
        <v>44711</v>
      </c>
      <c r="R1705"/>
      <c r="S1705"/>
      <c r="T1705"/>
      <c r="U1705"/>
    </row>
    <row r="1706" spans="1:21" hidden="1">
      <c r="A1706" s="7" t="s">
        <v>8740</v>
      </c>
      <c r="B1706" s="7" t="s">
        <v>6627</v>
      </c>
      <c r="C1706" s="8" t="s">
        <v>5317</v>
      </c>
      <c r="D1706" t="s">
        <v>164</v>
      </c>
      <c r="E1706" t="s">
        <v>304</v>
      </c>
      <c r="F1706" t="s">
        <v>117</v>
      </c>
      <c r="G1706" t="s">
        <v>1208</v>
      </c>
      <c r="H1706" s="9">
        <v>44657</v>
      </c>
      <c r="I1706" t="s">
        <v>306</v>
      </c>
      <c r="J1706" t="s">
        <v>0</v>
      </c>
      <c r="K1706" s="9">
        <v>44711</v>
      </c>
      <c r="L1706" t="s">
        <v>29</v>
      </c>
      <c r="M1706"/>
      <c r="N1706" s="9">
        <v>44686</v>
      </c>
      <c r="O1706"/>
      <c r="P1706"/>
      <c r="Q1706" s="9">
        <v>44711</v>
      </c>
      <c r="R1706"/>
      <c r="S1706"/>
      <c r="T1706"/>
      <c r="U1706"/>
    </row>
    <row r="1707" spans="1:21" hidden="1">
      <c r="A1707" s="7" t="s">
        <v>8740</v>
      </c>
      <c r="B1707" s="7" t="s">
        <v>6627</v>
      </c>
      <c r="C1707" s="8" t="s">
        <v>5317</v>
      </c>
      <c r="D1707" t="s">
        <v>164</v>
      </c>
      <c r="E1707" t="s">
        <v>304</v>
      </c>
      <c r="F1707" t="s">
        <v>117</v>
      </c>
      <c r="G1707" t="s">
        <v>1209</v>
      </c>
      <c r="H1707" s="9">
        <v>44657</v>
      </c>
      <c r="I1707" t="s">
        <v>306</v>
      </c>
      <c r="J1707" t="s">
        <v>0</v>
      </c>
      <c r="K1707" s="9">
        <v>44711</v>
      </c>
      <c r="L1707" t="s">
        <v>29</v>
      </c>
      <c r="M1707"/>
      <c r="N1707" s="9">
        <v>44686</v>
      </c>
      <c r="O1707"/>
      <c r="P1707"/>
      <c r="Q1707" s="9">
        <v>44711</v>
      </c>
      <c r="R1707"/>
      <c r="S1707"/>
      <c r="T1707"/>
      <c r="U1707"/>
    </row>
    <row r="1708" spans="1:21" hidden="1">
      <c r="A1708" s="7" t="s">
        <v>8740</v>
      </c>
      <c r="B1708" s="7" t="s">
        <v>6627</v>
      </c>
      <c r="C1708" s="8" t="s">
        <v>5317</v>
      </c>
      <c r="D1708" t="s">
        <v>164</v>
      </c>
      <c r="E1708" t="s">
        <v>304</v>
      </c>
      <c r="F1708" t="s">
        <v>117</v>
      </c>
      <c r="G1708" t="s">
        <v>312</v>
      </c>
      <c r="H1708" s="9">
        <v>44657</v>
      </c>
      <c r="I1708" t="s">
        <v>306</v>
      </c>
      <c r="J1708" t="s">
        <v>0</v>
      </c>
      <c r="K1708" s="9">
        <v>44711</v>
      </c>
      <c r="L1708" t="s">
        <v>29</v>
      </c>
      <c r="M1708"/>
      <c r="N1708" s="9">
        <v>44686</v>
      </c>
      <c r="O1708"/>
      <c r="P1708"/>
      <c r="Q1708" s="9">
        <v>44711</v>
      </c>
      <c r="R1708"/>
      <c r="S1708"/>
      <c r="T1708"/>
      <c r="U1708"/>
    </row>
    <row r="1709" spans="1:21" hidden="1">
      <c r="A1709" s="7" t="s">
        <v>8740</v>
      </c>
      <c r="B1709" s="7" t="s">
        <v>6627</v>
      </c>
      <c r="C1709" s="8" t="s">
        <v>5317</v>
      </c>
      <c r="D1709" t="s">
        <v>164</v>
      </c>
      <c r="E1709" t="s">
        <v>304</v>
      </c>
      <c r="F1709" t="s">
        <v>117</v>
      </c>
      <c r="G1709" t="s">
        <v>1210</v>
      </c>
      <c r="H1709" s="9">
        <v>44657</v>
      </c>
      <c r="I1709" t="s">
        <v>306</v>
      </c>
      <c r="J1709" t="s">
        <v>0</v>
      </c>
      <c r="K1709" s="9">
        <v>44711</v>
      </c>
      <c r="L1709" t="s">
        <v>29</v>
      </c>
      <c r="M1709"/>
      <c r="N1709" s="9">
        <v>44686</v>
      </c>
      <c r="O1709"/>
      <c r="P1709"/>
      <c r="Q1709" s="9">
        <v>44711</v>
      </c>
      <c r="R1709"/>
      <c r="S1709"/>
      <c r="T1709"/>
      <c r="U1709"/>
    </row>
    <row r="1710" spans="1:21" hidden="1">
      <c r="A1710" s="7" t="s">
        <v>8740</v>
      </c>
      <c r="B1710" s="7" t="s">
        <v>6627</v>
      </c>
      <c r="C1710" s="8" t="s">
        <v>5317</v>
      </c>
      <c r="D1710" t="s">
        <v>164</v>
      </c>
      <c r="E1710" t="s">
        <v>304</v>
      </c>
      <c r="F1710" t="s">
        <v>117</v>
      </c>
      <c r="G1710" t="s">
        <v>1211</v>
      </c>
      <c r="H1710" s="9">
        <v>44657</v>
      </c>
      <c r="I1710" t="s">
        <v>306</v>
      </c>
      <c r="J1710" t="s">
        <v>0</v>
      </c>
      <c r="K1710" s="9">
        <v>44711</v>
      </c>
      <c r="L1710" t="s">
        <v>29</v>
      </c>
      <c r="M1710"/>
      <c r="N1710" s="9">
        <v>44686</v>
      </c>
      <c r="O1710"/>
      <c r="P1710"/>
      <c r="Q1710" s="9">
        <v>44711</v>
      </c>
      <c r="R1710"/>
      <c r="S1710"/>
      <c r="T1710"/>
      <c r="U1710"/>
    </row>
    <row r="1711" spans="1:21" hidden="1">
      <c r="A1711" s="7" t="s">
        <v>8740</v>
      </c>
      <c r="B1711" s="7" t="s">
        <v>6627</v>
      </c>
      <c r="C1711" s="8" t="s">
        <v>5317</v>
      </c>
      <c r="D1711" t="s">
        <v>164</v>
      </c>
      <c r="E1711" t="s">
        <v>304</v>
      </c>
      <c r="F1711" t="s">
        <v>117</v>
      </c>
      <c r="G1711" t="s">
        <v>313</v>
      </c>
      <c r="H1711" s="9">
        <v>44657</v>
      </c>
      <c r="I1711" t="s">
        <v>306</v>
      </c>
      <c r="J1711" t="s">
        <v>0</v>
      </c>
      <c r="K1711" s="9">
        <v>44711</v>
      </c>
      <c r="L1711" t="s">
        <v>29</v>
      </c>
      <c r="M1711"/>
      <c r="N1711" s="9">
        <v>44686</v>
      </c>
      <c r="O1711"/>
      <c r="P1711"/>
      <c r="Q1711" s="9">
        <v>44711</v>
      </c>
      <c r="R1711"/>
      <c r="S1711"/>
      <c r="T1711"/>
      <c r="U1711"/>
    </row>
    <row r="1712" spans="1:21" hidden="1">
      <c r="A1712" s="7" t="s">
        <v>8740</v>
      </c>
      <c r="B1712" s="7" t="s">
        <v>6627</v>
      </c>
      <c r="C1712" s="8" t="s">
        <v>5317</v>
      </c>
      <c r="D1712" t="s">
        <v>164</v>
      </c>
      <c r="E1712" t="s">
        <v>304</v>
      </c>
      <c r="F1712" t="s">
        <v>117</v>
      </c>
      <c r="G1712" t="s">
        <v>314</v>
      </c>
      <c r="H1712" s="9">
        <v>44657</v>
      </c>
      <c r="I1712" t="s">
        <v>306</v>
      </c>
      <c r="J1712" t="s">
        <v>0</v>
      </c>
      <c r="K1712" s="9">
        <v>44711</v>
      </c>
      <c r="L1712" t="s">
        <v>29</v>
      </c>
      <c r="M1712"/>
      <c r="N1712" s="9">
        <v>44686</v>
      </c>
      <c r="O1712"/>
      <c r="P1712"/>
      <c r="Q1712" s="9">
        <v>44711</v>
      </c>
      <c r="R1712"/>
      <c r="S1712"/>
      <c r="T1712"/>
      <c r="U1712"/>
    </row>
    <row r="1713" spans="1:21" hidden="1">
      <c r="A1713" s="7" t="s">
        <v>8740</v>
      </c>
      <c r="B1713" s="7" t="s">
        <v>6627</v>
      </c>
      <c r="C1713" s="8" t="s">
        <v>5317</v>
      </c>
      <c r="D1713" t="s">
        <v>164</v>
      </c>
      <c r="E1713" t="s">
        <v>304</v>
      </c>
      <c r="F1713" t="s">
        <v>117</v>
      </c>
      <c r="G1713" t="s">
        <v>315</v>
      </c>
      <c r="H1713" s="9">
        <v>44657</v>
      </c>
      <c r="I1713" t="s">
        <v>306</v>
      </c>
      <c r="J1713" t="s">
        <v>0</v>
      </c>
      <c r="K1713" s="9">
        <v>44711</v>
      </c>
      <c r="L1713" t="s">
        <v>29</v>
      </c>
      <c r="M1713"/>
      <c r="N1713" s="9">
        <v>44686</v>
      </c>
      <c r="O1713"/>
      <c r="P1713"/>
      <c r="Q1713" s="9">
        <v>44711</v>
      </c>
      <c r="R1713"/>
      <c r="S1713"/>
      <c r="T1713"/>
      <c r="U1713"/>
    </row>
    <row r="1714" spans="1:21" hidden="1">
      <c r="A1714" s="7" t="s">
        <v>8740</v>
      </c>
      <c r="B1714" s="7" t="s">
        <v>6627</v>
      </c>
      <c r="C1714" s="8" t="s">
        <v>5317</v>
      </c>
      <c r="D1714" t="s">
        <v>164</v>
      </c>
      <c r="E1714" t="s">
        <v>304</v>
      </c>
      <c r="F1714" t="s">
        <v>117</v>
      </c>
      <c r="G1714" t="s">
        <v>1212</v>
      </c>
      <c r="H1714" s="9">
        <v>44657</v>
      </c>
      <c r="I1714" t="s">
        <v>306</v>
      </c>
      <c r="J1714" t="s">
        <v>0</v>
      </c>
      <c r="K1714" s="9">
        <v>44711</v>
      </c>
      <c r="L1714" t="s">
        <v>29</v>
      </c>
      <c r="M1714"/>
      <c r="N1714" s="9">
        <v>44686</v>
      </c>
      <c r="O1714"/>
      <c r="P1714"/>
      <c r="Q1714" s="9">
        <v>44711</v>
      </c>
      <c r="R1714"/>
      <c r="S1714"/>
      <c r="T1714"/>
      <c r="U1714"/>
    </row>
    <row r="1715" spans="1:21" hidden="1">
      <c r="A1715" s="7" t="s">
        <v>8740</v>
      </c>
      <c r="B1715" s="7" t="s">
        <v>6627</v>
      </c>
      <c r="C1715" s="8" t="s">
        <v>5317</v>
      </c>
      <c r="D1715" t="s">
        <v>164</v>
      </c>
      <c r="E1715" t="s">
        <v>304</v>
      </c>
      <c r="F1715" t="s">
        <v>117</v>
      </c>
      <c r="G1715" t="s">
        <v>1213</v>
      </c>
      <c r="H1715" s="9">
        <v>44657</v>
      </c>
      <c r="I1715" t="s">
        <v>306</v>
      </c>
      <c r="J1715" t="s">
        <v>0</v>
      </c>
      <c r="K1715" s="9">
        <v>44711</v>
      </c>
      <c r="L1715" t="s">
        <v>29</v>
      </c>
      <c r="M1715"/>
      <c r="N1715" s="9">
        <v>44686</v>
      </c>
      <c r="O1715"/>
      <c r="P1715"/>
      <c r="Q1715" s="9">
        <v>44711</v>
      </c>
      <c r="R1715"/>
      <c r="S1715"/>
      <c r="T1715"/>
      <c r="U1715"/>
    </row>
    <row r="1716" spans="1:21" hidden="1">
      <c r="A1716" s="7" t="s">
        <v>8740</v>
      </c>
      <c r="B1716" s="7" t="s">
        <v>6627</v>
      </c>
      <c r="C1716" s="8" t="s">
        <v>5317</v>
      </c>
      <c r="D1716" t="s">
        <v>164</v>
      </c>
      <c r="E1716" t="s">
        <v>304</v>
      </c>
      <c r="F1716" t="s">
        <v>117</v>
      </c>
      <c r="G1716" t="s">
        <v>1214</v>
      </c>
      <c r="H1716" s="9">
        <v>44657</v>
      </c>
      <c r="I1716" t="s">
        <v>306</v>
      </c>
      <c r="J1716" t="s">
        <v>0</v>
      </c>
      <c r="K1716" s="9">
        <v>44711</v>
      </c>
      <c r="L1716" t="s">
        <v>29</v>
      </c>
      <c r="M1716"/>
      <c r="N1716" s="9">
        <v>44686</v>
      </c>
      <c r="O1716"/>
      <c r="P1716"/>
      <c r="Q1716" s="9">
        <v>44711</v>
      </c>
      <c r="R1716"/>
      <c r="S1716"/>
      <c r="T1716"/>
      <c r="U1716"/>
    </row>
    <row r="1717" spans="1:21" hidden="1">
      <c r="A1717" s="7" t="s">
        <v>8740</v>
      </c>
      <c r="B1717" s="7" t="s">
        <v>6627</v>
      </c>
      <c r="C1717" s="8" t="s">
        <v>5317</v>
      </c>
      <c r="D1717" t="s">
        <v>164</v>
      </c>
      <c r="E1717" t="s">
        <v>304</v>
      </c>
      <c r="F1717" t="s">
        <v>117</v>
      </c>
      <c r="G1717" t="s">
        <v>1216</v>
      </c>
      <c r="H1717" s="9">
        <v>44657</v>
      </c>
      <c r="I1717" t="s">
        <v>306</v>
      </c>
      <c r="J1717" t="s">
        <v>0</v>
      </c>
      <c r="K1717" s="9">
        <v>44711</v>
      </c>
      <c r="L1717" t="s">
        <v>29</v>
      </c>
      <c r="M1717"/>
      <c r="N1717" s="9">
        <v>44686</v>
      </c>
      <c r="O1717"/>
      <c r="P1717"/>
      <c r="Q1717" s="9">
        <v>44711</v>
      </c>
      <c r="R1717"/>
      <c r="S1717"/>
      <c r="T1717"/>
      <c r="U1717"/>
    </row>
    <row r="1718" spans="1:21" hidden="1">
      <c r="A1718" s="7" t="s">
        <v>8740</v>
      </c>
      <c r="B1718" s="7" t="s">
        <v>6627</v>
      </c>
      <c r="C1718" s="8" t="s">
        <v>5317</v>
      </c>
      <c r="D1718" t="s">
        <v>164</v>
      </c>
      <c r="E1718" t="s">
        <v>304</v>
      </c>
      <c r="F1718" t="s">
        <v>117</v>
      </c>
      <c r="G1718" t="s">
        <v>1217</v>
      </c>
      <c r="H1718" s="9">
        <v>44657</v>
      </c>
      <c r="I1718" t="s">
        <v>306</v>
      </c>
      <c r="J1718" t="s">
        <v>0</v>
      </c>
      <c r="K1718" s="9">
        <v>44711</v>
      </c>
      <c r="L1718" t="s">
        <v>29</v>
      </c>
      <c r="M1718"/>
      <c r="N1718" s="9">
        <v>44686</v>
      </c>
      <c r="O1718"/>
      <c r="P1718"/>
      <c r="Q1718" s="9">
        <v>44711</v>
      </c>
      <c r="R1718"/>
      <c r="S1718"/>
      <c r="T1718"/>
      <c r="U1718"/>
    </row>
    <row r="1719" spans="1:21" hidden="1">
      <c r="A1719" s="7" t="s">
        <v>8740</v>
      </c>
      <c r="B1719" s="7" t="s">
        <v>6627</v>
      </c>
      <c r="C1719" s="8" t="s">
        <v>5317</v>
      </c>
      <c r="D1719" t="s">
        <v>164</v>
      </c>
      <c r="E1719" t="s">
        <v>304</v>
      </c>
      <c r="F1719" t="s">
        <v>117</v>
      </c>
      <c r="G1719" t="s">
        <v>1218</v>
      </c>
      <c r="H1719" s="9">
        <v>44657</v>
      </c>
      <c r="I1719" t="s">
        <v>306</v>
      </c>
      <c r="J1719" t="s">
        <v>0</v>
      </c>
      <c r="K1719" s="9">
        <v>44711</v>
      </c>
      <c r="L1719" t="s">
        <v>29</v>
      </c>
      <c r="M1719"/>
      <c r="N1719" s="9">
        <v>44686</v>
      </c>
      <c r="O1719"/>
      <c r="P1719"/>
      <c r="Q1719" s="9">
        <v>44711</v>
      </c>
      <c r="R1719"/>
      <c r="S1719"/>
      <c r="T1719"/>
      <c r="U1719"/>
    </row>
    <row r="1720" spans="1:21" hidden="1">
      <c r="A1720" s="7" t="s">
        <v>8740</v>
      </c>
      <c r="B1720" s="7" t="s">
        <v>6627</v>
      </c>
      <c r="C1720" s="8" t="s">
        <v>5317</v>
      </c>
      <c r="D1720" t="s">
        <v>164</v>
      </c>
      <c r="E1720" t="s">
        <v>304</v>
      </c>
      <c r="F1720" t="s">
        <v>117</v>
      </c>
      <c r="G1720" t="s">
        <v>318</v>
      </c>
      <c r="H1720" s="9">
        <v>44657</v>
      </c>
      <c r="I1720" t="s">
        <v>306</v>
      </c>
      <c r="J1720" t="s">
        <v>0</v>
      </c>
      <c r="K1720" s="9">
        <v>44711</v>
      </c>
      <c r="L1720" t="s">
        <v>29</v>
      </c>
      <c r="M1720"/>
      <c r="N1720" s="9">
        <v>44686</v>
      </c>
      <c r="O1720"/>
      <c r="P1720"/>
      <c r="Q1720" s="9">
        <v>44711</v>
      </c>
      <c r="R1720"/>
      <c r="S1720"/>
      <c r="T1720"/>
      <c r="U1720"/>
    </row>
    <row r="1721" spans="1:21" hidden="1">
      <c r="A1721" s="7" t="s">
        <v>8740</v>
      </c>
      <c r="B1721" s="7" t="s">
        <v>6627</v>
      </c>
      <c r="C1721" s="8" t="s">
        <v>5317</v>
      </c>
      <c r="D1721" t="s">
        <v>164</v>
      </c>
      <c r="E1721" t="s">
        <v>304</v>
      </c>
      <c r="F1721" t="s">
        <v>117</v>
      </c>
      <c r="G1721" t="s">
        <v>319</v>
      </c>
      <c r="H1721" s="9">
        <v>44657</v>
      </c>
      <c r="I1721" t="s">
        <v>306</v>
      </c>
      <c r="J1721" t="s">
        <v>0</v>
      </c>
      <c r="K1721" s="9">
        <v>44711</v>
      </c>
      <c r="L1721" t="s">
        <v>29</v>
      </c>
      <c r="M1721"/>
      <c r="N1721" s="9">
        <v>44686</v>
      </c>
      <c r="O1721"/>
      <c r="P1721"/>
      <c r="Q1721" s="9">
        <v>44711</v>
      </c>
      <c r="R1721"/>
      <c r="S1721"/>
      <c r="T1721"/>
      <c r="U1721"/>
    </row>
    <row r="1722" spans="1:21" hidden="1">
      <c r="A1722" s="7" t="s">
        <v>8740</v>
      </c>
      <c r="B1722" s="7" t="s">
        <v>6627</v>
      </c>
      <c r="C1722" s="8" t="s">
        <v>5317</v>
      </c>
      <c r="D1722" t="s">
        <v>164</v>
      </c>
      <c r="E1722" t="s">
        <v>304</v>
      </c>
      <c r="F1722" t="s">
        <v>117</v>
      </c>
      <c r="G1722" t="s">
        <v>1219</v>
      </c>
      <c r="H1722" s="9">
        <v>44657</v>
      </c>
      <c r="I1722" t="s">
        <v>306</v>
      </c>
      <c r="J1722" t="s">
        <v>0</v>
      </c>
      <c r="K1722" s="9">
        <v>44711</v>
      </c>
      <c r="L1722" t="s">
        <v>29</v>
      </c>
      <c r="M1722"/>
      <c r="N1722" s="9">
        <v>44686</v>
      </c>
      <c r="O1722"/>
      <c r="P1722"/>
      <c r="Q1722" s="9">
        <v>44711</v>
      </c>
      <c r="R1722"/>
      <c r="S1722"/>
      <c r="T1722"/>
      <c r="U1722"/>
    </row>
    <row r="1723" spans="1:21" hidden="1">
      <c r="A1723" s="7" t="s">
        <v>8740</v>
      </c>
      <c r="B1723" s="7" t="s">
        <v>6627</v>
      </c>
      <c r="C1723" s="8" t="s">
        <v>5317</v>
      </c>
      <c r="D1723" t="s">
        <v>164</v>
      </c>
      <c r="E1723" t="s">
        <v>304</v>
      </c>
      <c r="F1723" t="s">
        <v>117</v>
      </c>
      <c r="G1723" t="s">
        <v>1220</v>
      </c>
      <c r="H1723" s="9">
        <v>44657</v>
      </c>
      <c r="I1723" t="s">
        <v>306</v>
      </c>
      <c r="J1723" t="s">
        <v>0</v>
      </c>
      <c r="K1723" s="9">
        <v>44711</v>
      </c>
      <c r="L1723" t="s">
        <v>29</v>
      </c>
      <c r="M1723"/>
      <c r="N1723" s="9">
        <v>44686</v>
      </c>
      <c r="O1723"/>
      <c r="P1723"/>
      <c r="Q1723" s="9">
        <v>44711</v>
      </c>
      <c r="R1723"/>
      <c r="S1723"/>
      <c r="T1723"/>
      <c r="U1723"/>
    </row>
    <row r="1724" spans="1:21" hidden="1">
      <c r="A1724" s="7" t="s">
        <v>8740</v>
      </c>
      <c r="B1724" s="7" t="s">
        <v>6627</v>
      </c>
      <c r="C1724" s="8" t="s">
        <v>5317</v>
      </c>
      <c r="D1724" t="s">
        <v>164</v>
      </c>
      <c r="E1724" t="s">
        <v>304</v>
      </c>
      <c r="F1724" t="s">
        <v>117</v>
      </c>
      <c r="G1724" t="s">
        <v>1221</v>
      </c>
      <c r="H1724" s="9">
        <v>44657</v>
      </c>
      <c r="I1724" t="s">
        <v>306</v>
      </c>
      <c r="J1724" t="s">
        <v>0</v>
      </c>
      <c r="K1724" s="9">
        <v>44711</v>
      </c>
      <c r="L1724" t="s">
        <v>29</v>
      </c>
      <c r="M1724"/>
      <c r="N1724" s="9">
        <v>44686</v>
      </c>
      <c r="O1724"/>
      <c r="P1724"/>
      <c r="Q1724" s="9">
        <v>44711</v>
      </c>
      <c r="R1724"/>
      <c r="S1724"/>
      <c r="T1724"/>
      <c r="U1724"/>
    </row>
    <row r="1725" spans="1:21" hidden="1">
      <c r="A1725" s="7" t="s">
        <v>8740</v>
      </c>
      <c r="B1725" s="7" t="s">
        <v>6627</v>
      </c>
      <c r="C1725" s="8" t="s">
        <v>5317</v>
      </c>
      <c r="D1725" t="s">
        <v>164</v>
      </c>
      <c r="E1725" t="s">
        <v>304</v>
      </c>
      <c r="F1725" t="s">
        <v>117</v>
      </c>
      <c r="G1725" t="s">
        <v>1223</v>
      </c>
      <c r="H1725" s="9">
        <v>44657</v>
      </c>
      <c r="I1725" t="s">
        <v>306</v>
      </c>
      <c r="J1725" t="s">
        <v>0</v>
      </c>
      <c r="K1725" s="9">
        <v>44711</v>
      </c>
      <c r="L1725" t="s">
        <v>29</v>
      </c>
      <c r="M1725"/>
      <c r="N1725" s="9">
        <v>44686</v>
      </c>
      <c r="O1725"/>
      <c r="P1725"/>
      <c r="Q1725" s="9">
        <v>44711</v>
      </c>
      <c r="R1725"/>
      <c r="S1725"/>
      <c r="T1725"/>
      <c r="U1725"/>
    </row>
    <row r="1726" spans="1:21" hidden="1">
      <c r="A1726" s="7" t="s">
        <v>8740</v>
      </c>
      <c r="B1726" s="7" t="s">
        <v>6627</v>
      </c>
      <c r="C1726" s="8" t="s">
        <v>5317</v>
      </c>
      <c r="D1726" t="s">
        <v>164</v>
      </c>
      <c r="E1726" t="s">
        <v>304</v>
      </c>
      <c r="F1726" t="s">
        <v>117</v>
      </c>
      <c r="G1726" t="s">
        <v>1225</v>
      </c>
      <c r="H1726" s="9">
        <v>44657</v>
      </c>
      <c r="I1726" t="s">
        <v>306</v>
      </c>
      <c r="J1726" t="s">
        <v>0</v>
      </c>
      <c r="K1726" s="9">
        <v>44711</v>
      </c>
      <c r="L1726" t="s">
        <v>29</v>
      </c>
      <c r="M1726"/>
      <c r="N1726" s="9">
        <v>44686</v>
      </c>
      <c r="O1726"/>
      <c r="P1726"/>
      <c r="Q1726" s="9">
        <v>44711</v>
      </c>
      <c r="R1726"/>
      <c r="S1726"/>
      <c r="T1726"/>
      <c r="U1726"/>
    </row>
    <row r="1727" spans="1:21" hidden="1">
      <c r="A1727" s="7" t="s">
        <v>8740</v>
      </c>
      <c r="B1727" s="7" t="s">
        <v>6627</v>
      </c>
      <c r="C1727" s="8" t="s">
        <v>5317</v>
      </c>
      <c r="D1727" t="s">
        <v>164</v>
      </c>
      <c r="E1727" t="s">
        <v>304</v>
      </c>
      <c r="F1727" t="s">
        <v>117</v>
      </c>
      <c r="G1727" t="s">
        <v>1226</v>
      </c>
      <c r="H1727" s="9">
        <v>44657</v>
      </c>
      <c r="I1727" t="s">
        <v>306</v>
      </c>
      <c r="J1727" t="s">
        <v>0</v>
      </c>
      <c r="K1727" s="9">
        <v>44711</v>
      </c>
      <c r="L1727" t="s">
        <v>29</v>
      </c>
      <c r="M1727"/>
      <c r="N1727" s="9">
        <v>44686</v>
      </c>
      <c r="O1727"/>
      <c r="P1727"/>
      <c r="Q1727" s="9">
        <v>44711</v>
      </c>
      <c r="R1727"/>
      <c r="S1727"/>
      <c r="T1727"/>
      <c r="U1727"/>
    </row>
    <row r="1728" spans="1:21" hidden="1">
      <c r="A1728" s="7" t="s">
        <v>8740</v>
      </c>
      <c r="B1728" s="7" t="s">
        <v>6627</v>
      </c>
      <c r="C1728" s="8" t="s">
        <v>5317</v>
      </c>
      <c r="D1728" t="s">
        <v>164</v>
      </c>
      <c r="E1728" t="s">
        <v>304</v>
      </c>
      <c r="F1728" t="s">
        <v>117</v>
      </c>
      <c r="G1728" t="s">
        <v>1227</v>
      </c>
      <c r="H1728" s="9">
        <v>44657</v>
      </c>
      <c r="I1728" t="s">
        <v>306</v>
      </c>
      <c r="J1728" t="s">
        <v>0</v>
      </c>
      <c r="K1728" s="9">
        <v>44711</v>
      </c>
      <c r="L1728" t="s">
        <v>29</v>
      </c>
      <c r="M1728"/>
      <c r="N1728" s="9">
        <v>44686</v>
      </c>
      <c r="O1728"/>
      <c r="P1728"/>
      <c r="Q1728" s="9">
        <v>44711</v>
      </c>
      <c r="R1728"/>
      <c r="S1728"/>
      <c r="T1728"/>
      <c r="U1728"/>
    </row>
    <row r="1729" spans="1:21" hidden="1">
      <c r="A1729" s="7" t="s">
        <v>8740</v>
      </c>
      <c r="B1729" s="7" t="s">
        <v>6627</v>
      </c>
      <c r="C1729" s="8" t="s">
        <v>5317</v>
      </c>
      <c r="D1729" t="s">
        <v>164</v>
      </c>
      <c r="E1729" t="s">
        <v>304</v>
      </c>
      <c r="F1729" t="s">
        <v>117</v>
      </c>
      <c r="G1729" t="s">
        <v>1228</v>
      </c>
      <c r="H1729" s="9">
        <v>44657</v>
      </c>
      <c r="I1729" t="s">
        <v>306</v>
      </c>
      <c r="J1729" t="s">
        <v>0</v>
      </c>
      <c r="K1729" s="9">
        <v>44711</v>
      </c>
      <c r="L1729" t="s">
        <v>29</v>
      </c>
      <c r="M1729"/>
      <c r="N1729" s="9">
        <v>44686</v>
      </c>
      <c r="O1729"/>
      <c r="P1729"/>
      <c r="Q1729" s="9">
        <v>44711</v>
      </c>
      <c r="R1729"/>
      <c r="S1729"/>
      <c r="T1729"/>
      <c r="U1729"/>
    </row>
    <row r="1730" spans="1:21" hidden="1">
      <c r="A1730" s="7" t="s">
        <v>8740</v>
      </c>
      <c r="B1730" s="7" t="s">
        <v>6627</v>
      </c>
      <c r="C1730" s="8" t="s">
        <v>5317</v>
      </c>
      <c r="D1730" t="s">
        <v>164</v>
      </c>
      <c r="E1730" t="s">
        <v>304</v>
      </c>
      <c r="F1730" t="s">
        <v>117</v>
      </c>
      <c r="G1730" t="s">
        <v>1229</v>
      </c>
      <c r="H1730" s="9">
        <v>44657</v>
      </c>
      <c r="I1730" t="s">
        <v>306</v>
      </c>
      <c r="J1730" t="s">
        <v>0</v>
      </c>
      <c r="K1730" s="9">
        <v>44711</v>
      </c>
      <c r="L1730" t="s">
        <v>29</v>
      </c>
      <c r="M1730"/>
      <c r="N1730" s="9">
        <v>44686</v>
      </c>
      <c r="O1730"/>
      <c r="P1730"/>
      <c r="Q1730" s="9">
        <v>44711</v>
      </c>
      <c r="R1730"/>
      <c r="S1730"/>
      <c r="T1730"/>
      <c r="U1730"/>
    </row>
    <row r="1731" spans="1:21" hidden="1">
      <c r="A1731" s="7" t="s">
        <v>8740</v>
      </c>
      <c r="B1731" s="7" t="s">
        <v>6627</v>
      </c>
      <c r="C1731" s="8" t="s">
        <v>5317</v>
      </c>
      <c r="D1731" t="s">
        <v>164</v>
      </c>
      <c r="E1731" t="s">
        <v>304</v>
      </c>
      <c r="F1731" t="s">
        <v>117</v>
      </c>
      <c r="G1731" t="s">
        <v>1230</v>
      </c>
      <c r="H1731" s="9">
        <v>44657</v>
      </c>
      <c r="I1731" t="s">
        <v>306</v>
      </c>
      <c r="J1731" t="s">
        <v>0</v>
      </c>
      <c r="K1731" s="9">
        <v>44711</v>
      </c>
      <c r="L1731" t="s">
        <v>29</v>
      </c>
      <c r="M1731"/>
      <c r="N1731" s="9">
        <v>44686</v>
      </c>
      <c r="O1731"/>
      <c r="P1731"/>
      <c r="Q1731" s="9">
        <v>44711</v>
      </c>
      <c r="R1731"/>
      <c r="S1731"/>
      <c r="T1731"/>
      <c r="U1731"/>
    </row>
    <row r="1732" spans="1:21" hidden="1">
      <c r="A1732" s="7" t="s">
        <v>8740</v>
      </c>
      <c r="B1732" s="7" t="s">
        <v>6627</v>
      </c>
      <c r="C1732" s="8" t="s">
        <v>5317</v>
      </c>
      <c r="D1732" t="s">
        <v>164</v>
      </c>
      <c r="E1732" t="s">
        <v>304</v>
      </c>
      <c r="F1732" t="s">
        <v>117</v>
      </c>
      <c r="G1732" t="s">
        <v>1231</v>
      </c>
      <c r="H1732" s="9">
        <v>44657</v>
      </c>
      <c r="I1732" t="s">
        <v>306</v>
      </c>
      <c r="J1732" t="s">
        <v>0</v>
      </c>
      <c r="K1732" s="9">
        <v>44711</v>
      </c>
      <c r="L1732" t="s">
        <v>29</v>
      </c>
      <c r="M1732"/>
      <c r="N1732" s="9">
        <v>44686</v>
      </c>
      <c r="O1732"/>
      <c r="P1732"/>
      <c r="Q1732" s="9">
        <v>44711</v>
      </c>
      <c r="R1732"/>
      <c r="S1732"/>
      <c r="T1732"/>
      <c r="U1732"/>
    </row>
    <row r="1733" spans="1:21" hidden="1">
      <c r="A1733" s="7" t="s">
        <v>8740</v>
      </c>
      <c r="B1733" s="7" t="s">
        <v>6627</v>
      </c>
      <c r="C1733" s="8" t="s">
        <v>5317</v>
      </c>
      <c r="D1733" t="s">
        <v>164</v>
      </c>
      <c r="E1733" t="s">
        <v>304</v>
      </c>
      <c r="F1733" t="s">
        <v>117</v>
      </c>
      <c r="G1733" t="s">
        <v>1232</v>
      </c>
      <c r="H1733" s="9">
        <v>44657</v>
      </c>
      <c r="I1733" t="s">
        <v>306</v>
      </c>
      <c r="J1733" t="s">
        <v>0</v>
      </c>
      <c r="K1733" s="9">
        <v>44711</v>
      </c>
      <c r="L1733" t="s">
        <v>29</v>
      </c>
      <c r="M1733"/>
      <c r="N1733" s="9">
        <v>44686</v>
      </c>
      <c r="O1733"/>
      <c r="P1733"/>
      <c r="Q1733" s="9">
        <v>44711</v>
      </c>
      <c r="R1733"/>
      <c r="S1733"/>
      <c r="T1733"/>
      <c r="U1733"/>
    </row>
    <row r="1734" spans="1:21" hidden="1">
      <c r="A1734" s="7" t="s">
        <v>8740</v>
      </c>
      <c r="B1734" s="7" t="s">
        <v>6627</v>
      </c>
      <c r="C1734" s="8" t="s">
        <v>5317</v>
      </c>
      <c r="D1734" t="s">
        <v>164</v>
      </c>
      <c r="E1734" t="s">
        <v>304</v>
      </c>
      <c r="F1734" t="s">
        <v>117</v>
      </c>
      <c r="G1734" t="s">
        <v>1233</v>
      </c>
      <c r="H1734" s="9">
        <v>44657</v>
      </c>
      <c r="I1734" t="s">
        <v>306</v>
      </c>
      <c r="J1734" t="s">
        <v>0</v>
      </c>
      <c r="K1734" s="9">
        <v>44711</v>
      </c>
      <c r="L1734" t="s">
        <v>29</v>
      </c>
      <c r="M1734"/>
      <c r="N1734" s="9">
        <v>44686</v>
      </c>
      <c r="O1734"/>
      <c r="P1734"/>
      <c r="Q1734" s="9">
        <v>44711</v>
      </c>
      <c r="R1734"/>
      <c r="S1734"/>
      <c r="T1734"/>
      <c r="U1734"/>
    </row>
    <row r="1735" spans="1:21" hidden="1">
      <c r="A1735" s="7" t="s">
        <v>8740</v>
      </c>
      <c r="B1735" s="7" t="s">
        <v>6627</v>
      </c>
      <c r="C1735" s="8" t="s">
        <v>5317</v>
      </c>
      <c r="D1735" t="s">
        <v>164</v>
      </c>
      <c r="E1735" t="s">
        <v>304</v>
      </c>
      <c r="F1735" t="s">
        <v>117</v>
      </c>
      <c r="G1735" t="s">
        <v>1234</v>
      </c>
      <c r="H1735" s="9">
        <v>44657</v>
      </c>
      <c r="I1735" t="s">
        <v>306</v>
      </c>
      <c r="J1735" t="s">
        <v>0</v>
      </c>
      <c r="K1735" s="9">
        <v>44711</v>
      </c>
      <c r="L1735" t="s">
        <v>29</v>
      </c>
      <c r="M1735"/>
      <c r="N1735" s="9">
        <v>44686</v>
      </c>
      <c r="O1735"/>
      <c r="P1735"/>
      <c r="Q1735" s="9">
        <v>44711</v>
      </c>
      <c r="R1735"/>
      <c r="S1735"/>
      <c r="T1735"/>
      <c r="U1735"/>
    </row>
    <row r="1736" spans="1:21" hidden="1">
      <c r="A1736" s="7" t="s">
        <v>8740</v>
      </c>
      <c r="B1736" s="7" t="s">
        <v>6627</v>
      </c>
      <c r="C1736" s="8" t="s">
        <v>5317</v>
      </c>
      <c r="D1736" t="s">
        <v>164</v>
      </c>
      <c r="E1736" t="s">
        <v>304</v>
      </c>
      <c r="F1736" t="s">
        <v>117</v>
      </c>
      <c r="G1736" t="s">
        <v>1235</v>
      </c>
      <c r="H1736" s="9">
        <v>44657</v>
      </c>
      <c r="I1736" t="s">
        <v>306</v>
      </c>
      <c r="J1736" t="s">
        <v>0</v>
      </c>
      <c r="K1736" s="9">
        <v>44711</v>
      </c>
      <c r="L1736" t="s">
        <v>29</v>
      </c>
      <c r="M1736"/>
      <c r="N1736" s="9">
        <v>44686</v>
      </c>
      <c r="O1736"/>
      <c r="P1736"/>
      <c r="Q1736" s="9">
        <v>44711</v>
      </c>
      <c r="R1736"/>
      <c r="S1736"/>
      <c r="T1736"/>
      <c r="U1736"/>
    </row>
    <row r="1737" spans="1:21" hidden="1">
      <c r="A1737" s="7" t="s">
        <v>8740</v>
      </c>
      <c r="B1737" s="7" t="s">
        <v>6627</v>
      </c>
      <c r="C1737" s="8" t="s">
        <v>5317</v>
      </c>
      <c r="D1737" t="s">
        <v>164</v>
      </c>
      <c r="E1737" t="s">
        <v>304</v>
      </c>
      <c r="F1737" t="s">
        <v>117</v>
      </c>
      <c r="G1737" t="s">
        <v>1236</v>
      </c>
      <c r="H1737" s="9">
        <v>44657</v>
      </c>
      <c r="I1737" t="s">
        <v>306</v>
      </c>
      <c r="J1737" t="s">
        <v>0</v>
      </c>
      <c r="K1737" s="9">
        <v>44711</v>
      </c>
      <c r="L1737" t="s">
        <v>29</v>
      </c>
      <c r="M1737"/>
      <c r="N1737" s="9">
        <v>44686</v>
      </c>
      <c r="O1737"/>
      <c r="P1737"/>
      <c r="Q1737" s="9">
        <v>44711</v>
      </c>
      <c r="R1737"/>
      <c r="S1737"/>
      <c r="T1737"/>
      <c r="U1737"/>
    </row>
    <row r="1738" spans="1:21" hidden="1">
      <c r="A1738" s="7" t="s">
        <v>8740</v>
      </c>
      <c r="B1738" s="7" t="s">
        <v>6627</v>
      </c>
      <c r="C1738" s="8" t="s">
        <v>5317</v>
      </c>
      <c r="D1738" t="s">
        <v>164</v>
      </c>
      <c r="E1738" t="s">
        <v>304</v>
      </c>
      <c r="F1738" t="s">
        <v>117</v>
      </c>
      <c r="G1738" t="s">
        <v>1237</v>
      </c>
      <c r="H1738" s="9">
        <v>44657</v>
      </c>
      <c r="I1738" t="s">
        <v>306</v>
      </c>
      <c r="J1738" t="s">
        <v>0</v>
      </c>
      <c r="K1738" s="9">
        <v>44711</v>
      </c>
      <c r="L1738" t="s">
        <v>29</v>
      </c>
      <c r="M1738"/>
      <c r="N1738" s="9">
        <v>44686</v>
      </c>
      <c r="O1738"/>
      <c r="P1738"/>
      <c r="Q1738" s="9">
        <v>44711</v>
      </c>
      <c r="R1738"/>
      <c r="S1738"/>
      <c r="T1738"/>
      <c r="U1738"/>
    </row>
    <row r="1739" spans="1:21" hidden="1">
      <c r="A1739" s="7" t="s">
        <v>8740</v>
      </c>
      <c r="B1739" s="7" t="s">
        <v>6627</v>
      </c>
      <c r="C1739" s="8" t="s">
        <v>5317</v>
      </c>
      <c r="D1739" t="s">
        <v>164</v>
      </c>
      <c r="E1739" t="s">
        <v>304</v>
      </c>
      <c r="F1739" t="s">
        <v>117</v>
      </c>
      <c r="G1739" t="s">
        <v>1238</v>
      </c>
      <c r="H1739" s="9">
        <v>44657</v>
      </c>
      <c r="I1739" t="s">
        <v>306</v>
      </c>
      <c r="J1739" t="s">
        <v>0</v>
      </c>
      <c r="K1739" s="9">
        <v>44711</v>
      </c>
      <c r="L1739" t="s">
        <v>29</v>
      </c>
      <c r="M1739"/>
      <c r="N1739" s="9">
        <v>44686</v>
      </c>
      <c r="O1739"/>
      <c r="P1739"/>
      <c r="Q1739" s="9">
        <v>44711</v>
      </c>
      <c r="R1739"/>
      <c r="S1739"/>
      <c r="T1739"/>
      <c r="U1739"/>
    </row>
    <row r="1740" spans="1:21" hidden="1">
      <c r="A1740" s="7" t="s">
        <v>8740</v>
      </c>
      <c r="B1740" s="7" t="s">
        <v>6627</v>
      </c>
      <c r="C1740" s="8" t="s">
        <v>5317</v>
      </c>
      <c r="D1740" t="s">
        <v>164</v>
      </c>
      <c r="E1740" t="s">
        <v>304</v>
      </c>
      <c r="F1740" t="s">
        <v>117</v>
      </c>
      <c r="G1740" t="s">
        <v>1239</v>
      </c>
      <c r="H1740" s="9">
        <v>44657</v>
      </c>
      <c r="I1740" t="s">
        <v>306</v>
      </c>
      <c r="J1740" t="s">
        <v>0</v>
      </c>
      <c r="K1740" s="9">
        <v>44711</v>
      </c>
      <c r="L1740" t="s">
        <v>29</v>
      </c>
      <c r="M1740"/>
      <c r="N1740" s="9">
        <v>44686</v>
      </c>
      <c r="O1740"/>
      <c r="P1740"/>
      <c r="Q1740" s="9">
        <v>44711</v>
      </c>
      <c r="R1740"/>
      <c r="S1740"/>
      <c r="T1740"/>
      <c r="U1740"/>
    </row>
    <row r="1741" spans="1:21" hidden="1">
      <c r="A1741" s="7" t="s">
        <v>8740</v>
      </c>
      <c r="B1741" s="7" t="s">
        <v>6627</v>
      </c>
      <c r="C1741" s="8" t="s">
        <v>5317</v>
      </c>
      <c r="D1741" t="s">
        <v>164</v>
      </c>
      <c r="E1741" t="s">
        <v>304</v>
      </c>
      <c r="F1741" t="s">
        <v>117</v>
      </c>
      <c r="G1741" t="s">
        <v>1245</v>
      </c>
      <c r="H1741" s="9">
        <v>44657</v>
      </c>
      <c r="I1741" t="s">
        <v>306</v>
      </c>
      <c r="J1741" t="s">
        <v>0</v>
      </c>
      <c r="K1741" s="9">
        <v>44711</v>
      </c>
      <c r="L1741" t="s">
        <v>29</v>
      </c>
      <c r="M1741"/>
      <c r="N1741" s="9">
        <v>44686</v>
      </c>
      <c r="O1741"/>
      <c r="P1741"/>
      <c r="Q1741" s="9">
        <v>44711</v>
      </c>
      <c r="R1741"/>
      <c r="S1741"/>
      <c r="T1741"/>
      <c r="U1741"/>
    </row>
    <row r="1742" spans="1:21" hidden="1">
      <c r="A1742" s="7" t="s">
        <v>8740</v>
      </c>
      <c r="B1742" s="7" t="s">
        <v>6627</v>
      </c>
      <c r="C1742" s="8" t="s">
        <v>5317</v>
      </c>
      <c r="D1742" t="s">
        <v>164</v>
      </c>
      <c r="E1742" t="s">
        <v>304</v>
      </c>
      <c r="F1742" t="s">
        <v>117</v>
      </c>
      <c r="G1742" t="s">
        <v>1246</v>
      </c>
      <c r="H1742" s="9">
        <v>44657</v>
      </c>
      <c r="I1742" t="s">
        <v>306</v>
      </c>
      <c r="J1742" t="s">
        <v>0</v>
      </c>
      <c r="K1742" s="9">
        <v>44711</v>
      </c>
      <c r="L1742" t="s">
        <v>29</v>
      </c>
      <c r="M1742"/>
      <c r="N1742" s="9">
        <v>44686</v>
      </c>
      <c r="O1742"/>
      <c r="P1742"/>
      <c r="Q1742" s="9">
        <v>44711</v>
      </c>
      <c r="R1742"/>
      <c r="S1742"/>
      <c r="T1742"/>
      <c r="U1742"/>
    </row>
    <row r="1743" spans="1:21" hidden="1">
      <c r="A1743" s="7" t="s">
        <v>8740</v>
      </c>
      <c r="B1743" s="7" t="s">
        <v>6627</v>
      </c>
      <c r="C1743" s="8" t="s">
        <v>5317</v>
      </c>
      <c r="D1743" t="s">
        <v>164</v>
      </c>
      <c r="E1743" t="s">
        <v>304</v>
      </c>
      <c r="F1743" t="s">
        <v>117</v>
      </c>
      <c r="G1743" t="s">
        <v>1247</v>
      </c>
      <c r="H1743" s="9">
        <v>44657</v>
      </c>
      <c r="I1743" t="s">
        <v>306</v>
      </c>
      <c r="J1743" t="s">
        <v>0</v>
      </c>
      <c r="K1743" s="9">
        <v>44711</v>
      </c>
      <c r="L1743" t="s">
        <v>29</v>
      </c>
      <c r="M1743"/>
      <c r="N1743" s="9">
        <v>44686</v>
      </c>
      <c r="O1743"/>
      <c r="P1743"/>
      <c r="Q1743" s="9">
        <v>44711</v>
      </c>
      <c r="R1743"/>
      <c r="S1743"/>
      <c r="T1743"/>
      <c r="U1743"/>
    </row>
    <row r="1744" spans="1:21" hidden="1">
      <c r="A1744" s="7" t="s">
        <v>8740</v>
      </c>
      <c r="B1744" s="7" t="s">
        <v>6627</v>
      </c>
      <c r="C1744" s="8" t="s">
        <v>5317</v>
      </c>
      <c r="D1744" t="s">
        <v>164</v>
      </c>
      <c r="E1744" t="s">
        <v>304</v>
      </c>
      <c r="F1744" t="s">
        <v>117</v>
      </c>
      <c r="G1744" t="s">
        <v>1248</v>
      </c>
      <c r="H1744" s="9">
        <v>44657</v>
      </c>
      <c r="I1744" t="s">
        <v>306</v>
      </c>
      <c r="J1744" t="s">
        <v>0</v>
      </c>
      <c r="K1744" s="9">
        <v>44711</v>
      </c>
      <c r="L1744" t="s">
        <v>29</v>
      </c>
      <c r="M1744"/>
      <c r="N1744" s="9">
        <v>44686</v>
      </c>
      <c r="O1744"/>
      <c r="P1744"/>
      <c r="Q1744" s="9">
        <v>44711</v>
      </c>
      <c r="R1744"/>
      <c r="S1744"/>
      <c r="T1744"/>
      <c r="U1744"/>
    </row>
    <row r="1745" spans="1:21" hidden="1">
      <c r="A1745" s="7" t="s">
        <v>8740</v>
      </c>
      <c r="B1745" s="7" t="s">
        <v>6627</v>
      </c>
      <c r="C1745" s="8" t="s">
        <v>5317</v>
      </c>
      <c r="D1745" t="s">
        <v>164</v>
      </c>
      <c r="E1745" t="s">
        <v>304</v>
      </c>
      <c r="F1745" t="s">
        <v>117</v>
      </c>
      <c r="G1745" t="s">
        <v>1250</v>
      </c>
      <c r="H1745" s="9">
        <v>44657</v>
      </c>
      <c r="I1745" t="s">
        <v>306</v>
      </c>
      <c r="J1745" t="s">
        <v>0</v>
      </c>
      <c r="K1745" s="9">
        <v>44711</v>
      </c>
      <c r="L1745" t="s">
        <v>29</v>
      </c>
      <c r="M1745"/>
      <c r="N1745" s="9">
        <v>44686</v>
      </c>
      <c r="O1745"/>
      <c r="P1745"/>
      <c r="Q1745" s="9">
        <v>44711</v>
      </c>
      <c r="R1745"/>
      <c r="S1745"/>
      <c r="T1745"/>
      <c r="U1745"/>
    </row>
    <row r="1746" spans="1:21" hidden="1">
      <c r="A1746" s="7" t="s">
        <v>8740</v>
      </c>
      <c r="B1746" s="7" t="s">
        <v>6627</v>
      </c>
      <c r="C1746" s="8" t="s">
        <v>5317</v>
      </c>
      <c r="D1746" t="s">
        <v>164</v>
      </c>
      <c r="E1746" t="s">
        <v>304</v>
      </c>
      <c r="F1746" t="s">
        <v>117</v>
      </c>
      <c r="G1746" t="s">
        <v>1252</v>
      </c>
      <c r="H1746" s="9">
        <v>44657</v>
      </c>
      <c r="I1746" t="s">
        <v>306</v>
      </c>
      <c r="J1746" t="s">
        <v>0</v>
      </c>
      <c r="K1746" s="9">
        <v>44711</v>
      </c>
      <c r="L1746" t="s">
        <v>29</v>
      </c>
      <c r="M1746"/>
      <c r="N1746" s="9">
        <v>44686</v>
      </c>
      <c r="O1746"/>
      <c r="P1746"/>
      <c r="Q1746" s="9">
        <v>44711</v>
      </c>
      <c r="R1746"/>
      <c r="S1746"/>
      <c r="T1746"/>
      <c r="U1746"/>
    </row>
    <row r="1747" spans="1:21" hidden="1">
      <c r="A1747" s="7" t="s">
        <v>8740</v>
      </c>
      <c r="B1747" s="7" t="s">
        <v>6627</v>
      </c>
      <c r="C1747" s="8" t="s">
        <v>5317</v>
      </c>
      <c r="D1747" t="s">
        <v>164</v>
      </c>
      <c r="E1747" t="s">
        <v>304</v>
      </c>
      <c r="F1747" t="s">
        <v>117</v>
      </c>
      <c r="G1747" t="s">
        <v>1253</v>
      </c>
      <c r="H1747" s="9">
        <v>44657</v>
      </c>
      <c r="I1747" t="s">
        <v>306</v>
      </c>
      <c r="J1747" t="s">
        <v>0</v>
      </c>
      <c r="K1747" s="9">
        <v>44711</v>
      </c>
      <c r="L1747" t="s">
        <v>29</v>
      </c>
      <c r="M1747"/>
      <c r="N1747" s="9">
        <v>44686</v>
      </c>
      <c r="O1747"/>
      <c r="P1747"/>
      <c r="Q1747" s="9">
        <v>44711</v>
      </c>
      <c r="R1747"/>
      <c r="S1747"/>
      <c r="T1747"/>
      <c r="U1747"/>
    </row>
    <row r="1748" spans="1:21" hidden="1">
      <c r="A1748" s="7" t="s">
        <v>8740</v>
      </c>
      <c r="B1748" s="7" t="s">
        <v>6627</v>
      </c>
      <c r="C1748" s="8" t="s">
        <v>5317</v>
      </c>
      <c r="D1748" t="s">
        <v>164</v>
      </c>
      <c r="E1748" t="s">
        <v>304</v>
      </c>
      <c r="F1748" t="s">
        <v>117</v>
      </c>
      <c r="G1748" t="s">
        <v>1254</v>
      </c>
      <c r="H1748" s="9">
        <v>44657</v>
      </c>
      <c r="I1748" t="s">
        <v>306</v>
      </c>
      <c r="J1748" t="s">
        <v>0</v>
      </c>
      <c r="K1748" s="9">
        <v>44711</v>
      </c>
      <c r="L1748" t="s">
        <v>29</v>
      </c>
      <c r="M1748"/>
      <c r="N1748" s="9">
        <v>44686</v>
      </c>
      <c r="O1748"/>
      <c r="P1748"/>
      <c r="Q1748" s="9">
        <v>44711</v>
      </c>
      <c r="R1748"/>
      <c r="S1748"/>
      <c r="T1748"/>
      <c r="U1748"/>
    </row>
    <row r="1749" spans="1:21" hidden="1">
      <c r="A1749" s="7" t="s">
        <v>8740</v>
      </c>
      <c r="B1749" s="7" t="s">
        <v>6627</v>
      </c>
      <c r="C1749" s="8" t="s">
        <v>5317</v>
      </c>
      <c r="D1749" t="s">
        <v>164</v>
      </c>
      <c r="E1749" t="s">
        <v>304</v>
      </c>
      <c r="F1749" t="s">
        <v>117</v>
      </c>
      <c r="G1749" t="s">
        <v>1255</v>
      </c>
      <c r="H1749" s="9">
        <v>44657</v>
      </c>
      <c r="I1749" t="s">
        <v>306</v>
      </c>
      <c r="J1749" t="s">
        <v>0</v>
      </c>
      <c r="K1749" s="9">
        <v>44711</v>
      </c>
      <c r="L1749" t="s">
        <v>29</v>
      </c>
      <c r="M1749"/>
      <c r="N1749" s="9">
        <v>44686</v>
      </c>
      <c r="O1749"/>
      <c r="P1749"/>
      <c r="Q1749" s="9">
        <v>44711</v>
      </c>
      <c r="R1749"/>
      <c r="S1749"/>
      <c r="T1749"/>
      <c r="U1749"/>
    </row>
    <row r="1750" spans="1:21" hidden="1">
      <c r="A1750" s="7" t="s">
        <v>8740</v>
      </c>
      <c r="B1750" s="7" t="s">
        <v>6627</v>
      </c>
      <c r="C1750" s="8" t="s">
        <v>5317</v>
      </c>
      <c r="D1750" t="s">
        <v>164</v>
      </c>
      <c r="E1750" t="s">
        <v>304</v>
      </c>
      <c r="F1750" t="s">
        <v>117</v>
      </c>
      <c r="G1750" t="s">
        <v>1256</v>
      </c>
      <c r="H1750" s="9">
        <v>44657</v>
      </c>
      <c r="I1750" t="s">
        <v>306</v>
      </c>
      <c r="J1750" t="s">
        <v>0</v>
      </c>
      <c r="K1750" s="9">
        <v>44711</v>
      </c>
      <c r="L1750" t="s">
        <v>29</v>
      </c>
      <c r="M1750"/>
      <c r="N1750" s="9">
        <v>44686</v>
      </c>
      <c r="O1750"/>
      <c r="P1750"/>
      <c r="Q1750" s="9">
        <v>44711</v>
      </c>
      <c r="R1750"/>
      <c r="S1750"/>
      <c r="T1750"/>
      <c r="U1750"/>
    </row>
    <row r="1751" spans="1:21" hidden="1">
      <c r="A1751" s="7" t="s">
        <v>8740</v>
      </c>
      <c r="B1751" s="7" t="s">
        <v>6627</v>
      </c>
      <c r="C1751" s="8" t="s">
        <v>5317</v>
      </c>
      <c r="D1751" t="s">
        <v>164</v>
      </c>
      <c r="E1751" t="s">
        <v>304</v>
      </c>
      <c r="F1751" t="s">
        <v>117</v>
      </c>
      <c r="G1751" t="s">
        <v>1257</v>
      </c>
      <c r="H1751" s="9">
        <v>44657</v>
      </c>
      <c r="I1751" t="s">
        <v>306</v>
      </c>
      <c r="J1751" t="s">
        <v>0</v>
      </c>
      <c r="K1751" s="9">
        <v>44711</v>
      </c>
      <c r="L1751" t="s">
        <v>29</v>
      </c>
      <c r="M1751"/>
      <c r="N1751" s="9">
        <v>44686</v>
      </c>
      <c r="O1751"/>
      <c r="P1751"/>
      <c r="Q1751" s="9">
        <v>44711</v>
      </c>
      <c r="R1751"/>
      <c r="S1751"/>
      <c r="T1751"/>
      <c r="U1751"/>
    </row>
    <row r="1752" spans="1:21" hidden="1">
      <c r="A1752" s="7" t="s">
        <v>8740</v>
      </c>
      <c r="B1752" s="7" t="s">
        <v>6627</v>
      </c>
      <c r="C1752" s="8" t="s">
        <v>5317</v>
      </c>
      <c r="D1752" t="s">
        <v>164</v>
      </c>
      <c r="E1752" t="s">
        <v>304</v>
      </c>
      <c r="F1752" t="s">
        <v>117</v>
      </c>
      <c r="G1752" t="s">
        <v>1258</v>
      </c>
      <c r="H1752" s="9">
        <v>44657</v>
      </c>
      <c r="I1752" t="s">
        <v>306</v>
      </c>
      <c r="J1752" t="s">
        <v>0</v>
      </c>
      <c r="K1752" s="9">
        <v>44711</v>
      </c>
      <c r="L1752" t="s">
        <v>29</v>
      </c>
      <c r="M1752"/>
      <c r="N1752" s="9">
        <v>44686</v>
      </c>
      <c r="O1752"/>
      <c r="P1752"/>
      <c r="Q1752" s="9">
        <v>44711</v>
      </c>
      <c r="R1752"/>
      <c r="S1752"/>
      <c r="T1752"/>
      <c r="U1752"/>
    </row>
    <row r="1753" spans="1:21" hidden="1">
      <c r="A1753" s="7" t="s">
        <v>8740</v>
      </c>
      <c r="B1753" s="7" t="s">
        <v>6627</v>
      </c>
      <c r="C1753" s="8" t="s">
        <v>5317</v>
      </c>
      <c r="D1753" t="s">
        <v>164</v>
      </c>
      <c r="E1753" t="s">
        <v>304</v>
      </c>
      <c r="F1753" t="s">
        <v>117</v>
      </c>
      <c r="G1753" t="s">
        <v>1259</v>
      </c>
      <c r="H1753" s="9">
        <v>44657</v>
      </c>
      <c r="I1753" t="s">
        <v>306</v>
      </c>
      <c r="J1753" t="s">
        <v>0</v>
      </c>
      <c r="K1753" s="9">
        <v>44711</v>
      </c>
      <c r="L1753" t="s">
        <v>29</v>
      </c>
      <c r="M1753"/>
      <c r="N1753" s="9">
        <v>44686</v>
      </c>
      <c r="O1753"/>
      <c r="P1753"/>
      <c r="Q1753" s="9">
        <v>44711</v>
      </c>
      <c r="R1753"/>
      <c r="S1753"/>
      <c r="T1753"/>
      <c r="U1753"/>
    </row>
    <row r="1754" spans="1:21" hidden="1">
      <c r="A1754" s="7" t="s">
        <v>8740</v>
      </c>
      <c r="B1754" s="7" t="s">
        <v>6627</v>
      </c>
      <c r="C1754" s="8" t="s">
        <v>5317</v>
      </c>
      <c r="D1754" t="s">
        <v>164</v>
      </c>
      <c r="E1754" t="s">
        <v>304</v>
      </c>
      <c r="F1754" t="s">
        <v>117</v>
      </c>
      <c r="G1754" t="s">
        <v>1260</v>
      </c>
      <c r="H1754" s="9">
        <v>44657</v>
      </c>
      <c r="I1754" t="s">
        <v>306</v>
      </c>
      <c r="J1754" t="s">
        <v>0</v>
      </c>
      <c r="K1754" s="9">
        <v>44711</v>
      </c>
      <c r="L1754" t="s">
        <v>29</v>
      </c>
      <c r="M1754"/>
      <c r="N1754" s="9">
        <v>44686</v>
      </c>
      <c r="O1754"/>
      <c r="P1754"/>
      <c r="Q1754" s="9">
        <v>44711</v>
      </c>
      <c r="R1754"/>
      <c r="S1754"/>
      <c r="T1754"/>
      <c r="U1754"/>
    </row>
    <row r="1755" spans="1:21" hidden="1">
      <c r="A1755" s="7" t="s">
        <v>8740</v>
      </c>
      <c r="B1755" s="7" t="s">
        <v>6627</v>
      </c>
      <c r="C1755" s="8" t="s">
        <v>5317</v>
      </c>
      <c r="D1755" t="s">
        <v>164</v>
      </c>
      <c r="E1755" t="s">
        <v>304</v>
      </c>
      <c r="F1755" t="s">
        <v>117</v>
      </c>
      <c r="G1755" t="s">
        <v>1261</v>
      </c>
      <c r="H1755" s="9">
        <v>44657</v>
      </c>
      <c r="I1755" t="s">
        <v>306</v>
      </c>
      <c r="J1755" t="s">
        <v>0</v>
      </c>
      <c r="K1755" s="9">
        <v>44711</v>
      </c>
      <c r="L1755" t="s">
        <v>29</v>
      </c>
      <c r="M1755"/>
      <c r="N1755" s="9">
        <v>44686</v>
      </c>
      <c r="O1755"/>
      <c r="P1755"/>
      <c r="Q1755" s="9">
        <v>44711</v>
      </c>
      <c r="R1755"/>
      <c r="S1755"/>
      <c r="T1755"/>
      <c r="U1755"/>
    </row>
    <row r="1756" spans="1:21" hidden="1">
      <c r="A1756" s="7" t="s">
        <v>8740</v>
      </c>
      <c r="B1756" s="7" t="s">
        <v>6627</v>
      </c>
      <c r="C1756" s="8" t="s">
        <v>5317</v>
      </c>
      <c r="D1756" t="s">
        <v>164</v>
      </c>
      <c r="E1756" t="s">
        <v>304</v>
      </c>
      <c r="F1756" t="s">
        <v>117</v>
      </c>
      <c r="G1756" t="s">
        <v>1264</v>
      </c>
      <c r="H1756" s="9">
        <v>44657</v>
      </c>
      <c r="I1756" t="s">
        <v>306</v>
      </c>
      <c r="J1756" t="s">
        <v>0</v>
      </c>
      <c r="K1756" s="9">
        <v>44711</v>
      </c>
      <c r="L1756" t="s">
        <v>29</v>
      </c>
      <c r="M1756"/>
      <c r="N1756" s="9">
        <v>44686</v>
      </c>
      <c r="O1756"/>
      <c r="P1756"/>
      <c r="Q1756" s="9">
        <v>44711</v>
      </c>
      <c r="R1756"/>
      <c r="S1756"/>
      <c r="T1756"/>
      <c r="U1756"/>
    </row>
    <row r="1757" spans="1:21" hidden="1">
      <c r="A1757" s="7" t="s">
        <v>8740</v>
      </c>
      <c r="B1757" s="7" t="s">
        <v>6627</v>
      </c>
      <c r="C1757" s="8" t="s">
        <v>5317</v>
      </c>
      <c r="D1757" t="s">
        <v>164</v>
      </c>
      <c r="E1757" t="s">
        <v>304</v>
      </c>
      <c r="F1757" t="s">
        <v>117</v>
      </c>
      <c r="G1757" t="s">
        <v>1265</v>
      </c>
      <c r="H1757" s="9">
        <v>44657</v>
      </c>
      <c r="I1757" t="s">
        <v>306</v>
      </c>
      <c r="J1757" t="s">
        <v>0</v>
      </c>
      <c r="K1757" s="9">
        <v>44711</v>
      </c>
      <c r="L1757" t="s">
        <v>29</v>
      </c>
      <c r="M1757"/>
      <c r="N1757" s="9">
        <v>44686</v>
      </c>
      <c r="O1757"/>
      <c r="P1757"/>
      <c r="Q1757" s="9">
        <v>44711</v>
      </c>
      <c r="R1757"/>
      <c r="S1757"/>
      <c r="T1757"/>
      <c r="U1757"/>
    </row>
    <row r="1758" spans="1:21" hidden="1">
      <c r="A1758" s="7" t="s">
        <v>8740</v>
      </c>
      <c r="B1758" s="7" t="s">
        <v>6627</v>
      </c>
      <c r="C1758" s="8" t="s">
        <v>5317</v>
      </c>
      <c r="D1758" t="s">
        <v>164</v>
      </c>
      <c r="E1758" t="s">
        <v>304</v>
      </c>
      <c r="F1758" t="s">
        <v>117</v>
      </c>
      <c r="G1758" t="s">
        <v>1270</v>
      </c>
      <c r="H1758" s="9">
        <v>44657</v>
      </c>
      <c r="I1758" t="s">
        <v>306</v>
      </c>
      <c r="J1758" t="s">
        <v>0</v>
      </c>
      <c r="K1758" s="9">
        <v>44711</v>
      </c>
      <c r="L1758" t="s">
        <v>29</v>
      </c>
      <c r="M1758"/>
      <c r="N1758" s="9">
        <v>44686</v>
      </c>
      <c r="O1758"/>
      <c r="P1758"/>
      <c r="Q1758" s="9">
        <v>44711</v>
      </c>
      <c r="R1758"/>
      <c r="S1758"/>
      <c r="T1758"/>
      <c r="U1758"/>
    </row>
    <row r="1759" spans="1:21" hidden="1">
      <c r="A1759" s="7" t="s">
        <v>8740</v>
      </c>
      <c r="B1759" s="7" t="s">
        <v>6627</v>
      </c>
      <c r="C1759" s="8" t="s">
        <v>5317</v>
      </c>
      <c r="D1759" t="s">
        <v>164</v>
      </c>
      <c r="E1759" t="s">
        <v>304</v>
      </c>
      <c r="F1759" t="s">
        <v>117</v>
      </c>
      <c r="G1759" t="s">
        <v>1271</v>
      </c>
      <c r="H1759" s="9">
        <v>44657</v>
      </c>
      <c r="I1759" t="s">
        <v>306</v>
      </c>
      <c r="J1759" t="s">
        <v>0</v>
      </c>
      <c r="K1759" s="9">
        <v>44711</v>
      </c>
      <c r="L1759" t="s">
        <v>29</v>
      </c>
      <c r="M1759"/>
      <c r="N1759" s="9">
        <v>44686</v>
      </c>
      <c r="O1759"/>
      <c r="P1759"/>
      <c r="Q1759" s="9">
        <v>44711</v>
      </c>
      <c r="R1759"/>
      <c r="S1759"/>
      <c r="T1759"/>
      <c r="U1759"/>
    </row>
    <row r="1760" spans="1:21" hidden="1">
      <c r="A1760" s="7" t="s">
        <v>8740</v>
      </c>
      <c r="B1760" s="7" t="s">
        <v>6627</v>
      </c>
      <c r="C1760" s="8" t="s">
        <v>5317</v>
      </c>
      <c r="D1760" t="s">
        <v>164</v>
      </c>
      <c r="E1760" t="s">
        <v>304</v>
      </c>
      <c r="F1760" t="s">
        <v>117</v>
      </c>
      <c r="G1760" t="s">
        <v>1272</v>
      </c>
      <c r="H1760" s="9">
        <v>44657</v>
      </c>
      <c r="I1760" t="s">
        <v>306</v>
      </c>
      <c r="J1760" t="s">
        <v>0</v>
      </c>
      <c r="K1760" s="9">
        <v>44711</v>
      </c>
      <c r="L1760" t="s">
        <v>29</v>
      </c>
      <c r="M1760"/>
      <c r="N1760" s="9">
        <v>44686</v>
      </c>
      <c r="O1760"/>
      <c r="P1760"/>
      <c r="Q1760" s="9">
        <v>44711</v>
      </c>
      <c r="R1760"/>
      <c r="S1760"/>
      <c r="T1760"/>
      <c r="U1760"/>
    </row>
    <row r="1761" spans="1:21" hidden="1">
      <c r="A1761" s="7" t="s">
        <v>8740</v>
      </c>
      <c r="B1761" s="7" t="s">
        <v>6627</v>
      </c>
      <c r="C1761" s="8" t="s">
        <v>5317</v>
      </c>
      <c r="D1761" t="s">
        <v>164</v>
      </c>
      <c r="E1761" t="s">
        <v>304</v>
      </c>
      <c r="F1761" t="s">
        <v>117</v>
      </c>
      <c r="G1761" t="s">
        <v>1273</v>
      </c>
      <c r="H1761" s="9">
        <v>44657</v>
      </c>
      <c r="I1761" t="s">
        <v>306</v>
      </c>
      <c r="J1761" t="s">
        <v>0</v>
      </c>
      <c r="K1761" s="9">
        <v>44711</v>
      </c>
      <c r="L1761" t="s">
        <v>29</v>
      </c>
      <c r="M1761"/>
      <c r="N1761" s="9">
        <v>44686</v>
      </c>
      <c r="O1761"/>
      <c r="P1761"/>
      <c r="Q1761" s="9">
        <v>44711</v>
      </c>
      <c r="R1761"/>
      <c r="S1761"/>
      <c r="T1761"/>
      <c r="U1761"/>
    </row>
    <row r="1762" spans="1:21" hidden="1">
      <c r="A1762" s="7" t="s">
        <v>8740</v>
      </c>
      <c r="B1762" s="7" t="s">
        <v>6627</v>
      </c>
      <c r="C1762" s="8" t="s">
        <v>5317</v>
      </c>
      <c r="D1762" t="s">
        <v>164</v>
      </c>
      <c r="E1762" t="s">
        <v>304</v>
      </c>
      <c r="F1762" t="s">
        <v>117</v>
      </c>
      <c r="G1762" t="s">
        <v>1274</v>
      </c>
      <c r="H1762" s="9">
        <v>44657</v>
      </c>
      <c r="I1762" t="s">
        <v>306</v>
      </c>
      <c r="J1762" t="s">
        <v>0</v>
      </c>
      <c r="K1762" s="9">
        <v>44711</v>
      </c>
      <c r="L1762" t="s">
        <v>29</v>
      </c>
      <c r="M1762"/>
      <c r="N1762" s="9">
        <v>44686</v>
      </c>
      <c r="O1762"/>
      <c r="P1762"/>
      <c r="Q1762" s="9">
        <v>44711</v>
      </c>
      <c r="R1762"/>
      <c r="S1762"/>
      <c r="T1762"/>
      <c r="U1762"/>
    </row>
    <row r="1763" spans="1:21" hidden="1">
      <c r="A1763" s="7" t="s">
        <v>8740</v>
      </c>
      <c r="B1763" s="7" t="s">
        <v>6627</v>
      </c>
      <c r="C1763" s="8" t="s">
        <v>5317</v>
      </c>
      <c r="D1763" t="s">
        <v>164</v>
      </c>
      <c r="E1763" t="s">
        <v>304</v>
      </c>
      <c r="F1763" t="s">
        <v>117</v>
      </c>
      <c r="G1763" t="s">
        <v>1277</v>
      </c>
      <c r="H1763" s="9">
        <v>44657</v>
      </c>
      <c r="I1763" t="s">
        <v>306</v>
      </c>
      <c r="J1763" t="s">
        <v>0</v>
      </c>
      <c r="K1763" s="9">
        <v>44711</v>
      </c>
      <c r="L1763" t="s">
        <v>29</v>
      </c>
      <c r="M1763"/>
      <c r="N1763" s="9">
        <v>44686</v>
      </c>
      <c r="O1763"/>
      <c r="P1763"/>
      <c r="Q1763" s="9">
        <v>44711</v>
      </c>
      <c r="R1763"/>
      <c r="S1763"/>
      <c r="T1763"/>
      <c r="U1763"/>
    </row>
    <row r="1764" spans="1:21" hidden="1">
      <c r="A1764" s="7" t="s">
        <v>8740</v>
      </c>
      <c r="B1764" s="7" t="s">
        <v>6627</v>
      </c>
      <c r="C1764" s="8" t="s">
        <v>5317</v>
      </c>
      <c r="D1764" t="s">
        <v>164</v>
      </c>
      <c r="E1764" t="s">
        <v>304</v>
      </c>
      <c r="F1764" t="s">
        <v>117</v>
      </c>
      <c r="G1764" t="s">
        <v>1278</v>
      </c>
      <c r="H1764" s="9">
        <v>44657</v>
      </c>
      <c r="I1764" t="s">
        <v>306</v>
      </c>
      <c r="J1764" t="s">
        <v>0</v>
      </c>
      <c r="K1764" s="9">
        <v>44711</v>
      </c>
      <c r="L1764" t="s">
        <v>29</v>
      </c>
      <c r="M1764"/>
      <c r="N1764" s="9">
        <v>44686</v>
      </c>
      <c r="O1764"/>
      <c r="P1764"/>
      <c r="Q1764" s="9">
        <v>44711</v>
      </c>
      <c r="R1764"/>
      <c r="S1764"/>
      <c r="T1764"/>
      <c r="U1764"/>
    </row>
    <row r="1765" spans="1:21" hidden="1">
      <c r="A1765" s="7" t="s">
        <v>8740</v>
      </c>
      <c r="B1765" s="7" t="s">
        <v>6627</v>
      </c>
      <c r="C1765" s="8" t="s">
        <v>5317</v>
      </c>
      <c r="D1765" t="s">
        <v>164</v>
      </c>
      <c r="E1765" t="s">
        <v>304</v>
      </c>
      <c r="F1765" t="s">
        <v>117</v>
      </c>
      <c r="G1765" t="s">
        <v>1279</v>
      </c>
      <c r="H1765" s="9">
        <v>44657</v>
      </c>
      <c r="I1765" t="s">
        <v>306</v>
      </c>
      <c r="J1765" t="s">
        <v>0</v>
      </c>
      <c r="K1765" s="9">
        <v>44711</v>
      </c>
      <c r="L1765" t="s">
        <v>29</v>
      </c>
      <c r="M1765"/>
      <c r="N1765" s="9">
        <v>44686</v>
      </c>
      <c r="O1765"/>
      <c r="P1765"/>
      <c r="Q1765" s="9">
        <v>44711</v>
      </c>
      <c r="R1765"/>
      <c r="S1765"/>
      <c r="T1765"/>
      <c r="U1765"/>
    </row>
    <row r="1766" spans="1:21" hidden="1">
      <c r="A1766" s="7" t="s">
        <v>8740</v>
      </c>
      <c r="B1766" s="7" t="s">
        <v>6627</v>
      </c>
      <c r="C1766" s="8" t="s">
        <v>5317</v>
      </c>
      <c r="D1766" t="s">
        <v>164</v>
      </c>
      <c r="E1766" t="s">
        <v>304</v>
      </c>
      <c r="F1766" t="s">
        <v>117</v>
      </c>
      <c r="G1766" t="s">
        <v>1280</v>
      </c>
      <c r="H1766" s="9">
        <v>44657</v>
      </c>
      <c r="I1766" t="s">
        <v>306</v>
      </c>
      <c r="J1766" t="s">
        <v>0</v>
      </c>
      <c r="K1766" s="9">
        <v>44711</v>
      </c>
      <c r="L1766" t="s">
        <v>29</v>
      </c>
      <c r="M1766"/>
      <c r="N1766" s="9">
        <v>44686</v>
      </c>
      <c r="O1766"/>
      <c r="P1766"/>
      <c r="Q1766" s="9">
        <v>44711</v>
      </c>
      <c r="R1766"/>
      <c r="S1766"/>
      <c r="T1766"/>
      <c r="U1766"/>
    </row>
    <row r="1767" spans="1:21" hidden="1">
      <c r="A1767" s="7" t="s">
        <v>8740</v>
      </c>
      <c r="B1767" s="7" t="s">
        <v>6627</v>
      </c>
      <c r="C1767" s="8" t="s">
        <v>5317</v>
      </c>
      <c r="D1767" t="s">
        <v>164</v>
      </c>
      <c r="E1767" t="s">
        <v>304</v>
      </c>
      <c r="F1767" t="s">
        <v>117</v>
      </c>
      <c r="G1767" t="s">
        <v>1282</v>
      </c>
      <c r="H1767" s="9">
        <v>44657</v>
      </c>
      <c r="I1767" t="s">
        <v>306</v>
      </c>
      <c r="J1767" t="s">
        <v>0</v>
      </c>
      <c r="K1767" s="9">
        <v>44711</v>
      </c>
      <c r="L1767" t="s">
        <v>29</v>
      </c>
      <c r="M1767"/>
      <c r="N1767" s="9">
        <v>44686</v>
      </c>
      <c r="O1767"/>
      <c r="P1767"/>
      <c r="Q1767" s="9">
        <v>44711</v>
      </c>
      <c r="R1767"/>
      <c r="S1767"/>
      <c r="T1767"/>
      <c r="U1767"/>
    </row>
    <row r="1768" spans="1:21" hidden="1">
      <c r="A1768" s="7" t="s">
        <v>8740</v>
      </c>
      <c r="B1768" s="7" t="s">
        <v>6627</v>
      </c>
      <c r="C1768" s="8" t="s">
        <v>5317</v>
      </c>
      <c r="D1768" t="s">
        <v>164</v>
      </c>
      <c r="E1768" t="s">
        <v>304</v>
      </c>
      <c r="F1768" t="s">
        <v>117</v>
      </c>
      <c r="G1768" t="s">
        <v>1283</v>
      </c>
      <c r="H1768" s="9">
        <v>44657</v>
      </c>
      <c r="I1768" t="s">
        <v>306</v>
      </c>
      <c r="J1768" t="s">
        <v>0</v>
      </c>
      <c r="K1768" s="9">
        <v>44711</v>
      </c>
      <c r="L1768" t="s">
        <v>29</v>
      </c>
      <c r="M1768"/>
      <c r="N1768" s="9">
        <v>44686</v>
      </c>
      <c r="O1768"/>
      <c r="P1768"/>
      <c r="Q1768" s="9">
        <v>44711</v>
      </c>
      <c r="R1768"/>
      <c r="S1768"/>
      <c r="T1768"/>
      <c r="U1768"/>
    </row>
    <row r="1769" spans="1:21" hidden="1">
      <c r="A1769" s="7" t="s">
        <v>8740</v>
      </c>
      <c r="B1769" s="7" t="s">
        <v>6627</v>
      </c>
      <c r="C1769" s="8" t="s">
        <v>5317</v>
      </c>
      <c r="D1769" t="s">
        <v>164</v>
      </c>
      <c r="E1769" t="s">
        <v>304</v>
      </c>
      <c r="F1769" t="s">
        <v>117</v>
      </c>
      <c r="G1769" t="s">
        <v>1284</v>
      </c>
      <c r="H1769" s="9">
        <v>44657</v>
      </c>
      <c r="I1769" t="s">
        <v>306</v>
      </c>
      <c r="J1769" t="s">
        <v>0</v>
      </c>
      <c r="K1769" s="9">
        <v>44711</v>
      </c>
      <c r="L1769" t="s">
        <v>29</v>
      </c>
      <c r="M1769"/>
      <c r="N1769" s="9">
        <v>44686</v>
      </c>
      <c r="O1769"/>
      <c r="P1769"/>
      <c r="Q1769" s="9">
        <v>44711</v>
      </c>
      <c r="R1769"/>
      <c r="S1769"/>
      <c r="T1769"/>
      <c r="U1769"/>
    </row>
    <row r="1770" spans="1:21" hidden="1">
      <c r="A1770" s="7" t="s">
        <v>8740</v>
      </c>
      <c r="B1770" s="7" t="s">
        <v>6627</v>
      </c>
      <c r="C1770" s="8" t="s">
        <v>5317</v>
      </c>
      <c r="D1770" t="s">
        <v>164</v>
      </c>
      <c r="E1770" t="s">
        <v>304</v>
      </c>
      <c r="F1770" t="s">
        <v>117</v>
      </c>
      <c r="G1770" t="s">
        <v>1285</v>
      </c>
      <c r="H1770" s="9">
        <v>44657</v>
      </c>
      <c r="I1770" t="s">
        <v>306</v>
      </c>
      <c r="J1770" t="s">
        <v>0</v>
      </c>
      <c r="K1770" s="9">
        <v>44711</v>
      </c>
      <c r="L1770" t="s">
        <v>29</v>
      </c>
      <c r="M1770"/>
      <c r="N1770" s="9">
        <v>44686</v>
      </c>
      <c r="O1770"/>
      <c r="P1770"/>
      <c r="Q1770" s="9">
        <v>44711</v>
      </c>
      <c r="R1770"/>
      <c r="S1770"/>
      <c r="T1770"/>
      <c r="U1770"/>
    </row>
    <row r="1771" spans="1:21" hidden="1">
      <c r="A1771" s="7" t="s">
        <v>8740</v>
      </c>
      <c r="B1771" s="7" t="s">
        <v>6627</v>
      </c>
      <c r="C1771" s="8" t="s">
        <v>5317</v>
      </c>
      <c r="D1771" t="s">
        <v>164</v>
      </c>
      <c r="E1771" t="s">
        <v>304</v>
      </c>
      <c r="F1771" t="s">
        <v>117</v>
      </c>
      <c r="G1771" t="s">
        <v>1286</v>
      </c>
      <c r="H1771" s="9">
        <v>44657</v>
      </c>
      <c r="I1771" t="s">
        <v>306</v>
      </c>
      <c r="J1771" t="s">
        <v>0</v>
      </c>
      <c r="K1771" s="9">
        <v>44711</v>
      </c>
      <c r="L1771" t="s">
        <v>29</v>
      </c>
      <c r="M1771"/>
      <c r="N1771" s="9">
        <v>44686</v>
      </c>
      <c r="O1771"/>
      <c r="P1771"/>
      <c r="Q1771" s="9">
        <v>44711</v>
      </c>
      <c r="R1771"/>
      <c r="S1771"/>
      <c r="T1771"/>
      <c r="U1771"/>
    </row>
    <row r="1772" spans="1:21" hidden="1">
      <c r="A1772" s="7" t="s">
        <v>8740</v>
      </c>
      <c r="B1772" s="7" t="s">
        <v>6627</v>
      </c>
      <c r="C1772" s="8" t="s">
        <v>5317</v>
      </c>
      <c r="D1772" t="s">
        <v>164</v>
      </c>
      <c r="E1772" t="s">
        <v>304</v>
      </c>
      <c r="F1772" t="s">
        <v>117</v>
      </c>
      <c r="G1772" t="s">
        <v>1287</v>
      </c>
      <c r="H1772" s="9">
        <v>44657</v>
      </c>
      <c r="I1772" t="s">
        <v>306</v>
      </c>
      <c r="J1772" t="s">
        <v>0</v>
      </c>
      <c r="K1772" s="9">
        <v>44711</v>
      </c>
      <c r="L1772" t="s">
        <v>29</v>
      </c>
      <c r="M1772"/>
      <c r="N1772" s="9">
        <v>44686</v>
      </c>
      <c r="O1772"/>
      <c r="P1772"/>
      <c r="Q1772" s="9">
        <v>44711</v>
      </c>
      <c r="R1772"/>
      <c r="S1772"/>
      <c r="T1772"/>
      <c r="U1772"/>
    </row>
    <row r="1773" spans="1:21" hidden="1">
      <c r="A1773" s="7" t="s">
        <v>8740</v>
      </c>
      <c r="B1773" s="7" t="s">
        <v>6627</v>
      </c>
      <c r="C1773" s="8" t="s">
        <v>5317</v>
      </c>
      <c r="D1773" t="s">
        <v>164</v>
      </c>
      <c r="E1773" t="s">
        <v>304</v>
      </c>
      <c r="F1773" t="s">
        <v>117</v>
      </c>
      <c r="G1773" t="s">
        <v>1288</v>
      </c>
      <c r="H1773" s="9">
        <v>44657</v>
      </c>
      <c r="I1773" t="s">
        <v>306</v>
      </c>
      <c r="J1773" t="s">
        <v>0</v>
      </c>
      <c r="K1773" s="9">
        <v>44711</v>
      </c>
      <c r="L1773" t="s">
        <v>29</v>
      </c>
      <c r="M1773"/>
      <c r="N1773" s="9">
        <v>44686</v>
      </c>
      <c r="O1773"/>
      <c r="P1773"/>
      <c r="Q1773" s="9">
        <v>44711</v>
      </c>
      <c r="R1773"/>
      <c r="S1773"/>
      <c r="T1773"/>
      <c r="U1773"/>
    </row>
    <row r="1774" spans="1:21" hidden="1">
      <c r="A1774" s="7" t="s">
        <v>8740</v>
      </c>
      <c r="B1774" s="7" t="s">
        <v>6627</v>
      </c>
      <c r="C1774" s="8" t="s">
        <v>5317</v>
      </c>
      <c r="D1774" t="s">
        <v>164</v>
      </c>
      <c r="E1774" t="s">
        <v>304</v>
      </c>
      <c r="F1774" t="s">
        <v>117</v>
      </c>
      <c r="G1774" t="s">
        <v>1289</v>
      </c>
      <c r="H1774" s="9">
        <v>44657</v>
      </c>
      <c r="I1774" t="s">
        <v>306</v>
      </c>
      <c r="J1774" t="s">
        <v>0</v>
      </c>
      <c r="K1774" s="9">
        <v>44711</v>
      </c>
      <c r="L1774" t="s">
        <v>29</v>
      </c>
      <c r="M1774"/>
      <c r="N1774" s="9">
        <v>44686</v>
      </c>
      <c r="O1774"/>
      <c r="P1774"/>
      <c r="Q1774" s="9">
        <v>44711</v>
      </c>
      <c r="R1774"/>
      <c r="S1774"/>
      <c r="T1774"/>
      <c r="U1774"/>
    </row>
    <row r="1775" spans="1:21" hidden="1">
      <c r="A1775" s="7" t="s">
        <v>8740</v>
      </c>
      <c r="B1775" s="7" t="s">
        <v>6627</v>
      </c>
      <c r="C1775" s="8" t="s">
        <v>5317</v>
      </c>
      <c r="D1775" t="s">
        <v>164</v>
      </c>
      <c r="E1775" t="s">
        <v>304</v>
      </c>
      <c r="F1775" t="s">
        <v>117</v>
      </c>
      <c r="G1775" t="s">
        <v>1290</v>
      </c>
      <c r="H1775" s="9">
        <v>44657</v>
      </c>
      <c r="I1775" t="s">
        <v>306</v>
      </c>
      <c r="J1775" t="s">
        <v>0</v>
      </c>
      <c r="K1775" s="9">
        <v>44711</v>
      </c>
      <c r="L1775" t="s">
        <v>29</v>
      </c>
      <c r="M1775"/>
      <c r="N1775" s="9">
        <v>44686</v>
      </c>
      <c r="O1775"/>
      <c r="P1775"/>
      <c r="Q1775" s="9">
        <v>44711</v>
      </c>
      <c r="R1775"/>
      <c r="S1775"/>
      <c r="T1775"/>
      <c r="U1775"/>
    </row>
    <row r="1776" spans="1:21" hidden="1">
      <c r="A1776" s="7" t="s">
        <v>8740</v>
      </c>
      <c r="B1776" s="7" t="s">
        <v>6627</v>
      </c>
      <c r="C1776" s="8" t="s">
        <v>5317</v>
      </c>
      <c r="D1776" t="s">
        <v>164</v>
      </c>
      <c r="E1776" t="s">
        <v>304</v>
      </c>
      <c r="F1776" t="s">
        <v>117</v>
      </c>
      <c r="G1776" t="s">
        <v>1291</v>
      </c>
      <c r="H1776" s="9">
        <v>44657</v>
      </c>
      <c r="I1776" t="s">
        <v>306</v>
      </c>
      <c r="J1776" t="s">
        <v>0</v>
      </c>
      <c r="K1776" s="9">
        <v>44711</v>
      </c>
      <c r="L1776" t="s">
        <v>29</v>
      </c>
      <c r="M1776"/>
      <c r="N1776" s="9">
        <v>44686</v>
      </c>
      <c r="O1776"/>
      <c r="P1776"/>
      <c r="Q1776" s="9">
        <v>44711</v>
      </c>
      <c r="R1776"/>
      <c r="S1776"/>
      <c r="T1776"/>
      <c r="U1776"/>
    </row>
    <row r="1777" spans="1:21" hidden="1">
      <c r="A1777" s="7" t="s">
        <v>8740</v>
      </c>
      <c r="B1777" s="7" t="s">
        <v>6627</v>
      </c>
      <c r="C1777" s="8" t="s">
        <v>5317</v>
      </c>
      <c r="D1777" t="s">
        <v>164</v>
      </c>
      <c r="E1777" t="s">
        <v>304</v>
      </c>
      <c r="F1777" t="s">
        <v>117</v>
      </c>
      <c r="G1777" t="s">
        <v>1292</v>
      </c>
      <c r="H1777" s="9">
        <v>44657</v>
      </c>
      <c r="I1777" t="s">
        <v>306</v>
      </c>
      <c r="J1777" t="s">
        <v>0</v>
      </c>
      <c r="K1777" s="9">
        <v>44711</v>
      </c>
      <c r="L1777" t="s">
        <v>29</v>
      </c>
      <c r="M1777"/>
      <c r="N1777" s="9">
        <v>44686</v>
      </c>
      <c r="O1777"/>
      <c r="P1777"/>
      <c r="Q1777" s="9">
        <v>44711</v>
      </c>
      <c r="R1777"/>
      <c r="S1777"/>
      <c r="T1777"/>
      <c r="U1777"/>
    </row>
    <row r="1778" spans="1:21" hidden="1">
      <c r="A1778" s="7" t="s">
        <v>8740</v>
      </c>
      <c r="B1778" s="7" t="s">
        <v>6627</v>
      </c>
      <c r="C1778" s="8" t="s">
        <v>5317</v>
      </c>
      <c r="D1778" t="s">
        <v>164</v>
      </c>
      <c r="E1778" t="s">
        <v>304</v>
      </c>
      <c r="F1778" t="s">
        <v>117</v>
      </c>
      <c r="G1778" t="s">
        <v>1293</v>
      </c>
      <c r="H1778" s="9">
        <v>44657</v>
      </c>
      <c r="I1778" t="s">
        <v>306</v>
      </c>
      <c r="J1778" t="s">
        <v>0</v>
      </c>
      <c r="K1778" s="9">
        <v>44711</v>
      </c>
      <c r="L1778" t="s">
        <v>29</v>
      </c>
      <c r="M1778"/>
      <c r="N1778" s="9">
        <v>44686</v>
      </c>
      <c r="O1778"/>
      <c r="P1778"/>
      <c r="Q1778" s="9">
        <v>44711</v>
      </c>
      <c r="R1778"/>
      <c r="S1778"/>
      <c r="T1778"/>
      <c r="U1778"/>
    </row>
    <row r="1779" spans="1:21" hidden="1">
      <c r="A1779" s="7" t="s">
        <v>8740</v>
      </c>
      <c r="B1779" s="7" t="s">
        <v>6627</v>
      </c>
      <c r="C1779" s="8" t="s">
        <v>5317</v>
      </c>
      <c r="D1779" t="s">
        <v>164</v>
      </c>
      <c r="E1779" t="s">
        <v>304</v>
      </c>
      <c r="F1779" t="s">
        <v>117</v>
      </c>
      <c r="G1779" t="s">
        <v>1294</v>
      </c>
      <c r="H1779" s="9">
        <v>44657</v>
      </c>
      <c r="I1779" t="s">
        <v>306</v>
      </c>
      <c r="J1779" t="s">
        <v>0</v>
      </c>
      <c r="K1779" s="9">
        <v>44711</v>
      </c>
      <c r="L1779" t="s">
        <v>29</v>
      </c>
      <c r="M1779"/>
      <c r="N1779" s="9">
        <v>44686</v>
      </c>
      <c r="O1779"/>
      <c r="P1779"/>
      <c r="Q1779" s="9">
        <v>44711</v>
      </c>
      <c r="R1779"/>
      <c r="S1779"/>
      <c r="T1779"/>
      <c r="U1779"/>
    </row>
    <row r="1780" spans="1:21" hidden="1">
      <c r="A1780" s="7" t="s">
        <v>8740</v>
      </c>
      <c r="B1780" s="7" t="s">
        <v>6627</v>
      </c>
      <c r="C1780" s="8" t="s">
        <v>5317</v>
      </c>
      <c r="D1780" t="s">
        <v>164</v>
      </c>
      <c r="E1780" t="s">
        <v>304</v>
      </c>
      <c r="F1780" t="s">
        <v>117</v>
      </c>
      <c r="G1780" t="s">
        <v>1295</v>
      </c>
      <c r="H1780" s="9">
        <v>44657</v>
      </c>
      <c r="I1780" t="s">
        <v>306</v>
      </c>
      <c r="J1780" t="s">
        <v>0</v>
      </c>
      <c r="K1780" s="9">
        <v>44711</v>
      </c>
      <c r="L1780" t="s">
        <v>29</v>
      </c>
      <c r="M1780"/>
      <c r="N1780" s="9">
        <v>44686</v>
      </c>
      <c r="O1780"/>
      <c r="P1780"/>
      <c r="Q1780" s="9">
        <v>44711</v>
      </c>
      <c r="R1780"/>
      <c r="S1780"/>
      <c r="T1780"/>
      <c r="U1780"/>
    </row>
    <row r="1781" spans="1:21" hidden="1">
      <c r="A1781" s="7" t="s">
        <v>8740</v>
      </c>
      <c r="B1781" s="7" t="s">
        <v>6627</v>
      </c>
      <c r="C1781" s="8" t="s">
        <v>5317</v>
      </c>
      <c r="D1781" t="s">
        <v>164</v>
      </c>
      <c r="E1781" t="s">
        <v>304</v>
      </c>
      <c r="F1781" t="s">
        <v>117</v>
      </c>
      <c r="G1781" t="s">
        <v>1296</v>
      </c>
      <c r="H1781" s="9">
        <v>44657</v>
      </c>
      <c r="I1781" t="s">
        <v>306</v>
      </c>
      <c r="J1781" t="s">
        <v>0</v>
      </c>
      <c r="K1781" s="9">
        <v>44711</v>
      </c>
      <c r="L1781" t="s">
        <v>29</v>
      </c>
      <c r="M1781"/>
      <c r="N1781" s="9">
        <v>44686</v>
      </c>
      <c r="O1781"/>
      <c r="P1781"/>
      <c r="Q1781" s="9">
        <v>44711</v>
      </c>
      <c r="R1781"/>
      <c r="S1781"/>
      <c r="T1781"/>
      <c r="U1781"/>
    </row>
    <row r="1782" spans="1:21" hidden="1">
      <c r="A1782" s="7" t="s">
        <v>8740</v>
      </c>
      <c r="B1782" s="7" t="s">
        <v>6627</v>
      </c>
      <c r="C1782" s="8" t="s">
        <v>5317</v>
      </c>
      <c r="D1782" t="s">
        <v>164</v>
      </c>
      <c r="E1782" t="s">
        <v>304</v>
      </c>
      <c r="F1782" t="s">
        <v>117</v>
      </c>
      <c r="G1782" t="s">
        <v>1297</v>
      </c>
      <c r="H1782" s="9">
        <v>44657</v>
      </c>
      <c r="I1782" t="s">
        <v>306</v>
      </c>
      <c r="J1782" t="s">
        <v>0</v>
      </c>
      <c r="K1782" s="9">
        <v>44711</v>
      </c>
      <c r="L1782" t="s">
        <v>29</v>
      </c>
      <c r="M1782"/>
      <c r="N1782" s="9">
        <v>44686</v>
      </c>
      <c r="O1782"/>
      <c r="P1782"/>
      <c r="Q1782" s="9">
        <v>44711</v>
      </c>
      <c r="R1782"/>
      <c r="S1782"/>
      <c r="T1782"/>
      <c r="U1782"/>
    </row>
    <row r="1783" spans="1:21" hidden="1">
      <c r="A1783" s="7" t="s">
        <v>8740</v>
      </c>
      <c r="B1783" s="7" t="s">
        <v>6627</v>
      </c>
      <c r="C1783" s="8" t="s">
        <v>5317</v>
      </c>
      <c r="D1783" t="s">
        <v>164</v>
      </c>
      <c r="E1783" t="s">
        <v>304</v>
      </c>
      <c r="F1783" t="s">
        <v>117</v>
      </c>
      <c r="G1783" t="s">
        <v>1298</v>
      </c>
      <c r="H1783" s="9">
        <v>44657</v>
      </c>
      <c r="I1783" t="s">
        <v>306</v>
      </c>
      <c r="J1783" t="s">
        <v>0</v>
      </c>
      <c r="K1783" s="9">
        <v>44711</v>
      </c>
      <c r="L1783" t="s">
        <v>29</v>
      </c>
      <c r="M1783"/>
      <c r="N1783" s="9">
        <v>44686</v>
      </c>
      <c r="O1783"/>
      <c r="P1783"/>
      <c r="Q1783" s="9">
        <v>44711</v>
      </c>
      <c r="R1783"/>
      <c r="S1783"/>
      <c r="T1783"/>
      <c r="U1783"/>
    </row>
    <row r="1784" spans="1:21" hidden="1">
      <c r="A1784" s="7" t="s">
        <v>8740</v>
      </c>
      <c r="B1784" s="7" t="s">
        <v>6627</v>
      </c>
      <c r="C1784" s="8" t="s">
        <v>5317</v>
      </c>
      <c r="D1784" t="s">
        <v>164</v>
      </c>
      <c r="E1784" t="s">
        <v>304</v>
      </c>
      <c r="F1784" t="s">
        <v>117</v>
      </c>
      <c r="G1784" t="s">
        <v>1299</v>
      </c>
      <c r="H1784" s="9">
        <v>44657</v>
      </c>
      <c r="I1784" t="s">
        <v>306</v>
      </c>
      <c r="J1784" t="s">
        <v>0</v>
      </c>
      <c r="K1784" s="9">
        <v>44711</v>
      </c>
      <c r="L1784" t="s">
        <v>29</v>
      </c>
      <c r="M1784"/>
      <c r="N1784" s="9">
        <v>44686</v>
      </c>
      <c r="O1784"/>
      <c r="P1784"/>
      <c r="Q1784" s="9">
        <v>44711</v>
      </c>
      <c r="R1784"/>
      <c r="S1784"/>
      <c r="T1784"/>
      <c r="U1784"/>
    </row>
    <row r="1785" spans="1:21" hidden="1">
      <c r="A1785" s="7" t="s">
        <v>8740</v>
      </c>
      <c r="B1785" s="7" t="s">
        <v>6627</v>
      </c>
      <c r="C1785" s="8" t="s">
        <v>5317</v>
      </c>
      <c r="D1785" t="s">
        <v>164</v>
      </c>
      <c r="E1785" t="s">
        <v>304</v>
      </c>
      <c r="F1785" t="s">
        <v>117</v>
      </c>
      <c r="G1785" t="s">
        <v>1300</v>
      </c>
      <c r="H1785" s="9">
        <v>44657</v>
      </c>
      <c r="I1785" t="s">
        <v>306</v>
      </c>
      <c r="J1785" t="s">
        <v>0</v>
      </c>
      <c r="K1785" s="9">
        <v>44711</v>
      </c>
      <c r="L1785" t="s">
        <v>29</v>
      </c>
      <c r="M1785"/>
      <c r="N1785" s="9">
        <v>44686</v>
      </c>
      <c r="O1785"/>
      <c r="P1785"/>
      <c r="Q1785" s="9">
        <v>44711</v>
      </c>
      <c r="R1785"/>
      <c r="S1785"/>
      <c r="T1785"/>
      <c r="U1785"/>
    </row>
    <row r="1786" spans="1:21" hidden="1">
      <c r="A1786" s="7" t="s">
        <v>8740</v>
      </c>
      <c r="B1786" s="7" t="s">
        <v>6627</v>
      </c>
      <c r="C1786" s="8" t="s">
        <v>5317</v>
      </c>
      <c r="D1786" t="s">
        <v>164</v>
      </c>
      <c r="E1786" t="s">
        <v>304</v>
      </c>
      <c r="F1786" t="s">
        <v>117</v>
      </c>
      <c r="G1786" t="s">
        <v>1301</v>
      </c>
      <c r="H1786" s="9">
        <v>44657</v>
      </c>
      <c r="I1786" t="s">
        <v>306</v>
      </c>
      <c r="J1786" t="s">
        <v>0</v>
      </c>
      <c r="K1786" s="9">
        <v>44711</v>
      </c>
      <c r="L1786" t="s">
        <v>29</v>
      </c>
      <c r="M1786"/>
      <c r="N1786" s="9">
        <v>44686</v>
      </c>
      <c r="O1786"/>
      <c r="P1786"/>
      <c r="Q1786" s="9">
        <v>44711</v>
      </c>
      <c r="R1786"/>
      <c r="S1786"/>
      <c r="T1786"/>
      <c r="U1786"/>
    </row>
    <row r="1787" spans="1:21" hidden="1">
      <c r="A1787" s="7" t="s">
        <v>8740</v>
      </c>
      <c r="B1787" s="7" t="s">
        <v>6627</v>
      </c>
      <c r="C1787" s="8" t="s">
        <v>5317</v>
      </c>
      <c r="D1787" t="s">
        <v>164</v>
      </c>
      <c r="E1787" t="s">
        <v>304</v>
      </c>
      <c r="F1787" t="s">
        <v>117</v>
      </c>
      <c r="G1787" t="s">
        <v>1302</v>
      </c>
      <c r="H1787" s="9">
        <v>44657</v>
      </c>
      <c r="I1787" t="s">
        <v>306</v>
      </c>
      <c r="J1787" t="s">
        <v>0</v>
      </c>
      <c r="K1787" s="9">
        <v>44711</v>
      </c>
      <c r="L1787" t="s">
        <v>29</v>
      </c>
      <c r="M1787"/>
      <c r="N1787" s="9">
        <v>44686</v>
      </c>
      <c r="O1787"/>
      <c r="P1787"/>
      <c r="Q1787" s="9">
        <v>44711</v>
      </c>
      <c r="R1787"/>
      <c r="S1787"/>
      <c r="T1787"/>
      <c r="U1787"/>
    </row>
    <row r="1788" spans="1:21" hidden="1">
      <c r="A1788" s="7" t="s">
        <v>8740</v>
      </c>
      <c r="B1788" s="7" t="s">
        <v>6627</v>
      </c>
      <c r="C1788" s="8" t="s">
        <v>5317</v>
      </c>
      <c r="D1788" t="s">
        <v>164</v>
      </c>
      <c r="E1788" t="s">
        <v>304</v>
      </c>
      <c r="F1788" t="s">
        <v>117</v>
      </c>
      <c r="G1788" t="s">
        <v>1303</v>
      </c>
      <c r="H1788" s="9">
        <v>44657</v>
      </c>
      <c r="I1788" t="s">
        <v>306</v>
      </c>
      <c r="J1788" t="s">
        <v>0</v>
      </c>
      <c r="K1788" s="9">
        <v>44711</v>
      </c>
      <c r="L1788" t="s">
        <v>29</v>
      </c>
      <c r="M1788"/>
      <c r="N1788" s="9">
        <v>44686</v>
      </c>
      <c r="O1788"/>
      <c r="P1788"/>
      <c r="Q1788" s="9">
        <v>44711</v>
      </c>
      <c r="R1788"/>
      <c r="S1788"/>
      <c r="T1788"/>
      <c r="U1788"/>
    </row>
    <row r="1789" spans="1:21" hidden="1">
      <c r="A1789" s="7" t="s">
        <v>8740</v>
      </c>
      <c r="B1789" s="7" t="s">
        <v>6627</v>
      </c>
      <c r="C1789" s="8" t="s">
        <v>5317</v>
      </c>
      <c r="D1789" t="s">
        <v>164</v>
      </c>
      <c r="E1789" t="s">
        <v>304</v>
      </c>
      <c r="F1789" t="s">
        <v>117</v>
      </c>
      <c r="G1789" t="s">
        <v>1304</v>
      </c>
      <c r="H1789" s="9">
        <v>44657</v>
      </c>
      <c r="I1789" t="s">
        <v>306</v>
      </c>
      <c r="J1789" t="s">
        <v>0</v>
      </c>
      <c r="K1789" s="9">
        <v>44711</v>
      </c>
      <c r="L1789" t="s">
        <v>29</v>
      </c>
      <c r="M1789"/>
      <c r="N1789" s="9">
        <v>44686</v>
      </c>
      <c r="O1789"/>
      <c r="P1789"/>
      <c r="Q1789" s="9">
        <v>44711</v>
      </c>
      <c r="R1789"/>
      <c r="S1789"/>
      <c r="T1789"/>
      <c r="U1789"/>
    </row>
    <row r="1790" spans="1:21" hidden="1">
      <c r="A1790" s="7" t="s">
        <v>8740</v>
      </c>
      <c r="B1790" s="7" t="s">
        <v>6627</v>
      </c>
      <c r="C1790" s="8" t="s">
        <v>5317</v>
      </c>
      <c r="D1790" t="s">
        <v>164</v>
      </c>
      <c r="E1790" t="s">
        <v>304</v>
      </c>
      <c r="F1790" t="s">
        <v>117</v>
      </c>
      <c r="G1790" t="s">
        <v>1306</v>
      </c>
      <c r="H1790" s="9">
        <v>44657</v>
      </c>
      <c r="I1790" t="s">
        <v>306</v>
      </c>
      <c r="J1790" t="s">
        <v>0</v>
      </c>
      <c r="K1790" s="9">
        <v>44711</v>
      </c>
      <c r="L1790" t="s">
        <v>29</v>
      </c>
      <c r="M1790"/>
      <c r="N1790" s="9">
        <v>44686</v>
      </c>
      <c r="O1790"/>
      <c r="P1790"/>
      <c r="Q1790" s="9">
        <v>44711</v>
      </c>
      <c r="R1790"/>
      <c r="S1790"/>
      <c r="T1790"/>
      <c r="U1790"/>
    </row>
    <row r="1791" spans="1:21" hidden="1">
      <c r="A1791" s="7" t="s">
        <v>8740</v>
      </c>
      <c r="B1791" s="7" t="s">
        <v>6627</v>
      </c>
      <c r="C1791" s="8" t="s">
        <v>5317</v>
      </c>
      <c r="D1791" t="s">
        <v>164</v>
      </c>
      <c r="E1791" t="s">
        <v>304</v>
      </c>
      <c r="F1791" t="s">
        <v>117</v>
      </c>
      <c r="G1791" t="s">
        <v>1307</v>
      </c>
      <c r="H1791" s="9">
        <v>44657</v>
      </c>
      <c r="I1791" t="s">
        <v>306</v>
      </c>
      <c r="J1791" t="s">
        <v>0</v>
      </c>
      <c r="K1791" s="9">
        <v>44711</v>
      </c>
      <c r="L1791" t="s">
        <v>29</v>
      </c>
      <c r="M1791"/>
      <c r="N1791" s="9">
        <v>44686</v>
      </c>
      <c r="O1791"/>
      <c r="P1791"/>
      <c r="Q1791" s="9">
        <v>44711</v>
      </c>
      <c r="R1791"/>
      <c r="S1791"/>
      <c r="T1791"/>
      <c r="U1791"/>
    </row>
    <row r="1792" spans="1:21" hidden="1">
      <c r="A1792" s="7" t="s">
        <v>8740</v>
      </c>
      <c r="B1792" s="7" t="s">
        <v>6627</v>
      </c>
      <c r="C1792" s="8" t="s">
        <v>5317</v>
      </c>
      <c r="D1792" t="s">
        <v>164</v>
      </c>
      <c r="E1792" t="s">
        <v>304</v>
      </c>
      <c r="F1792" t="s">
        <v>117</v>
      </c>
      <c r="G1792" t="s">
        <v>1309</v>
      </c>
      <c r="H1792" s="9">
        <v>44657</v>
      </c>
      <c r="I1792" t="s">
        <v>306</v>
      </c>
      <c r="J1792" t="s">
        <v>0</v>
      </c>
      <c r="K1792" s="9">
        <v>44711</v>
      </c>
      <c r="L1792" t="s">
        <v>29</v>
      </c>
      <c r="M1792"/>
      <c r="N1792" s="9">
        <v>44686</v>
      </c>
      <c r="O1792"/>
      <c r="P1792"/>
      <c r="Q1792" s="9">
        <v>44711</v>
      </c>
      <c r="R1792"/>
      <c r="S1792"/>
      <c r="T1792"/>
      <c r="U1792"/>
    </row>
    <row r="1793" spans="1:21" hidden="1">
      <c r="A1793" s="7" t="s">
        <v>8740</v>
      </c>
      <c r="B1793" s="7" t="s">
        <v>6627</v>
      </c>
      <c r="C1793" s="8" t="s">
        <v>5317</v>
      </c>
      <c r="D1793" t="s">
        <v>164</v>
      </c>
      <c r="E1793" t="s">
        <v>304</v>
      </c>
      <c r="F1793" t="s">
        <v>117</v>
      </c>
      <c r="G1793" t="s">
        <v>1310</v>
      </c>
      <c r="H1793" s="9">
        <v>44657</v>
      </c>
      <c r="I1793" t="s">
        <v>306</v>
      </c>
      <c r="J1793" t="s">
        <v>0</v>
      </c>
      <c r="K1793" s="9">
        <v>44711</v>
      </c>
      <c r="L1793" t="s">
        <v>29</v>
      </c>
      <c r="M1793"/>
      <c r="N1793" s="9">
        <v>44686</v>
      </c>
      <c r="O1793"/>
      <c r="P1793"/>
      <c r="Q1793" s="9">
        <v>44711</v>
      </c>
      <c r="R1793"/>
      <c r="S1793"/>
      <c r="T1793"/>
      <c r="U1793"/>
    </row>
    <row r="1794" spans="1:21" hidden="1">
      <c r="A1794" s="7" t="s">
        <v>8740</v>
      </c>
      <c r="B1794" s="7" t="s">
        <v>6627</v>
      </c>
      <c r="C1794" s="8" t="s">
        <v>5317</v>
      </c>
      <c r="D1794" t="s">
        <v>164</v>
      </c>
      <c r="E1794" t="s">
        <v>304</v>
      </c>
      <c r="F1794" t="s">
        <v>117</v>
      </c>
      <c r="G1794" t="s">
        <v>1311</v>
      </c>
      <c r="H1794" s="9">
        <v>44657</v>
      </c>
      <c r="I1794" t="s">
        <v>306</v>
      </c>
      <c r="J1794" t="s">
        <v>0</v>
      </c>
      <c r="K1794" s="9">
        <v>44711</v>
      </c>
      <c r="L1794" t="s">
        <v>29</v>
      </c>
      <c r="M1794"/>
      <c r="N1794" s="9">
        <v>44686</v>
      </c>
      <c r="O1794"/>
      <c r="P1794"/>
      <c r="Q1794" s="9">
        <v>44711</v>
      </c>
      <c r="R1794"/>
      <c r="S1794"/>
      <c r="T1794"/>
      <c r="U1794"/>
    </row>
    <row r="1795" spans="1:21" hidden="1">
      <c r="A1795" s="7" t="s">
        <v>8740</v>
      </c>
      <c r="B1795" s="7" t="s">
        <v>6627</v>
      </c>
      <c r="C1795" s="8" t="s">
        <v>5317</v>
      </c>
      <c r="D1795" t="s">
        <v>164</v>
      </c>
      <c r="E1795" t="s">
        <v>304</v>
      </c>
      <c r="F1795" t="s">
        <v>117</v>
      </c>
      <c r="G1795" t="s">
        <v>1312</v>
      </c>
      <c r="H1795" s="9">
        <v>44657</v>
      </c>
      <c r="I1795" t="s">
        <v>306</v>
      </c>
      <c r="J1795" t="s">
        <v>0</v>
      </c>
      <c r="K1795" s="9">
        <v>44711</v>
      </c>
      <c r="L1795" t="s">
        <v>29</v>
      </c>
      <c r="M1795"/>
      <c r="N1795" s="9">
        <v>44686</v>
      </c>
      <c r="O1795"/>
      <c r="P1795"/>
      <c r="Q1795" s="9">
        <v>44711</v>
      </c>
      <c r="R1795"/>
      <c r="S1795"/>
      <c r="T1795"/>
      <c r="U1795"/>
    </row>
    <row r="1796" spans="1:21" hidden="1">
      <c r="A1796" s="7" t="s">
        <v>8740</v>
      </c>
      <c r="B1796" s="7" t="s">
        <v>6627</v>
      </c>
      <c r="C1796" s="8" t="s">
        <v>5317</v>
      </c>
      <c r="D1796" t="s">
        <v>164</v>
      </c>
      <c r="E1796" t="s">
        <v>304</v>
      </c>
      <c r="F1796" t="s">
        <v>117</v>
      </c>
      <c r="G1796" t="s">
        <v>1313</v>
      </c>
      <c r="H1796" s="9">
        <v>44657</v>
      </c>
      <c r="I1796" t="s">
        <v>306</v>
      </c>
      <c r="J1796" t="s">
        <v>0</v>
      </c>
      <c r="K1796" s="9">
        <v>44711</v>
      </c>
      <c r="L1796" t="s">
        <v>29</v>
      </c>
      <c r="M1796"/>
      <c r="N1796" s="9">
        <v>44686</v>
      </c>
      <c r="O1796"/>
      <c r="P1796"/>
      <c r="Q1796" s="9">
        <v>44711</v>
      </c>
      <c r="R1796"/>
      <c r="S1796"/>
      <c r="T1796"/>
      <c r="U1796"/>
    </row>
    <row r="1797" spans="1:21" hidden="1">
      <c r="A1797" s="7" t="s">
        <v>8740</v>
      </c>
      <c r="B1797" s="7" t="s">
        <v>6627</v>
      </c>
      <c r="C1797" s="8" t="s">
        <v>5317</v>
      </c>
      <c r="D1797" t="s">
        <v>164</v>
      </c>
      <c r="E1797" t="s">
        <v>304</v>
      </c>
      <c r="F1797" t="s">
        <v>117</v>
      </c>
      <c r="G1797" t="s">
        <v>1314</v>
      </c>
      <c r="H1797" s="9">
        <v>44657</v>
      </c>
      <c r="I1797" t="s">
        <v>306</v>
      </c>
      <c r="J1797" t="s">
        <v>0</v>
      </c>
      <c r="K1797" s="9">
        <v>44711</v>
      </c>
      <c r="L1797" t="s">
        <v>29</v>
      </c>
      <c r="M1797"/>
      <c r="N1797" s="9">
        <v>44686</v>
      </c>
      <c r="O1797"/>
      <c r="P1797"/>
      <c r="Q1797" s="9">
        <v>44711</v>
      </c>
      <c r="R1797"/>
      <c r="S1797"/>
      <c r="T1797"/>
      <c r="U1797"/>
    </row>
    <row r="1798" spans="1:21" hidden="1">
      <c r="A1798" s="7" t="s">
        <v>8740</v>
      </c>
      <c r="B1798" s="7" t="s">
        <v>6627</v>
      </c>
      <c r="C1798" s="8" t="s">
        <v>5317</v>
      </c>
      <c r="D1798" t="s">
        <v>164</v>
      </c>
      <c r="E1798" t="s">
        <v>304</v>
      </c>
      <c r="F1798" t="s">
        <v>117</v>
      </c>
      <c r="G1798" t="s">
        <v>1315</v>
      </c>
      <c r="H1798" s="9">
        <v>44657</v>
      </c>
      <c r="I1798" t="s">
        <v>306</v>
      </c>
      <c r="J1798" t="s">
        <v>0</v>
      </c>
      <c r="K1798" s="9">
        <v>44711</v>
      </c>
      <c r="L1798" t="s">
        <v>29</v>
      </c>
      <c r="M1798"/>
      <c r="N1798" s="9">
        <v>44686</v>
      </c>
      <c r="O1798"/>
      <c r="P1798"/>
      <c r="Q1798" s="9">
        <v>44711</v>
      </c>
      <c r="R1798"/>
      <c r="S1798"/>
      <c r="T1798"/>
      <c r="U1798"/>
    </row>
    <row r="1799" spans="1:21" hidden="1">
      <c r="A1799" s="7" t="s">
        <v>8740</v>
      </c>
      <c r="B1799" s="7" t="s">
        <v>6627</v>
      </c>
      <c r="C1799" s="8" t="s">
        <v>5317</v>
      </c>
      <c r="D1799" t="s">
        <v>164</v>
      </c>
      <c r="E1799" t="s">
        <v>304</v>
      </c>
      <c r="F1799" t="s">
        <v>117</v>
      </c>
      <c r="G1799" t="s">
        <v>1316</v>
      </c>
      <c r="H1799" s="9">
        <v>44657</v>
      </c>
      <c r="I1799" t="s">
        <v>306</v>
      </c>
      <c r="J1799" t="s">
        <v>0</v>
      </c>
      <c r="K1799" s="9">
        <v>44711</v>
      </c>
      <c r="L1799" t="s">
        <v>29</v>
      </c>
      <c r="M1799"/>
      <c r="N1799" s="9">
        <v>44686</v>
      </c>
      <c r="O1799"/>
      <c r="P1799"/>
      <c r="Q1799" s="9">
        <v>44711</v>
      </c>
      <c r="R1799"/>
      <c r="S1799"/>
      <c r="T1799"/>
      <c r="U1799"/>
    </row>
    <row r="1800" spans="1:21" hidden="1">
      <c r="A1800" s="7" t="s">
        <v>8740</v>
      </c>
      <c r="B1800" s="7" t="s">
        <v>6627</v>
      </c>
      <c r="C1800" s="8" t="s">
        <v>5317</v>
      </c>
      <c r="D1800" t="s">
        <v>164</v>
      </c>
      <c r="E1800" t="s">
        <v>304</v>
      </c>
      <c r="F1800" t="s">
        <v>117</v>
      </c>
      <c r="G1800" t="s">
        <v>1317</v>
      </c>
      <c r="H1800" s="9">
        <v>44657</v>
      </c>
      <c r="I1800" t="s">
        <v>306</v>
      </c>
      <c r="J1800" t="s">
        <v>0</v>
      </c>
      <c r="K1800" s="9">
        <v>44711</v>
      </c>
      <c r="L1800" t="s">
        <v>29</v>
      </c>
      <c r="M1800"/>
      <c r="N1800" s="9">
        <v>44686</v>
      </c>
      <c r="O1800"/>
      <c r="P1800"/>
      <c r="Q1800" s="9">
        <v>44711</v>
      </c>
      <c r="R1800"/>
      <c r="S1800"/>
      <c r="T1800"/>
      <c r="U1800"/>
    </row>
    <row r="1801" spans="1:21" hidden="1">
      <c r="A1801" s="7" t="s">
        <v>8740</v>
      </c>
      <c r="B1801" s="7" t="s">
        <v>6627</v>
      </c>
      <c r="C1801" s="8" t="s">
        <v>5317</v>
      </c>
      <c r="D1801" t="s">
        <v>164</v>
      </c>
      <c r="E1801" t="s">
        <v>304</v>
      </c>
      <c r="F1801" t="s">
        <v>117</v>
      </c>
      <c r="G1801" t="s">
        <v>1318</v>
      </c>
      <c r="H1801" s="9">
        <v>44657</v>
      </c>
      <c r="I1801" t="s">
        <v>306</v>
      </c>
      <c r="J1801" t="s">
        <v>0</v>
      </c>
      <c r="K1801" s="9">
        <v>44711</v>
      </c>
      <c r="L1801" t="s">
        <v>29</v>
      </c>
      <c r="M1801"/>
      <c r="N1801" s="9">
        <v>44686</v>
      </c>
      <c r="O1801"/>
      <c r="P1801"/>
      <c r="Q1801" s="9">
        <v>44711</v>
      </c>
      <c r="R1801"/>
      <c r="S1801"/>
      <c r="T1801"/>
      <c r="U1801"/>
    </row>
    <row r="1802" spans="1:21" hidden="1">
      <c r="A1802" s="7" t="s">
        <v>8740</v>
      </c>
      <c r="B1802" s="7" t="s">
        <v>6627</v>
      </c>
      <c r="C1802" s="8" t="s">
        <v>5317</v>
      </c>
      <c r="D1802" t="s">
        <v>164</v>
      </c>
      <c r="E1802" t="s">
        <v>304</v>
      </c>
      <c r="F1802" t="s">
        <v>117</v>
      </c>
      <c r="G1802" t="s">
        <v>1319</v>
      </c>
      <c r="H1802" s="9">
        <v>44657</v>
      </c>
      <c r="I1802" t="s">
        <v>306</v>
      </c>
      <c r="J1802" t="s">
        <v>0</v>
      </c>
      <c r="K1802" s="9">
        <v>44711</v>
      </c>
      <c r="L1802" t="s">
        <v>29</v>
      </c>
      <c r="M1802"/>
      <c r="N1802" s="9">
        <v>44686</v>
      </c>
      <c r="O1802"/>
      <c r="P1802"/>
      <c r="Q1802" s="9">
        <v>44711</v>
      </c>
      <c r="R1802"/>
      <c r="S1802"/>
      <c r="T1802"/>
      <c r="U1802"/>
    </row>
    <row r="1803" spans="1:21" hidden="1">
      <c r="A1803" s="7" t="s">
        <v>8740</v>
      </c>
      <c r="B1803" s="7" t="s">
        <v>6627</v>
      </c>
      <c r="C1803" s="8" t="s">
        <v>5317</v>
      </c>
      <c r="D1803" t="s">
        <v>164</v>
      </c>
      <c r="E1803" t="s">
        <v>304</v>
      </c>
      <c r="F1803" t="s">
        <v>117</v>
      </c>
      <c r="G1803" t="s">
        <v>1320</v>
      </c>
      <c r="H1803" s="9">
        <v>44657</v>
      </c>
      <c r="I1803" t="s">
        <v>306</v>
      </c>
      <c r="J1803" t="s">
        <v>0</v>
      </c>
      <c r="K1803" s="9">
        <v>44711</v>
      </c>
      <c r="L1803" t="s">
        <v>29</v>
      </c>
      <c r="M1803"/>
      <c r="N1803" s="9">
        <v>44686</v>
      </c>
      <c r="O1803"/>
      <c r="P1803"/>
      <c r="Q1803" s="9">
        <v>44711</v>
      </c>
      <c r="R1803"/>
      <c r="S1803"/>
      <c r="T1803"/>
      <c r="U1803"/>
    </row>
    <row r="1804" spans="1:21" hidden="1">
      <c r="A1804" s="7" t="s">
        <v>8740</v>
      </c>
      <c r="B1804" s="7" t="s">
        <v>6627</v>
      </c>
      <c r="C1804" s="8" t="s">
        <v>5317</v>
      </c>
      <c r="D1804" t="s">
        <v>164</v>
      </c>
      <c r="E1804" t="s">
        <v>304</v>
      </c>
      <c r="F1804" t="s">
        <v>117</v>
      </c>
      <c r="G1804" t="s">
        <v>1321</v>
      </c>
      <c r="H1804" s="9">
        <v>44657</v>
      </c>
      <c r="I1804" t="s">
        <v>306</v>
      </c>
      <c r="J1804" t="s">
        <v>0</v>
      </c>
      <c r="K1804" s="9">
        <v>44711</v>
      </c>
      <c r="L1804" t="s">
        <v>29</v>
      </c>
      <c r="M1804"/>
      <c r="N1804" s="9">
        <v>44686</v>
      </c>
      <c r="O1804"/>
      <c r="P1804"/>
      <c r="Q1804" s="9">
        <v>44711</v>
      </c>
      <c r="R1804"/>
      <c r="S1804"/>
      <c r="T1804"/>
      <c r="U1804"/>
    </row>
    <row r="1805" spans="1:21" hidden="1">
      <c r="A1805" s="7" t="s">
        <v>8740</v>
      </c>
      <c r="B1805" s="7" t="s">
        <v>6627</v>
      </c>
      <c r="C1805" s="8" t="s">
        <v>5317</v>
      </c>
      <c r="D1805" t="s">
        <v>164</v>
      </c>
      <c r="E1805" t="s">
        <v>304</v>
      </c>
      <c r="F1805" t="s">
        <v>117</v>
      </c>
      <c r="G1805" t="s">
        <v>1325</v>
      </c>
      <c r="H1805" s="9">
        <v>44657</v>
      </c>
      <c r="I1805" t="s">
        <v>306</v>
      </c>
      <c r="J1805" t="s">
        <v>0</v>
      </c>
      <c r="K1805" s="9">
        <v>44711</v>
      </c>
      <c r="L1805" t="s">
        <v>29</v>
      </c>
      <c r="M1805"/>
      <c r="N1805" s="9">
        <v>44686</v>
      </c>
      <c r="O1805"/>
      <c r="P1805"/>
      <c r="Q1805" s="9">
        <v>44711</v>
      </c>
      <c r="R1805"/>
      <c r="S1805"/>
      <c r="T1805"/>
      <c r="U1805"/>
    </row>
    <row r="1806" spans="1:21" hidden="1">
      <c r="A1806" s="7" t="s">
        <v>8740</v>
      </c>
      <c r="B1806" s="7" t="s">
        <v>6627</v>
      </c>
      <c r="C1806" s="8" t="s">
        <v>5317</v>
      </c>
      <c r="D1806" t="s">
        <v>164</v>
      </c>
      <c r="E1806" t="s">
        <v>304</v>
      </c>
      <c r="F1806" t="s">
        <v>117</v>
      </c>
      <c r="G1806" t="s">
        <v>1326</v>
      </c>
      <c r="H1806" s="9">
        <v>44657</v>
      </c>
      <c r="I1806" t="s">
        <v>306</v>
      </c>
      <c r="J1806" t="s">
        <v>0</v>
      </c>
      <c r="K1806" s="9">
        <v>44711</v>
      </c>
      <c r="L1806" t="s">
        <v>29</v>
      </c>
      <c r="M1806"/>
      <c r="N1806" s="9">
        <v>44686</v>
      </c>
      <c r="O1806"/>
      <c r="P1806"/>
      <c r="Q1806" s="9">
        <v>44711</v>
      </c>
      <c r="R1806"/>
      <c r="S1806"/>
      <c r="T1806"/>
      <c r="U1806"/>
    </row>
    <row r="1807" spans="1:21" hidden="1">
      <c r="A1807" s="7" t="s">
        <v>8740</v>
      </c>
      <c r="B1807" s="7" t="s">
        <v>6627</v>
      </c>
      <c r="C1807" s="8" t="s">
        <v>5317</v>
      </c>
      <c r="D1807" t="s">
        <v>164</v>
      </c>
      <c r="E1807" t="s">
        <v>304</v>
      </c>
      <c r="F1807" t="s">
        <v>117</v>
      </c>
      <c r="G1807" t="s">
        <v>1327</v>
      </c>
      <c r="H1807" s="9">
        <v>44657</v>
      </c>
      <c r="I1807" t="s">
        <v>306</v>
      </c>
      <c r="J1807" t="s">
        <v>0</v>
      </c>
      <c r="K1807" s="9">
        <v>44711</v>
      </c>
      <c r="L1807" t="s">
        <v>29</v>
      </c>
      <c r="M1807"/>
      <c r="N1807" s="9">
        <v>44686</v>
      </c>
      <c r="O1807"/>
      <c r="P1807"/>
      <c r="Q1807" s="9">
        <v>44711</v>
      </c>
      <c r="R1807"/>
      <c r="S1807"/>
      <c r="T1807"/>
      <c r="U1807"/>
    </row>
    <row r="1808" spans="1:21" hidden="1">
      <c r="A1808" s="7" t="s">
        <v>8740</v>
      </c>
      <c r="B1808" s="7" t="s">
        <v>6627</v>
      </c>
      <c r="C1808" s="8" t="s">
        <v>5317</v>
      </c>
      <c r="D1808" t="s">
        <v>164</v>
      </c>
      <c r="E1808" t="s">
        <v>304</v>
      </c>
      <c r="F1808" t="s">
        <v>117</v>
      </c>
      <c r="G1808" t="s">
        <v>1328</v>
      </c>
      <c r="H1808" s="9">
        <v>44657</v>
      </c>
      <c r="I1808" t="s">
        <v>306</v>
      </c>
      <c r="J1808" t="s">
        <v>0</v>
      </c>
      <c r="K1808" s="9">
        <v>44711</v>
      </c>
      <c r="L1808" t="s">
        <v>29</v>
      </c>
      <c r="M1808"/>
      <c r="N1808" s="9">
        <v>44686</v>
      </c>
      <c r="O1808"/>
      <c r="P1808"/>
      <c r="Q1808" s="9">
        <v>44711</v>
      </c>
      <c r="R1808"/>
      <c r="S1808"/>
      <c r="T1808"/>
      <c r="U1808"/>
    </row>
    <row r="1809" spans="1:21" hidden="1">
      <c r="A1809" s="7" t="s">
        <v>8740</v>
      </c>
      <c r="B1809" s="7" t="s">
        <v>6627</v>
      </c>
      <c r="C1809" s="8" t="s">
        <v>5317</v>
      </c>
      <c r="D1809" t="s">
        <v>164</v>
      </c>
      <c r="E1809" t="s">
        <v>304</v>
      </c>
      <c r="F1809" t="s">
        <v>117</v>
      </c>
      <c r="G1809" t="s">
        <v>1329</v>
      </c>
      <c r="H1809" s="9">
        <v>44657</v>
      </c>
      <c r="I1809" t="s">
        <v>306</v>
      </c>
      <c r="J1809" t="s">
        <v>0</v>
      </c>
      <c r="K1809" s="9">
        <v>44711</v>
      </c>
      <c r="L1809" t="s">
        <v>29</v>
      </c>
      <c r="M1809"/>
      <c r="N1809" s="9">
        <v>44686</v>
      </c>
      <c r="O1809"/>
      <c r="P1809"/>
      <c r="Q1809" s="9">
        <v>44711</v>
      </c>
      <c r="R1809"/>
      <c r="S1809"/>
      <c r="T1809"/>
      <c r="U1809"/>
    </row>
    <row r="1810" spans="1:21" hidden="1">
      <c r="A1810" s="7" t="s">
        <v>8740</v>
      </c>
      <c r="B1810" s="7" t="s">
        <v>6627</v>
      </c>
      <c r="C1810" s="8" t="s">
        <v>5317</v>
      </c>
      <c r="D1810" t="s">
        <v>164</v>
      </c>
      <c r="E1810" t="s">
        <v>304</v>
      </c>
      <c r="F1810" t="s">
        <v>117</v>
      </c>
      <c r="G1810" t="s">
        <v>1330</v>
      </c>
      <c r="H1810" s="9">
        <v>44657</v>
      </c>
      <c r="I1810" t="s">
        <v>306</v>
      </c>
      <c r="J1810" t="s">
        <v>0</v>
      </c>
      <c r="K1810" s="9">
        <v>44711</v>
      </c>
      <c r="L1810" t="s">
        <v>29</v>
      </c>
      <c r="M1810"/>
      <c r="N1810" s="9">
        <v>44686</v>
      </c>
      <c r="O1810"/>
      <c r="P1810"/>
      <c r="Q1810" s="9">
        <v>44711</v>
      </c>
      <c r="R1810"/>
      <c r="S1810"/>
      <c r="T1810"/>
      <c r="U1810"/>
    </row>
    <row r="1811" spans="1:21" hidden="1">
      <c r="A1811" s="7" t="s">
        <v>8740</v>
      </c>
      <c r="B1811" s="7" t="s">
        <v>6627</v>
      </c>
      <c r="C1811" s="8" t="s">
        <v>5317</v>
      </c>
      <c r="D1811" t="s">
        <v>164</v>
      </c>
      <c r="E1811" t="s">
        <v>304</v>
      </c>
      <c r="F1811" t="s">
        <v>117</v>
      </c>
      <c r="G1811" t="s">
        <v>1331</v>
      </c>
      <c r="H1811" s="9">
        <v>44657</v>
      </c>
      <c r="I1811" t="s">
        <v>306</v>
      </c>
      <c r="J1811" t="s">
        <v>0</v>
      </c>
      <c r="K1811" s="9">
        <v>44711</v>
      </c>
      <c r="L1811" t="s">
        <v>29</v>
      </c>
      <c r="M1811"/>
      <c r="N1811" s="9">
        <v>44686</v>
      </c>
      <c r="O1811"/>
      <c r="P1811"/>
      <c r="Q1811" s="9">
        <v>44711</v>
      </c>
      <c r="R1811"/>
      <c r="S1811"/>
      <c r="T1811"/>
      <c r="U1811"/>
    </row>
    <row r="1812" spans="1:21" hidden="1">
      <c r="A1812" s="7" t="s">
        <v>8740</v>
      </c>
      <c r="B1812" s="7" t="s">
        <v>6627</v>
      </c>
      <c r="C1812" s="8" t="s">
        <v>5317</v>
      </c>
      <c r="D1812" t="s">
        <v>164</v>
      </c>
      <c r="E1812" t="s">
        <v>304</v>
      </c>
      <c r="F1812" t="s">
        <v>117</v>
      </c>
      <c r="G1812" t="s">
        <v>1332</v>
      </c>
      <c r="H1812" s="9">
        <v>44657</v>
      </c>
      <c r="I1812" t="s">
        <v>306</v>
      </c>
      <c r="J1812" t="s">
        <v>0</v>
      </c>
      <c r="K1812" s="9">
        <v>44711</v>
      </c>
      <c r="L1812" t="s">
        <v>29</v>
      </c>
      <c r="M1812"/>
      <c r="N1812" s="9">
        <v>44686</v>
      </c>
      <c r="O1812"/>
      <c r="P1812"/>
      <c r="Q1812" s="9">
        <v>44711</v>
      </c>
      <c r="R1812"/>
      <c r="S1812"/>
      <c r="T1812"/>
      <c r="U1812"/>
    </row>
    <row r="1813" spans="1:21" hidden="1">
      <c r="A1813" s="7" t="s">
        <v>8740</v>
      </c>
      <c r="B1813" s="7" t="s">
        <v>6627</v>
      </c>
      <c r="C1813" s="8" t="s">
        <v>5317</v>
      </c>
      <c r="D1813" t="s">
        <v>164</v>
      </c>
      <c r="E1813" t="s">
        <v>304</v>
      </c>
      <c r="F1813" t="s">
        <v>117</v>
      </c>
      <c r="G1813" t="s">
        <v>1333</v>
      </c>
      <c r="H1813" s="9">
        <v>44657</v>
      </c>
      <c r="I1813" t="s">
        <v>306</v>
      </c>
      <c r="J1813" t="s">
        <v>0</v>
      </c>
      <c r="K1813" s="9">
        <v>44711</v>
      </c>
      <c r="L1813" t="s">
        <v>29</v>
      </c>
      <c r="M1813"/>
      <c r="N1813" s="9">
        <v>44686</v>
      </c>
      <c r="O1813"/>
      <c r="P1813"/>
      <c r="Q1813" s="9">
        <v>44711</v>
      </c>
      <c r="R1813"/>
      <c r="S1813"/>
      <c r="T1813"/>
      <c r="U1813"/>
    </row>
    <row r="1814" spans="1:21" hidden="1">
      <c r="A1814" s="7" t="s">
        <v>8740</v>
      </c>
      <c r="B1814" s="7" t="s">
        <v>6627</v>
      </c>
      <c r="C1814" s="8" t="s">
        <v>5317</v>
      </c>
      <c r="D1814" t="s">
        <v>164</v>
      </c>
      <c r="E1814" t="s">
        <v>304</v>
      </c>
      <c r="F1814" t="s">
        <v>117</v>
      </c>
      <c r="G1814" t="s">
        <v>1334</v>
      </c>
      <c r="H1814" s="9">
        <v>44657</v>
      </c>
      <c r="I1814" t="s">
        <v>306</v>
      </c>
      <c r="J1814" t="s">
        <v>0</v>
      </c>
      <c r="K1814" s="9">
        <v>44711</v>
      </c>
      <c r="L1814" t="s">
        <v>29</v>
      </c>
      <c r="M1814"/>
      <c r="N1814" s="9">
        <v>44686</v>
      </c>
      <c r="O1814"/>
      <c r="P1814"/>
      <c r="Q1814" s="9">
        <v>44711</v>
      </c>
      <c r="R1814"/>
      <c r="S1814"/>
      <c r="T1814"/>
      <c r="U1814"/>
    </row>
    <row r="1815" spans="1:21" hidden="1">
      <c r="A1815" s="7" t="s">
        <v>8740</v>
      </c>
      <c r="B1815" s="7" t="s">
        <v>6627</v>
      </c>
      <c r="C1815" s="8" t="s">
        <v>5317</v>
      </c>
      <c r="D1815" t="s">
        <v>164</v>
      </c>
      <c r="E1815" t="s">
        <v>304</v>
      </c>
      <c r="F1815" t="s">
        <v>117</v>
      </c>
      <c r="G1815" t="s">
        <v>1335</v>
      </c>
      <c r="H1815" s="9">
        <v>44657</v>
      </c>
      <c r="I1815" t="s">
        <v>306</v>
      </c>
      <c r="J1815" t="s">
        <v>0</v>
      </c>
      <c r="K1815" s="9">
        <v>44711</v>
      </c>
      <c r="L1815" t="s">
        <v>29</v>
      </c>
      <c r="M1815"/>
      <c r="N1815" s="9">
        <v>44686</v>
      </c>
      <c r="O1815"/>
      <c r="P1815"/>
      <c r="Q1815" s="9">
        <v>44711</v>
      </c>
      <c r="R1815"/>
      <c r="S1815"/>
      <c r="T1815"/>
      <c r="U1815"/>
    </row>
    <row r="1816" spans="1:21" hidden="1">
      <c r="A1816" s="7" t="s">
        <v>8740</v>
      </c>
      <c r="B1816" s="7" t="s">
        <v>6627</v>
      </c>
      <c r="C1816" s="8" t="s">
        <v>5317</v>
      </c>
      <c r="D1816" t="s">
        <v>164</v>
      </c>
      <c r="E1816" t="s">
        <v>304</v>
      </c>
      <c r="F1816" t="s">
        <v>117</v>
      </c>
      <c r="G1816" t="s">
        <v>1336</v>
      </c>
      <c r="H1816" s="9">
        <v>44657</v>
      </c>
      <c r="I1816" t="s">
        <v>306</v>
      </c>
      <c r="J1816" t="s">
        <v>0</v>
      </c>
      <c r="K1816" s="9">
        <v>44711</v>
      </c>
      <c r="L1816" t="s">
        <v>29</v>
      </c>
      <c r="M1816"/>
      <c r="N1816" s="9">
        <v>44686</v>
      </c>
      <c r="O1816"/>
      <c r="P1816"/>
      <c r="Q1816" s="9">
        <v>44711</v>
      </c>
      <c r="R1816"/>
      <c r="S1816"/>
      <c r="T1816"/>
      <c r="U1816"/>
    </row>
    <row r="1817" spans="1:21" hidden="1">
      <c r="A1817" s="7" t="s">
        <v>8740</v>
      </c>
      <c r="B1817" s="7" t="s">
        <v>6627</v>
      </c>
      <c r="C1817" s="8" t="s">
        <v>5317</v>
      </c>
      <c r="D1817" t="s">
        <v>164</v>
      </c>
      <c r="E1817" t="s">
        <v>304</v>
      </c>
      <c r="F1817" t="s">
        <v>117</v>
      </c>
      <c r="G1817" t="s">
        <v>1337</v>
      </c>
      <c r="H1817" s="9">
        <v>44657</v>
      </c>
      <c r="I1817" t="s">
        <v>306</v>
      </c>
      <c r="J1817" t="s">
        <v>0</v>
      </c>
      <c r="K1817" s="9">
        <v>44711</v>
      </c>
      <c r="L1817" t="s">
        <v>29</v>
      </c>
      <c r="M1817"/>
      <c r="N1817" s="9">
        <v>44686</v>
      </c>
      <c r="O1817"/>
      <c r="P1817"/>
      <c r="Q1817" s="9">
        <v>44711</v>
      </c>
      <c r="R1817"/>
      <c r="S1817"/>
      <c r="T1817"/>
      <c r="U1817"/>
    </row>
    <row r="1818" spans="1:21" hidden="1">
      <c r="A1818" s="7" t="s">
        <v>8740</v>
      </c>
      <c r="B1818" s="7" t="s">
        <v>6627</v>
      </c>
      <c r="C1818" s="8" t="s">
        <v>5317</v>
      </c>
      <c r="D1818" t="s">
        <v>164</v>
      </c>
      <c r="E1818" t="s">
        <v>304</v>
      </c>
      <c r="F1818" t="s">
        <v>117</v>
      </c>
      <c r="G1818" t="s">
        <v>1338</v>
      </c>
      <c r="H1818" s="9">
        <v>44657</v>
      </c>
      <c r="I1818" t="s">
        <v>306</v>
      </c>
      <c r="J1818" t="s">
        <v>0</v>
      </c>
      <c r="K1818" s="9">
        <v>44711</v>
      </c>
      <c r="L1818" t="s">
        <v>29</v>
      </c>
      <c r="M1818"/>
      <c r="N1818" s="9">
        <v>44686</v>
      </c>
      <c r="O1818"/>
      <c r="P1818"/>
      <c r="Q1818" s="9">
        <v>44711</v>
      </c>
      <c r="R1818"/>
      <c r="S1818"/>
      <c r="T1818"/>
      <c r="U1818"/>
    </row>
    <row r="1819" spans="1:21" hidden="1">
      <c r="A1819" s="7" t="s">
        <v>8740</v>
      </c>
      <c r="B1819" s="7" t="s">
        <v>6627</v>
      </c>
      <c r="C1819" s="8" t="s">
        <v>5317</v>
      </c>
      <c r="D1819" t="s">
        <v>164</v>
      </c>
      <c r="E1819" t="s">
        <v>304</v>
      </c>
      <c r="F1819" t="s">
        <v>117</v>
      </c>
      <c r="G1819" t="s">
        <v>1339</v>
      </c>
      <c r="H1819" s="9">
        <v>44657</v>
      </c>
      <c r="I1819" t="s">
        <v>306</v>
      </c>
      <c r="J1819" t="s">
        <v>0</v>
      </c>
      <c r="K1819" s="9">
        <v>44711</v>
      </c>
      <c r="L1819" t="s">
        <v>29</v>
      </c>
      <c r="M1819"/>
      <c r="N1819" s="9">
        <v>44686</v>
      </c>
      <c r="O1819"/>
      <c r="P1819"/>
      <c r="Q1819" s="9">
        <v>44711</v>
      </c>
      <c r="R1819"/>
      <c r="S1819"/>
      <c r="T1819"/>
      <c r="U1819"/>
    </row>
    <row r="1820" spans="1:21" hidden="1">
      <c r="A1820" s="7" t="s">
        <v>8740</v>
      </c>
      <c r="B1820" s="7" t="s">
        <v>6627</v>
      </c>
      <c r="C1820" s="8" t="s">
        <v>5317</v>
      </c>
      <c r="D1820" t="s">
        <v>164</v>
      </c>
      <c r="E1820" t="s">
        <v>304</v>
      </c>
      <c r="F1820" t="s">
        <v>117</v>
      </c>
      <c r="G1820" t="s">
        <v>1340</v>
      </c>
      <c r="H1820" s="9">
        <v>44657</v>
      </c>
      <c r="I1820" t="s">
        <v>306</v>
      </c>
      <c r="J1820" t="s">
        <v>0</v>
      </c>
      <c r="K1820" s="9">
        <v>44711</v>
      </c>
      <c r="L1820" t="s">
        <v>29</v>
      </c>
      <c r="M1820"/>
      <c r="N1820" s="9">
        <v>44686</v>
      </c>
      <c r="O1820"/>
      <c r="P1820"/>
      <c r="Q1820" s="9">
        <v>44711</v>
      </c>
      <c r="R1820"/>
      <c r="S1820"/>
      <c r="T1820"/>
      <c r="U1820"/>
    </row>
    <row r="1821" spans="1:21" hidden="1">
      <c r="A1821" s="7" t="s">
        <v>8740</v>
      </c>
      <c r="B1821" s="7" t="s">
        <v>6627</v>
      </c>
      <c r="C1821" s="8" t="s">
        <v>5317</v>
      </c>
      <c r="D1821" t="s">
        <v>164</v>
      </c>
      <c r="E1821" t="s">
        <v>304</v>
      </c>
      <c r="F1821" t="s">
        <v>117</v>
      </c>
      <c r="G1821" t="s">
        <v>1341</v>
      </c>
      <c r="H1821" s="9">
        <v>44657</v>
      </c>
      <c r="I1821" t="s">
        <v>306</v>
      </c>
      <c r="J1821" t="s">
        <v>0</v>
      </c>
      <c r="K1821" s="9">
        <v>44711</v>
      </c>
      <c r="L1821" t="s">
        <v>29</v>
      </c>
      <c r="M1821"/>
      <c r="N1821" s="9">
        <v>44686</v>
      </c>
      <c r="O1821"/>
      <c r="P1821"/>
      <c r="Q1821" s="9">
        <v>44711</v>
      </c>
      <c r="R1821"/>
      <c r="S1821"/>
      <c r="T1821"/>
      <c r="U1821"/>
    </row>
    <row r="1822" spans="1:21" hidden="1">
      <c r="A1822" s="7" t="s">
        <v>8740</v>
      </c>
      <c r="B1822" s="7" t="s">
        <v>6627</v>
      </c>
      <c r="C1822" s="8" t="s">
        <v>5317</v>
      </c>
      <c r="D1822" t="s">
        <v>164</v>
      </c>
      <c r="E1822" t="s">
        <v>304</v>
      </c>
      <c r="F1822" t="s">
        <v>117</v>
      </c>
      <c r="G1822" t="s">
        <v>1342</v>
      </c>
      <c r="H1822" s="9">
        <v>44657</v>
      </c>
      <c r="I1822" t="s">
        <v>306</v>
      </c>
      <c r="J1822" t="s">
        <v>0</v>
      </c>
      <c r="K1822" s="9">
        <v>44711</v>
      </c>
      <c r="L1822" t="s">
        <v>29</v>
      </c>
      <c r="M1822"/>
      <c r="N1822" s="9">
        <v>44686</v>
      </c>
      <c r="O1822"/>
      <c r="P1822"/>
      <c r="Q1822" s="9">
        <v>44711</v>
      </c>
      <c r="R1822"/>
      <c r="S1822"/>
      <c r="T1822"/>
      <c r="U1822"/>
    </row>
    <row r="1823" spans="1:21" hidden="1">
      <c r="A1823" s="7" t="s">
        <v>8740</v>
      </c>
      <c r="B1823" s="7" t="s">
        <v>6627</v>
      </c>
      <c r="C1823" s="8" t="s">
        <v>5317</v>
      </c>
      <c r="D1823" t="s">
        <v>164</v>
      </c>
      <c r="E1823" t="s">
        <v>304</v>
      </c>
      <c r="F1823" t="s">
        <v>117</v>
      </c>
      <c r="G1823" t="s">
        <v>1715</v>
      </c>
      <c r="H1823" s="9">
        <v>44657</v>
      </c>
      <c r="I1823" t="s">
        <v>306</v>
      </c>
      <c r="J1823" t="s">
        <v>0</v>
      </c>
      <c r="K1823" s="9">
        <v>44711</v>
      </c>
      <c r="L1823" t="s">
        <v>29</v>
      </c>
      <c r="M1823"/>
      <c r="N1823" s="9">
        <v>44686</v>
      </c>
      <c r="O1823"/>
      <c r="P1823"/>
      <c r="Q1823" s="9">
        <v>44711</v>
      </c>
      <c r="R1823"/>
      <c r="S1823"/>
      <c r="T1823"/>
      <c r="U1823"/>
    </row>
    <row r="1824" spans="1:21" hidden="1">
      <c r="A1824" s="7" t="s">
        <v>8740</v>
      </c>
      <c r="B1824" s="7" t="s">
        <v>6627</v>
      </c>
      <c r="C1824" s="8" t="s">
        <v>5317</v>
      </c>
      <c r="D1824" t="s">
        <v>164</v>
      </c>
      <c r="E1824" t="s">
        <v>304</v>
      </c>
      <c r="F1824" t="s">
        <v>117</v>
      </c>
      <c r="G1824" t="s">
        <v>1343</v>
      </c>
      <c r="H1824" s="9">
        <v>44657</v>
      </c>
      <c r="I1824" t="s">
        <v>306</v>
      </c>
      <c r="J1824" t="s">
        <v>0</v>
      </c>
      <c r="K1824" s="9">
        <v>44711</v>
      </c>
      <c r="L1824" t="s">
        <v>29</v>
      </c>
      <c r="M1824"/>
      <c r="N1824" s="9">
        <v>44686</v>
      </c>
      <c r="O1824"/>
      <c r="P1824"/>
      <c r="Q1824" s="9">
        <v>44711</v>
      </c>
      <c r="R1824"/>
      <c r="S1824"/>
      <c r="T1824"/>
      <c r="U1824"/>
    </row>
    <row r="1825" spans="1:21" hidden="1">
      <c r="A1825" s="7" t="s">
        <v>8740</v>
      </c>
      <c r="B1825" s="7" t="s">
        <v>6627</v>
      </c>
      <c r="C1825" s="8" t="s">
        <v>5317</v>
      </c>
      <c r="D1825" t="s">
        <v>164</v>
      </c>
      <c r="E1825" t="s">
        <v>304</v>
      </c>
      <c r="F1825" t="s">
        <v>117</v>
      </c>
      <c r="G1825" t="s">
        <v>1344</v>
      </c>
      <c r="H1825" s="9">
        <v>44657</v>
      </c>
      <c r="I1825" t="s">
        <v>306</v>
      </c>
      <c r="J1825" t="s">
        <v>0</v>
      </c>
      <c r="K1825" s="9">
        <v>44711</v>
      </c>
      <c r="L1825" t="s">
        <v>29</v>
      </c>
      <c r="M1825"/>
      <c r="N1825" s="9">
        <v>44686</v>
      </c>
      <c r="O1825"/>
      <c r="P1825"/>
      <c r="Q1825" s="9">
        <v>44711</v>
      </c>
      <c r="R1825"/>
      <c r="S1825"/>
      <c r="T1825"/>
      <c r="U1825"/>
    </row>
    <row r="1826" spans="1:21" hidden="1">
      <c r="A1826" s="7" t="s">
        <v>8740</v>
      </c>
      <c r="B1826" s="7" t="s">
        <v>6627</v>
      </c>
      <c r="C1826" s="8" t="s">
        <v>5317</v>
      </c>
      <c r="D1826" t="s">
        <v>164</v>
      </c>
      <c r="E1826" t="s">
        <v>304</v>
      </c>
      <c r="F1826" t="s">
        <v>117</v>
      </c>
      <c r="G1826" t="s">
        <v>1345</v>
      </c>
      <c r="H1826" s="9">
        <v>44657</v>
      </c>
      <c r="I1826" t="s">
        <v>306</v>
      </c>
      <c r="J1826" t="s">
        <v>0</v>
      </c>
      <c r="K1826" s="9">
        <v>44711</v>
      </c>
      <c r="L1826" t="s">
        <v>29</v>
      </c>
      <c r="M1826"/>
      <c r="N1826" s="9">
        <v>44686</v>
      </c>
      <c r="O1826"/>
      <c r="P1826"/>
      <c r="Q1826" s="9">
        <v>44711</v>
      </c>
      <c r="R1826"/>
      <c r="S1826"/>
      <c r="T1826"/>
      <c r="U1826"/>
    </row>
    <row r="1827" spans="1:21" hidden="1">
      <c r="A1827" s="7" t="s">
        <v>8740</v>
      </c>
      <c r="B1827" s="7" t="s">
        <v>6627</v>
      </c>
      <c r="C1827" s="8" t="s">
        <v>5317</v>
      </c>
      <c r="D1827" t="s">
        <v>164</v>
      </c>
      <c r="E1827" t="s">
        <v>304</v>
      </c>
      <c r="F1827" t="s">
        <v>117</v>
      </c>
      <c r="G1827" t="s">
        <v>1346</v>
      </c>
      <c r="H1827" s="9">
        <v>44657</v>
      </c>
      <c r="I1827" t="s">
        <v>306</v>
      </c>
      <c r="J1827" t="s">
        <v>0</v>
      </c>
      <c r="K1827" s="9">
        <v>44711</v>
      </c>
      <c r="L1827" t="s">
        <v>29</v>
      </c>
      <c r="M1827"/>
      <c r="N1827" s="9">
        <v>44686</v>
      </c>
      <c r="O1827"/>
      <c r="P1827"/>
      <c r="Q1827" s="9">
        <v>44711</v>
      </c>
      <c r="R1827"/>
      <c r="S1827"/>
      <c r="T1827"/>
      <c r="U1827"/>
    </row>
    <row r="1828" spans="1:21" hidden="1">
      <c r="A1828" s="7" t="s">
        <v>8740</v>
      </c>
      <c r="B1828" s="7" t="s">
        <v>6627</v>
      </c>
      <c r="C1828" s="8" t="s">
        <v>5317</v>
      </c>
      <c r="D1828" t="s">
        <v>164</v>
      </c>
      <c r="E1828" t="s">
        <v>304</v>
      </c>
      <c r="F1828" t="s">
        <v>117</v>
      </c>
      <c r="G1828" t="s">
        <v>1348</v>
      </c>
      <c r="H1828" s="9">
        <v>44657</v>
      </c>
      <c r="I1828" t="s">
        <v>306</v>
      </c>
      <c r="J1828" t="s">
        <v>0</v>
      </c>
      <c r="K1828" s="9">
        <v>44711</v>
      </c>
      <c r="L1828" t="s">
        <v>29</v>
      </c>
      <c r="M1828"/>
      <c r="N1828" s="9">
        <v>44686</v>
      </c>
      <c r="O1828"/>
      <c r="P1828"/>
      <c r="Q1828" s="9">
        <v>44711</v>
      </c>
      <c r="R1828"/>
      <c r="S1828"/>
      <c r="T1828"/>
      <c r="U1828"/>
    </row>
    <row r="1829" spans="1:21" hidden="1">
      <c r="A1829" s="7" t="s">
        <v>8740</v>
      </c>
      <c r="B1829" s="7" t="s">
        <v>6627</v>
      </c>
      <c r="C1829" s="8" t="s">
        <v>5317</v>
      </c>
      <c r="D1829" t="s">
        <v>164</v>
      </c>
      <c r="E1829" t="s">
        <v>304</v>
      </c>
      <c r="F1829" t="s">
        <v>117</v>
      </c>
      <c r="G1829" t="s">
        <v>1349</v>
      </c>
      <c r="H1829" s="9">
        <v>44657</v>
      </c>
      <c r="I1829" t="s">
        <v>306</v>
      </c>
      <c r="J1829" t="s">
        <v>0</v>
      </c>
      <c r="K1829" s="9">
        <v>44711</v>
      </c>
      <c r="L1829" t="s">
        <v>29</v>
      </c>
      <c r="M1829"/>
      <c r="N1829" s="9">
        <v>44686</v>
      </c>
      <c r="O1829"/>
      <c r="P1829"/>
      <c r="Q1829" s="9">
        <v>44711</v>
      </c>
      <c r="R1829"/>
      <c r="S1829"/>
      <c r="T1829"/>
      <c r="U1829"/>
    </row>
    <row r="1830" spans="1:21" hidden="1">
      <c r="A1830" s="7" t="s">
        <v>8740</v>
      </c>
      <c r="B1830" s="7" t="s">
        <v>6627</v>
      </c>
      <c r="C1830" s="8" t="s">
        <v>5317</v>
      </c>
      <c r="D1830" t="s">
        <v>164</v>
      </c>
      <c r="E1830" t="s">
        <v>304</v>
      </c>
      <c r="F1830" t="s">
        <v>117</v>
      </c>
      <c r="G1830" t="s">
        <v>1350</v>
      </c>
      <c r="H1830" s="9">
        <v>44657</v>
      </c>
      <c r="I1830" t="s">
        <v>306</v>
      </c>
      <c r="J1830" t="s">
        <v>0</v>
      </c>
      <c r="K1830" s="9">
        <v>44711</v>
      </c>
      <c r="L1830" t="s">
        <v>29</v>
      </c>
      <c r="M1830"/>
      <c r="N1830" s="9">
        <v>44686</v>
      </c>
      <c r="O1830"/>
      <c r="P1830"/>
      <c r="Q1830" s="9">
        <v>44711</v>
      </c>
      <c r="R1830"/>
      <c r="S1830"/>
      <c r="T1830"/>
      <c r="U1830"/>
    </row>
    <row r="1831" spans="1:21" hidden="1">
      <c r="A1831" s="7" t="s">
        <v>8740</v>
      </c>
      <c r="B1831" s="7" t="s">
        <v>6627</v>
      </c>
      <c r="C1831" s="8" t="s">
        <v>5317</v>
      </c>
      <c r="D1831" t="s">
        <v>164</v>
      </c>
      <c r="E1831" t="s">
        <v>304</v>
      </c>
      <c r="F1831" t="s">
        <v>117</v>
      </c>
      <c r="G1831" t="s">
        <v>1353</v>
      </c>
      <c r="H1831" s="9">
        <v>44657</v>
      </c>
      <c r="I1831" t="s">
        <v>306</v>
      </c>
      <c r="J1831" t="s">
        <v>0</v>
      </c>
      <c r="K1831" s="9">
        <v>44711</v>
      </c>
      <c r="L1831" t="s">
        <v>29</v>
      </c>
      <c r="M1831"/>
      <c r="N1831" s="9">
        <v>44686</v>
      </c>
      <c r="O1831"/>
      <c r="P1831"/>
      <c r="Q1831" s="9">
        <v>44711</v>
      </c>
      <c r="R1831"/>
      <c r="S1831"/>
      <c r="T1831"/>
      <c r="U1831"/>
    </row>
    <row r="1832" spans="1:21" hidden="1">
      <c r="A1832" s="7" t="s">
        <v>8740</v>
      </c>
      <c r="B1832" s="7" t="s">
        <v>6627</v>
      </c>
      <c r="C1832" s="8" t="s">
        <v>5317</v>
      </c>
      <c r="D1832" t="s">
        <v>164</v>
      </c>
      <c r="E1832" t="s">
        <v>304</v>
      </c>
      <c r="F1832" t="s">
        <v>117</v>
      </c>
      <c r="G1832" t="s">
        <v>1354</v>
      </c>
      <c r="H1832" s="9">
        <v>44657</v>
      </c>
      <c r="I1832" t="s">
        <v>306</v>
      </c>
      <c r="J1832" t="s">
        <v>0</v>
      </c>
      <c r="K1832" s="9">
        <v>44711</v>
      </c>
      <c r="L1832" t="s">
        <v>29</v>
      </c>
      <c r="M1832"/>
      <c r="N1832" s="9">
        <v>44686</v>
      </c>
      <c r="O1832"/>
      <c r="P1832"/>
      <c r="Q1832" s="9">
        <v>44711</v>
      </c>
      <c r="R1832"/>
      <c r="S1832"/>
      <c r="T1832"/>
      <c r="U1832"/>
    </row>
    <row r="1833" spans="1:21" hidden="1">
      <c r="A1833" s="7" t="s">
        <v>8740</v>
      </c>
      <c r="B1833" s="7" t="s">
        <v>6627</v>
      </c>
      <c r="C1833" s="8" t="s">
        <v>5317</v>
      </c>
      <c r="D1833" t="s">
        <v>164</v>
      </c>
      <c r="E1833" t="s">
        <v>304</v>
      </c>
      <c r="F1833" t="s">
        <v>117</v>
      </c>
      <c r="G1833" t="s">
        <v>1355</v>
      </c>
      <c r="H1833" s="9">
        <v>44657</v>
      </c>
      <c r="I1833" t="s">
        <v>306</v>
      </c>
      <c r="J1833" t="s">
        <v>0</v>
      </c>
      <c r="K1833" s="9">
        <v>44711</v>
      </c>
      <c r="L1833" t="s">
        <v>29</v>
      </c>
      <c r="M1833"/>
      <c r="N1833" s="9">
        <v>44686</v>
      </c>
      <c r="O1833"/>
      <c r="P1833"/>
      <c r="Q1833" s="9">
        <v>44711</v>
      </c>
      <c r="R1833"/>
      <c r="S1833"/>
      <c r="T1833"/>
      <c r="U1833"/>
    </row>
    <row r="1834" spans="1:21" hidden="1">
      <c r="A1834" s="7" t="s">
        <v>8740</v>
      </c>
      <c r="B1834" s="7" t="s">
        <v>6627</v>
      </c>
      <c r="C1834" s="8" t="s">
        <v>5317</v>
      </c>
      <c r="D1834" t="s">
        <v>164</v>
      </c>
      <c r="E1834" t="s">
        <v>304</v>
      </c>
      <c r="F1834" t="s">
        <v>117</v>
      </c>
      <c r="G1834" t="s">
        <v>1356</v>
      </c>
      <c r="H1834" s="9">
        <v>44657</v>
      </c>
      <c r="I1834" t="s">
        <v>306</v>
      </c>
      <c r="J1834" t="s">
        <v>0</v>
      </c>
      <c r="K1834" s="9">
        <v>44711</v>
      </c>
      <c r="L1834" t="s">
        <v>29</v>
      </c>
      <c r="M1834"/>
      <c r="N1834" s="9">
        <v>44686</v>
      </c>
      <c r="O1834"/>
      <c r="P1834"/>
      <c r="Q1834" s="9">
        <v>44711</v>
      </c>
      <c r="R1834"/>
      <c r="S1834"/>
      <c r="T1834"/>
      <c r="U1834"/>
    </row>
    <row r="1835" spans="1:21" hidden="1">
      <c r="A1835" s="7" t="s">
        <v>8740</v>
      </c>
      <c r="B1835" s="7" t="s">
        <v>6627</v>
      </c>
      <c r="C1835" s="8" t="s">
        <v>5317</v>
      </c>
      <c r="D1835" t="s">
        <v>164</v>
      </c>
      <c r="E1835" t="s">
        <v>304</v>
      </c>
      <c r="F1835" t="s">
        <v>117</v>
      </c>
      <c r="G1835" t="s">
        <v>1716</v>
      </c>
      <c r="H1835" s="9">
        <v>44657</v>
      </c>
      <c r="I1835" t="s">
        <v>306</v>
      </c>
      <c r="J1835" t="s">
        <v>0</v>
      </c>
      <c r="K1835" s="9">
        <v>44711</v>
      </c>
      <c r="L1835" t="s">
        <v>29</v>
      </c>
      <c r="M1835"/>
      <c r="N1835" s="9">
        <v>44686</v>
      </c>
      <c r="O1835"/>
      <c r="P1835"/>
      <c r="Q1835" s="9">
        <v>44711</v>
      </c>
      <c r="R1835"/>
      <c r="S1835"/>
      <c r="T1835"/>
      <c r="U1835"/>
    </row>
    <row r="1836" spans="1:21" hidden="1">
      <c r="A1836" s="7" t="s">
        <v>8740</v>
      </c>
      <c r="B1836" s="7" t="s">
        <v>6627</v>
      </c>
      <c r="C1836" s="8" t="s">
        <v>5317</v>
      </c>
      <c r="D1836" t="s">
        <v>164</v>
      </c>
      <c r="E1836" t="s">
        <v>304</v>
      </c>
      <c r="F1836" t="s">
        <v>117</v>
      </c>
      <c r="G1836" t="s">
        <v>1357</v>
      </c>
      <c r="H1836" s="9">
        <v>44657</v>
      </c>
      <c r="I1836" t="s">
        <v>306</v>
      </c>
      <c r="J1836" t="s">
        <v>0</v>
      </c>
      <c r="K1836" s="9">
        <v>44711</v>
      </c>
      <c r="L1836" t="s">
        <v>29</v>
      </c>
      <c r="M1836"/>
      <c r="N1836" s="9">
        <v>44686</v>
      </c>
      <c r="O1836"/>
      <c r="P1836"/>
      <c r="Q1836" s="9">
        <v>44711</v>
      </c>
      <c r="R1836"/>
      <c r="S1836"/>
      <c r="T1836"/>
      <c r="U1836"/>
    </row>
    <row r="1837" spans="1:21" hidden="1">
      <c r="A1837" s="7" t="s">
        <v>8740</v>
      </c>
      <c r="B1837" s="7" t="s">
        <v>6627</v>
      </c>
      <c r="C1837" s="8" t="s">
        <v>5317</v>
      </c>
      <c r="D1837" t="s">
        <v>164</v>
      </c>
      <c r="E1837" t="s">
        <v>304</v>
      </c>
      <c r="F1837" t="s">
        <v>117</v>
      </c>
      <c r="G1837" t="s">
        <v>1358</v>
      </c>
      <c r="H1837" s="9">
        <v>44657</v>
      </c>
      <c r="I1837" t="s">
        <v>306</v>
      </c>
      <c r="J1837" t="s">
        <v>0</v>
      </c>
      <c r="K1837" s="9">
        <v>44711</v>
      </c>
      <c r="L1837" t="s">
        <v>29</v>
      </c>
      <c r="M1837"/>
      <c r="N1837" s="9">
        <v>44686</v>
      </c>
      <c r="O1837"/>
      <c r="P1837"/>
      <c r="Q1837" s="9">
        <v>44711</v>
      </c>
      <c r="R1837"/>
      <c r="S1837"/>
      <c r="T1837"/>
      <c r="U1837"/>
    </row>
    <row r="1838" spans="1:21" hidden="1">
      <c r="A1838" s="7" t="s">
        <v>8740</v>
      </c>
      <c r="B1838" s="7" t="s">
        <v>6627</v>
      </c>
      <c r="C1838" s="8" t="s">
        <v>5317</v>
      </c>
      <c r="D1838" t="s">
        <v>164</v>
      </c>
      <c r="E1838" t="s">
        <v>304</v>
      </c>
      <c r="F1838" t="s">
        <v>117</v>
      </c>
      <c r="G1838" t="s">
        <v>1359</v>
      </c>
      <c r="H1838" s="9">
        <v>44657</v>
      </c>
      <c r="I1838" t="s">
        <v>306</v>
      </c>
      <c r="J1838" t="s">
        <v>0</v>
      </c>
      <c r="K1838" s="9">
        <v>44711</v>
      </c>
      <c r="L1838" t="s">
        <v>29</v>
      </c>
      <c r="M1838"/>
      <c r="N1838" s="9">
        <v>44686</v>
      </c>
      <c r="O1838"/>
      <c r="P1838"/>
      <c r="Q1838" s="9">
        <v>44711</v>
      </c>
      <c r="R1838"/>
      <c r="S1838"/>
      <c r="T1838"/>
      <c r="U1838"/>
    </row>
    <row r="1839" spans="1:21" hidden="1">
      <c r="A1839" s="7" t="s">
        <v>8740</v>
      </c>
      <c r="B1839" s="7" t="s">
        <v>6627</v>
      </c>
      <c r="C1839" s="8" t="s">
        <v>5317</v>
      </c>
      <c r="D1839" t="s">
        <v>164</v>
      </c>
      <c r="E1839" t="s">
        <v>304</v>
      </c>
      <c r="F1839" t="s">
        <v>117</v>
      </c>
      <c r="G1839" t="s">
        <v>1360</v>
      </c>
      <c r="H1839" s="9">
        <v>44657</v>
      </c>
      <c r="I1839" t="s">
        <v>306</v>
      </c>
      <c r="J1839" t="s">
        <v>0</v>
      </c>
      <c r="K1839" s="9">
        <v>44711</v>
      </c>
      <c r="L1839" t="s">
        <v>29</v>
      </c>
      <c r="M1839"/>
      <c r="N1839" s="9">
        <v>44686</v>
      </c>
      <c r="O1839"/>
      <c r="P1839"/>
      <c r="Q1839" s="9">
        <v>44711</v>
      </c>
      <c r="R1839"/>
      <c r="S1839"/>
      <c r="T1839"/>
      <c r="U1839"/>
    </row>
    <row r="1840" spans="1:21" hidden="1">
      <c r="A1840" s="7" t="s">
        <v>8740</v>
      </c>
      <c r="B1840" s="7" t="s">
        <v>6627</v>
      </c>
      <c r="C1840" s="8" t="s">
        <v>5317</v>
      </c>
      <c r="D1840" t="s">
        <v>164</v>
      </c>
      <c r="E1840" t="s">
        <v>304</v>
      </c>
      <c r="F1840" t="s">
        <v>117</v>
      </c>
      <c r="G1840" t="s">
        <v>1363</v>
      </c>
      <c r="H1840" s="9">
        <v>44657</v>
      </c>
      <c r="I1840" t="s">
        <v>306</v>
      </c>
      <c r="J1840" t="s">
        <v>0</v>
      </c>
      <c r="K1840" s="9">
        <v>44711</v>
      </c>
      <c r="L1840" t="s">
        <v>29</v>
      </c>
      <c r="M1840"/>
      <c r="N1840" s="9">
        <v>44686</v>
      </c>
      <c r="O1840"/>
      <c r="P1840"/>
      <c r="Q1840" s="9">
        <v>44711</v>
      </c>
      <c r="R1840"/>
      <c r="S1840"/>
      <c r="T1840"/>
      <c r="U1840"/>
    </row>
    <row r="1841" spans="1:21" hidden="1">
      <c r="A1841" s="7" t="s">
        <v>8740</v>
      </c>
      <c r="B1841" s="7" t="s">
        <v>6627</v>
      </c>
      <c r="C1841" s="8" t="s">
        <v>5317</v>
      </c>
      <c r="D1841" t="s">
        <v>164</v>
      </c>
      <c r="E1841" t="s">
        <v>304</v>
      </c>
      <c r="F1841" t="s">
        <v>117</v>
      </c>
      <c r="G1841" t="s">
        <v>1364</v>
      </c>
      <c r="H1841" s="9">
        <v>44657</v>
      </c>
      <c r="I1841" t="s">
        <v>306</v>
      </c>
      <c r="J1841" t="s">
        <v>0</v>
      </c>
      <c r="K1841" s="9">
        <v>44711</v>
      </c>
      <c r="L1841" t="s">
        <v>29</v>
      </c>
      <c r="M1841"/>
      <c r="N1841" s="9">
        <v>44686</v>
      </c>
      <c r="O1841"/>
      <c r="P1841"/>
      <c r="Q1841" s="9">
        <v>44711</v>
      </c>
      <c r="R1841"/>
      <c r="S1841"/>
      <c r="T1841"/>
      <c r="U1841"/>
    </row>
    <row r="1842" spans="1:21" hidden="1">
      <c r="A1842" s="7" t="s">
        <v>8740</v>
      </c>
      <c r="B1842" s="7" t="s">
        <v>6627</v>
      </c>
      <c r="C1842" s="8" t="s">
        <v>5317</v>
      </c>
      <c r="D1842" t="s">
        <v>164</v>
      </c>
      <c r="E1842" t="s">
        <v>304</v>
      </c>
      <c r="F1842" t="s">
        <v>117</v>
      </c>
      <c r="G1842" t="s">
        <v>1366</v>
      </c>
      <c r="H1842" s="9">
        <v>44657</v>
      </c>
      <c r="I1842" t="s">
        <v>306</v>
      </c>
      <c r="J1842" t="s">
        <v>0</v>
      </c>
      <c r="K1842" s="9">
        <v>44711</v>
      </c>
      <c r="L1842" t="s">
        <v>29</v>
      </c>
      <c r="M1842"/>
      <c r="N1842" s="9">
        <v>44686</v>
      </c>
      <c r="O1842"/>
      <c r="P1842"/>
      <c r="Q1842" s="9">
        <v>44711</v>
      </c>
      <c r="R1842"/>
      <c r="S1842"/>
      <c r="T1842"/>
      <c r="U1842"/>
    </row>
    <row r="1843" spans="1:21" hidden="1">
      <c r="A1843" s="7" t="s">
        <v>8740</v>
      </c>
      <c r="B1843" s="7" t="s">
        <v>6627</v>
      </c>
      <c r="C1843" s="8" t="s">
        <v>5317</v>
      </c>
      <c r="D1843" t="s">
        <v>164</v>
      </c>
      <c r="E1843" t="s">
        <v>304</v>
      </c>
      <c r="F1843" t="s">
        <v>117</v>
      </c>
      <c r="G1843" t="s">
        <v>1367</v>
      </c>
      <c r="H1843" s="9">
        <v>44657</v>
      </c>
      <c r="I1843" t="s">
        <v>306</v>
      </c>
      <c r="J1843" t="s">
        <v>0</v>
      </c>
      <c r="K1843" s="9">
        <v>44711</v>
      </c>
      <c r="L1843" t="s">
        <v>29</v>
      </c>
      <c r="M1843"/>
      <c r="N1843" s="9">
        <v>44686</v>
      </c>
      <c r="O1843"/>
      <c r="P1843"/>
      <c r="Q1843" s="9">
        <v>44711</v>
      </c>
      <c r="R1843"/>
      <c r="S1843"/>
      <c r="T1843"/>
      <c r="U1843"/>
    </row>
    <row r="1844" spans="1:21" hidden="1">
      <c r="A1844" s="7" t="s">
        <v>8740</v>
      </c>
      <c r="B1844" s="7" t="s">
        <v>6627</v>
      </c>
      <c r="C1844" s="8" t="s">
        <v>5317</v>
      </c>
      <c r="D1844" t="s">
        <v>164</v>
      </c>
      <c r="E1844" t="s">
        <v>304</v>
      </c>
      <c r="F1844" t="s">
        <v>117</v>
      </c>
      <c r="G1844" t="s">
        <v>1368</v>
      </c>
      <c r="H1844" s="9">
        <v>44657</v>
      </c>
      <c r="I1844" t="s">
        <v>306</v>
      </c>
      <c r="J1844" t="s">
        <v>0</v>
      </c>
      <c r="K1844" s="9">
        <v>44711</v>
      </c>
      <c r="L1844" t="s">
        <v>29</v>
      </c>
      <c r="M1844"/>
      <c r="N1844" s="9">
        <v>44686</v>
      </c>
      <c r="O1844"/>
      <c r="P1844"/>
      <c r="Q1844" s="9">
        <v>44711</v>
      </c>
      <c r="R1844"/>
      <c r="S1844"/>
      <c r="T1844"/>
      <c r="U1844"/>
    </row>
    <row r="1845" spans="1:21" hidden="1">
      <c r="A1845" s="7" t="s">
        <v>8740</v>
      </c>
      <c r="B1845" s="7" t="s">
        <v>6627</v>
      </c>
      <c r="C1845" s="8" t="s">
        <v>5317</v>
      </c>
      <c r="D1845" t="s">
        <v>164</v>
      </c>
      <c r="E1845" t="s">
        <v>304</v>
      </c>
      <c r="F1845" t="s">
        <v>117</v>
      </c>
      <c r="G1845" t="s">
        <v>1369</v>
      </c>
      <c r="H1845" s="9">
        <v>44657</v>
      </c>
      <c r="I1845" t="s">
        <v>306</v>
      </c>
      <c r="J1845" t="s">
        <v>0</v>
      </c>
      <c r="K1845" s="9">
        <v>44711</v>
      </c>
      <c r="L1845" t="s">
        <v>29</v>
      </c>
      <c r="M1845"/>
      <c r="N1845" s="9">
        <v>44686</v>
      </c>
      <c r="O1845"/>
      <c r="P1845"/>
      <c r="Q1845" s="9">
        <v>44711</v>
      </c>
      <c r="R1845"/>
      <c r="S1845"/>
      <c r="T1845"/>
      <c r="U1845"/>
    </row>
    <row r="1846" spans="1:21" hidden="1">
      <c r="A1846" s="7" t="s">
        <v>8740</v>
      </c>
      <c r="B1846" s="7" t="s">
        <v>6627</v>
      </c>
      <c r="C1846" s="8" t="s">
        <v>5317</v>
      </c>
      <c r="D1846" t="s">
        <v>164</v>
      </c>
      <c r="E1846" t="s">
        <v>304</v>
      </c>
      <c r="F1846" t="s">
        <v>117</v>
      </c>
      <c r="G1846" t="s">
        <v>1370</v>
      </c>
      <c r="H1846" s="9">
        <v>44657</v>
      </c>
      <c r="I1846" t="s">
        <v>306</v>
      </c>
      <c r="J1846" t="s">
        <v>0</v>
      </c>
      <c r="K1846" s="9">
        <v>44711</v>
      </c>
      <c r="L1846" t="s">
        <v>29</v>
      </c>
      <c r="M1846"/>
      <c r="N1846" s="9">
        <v>44686</v>
      </c>
      <c r="O1846"/>
      <c r="P1846"/>
      <c r="Q1846" s="9">
        <v>44711</v>
      </c>
      <c r="R1846"/>
      <c r="S1846"/>
      <c r="T1846"/>
      <c r="U1846"/>
    </row>
    <row r="1847" spans="1:21" hidden="1">
      <c r="A1847" s="7" t="s">
        <v>8740</v>
      </c>
      <c r="B1847" s="7" t="s">
        <v>6627</v>
      </c>
      <c r="C1847" s="8" t="s">
        <v>5317</v>
      </c>
      <c r="D1847" t="s">
        <v>164</v>
      </c>
      <c r="E1847" t="s">
        <v>304</v>
      </c>
      <c r="F1847" t="s">
        <v>117</v>
      </c>
      <c r="G1847" t="s">
        <v>1371</v>
      </c>
      <c r="H1847" s="9">
        <v>44657</v>
      </c>
      <c r="I1847" t="s">
        <v>306</v>
      </c>
      <c r="J1847" t="s">
        <v>0</v>
      </c>
      <c r="K1847" s="9">
        <v>44711</v>
      </c>
      <c r="L1847" t="s">
        <v>29</v>
      </c>
      <c r="M1847"/>
      <c r="N1847" s="9">
        <v>44686</v>
      </c>
      <c r="O1847"/>
      <c r="P1847"/>
      <c r="Q1847" s="9">
        <v>44711</v>
      </c>
      <c r="R1847"/>
      <c r="S1847"/>
      <c r="T1847"/>
      <c r="U1847"/>
    </row>
    <row r="1848" spans="1:21" hidden="1">
      <c r="A1848" s="7" t="s">
        <v>8740</v>
      </c>
      <c r="B1848" s="7" t="s">
        <v>6627</v>
      </c>
      <c r="C1848" s="8" t="s">
        <v>5317</v>
      </c>
      <c r="D1848" t="s">
        <v>164</v>
      </c>
      <c r="E1848" t="s">
        <v>304</v>
      </c>
      <c r="F1848" t="s">
        <v>117</v>
      </c>
      <c r="G1848" t="s">
        <v>1372</v>
      </c>
      <c r="H1848" s="9">
        <v>44657</v>
      </c>
      <c r="I1848" t="s">
        <v>306</v>
      </c>
      <c r="J1848" t="s">
        <v>0</v>
      </c>
      <c r="K1848" s="9">
        <v>44711</v>
      </c>
      <c r="L1848" t="s">
        <v>29</v>
      </c>
      <c r="M1848"/>
      <c r="N1848" s="9">
        <v>44686</v>
      </c>
      <c r="O1848"/>
      <c r="P1848"/>
      <c r="Q1848" s="9">
        <v>44711</v>
      </c>
      <c r="R1848"/>
      <c r="S1848"/>
      <c r="T1848"/>
      <c r="U1848"/>
    </row>
    <row r="1849" spans="1:21" hidden="1">
      <c r="A1849" s="7" t="s">
        <v>8740</v>
      </c>
      <c r="B1849" s="7" t="s">
        <v>6627</v>
      </c>
      <c r="C1849" s="8" t="s">
        <v>5317</v>
      </c>
      <c r="D1849" t="s">
        <v>164</v>
      </c>
      <c r="E1849" t="s">
        <v>304</v>
      </c>
      <c r="F1849" t="s">
        <v>117</v>
      </c>
      <c r="G1849" t="s">
        <v>1374</v>
      </c>
      <c r="H1849" s="9">
        <v>44657</v>
      </c>
      <c r="I1849" t="s">
        <v>306</v>
      </c>
      <c r="J1849" t="s">
        <v>0</v>
      </c>
      <c r="K1849" s="9">
        <v>44711</v>
      </c>
      <c r="L1849" t="s">
        <v>29</v>
      </c>
      <c r="M1849"/>
      <c r="N1849" s="9">
        <v>44686</v>
      </c>
      <c r="O1849"/>
      <c r="P1849"/>
      <c r="Q1849" s="9">
        <v>44711</v>
      </c>
      <c r="R1849"/>
      <c r="S1849"/>
      <c r="T1849"/>
      <c r="U1849"/>
    </row>
    <row r="1850" spans="1:21" hidden="1">
      <c r="A1850" s="7" t="s">
        <v>8740</v>
      </c>
      <c r="B1850" s="7" t="s">
        <v>6627</v>
      </c>
      <c r="C1850" s="8" t="s">
        <v>5317</v>
      </c>
      <c r="D1850" t="s">
        <v>164</v>
      </c>
      <c r="E1850" t="s">
        <v>304</v>
      </c>
      <c r="F1850" t="s">
        <v>117</v>
      </c>
      <c r="G1850" t="s">
        <v>1375</v>
      </c>
      <c r="H1850" s="9">
        <v>44657</v>
      </c>
      <c r="I1850" t="s">
        <v>306</v>
      </c>
      <c r="J1850" t="s">
        <v>0</v>
      </c>
      <c r="K1850" s="9">
        <v>44711</v>
      </c>
      <c r="L1850" t="s">
        <v>29</v>
      </c>
      <c r="M1850"/>
      <c r="N1850" s="9">
        <v>44686</v>
      </c>
      <c r="O1850"/>
      <c r="P1850"/>
      <c r="Q1850" s="9">
        <v>44711</v>
      </c>
      <c r="R1850"/>
      <c r="S1850"/>
      <c r="T1850"/>
      <c r="U1850"/>
    </row>
    <row r="1851" spans="1:21" hidden="1">
      <c r="A1851" s="7" t="s">
        <v>8740</v>
      </c>
      <c r="B1851" s="7" t="s">
        <v>6627</v>
      </c>
      <c r="C1851" s="8" t="s">
        <v>5317</v>
      </c>
      <c r="D1851" t="s">
        <v>164</v>
      </c>
      <c r="E1851" t="s">
        <v>304</v>
      </c>
      <c r="F1851" t="s">
        <v>117</v>
      </c>
      <c r="G1851" t="s">
        <v>1376</v>
      </c>
      <c r="H1851" s="9">
        <v>44657</v>
      </c>
      <c r="I1851" t="s">
        <v>306</v>
      </c>
      <c r="J1851" t="s">
        <v>0</v>
      </c>
      <c r="K1851" s="9">
        <v>44711</v>
      </c>
      <c r="L1851" t="s">
        <v>29</v>
      </c>
      <c r="M1851"/>
      <c r="N1851" s="9">
        <v>44686</v>
      </c>
      <c r="O1851"/>
      <c r="P1851"/>
      <c r="Q1851" s="9">
        <v>44711</v>
      </c>
      <c r="R1851"/>
      <c r="S1851"/>
      <c r="T1851"/>
      <c r="U1851"/>
    </row>
    <row r="1852" spans="1:21" hidden="1">
      <c r="A1852" s="7" t="s">
        <v>8740</v>
      </c>
      <c r="B1852" s="7" t="s">
        <v>6627</v>
      </c>
      <c r="C1852" s="8" t="s">
        <v>5317</v>
      </c>
      <c r="D1852" t="s">
        <v>164</v>
      </c>
      <c r="E1852" t="s">
        <v>304</v>
      </c>
      <c r="F1852" t="s">
        <v>117</v>
      </c>
      <c r="G1852" t="s">
        <v>1377</v>
      </c>
      <c r="H1852" s="9">
        <v>44657</v>
      </c>
      <c r="I1852" t="s">
        <v>306</v>
      </c>
      <c r="J1852" t="s">
        <v>0</v>
      </c>
      <c r="K1852" s="9">
        <v>44711</v>
      </c>
      <c r="L1852" t="s">
        <v>29</v>
      </c>
      <c r="M1852"/>
      <c r="N1852" s="9">
        <v>44686</v>
      </c>
      <c r="O1852"/>
      <c r="P1852"/>
      <c r="Q1852" s="9">
        <v>44711</v>
      </c>
      <c r="R1852"/>
      <c r="S1852"/>
      <c r="T1852"/>
      <c r="U1852"/>
    </row>
    <row r="1853" spans="1:21" hidden="1">
      <c r="A1853" s="7" t="s">
        <v>8740</v>
      </c>
      <c r="B1853" s="7" t="s">
        <v>6627</v>
      </c>
      <c r="C1853" s="8" t="s">
        <v>5317</v>
      </c>
      <c r="D1853" t="s">
        <v>164</v>
      </c>
      <c r="E1853" t="s">
        <v>304</v>
      </c>
      <c r="F1853" t="s">
        <v>117</v>
      </c>
      <c r="G1853" t="s">
        <v>1378</v>
      </c>
      <c r="H1853" s="9">
        <v>44657</v>
      </c>
      <c r="I1853" t="s">
        <v>306</v>
      </c>
      <c r="J1853" t="s">
        <v>0</v>
      </c>
      <c r="K1853" s="9">
        <v>44711</v>
      </c>
      <c r="L1853" t="s">
        <v>29</v>
      </c>
      <c r="M1853"/>
      <c r="N1853" s="9">
        <v>44686</v>
      </c>
      <c r="O1853"/>
      <c r="P1853"/>
      <c r="Q1853" s="9">
        <v>44711</v>
      </c>
      <c r="R1853"/>
      <c r="S1853"/>
      <c r="T1853"/>
      <c r="U1853"/>
    </row>
    <row r="1854" spans="1:21" hidden="1">
      <c r="A1854" s="7" t="s">
        <v>8740</v>
      </c>
      <c r="B1854" s="7" t="s">
        <v>6627</v>
      </c>
      <c r="C1854" s="8" t="s">
        <v>5317</v>
      </c>
      <c r="D1854" t="s">
        <v>164</v>
      </c>
      <c r="E1854" t="s">
        <v>304</v>
      </c>
      <c r="F1854" t="s">
        <v>117</v>
      </c>
      <c r="G1854" t="s">
        <v>1381</v>
      </c>
      <c r="H1854" s="9">
        <v>44657</v>
      </c>
      <c r="I1854" t="s">
        <v>306</v>
      </c>
      <c r="J1854" t="s">
        <v>0</v>
      </c>
      <c r="K1854" s="9">
        <v>44711</v>
      </c>
      <c r="L1854" t="s">
        <v>29</v>
      </c>
      <c r="M1854"/>
      <c r="N1854" s="9">
        <v>44686</v>
      </c>
      <c r="O1854"/>
      <c r="P1854"/>
      <c r="Q1854" s="9">
        <v>44711</v>
      </c>
      <c r="R1854"/>
      <c r="S1854"/>
      <c r="T1854"/>
      <c r="U1854"/>
    </row>
    <row r="1855" spans="1:21" hidden="1">
      <c r="A1855" s="7" t="s">
        <v>8740</v>
      </c>
      <c r="B1855" s="7" t="s">
        <v>6627</v>
      </c>
      <c r="C1855" s="8" t="s">
        <v>5317</v>
      </c>
      <c r="D1855" t="s">
        <v>164</v>
      </c>
      <c r="E1855" t="s">
        <v>304</v>
      </c>
      <c r="F1855" t="s">
        <v>117</v>
      </c>
      <c r="G1855" t="s">
        <v>1382</v>
      </c>
      <c r="H1855" s="9">
        <v>44657</v>
      </c>
      <c r="I1855" t="s">
        <v>306</v>
      </c>
      <c r="J1855" t="s">
        <v>0</v>
      </c>
      <c r="K1855" s="9">
        <v>44711</v>
      </c>
      <c r="L1855" t="s">
        <v>29</v>
      </c>
      <c r="M1855"/>
      <c r="N1855" s="9">
        <v>44686</v>
      </c>
      <c r="O1855"/>
      <c r="P1855"/>
      <c r="Q1855" s="9">
        <v>44711</v>
      </c>
      <c r="R1855"/>
      <c r="S1855"/>
      <c r="T1855"/>
      <c r="U1855"/>
    </row>
    <row r="1856" spans="1:21" hidden="1">
      <c r="A1856" s="7" t="s">
        <v>8740</v>
      </c>
      <c r="B1856" s="7" t="s">
        <v>6627</v>
      </c>
      <c r="C1856" s="8" t="s">
        <v>5317</v>
      </c>
      <c r="D1856" t="s">
        <v>164</v>
      </c>
      <c r="E1856" t="s">
        <v>304</v>
      </c>
      <c r="F1856" t="s">
        <v>117</v>
      </c>
      <c r="G1856" t="s">
        <v>1383</v>
      </c>
      <c r="H1856" s="9">
        <v>44657</v>
      </c>
      <c r="I1856" t="s">
        <v>306</v>
      </c>
      <c r="J1856" t="s">
        <v>0</v>
      </c>
      <c r="K1856" s="9">
        <v>44711</v>
      </c>
      <c r="L1856" t="s">
        <v>29</v>
      </c>
      <c r="M1856"/>
      <c r="N1856" s="9">
        <v>44686</v>
      </c>
      <c r="O1856"/>
      <c r="P1856"/>
      <c r="Q1856" s="9">
        <v>44711</v>
      </c>
      <c r="R1856"/>
      <c r="S1856"/>
      <c r="T1856"/>
      <c r="U1856"/>
    </row>
    <row r="1857" spans="1:21" hidden="1">
      <c r="A1857" s="7" t="s">
        <v>8740</v>
      </c>
      <c r="B1857" s="7" t="s">
        <v>6627</v>
      </c>
      <c r="C1857" s="8" t="s">
        <v>5317</v>
      </c>
      <c r="D1857" t="s">
        <v>164</v>
      </c>
      <c r="E1857" t="s">
        <v>304</v>
      </c>
      <c r="F1857" t="s">
        <v>117</v>
      </c>
      <c r="G1857" t="s">
        <v>1384</v>
      </c>
      <c r="H1857" s="9">
        <v>44657</v>
      </c>
      <c r="I1857" t="s">
        <v>306</v>
      </c>
      <c r="J1857" t="s">
        <v>0</v>
      </c>
      <c r="K1857" s="9">
        <v>44711</v>
      </c>
      <c r="L1857" t="s">
        <v>29</v>
      </c>
      <c r="M1857"/>
      <c r="N1857" s="9">
        <v>44686</v>
      </c>
      <c r="O1857"/>
      <c r="P1857"/>
      <c r="Q1857" s="9">
        <v>44711</v>
      </c>
      <c r="R1857"/>
      <c r="S1857"/>
      <c r="T1857"/>
      <c r="U1857"/>
    </row>
    <row r="1858" spans="1:21" hidden="1">
      <c r="A1858" s="7" t="s">
        <v>8740</v>
      </c>
      <c r="B1858" s="7" t="s">
        <v>6627</v>
      </c>
      <c r="C1858" s="8" t="s">
        <v>5317</v>
      </c>
      <c r="D1858" t="s">
        <v>164</v>
      </c>
      <c r="E1858" t="s">
        <v>304</v>
      </c>
      <c r="F1858" t="s">
        <v>117</v>
      </c>
      <c r="G1858" t="s">
        <v>1385</v>
      </c>
      <c r="H1858" s="9">
        <v>44657</v>
      </c>
      <c r="I1858" t="s">
        <v>306</v>
      </c>
      <c r="J1858" t="s">
        <v>0</v>
      </c>
      <c r="K1858" s="9">
        <v>44711</v>
      </c>
      <c r="L1858" t="s">
        <v>29</v>
      </c>
      <c r="M1858"/>
      <c r="N1858" s="9">
        <v>44686</v>
      </c>
      <c r="O1858"/>
      <c r="P1858"/>
      <c r="Q1858" s="9">
        <v>44711</v>
      </c>
      <c r="R1858"/>
      <c r="S1858"/>
      <c r="T1858"/>
      <c r="U1858"/>
    </row>
    <row r="1859" spans="1:21" hidden="1">
      <c r="A1859" s="7" t="s">
        <v>8740</v>
      </c>
      <c r="B1859" s="7" t="s">
        <v>6627</v>
      </c>
      <c r="C1859" s="8" t="s">
        <v>5317</v>
      </c>
      <c r="D1859" t="s">
        <v>164</v>
      </c>
      <c r="E1859" t="s">
        <v>304</v>
      </c>
      <c r="F1859" t="s">
        <v>117</v>
      </c>
      <c r="G1859" t="s">
        <v>1386</v>
      </c>
      <c r="H1859" s="9">
        <v>44657</v>
      </c>
      <c r="I1859" t="s">
        <v>306</v>
      </c>
      <c r="J1859" t="s">
        <v>0</v>
      </c>
      <c r="K1859" s="9">
        <v>44711</v>
      </c>
      <c r="L1859" t="s">
        <v>29</v>
      </c>
      <c r="M1859"/>
      <c r="N1859" s="9">
        <v>44686</v>
      </c>
      <c r="O1859"/>
      <c r="P1859"/>
      <c r="Q1859" s="9">
        <v>44711</v>
      </c>
      <c r="R1859"/>
      <c r="S1859"/>
      <c r="T1859"/>
      <c r="U1859"/>
    </row>
    <row r="1860" spans="1:21" hidden="1">
      <c r="A1860" s="7" t="s">
        <v>8740</v>
      </c>
      <c r="B1860" s="7" t="s">
        <v>6627</v>
      </c>
      <c r="C1860" s="8" t="s">
        <v>5317</v>
      </c>
      <c r="D1860" t="s">
        <v>164</v>
      </c>
      <c r="E1860" t="s">
        <v>304</v>
      </c>
      <c r="F1860" t="s">
        <v>117</v>
      </c>
      <c r="G1860" t="s">
        <v>1387</v>
      </c>
      <c r="H1860" s="9">
        <v>44657</v>
      </c>
      <c r="I1860" t="s">
        <v>306</v>
      </c>
      <c r="J1860" t="s">
        <v>0</v>
      </c>
      <c r="K1860" s="9">
        <v>44711</v>
      </c>
      <c r="L1860" t="s">
        <v>29</v>
      </c>
      <c r="M1860"/>
      <c r="N1860" s="9">
        <v>44686</v>
      </c>
      <c r="O1860"/>
      <c r="P1860"/>
      <c r="Q1860" s="9">
        <v>44711</v>
      </c>
      <c r="R1860"/>
      <c r="S1860"/>
      <c r="T1860"/>
      <c r="U1860"/>
    </row>
    <row r="1861" spans="1:21" hidden="1">
      <c r="A1861" s="7" t="s">
        <v>8740</v>
      </c>
      <c r="B1861" s="7" t="s">
        <v>6627</v>
      </c>
      <c r="C1861" s="8" t="s">
        <v>5317</v>
      </c>
      <c r="D1861" t="s">
        <v>164</v>
      </c>
      <c r="E1861" t="s">
        <v>304</v>
      </c>
      <c r="F1861" t="s">
        <v>117</v>
      </c>
      <c r="G1861" t="s">
        <v>1389</v>
      </c>
      <c r="H1861" s="9">
        <v>44657</v>
      </c>
      <c r="I1861" t="s">
        <v>306</v>
      </c>
      <c r="J1861" t="s">
        <v>0</v>
      </c>
      <c r="K1861" s="9">
        <v>44711</v>
      </c>
      <c r="L1861" t="s">
        <v>29</v>
      </c>
      <c r="M1861"/>
      <c r="N1861" s="9">
        <v>44686</v>
      </c>
      <c r="O1861"/>
      <c r="P1861"/>
      <c r="Q1861" s="9">
        <v>44711</v>
      </c>
      <c r="R1861"/>
      <c r="S1861"/>
      <c r="T1861"/>
      <c r="U1861"/>
    </row>
    <row r="1862" spans="1:21" hidden="1">
      <c r="A1862" s="7" t="s">
        <v>8740</v>
      </c>
      <c r="B1862" s="7" t="s">
        <v>6627</v>
      </c>
      <c r="C1862" s="8" t="s">
        <v>5317</v>
      </c>
      <c r="D1862" t="s">
        <v>164</v>
      </c>
      <c r="E1862" t="s">
        <v>304</v>
      </c>
      <c r="F1862" t="s">
        <v>117</v>
      </c>
      <c r="G1862" t="s">
        <v>1391</v>
      </c>
      <c r="H1862" s="9">
        <v>44657</v>
      </c>
      <c r="I1862" t="s">
        <v>306</v>
      </c>
      <c r="J1862" t="s">
        <v>0</v>
      </c>
      <c r="K1862" s="9">
        <v>44711</v>
      </c>
      <c r="L1862" t="s">
        <v>29</v>
      </c>
      <c r="M1862"/>
      <c r="N1862" s="9">
        <v>44686</v>
      </c>
      <c r="O1862"/>
      <c r="P1862"/>
      <c r="Q1862" s="9">
        <v>44711</v>
      </c>
      <c r="R1862"/>
      <c r="S1862"/>
      <c r="T1862"/>
      <c r="U1862"/>
    </row>
    <row r="1863" spans="1:21" hidden="1">
      <c r="A1863" s="7" t="s">
        <v>8740</v>
      </c>
      <c r="B1863" s="7" t="s">
        <v>6627</v>
      </c>
      <c r="C1863" s="8" t="s">
        <v>5317</v>
      </c>
      <c r="D1863" t="s">
        <v>164</v>
      </c>
      <c r="E1863" t="s">
        <v>304</v>
      </c>
      <c r="F1863" t="s">
        <v>117</v>
      </c>
      <c r="G1863" t="s">
        <v>1393</v>
      </c>
      <c r="H1863" s="9">
        <v>44657</v>
      </c>
      <c r="I1863" t="s">
        <v>306</v>
      </c>
      <c r="J1863" t="s">
        <v>0</v>
      </c>
      <c r="K1863" s="9">
        <v>44711</v>
      </c>
      <c r="L1863" t="s">
        <v>29</v>
      </c>
      <c r="M1863"/>
      <c r="N1863" s="9">
        <v>44686</v>
      </c>
      <c r="O1863"/>
      <c r="P1863"/>
      <c r="Q1863" s="9">
        <v>44711</v>
      </c>
      <c r="R1863"/>
      <c r="S1863"/>
      <c r="T1863"/>
      <c r="U1863"/>
    </row>
    <row r="1864" spans="1:21" hidden="1">
      <c r="A1864" s="7" t="s">
        <v>8740</v>
      </c>
      <c r="B1864" s="7" t="s">
        <v>6627</v>
      </c>
      <c r="C1864" s="8" t="s">
        <v>5317</v>
      </c>
      <c r="D1864" t="s">
        <v>164</v>
      </c>
      <c r="E1864" t="s">
        <v>304</v>
      </c>
      <c r="F1864" t="s">
        <v>117</v>
      </c>
      <c r="G1864" t="s">
        <v>1394</v>
      </c>
      <c r="H1864" s="9">
        <v>44657</v>
      </c>
      <c r="I1864" t="s">
        <v>306</v>
      </c>
      <c r="J1864" t="s">
        <v>0</v>
      </c>
      <c r="K1864" s="9">
        <v>44711</v>
      </c>
      <c r="L1864" t="s">
        <v>29</v>
      </c>
      <c r="M1864"/>
      <c r="N1864" s="9">
        <v>44686</v>
      </c>
      <c r="O1864"/>
      <c r="P1864"/>
      <c r="Q1864" s="9">
        <v>44711</v>
      </c>
      <c r="R1864"/>
      <c r="S1864"/>
      <c r="T1864"/>
      <c r="U1864"/>
    </row>
    <row r="1865" spans="1:21" hidden="1">
      <c r="A1865" s="7" t="s">
        <v>8740</v>
      </c>
      <c r="B1865" s="7" t="s">
        <v>6627</v>
      </c>
      <c r="C1865" s="8" t="s">
        <v>5317</v>
      </c>
      <c r="D1865" t="s">
        <v>164</v>
      </c>
      <c r="E1865" t="s">
        <v>304</v>
      </c>
      <c r="F1865" t="s">
        <v>117</v>
      </c>
      <c r="G1865" t="s">
        <v>1395</v>
      </c>
      <c r="H1865" s="9">
        <v>44657</v>
      </c>
      <c r="I1865" t="s">
        <v>306</v>
      </c>
      <c r="J1865" t="s">
        <v>0</v>
      </c>
      <c r="K1865" s="9">
        <v>44711</v>
      </c>
      <c r="L1865" t="s">
        <v>29</v>
      </c>
      <c r="M1865"/>
      <c r="N1865" s="9">
        <v>44686</v>
      </c>
      <c r="O1865"/>
      <c r="P1865"/>
      <c r="Q1865" s="9">
        <v>44711</v>
      </c>
      <c r="R1865"/>
      <c r="S1865"/>
      <c r="T1865"/>
      <c r="U1865"/>
    </row>
    <row r="1866" spans="1:21" hidden="1">
      <c r="A1866" s="7" t="s">
        <v>8740</v>
      </c>
      <c r="B1866" s="7" t="s">
        <v>6627</v>
      </c>
      <c r="C1866" s="8" t="s">
        <v>5317</v>
      </c>
      <c r="D1866" t="s">
        <v>164</v>
      </c>
      <c r="E1866" t="s">
        <v>304</v>
      </c>
      <c r="F1866" t="s">
        <v>117</v>
      </c>
      <c r="G1866" t="s">
        <v>1396</v>
      </c>
      <c r="H1866" s="9">
        <v>44657</v>
      </c>
      <c r="I1866" t="s">
        <v>306</v>
      </c>
      <c r="J1866" t="s">
        <v>0</v>
      </c>
      <c r="K1866" s="9">
        <v>44711</v>
      </c>
      <c r="L1866" t="s">
        <v>29</v>
      </c>
      <c r="M1866"/>
      <c r="N1866" s="9">
        <v>44686</v>
      </c>
      <c r="O1866"/>
      <c r="P1866"/>
      <c r="Q1866" s="9">
        <v>44711</v>
      </c>
      <c r="R1866"/>
      <c r="S1866"/>
      <c r="T1866"/>
      <c r="U1866"/>
    </row>
    <row r="1867" spans="1:21" hidden="1">
      <c r="A1867" s="7" t="s">
        <v>8740</v>
      </c>
      <c r="B1867" s="7" t="s">
        <v>6627</v>
      </c>
      <c r="C1867" s="8" t="s">
        <v>5317</v>
      </c>
      <c r="D1867" t="s">
        <v>164</v>
      </c>
      <c r="E1867" t="s">
        <v>304</v>
      </c>
      <c r="F1867" t="s">
        <v>117</v>
      </c>
      <c r="G1867" t="s">
        <v>1397</v>
      </c>
      <c r="H1867" s="9">
        <v>44657</v>
      </c>
      <c r="I1867" t="s">
        <v>306</v>
      </c>
      <c r="J1867" t="s">
        <v>0</v>
      </c>
      <c r="K1867" s="9">
        <v>44711</v>
      </c>
      <c r="L1867" t="s">
        <v>29</v>
      </c>
      <c r="M1867"/>
      <c r="N1867" s="9">
        <v>44686</v>
      </c>
      <c r="O1867"/>
      <c r="P1867"/>
      <c r="Q1867" s="9">
        <v>44711</v>
      </c>
      <c r="R1867"/>
      <c r="S1867"/>
      <c r="T1867"/>
      <c r="U1867"/>
    </row>
    <row r="1868" spans="1:21" hidden="1">
      <c r="A1868" s="7" t="s">
        <v>8740</v>
      </c>
      <c r="B1868" s="7" t="s">
        <v>6627</v>
      </c>
      <c r="C1868" s="8" t="s">
        <v>5317</v>
      </c>
      <c r="D1868" t="s">
        <v>164</v>
      </c>
      <c r="E1868" t="s">
        <v>304</v>
      </c>
      <c r="F1868" t="s">
        <v>117</v>
      </c>
      <c r="G1868" t="s">
        <v>1398</v>
      </c>
      <c r="H1868" s="9">
        <v>44657</v>
      </c>
      <c r="I1868" t="s">
        <v>306</v>
      </c>
      <c r="J1868" t="s">
        <v>0</v>
      </c>
      <c r="K1868" s="9">
        <v>44711</v>
      </c>
      <c r="L1868" t="s">
        <v>29</v>
      </c>
      <c r="M1868"/>
      <c r="N1868" s="9">
        <v>44686</v>
      </c>
      <c r="O1868"/>
      <c r="P1868"/>
      <c r="Q1868" s="9">
        <v>44711</v>
      </c>
      <c r="R1868"/>
      <c r="S1868"/>
      <c r="T1868"/>
      <c r="U1868"/>
    </row>
    <row r="1869" spans="1:21" hidden="1">
      <c r="A1869" s="7" t="s">
        <v>8740</v>
      </c>
      <c r="B1869" s="7" t="s">
        <v>6627</v>
      </c>
      <c r="C1869" s="8" t="s">
        <v>5317</v>
      </c>
      <c r="D1869" t="s">
        <v>164</v>
      </c>
      <c r="E1869" t="s">
        <v>304</v>
      </c>
      <c r="F1869" t="s">
        <v>117</v>
      </c>
      <c r="G1869" t="s">
        <v>1717</v>
      </c>
      <c r="H1869" s="9">
        <v>44657</v>
      </c>
      <c r="I1869" t="s">
        <v>306</v>
      </c>
      <c r="J1869" t="s">
        <v>0</v>
      </c>
      <c r="K1869" s="9">
        <v>44711</v>
      </c>
      <c r="L1869" t="s">
        <v>29</v>
      </c>
      <c r="M1869"/>
      <c r="N1869" s="9">
        <v>44686</v>
      </c>
      <c r="O1869"/>
      <c r="P1869"/>
      <c r="Q1869" s="9">
        <v>44711</v>
      </c>
      <c r="R1869"/>
      <c r="S1869"/>
      <c r="T1869"/>
      <c r="U1869"/>
    </row>
    <row r="1870" spans="1:21" hidden="1">
      <c r="A1870" s="7" t="s">
        <v>8740</v>
      </c>
      <c r="B1870" s="7" t="s">
        <v>6627</v>
      </c>
      <c r="C1870" s="8" t="s">
        <v>5317</v>
      </c>
      <c r="D1870" t="s">
        <v>164</v>
      </c>
      <c r="E1870" t="s">
        <v>304</v>
      </c>
      <c r="F1870" t="s">
        <v>117</v>
      </c>
      <c r="G1870" t="s">
        <v>1399</v>
      </c>
      <c r="H1870" s="9">
        <v>44657</v>
      </c>
      <c r="I1870" t="s">
        <v>306</v>
      </c>
      <c r="J1870" t="s">
        <v>0</v>
      </c>
      <c r="K1870" s="9">
        <v>44711</v>
      </c>
      <c r="L1870" t="s">
        <v>29</v>
      </c>
      <c r="M1870"/>
      <c r="N1870" s="9">
        <v>44686</v>
      </c>
      <c r="O1870"/>
      <c r="P1870"/>
      <c r="Q1870" s="9">
        <v>44711</v>
      </c>
      <c r="R1870"/>
      <c r="S1870"/>
      <c r="T1870"/>
      <c r="U1870"/>
    </row>
    <row r="1871" spans="1:21" hidden="1">
      <c r="A1871" s="7" t="s">
        <v>8740</v>
      </c>
      <c r="B1871" s="7" t="s">
        <v>6627</v>
      </c>
      <c r="C1871" s="8" t="s">
        <v>5317</v>
      </c>
      <c r="D1871" t="s">
        <v>164</v>
      </c>
      <c r="E1871" t="s">
        <v>304</v>
      </c>
      <c r="F1871" t="s">
        <v>117</v>
      </c>
      <c r="G1871" t="s">
        <v>1400</v>
      </c>
      <c r="H1871" s="9">
        <v>44657</v>
      </c>
      <c r="I1871" t="s">
        <v>306</v>
      </c>
      <c r="J1871" t="s">
        <v>0</v>
      </c>
      <c r="K1871" s="9">
        <v>44711</v>
      </c>
      <c r="L1871" t="s">
        <v>29</v>
      </c>
      <c r="M1871"/>
      <c r="N1871" s="9">
        <v>44686</v>
      </c>
      <c r="O1871"/>
      <c r="P1871"/>
      <c r="Q1871" s="9">
        <v>44711</v>
      </c>
      <c r="R1871"/>
      <c r="S1871"/>
      <c r="T1871"/>
      <c r="U1871"/>
    </row>
    <row r="1872" spans="1:21" hidden="1">
      <c r="A1872" s="7" t="s">
        <v>8740</v>
      </c>
      <c r="B1872" s="7" t="s">
        <v>6627</v>
      </c>
      <c r="C1872" s="8" t="s">
        <v>5317</v>
      </c>
      <c r="D1872" t="s">
        <v>164</v>
      </c>
      <c r="E1872" t="s">
        <v>304</v>
      </c>
      <c r="F1872" t="s">
        <v>117</v>
      </c>
      <c r="G1872" t="s">
        <v>1401</v>
      </c>
      <c r="H1872" s="9">
        <v>44657</v>
      </c>
      <c r="I1872" t="s">
        <v>306</v>
      </c>
      <c r="J1872" t="s">
        <v>0</v>
      </c>
      <c r="K1872" s="9">
        <v>44711</v>
      </c>
      <c r="L1872" t="s">
        <v>29</v>
      </c>
      <c r="M1872"/>
      <c r="N1872" s="9">
        <v>44686</v>
      </c>
      <c r="O1872"/>
      <c r="P1872"/>
      <c r="Q1872" s="9">
        <v>44711</v>
      </c>
      <c r="R1872"/>
      <c r="S1872"/>
      <c r="T1872"/>
      <c r="U1872"/>
    </row>
    <row r="1873" spans="1:21" hidden="1">
      <c r="A1873" s="7" t="s">
        <v>8740</v>
      </c>
      <c r="B1873" s="7" t="s">
        <v>6627</v>
      </c>
      <c r="C1873" s="8" t="s">
        <v>5317</v>
      </c>
      <c r="D1873" t="s">
        <v>164</v>
      </c>
      <c r="E1873" t="s">
        <v>304</v>
      </c>
      <c r="F1873" t="s">
        <v>117</v>
      </c>
      <c r="G1873" t="s">
        <v>1404</v>
      </c>
      <c r="H1873" s="9">
        <v>44657</v>
      </c>
      <c r="I1873" t="s">
        <v>306</v>
      </c>
      <c r="J1873" t="s">
        <v>0</v>
      </c>
      <c r="K1873" s="9">
        <v>44711</v>
      </c>
      <c r="L1873" t="s">
        <v>29</v>
      </c>
      <c r="M1873"/>
      <c r="N1873" s="9">
        <v>44686</v>
      </c>
      <c r="O1873"/>
      <c r="P1873"/>
      <c r="Q1873" s="9">
        <v>44711</v>
      </c>
      <c r="R1873"/>
      <c r="S1873"/>
      <c r="T1873"/>
      <c r="U1873"/>
    </row>
    <row r="1874" spans="1:21" hidden="1">
      <c r="A1874" s="7" t="s">
        <v>8740</v>
      </c>
      <c r="B1874" s="7" t="s">
        <v>6627</v>
      </c>
      <c r="C1874" s="8" t="s">
        <v>5317</v>
      </c>
      <c r="D1874" t="s">
        <v>164</v>
      </c>
      <c r="E1874" t="s">
        <v>304</v>
      </c>
      <c r="F1874" t="s">
        <v>117</v>
      </c>
      <c r="G1874" t="s">
        <v>1405</v>
      </c>
      <c r="H1874" s="9">
        <v>44657</v>
      </c>
      <c r="I1874" t="s">
        <v>306</v>
      </c>
      <c r="J1874" t="s">
        <v>0</v>
      </c>
      <c r="K1874" s="9">
        <v>44711</v>
      </c>
      <c r="L1874" t="s">
        <v>29</v>
      </c>
      <c r="M1874"/>
      <c r="N1874" s="9">
        <v>44686</v>
      </c>
      <c r="O1874"/>
      <c r="P1874"/>
      <c r="Q1874" s="9">
        <v>44711</v>
      </c>
      <c r="R1874"/>
      <c r="S1874"/>
      <c r="T1874"/>
      <c r="U1874"/>
    </row>
    <row r="1875" spans="1:21" hidden="1">
      <c r="A1875" s="7" t="s">
        <v>8740</v>
      </c>
      <c r="B1875" s="7" t="s">
        <v>6627</v>
      </c>
      <c r="C1875" s="8" t="s">
        <v>5317</v>
      </c>
      <c r="D1875" t="s">
        <v>164</v>
      </c>
      <c r="E1875" t="s">
        <v>304</v>
      </c>
      <c r="F1875" t="s">
        <v>117</v>
      </c>
      <c r="G1875" t="s">
        <v>1406</v>
      </c>
      <c r="H1875" s="9">
        <v>44657</v>
      </c>
      <c r="I1875" t="s">
        <v>306</v>
      </c>
      <c r="J1875" t="s">
        <v>0</v>
      </c>
      <c r="K1875" s="9">
        <v>44711</v>
      </c>
      <c r="L1875" t="s">
        <v>29</v>
      </c>
      <c r="M1875"/>
      <c r="N1875" s="9">
        <v>44686</v>
      </c>
      <c r="O1875"/>
      <c r="P1875"/>
      <c r="Q1875" s="9">
        <v>44711</v>
      </c>
      <c r="R1875"/>
      <c r="S1875"/>
      <c r="T1875"/>
      <c r="U1875"/>
    </row>
    <row r="1876" spans="1:21" hidden="1">
      <c r="A1876" s="7" t="s">
        <v>8740</v>
      </c>
      <c r="B1876" s="7" t="s">
        <v>6627</v>
      </c>
      <c r="C1876" s="8" t="s">
        <v>5317</v>
      </c>
      <c r="D1876" t="s">
        <v>164</v>
      </c>
      <c r="E1876" t="s">
        <v>304</v>
      </c>
      <c r="F1876" t="s">
        <v>117</v>
      </c>
      <c r="G1876" t="s">
        <v>1407</v>
      </c>
      <c r="H1876" s="9">
        <v>44657</v>
      </c>
      <c r="I1876" t="s">
        <v>306</v>
      </c>
      <c r="J1876" t="s">
        <v>0</v>
      </c>
      <c r="K1876" s="9">
        <v>44711</v>
      </c>
      <c r="L1876" t="s">
        <v>29</v>
      </c>
      <c r="M1876"/>
      <c r="N1876" s="9">
        <v>44686</v>
      </c>
      <c r="O1876"/>
      <c r="P1876"/>
      <c r="Q1876" s="9">
        <v>44711</v>
      </c>
      <c r="R1876"/>
      <c r="S1876"/>
      <c r="T1876"/>
      <c r="U1876"/>
    </row>
    <row r="1877" spans="1:21" hidden="1">
      <c r="A1877" s="7" t="s">
        <v>8740</v>
      </c>
      <c r="B1877" s="7" t="s">
        <v>6627</v>
      </c>
      <c r="C1877" s="8" t="s">
        <v>5317</v>
      </c>
      <c r="D1877" t="s">
        <v>164</v>
      </c>
      <c r="E1877" t="s">
        <v>304</v>
      </c>
      <c r="F1877" t="s">
        <v>117</v>
      </c>
      <c r="G1877" t="s">
        <v>1408</v>
      </c>
      <c r="H1877" s="9">
        <v>44657</v>
      </c>
      <c r="I1877" t="s">
        <v>306</v>
      </c>
      <c r="J1877" t="s">
        <v>0</v>
      </c>
      <c r="K1877" s="9">
        <v>44711</v>
      </c>
      <c r="L1877" t="s">
        <v>29</v>
      </c>
      <c r="M1877"/>
      <c r="N1877" s="9">
        <v>44686</v>
      </c>
      <c r="O1877"/>
      <c r="P1877"/>
      <c r="Q1877" s="9">
        <v>44711</v>
      </c>
      <c r="R1877"/>
      <c r="S1877"/>
      <c r="T1877"/>
      <c r="U1877"/>
    </row>
    <row r="1878" spans="1:21" hidden="1">
      <c r="A1878" s="7" t="s">
        <v>8829</v>
      </c>
      <c r="B1878" s="7" t="s">
        <v>5405</v>
      </c>
      <c r="C1878" s="8" t="s">
        <v>5317</v>
      </c>
      <c r="D1878" t="s">
        <v>164</v>
      </c>
      <c r="E1878" t="s">
        <v>25</v>
      </c>
      <c r="F1878" t="s">
        <v>1718</v>
      </c>
      <c r="G1878" t="s">
        <v>1719</v>
      </c>
      <c r="H1878" s="9">
        <v>44657</v>
      </c>
      <c r="I1878" t="s">
        <v>8634</v>
      </c>
      <c r="J1878" t="s">
        <v>2</v>
      </c>
      <c r="K1878" s="9">
        <v>44726</v>
      </c>
      <c r="L1878" t="s">
        <v>29</v>
      </c>
      <c r="M1878" t="s">
        <v>1686</v>
      </c>
      <c r="N1878" s="9">
        <v>44686</v>
      </c>
      <c r="O1878" s="9">
        <v>44693</v>
      </c>
      <c r="P1878" s="9">
        <v>44693</v>
      </c>
      <c r="Q1878" s="9">
        <v>44810</v>
      </c>
      <c r="R1878"/>
      <c r="S1878"/>
      <c r="T1878"/>
      <c r="U1878"/>
    </row>
    <row r="1879" spans="1:21" hidden="1">
      <c r="A1879" s="7" t="s">
        <v>8830</v>
      </c>
      <c r="B1879" s="7" t="s">
        <v>5405</v>
      </c>
      <c r="C1879" s="8" t="s">
        <v>5317</v>
      </c>
      <c r="D1879" t="s">
        <v>164</v>
      </c>
      <c r="E1879" t="s">
        <v>25</v>
      </c>
      <c r="F1879" t="s">
        <v>41</v>
      </c>
      <c r="G1879" t="s">
        <v>1720</v>
      </c>
      <c r="H1879" s="9">
        <v>44657</v>
      </c>
      <c r="I1879" t="s">
        <v>8634</v>
      </c>
      <c r="J1879" t="s">
        <v>2</v>
      </c>
      <c r="K1879" s="9">
        <v>44726</v>
      </c>
      <c r="L1879" t="s">
        <v>29</v>
      </c>
      <c r="M1879" t="s">
        <v>1686</v>
      </c>
      <c r="N1879" s="9">
        <v>44686</v>
      </c>
      <c r="O1879" s="9">
        <v>44693</v>
      </c>
      <c r="P1879" s="9">
        <v>44693</v>
      </c>
      <c r="Q1879" s="9">
        <v>44862</v>
      </c>
      <c r="R1879"/>
      <c r="S1879"/>
      <c r="T1879"/>
      <c r="U1879"/>
    </row>
    <row r="1880" spans="1:21" hidden="1">
      <c r="A1880" s="7" t="s">
        <v>8763</v>
      </c>
      <c r="B1880" s="7" t="s">
        <v>5405</v>
      </c>
      <c r="C1880" s="8" t="s">
        <v>5317</v>
      </c>
      <c r="D1880" t="s">
        <v>164</v>
      </c>
      <c r="E1880" t="s">
        <v>25</v>
      </c>
      <c r="F1880" t="s">
        <v>280</v>
      </c>
      <c r="G1880" t="s">
        <v>1721</v>
      </c>
      <c r="H1880" s="9">
        <v>44657</v>
      </c>
      <c r="I1880" t="s">
        <v>8634</v>
      </c>
      <c r="J1880" t="s">
        <v>0</v>
      </c>
      <c r="K1880" s="9">
        <v>44858</v>
      </c>
      <c r="L1880" t="s">
        <v>29</v>
      </c>
      <c r="M1880"/>
      <c r="N1880" s="9">
        <v>44686</v>
      </c>
      <c r="O1880" s="9">
        <v>44693</v>
      </c>
      <c r="P1880" s="9">
        <v>44693</v>
      </c>
      <c r="Q1880" s="9">
        <v>44858</v>
      </c>
      <c r="R1880"/>
      <c r="S1880"/>
      <c r="T1880"/>
      <c r="U1880"/>
    </row>
    <row r="1881" spans="1:21" hidden="1">
      <c r="A1881" s="7" t="s">
        <v>8830</v>
      </c>
      <c r="B1881" s="7" t="s">
        <v>5405</v>
      </c>
      <c r="C1881" s="8" t="s">
        <v>5317</v>
      </c>
      <c r="D1881" t="s">
        <v>164</v>
      </c>
      <c r="E1881" t="s">
        <v>25</v>
      </c>
      <c r="F1881" t="s">
        <v>41</v>
      </c>
      <c r="G1881" t="s">
        <v>1722</v>
      </c>
      <c r="H1881" s="9">
        <v>44657</v>
      </c>
      <c r="I1881" t="s">
        <v>8634</v>
      </c>
      <c r="J1881" t="s">
        <v>2</v>
      </c>
      <c r="K1881" s="9">
        <v>44726</v>
      </c>
      <c r="L1881" t="s">
        <v>29</v>
      </c>
      <c r="M1881" t="s">
        <v>1686</v>
      </c>
      <c r="N1881" s="9">
        <v>44686</v>
      </c>
      <c r="O1881" s="9">
        <v>44693</v>
      </c>
      <c r="P1881" s="9">
        <v>44693</v>
      </c>
      <c r="Q1881" s="9">
        <v>44862</v>
      </c>
      <c r="R1881"/>
      <c r="S1881"/>
      <c r="T1881"/>
      <c r="U1881"/>
    </row>
    <row r="1882" spans="1:21" hidden="1">
      <c r="A1882" s="7" t="s">
        <v>8830</v>
      </c>
      <c r="B1882" s="7" t="s">
        <v>5405</v>
      </c>
      <c r="C1882" s="8" t="s">
        <v>5317</v>
      </c>
      <c r="D1882" t="s">
        <v>164</v>
      </c>
      <c r="E1882" t="s">
        <v>25</v>
      </c>
      <c r="F1882" t="s">
        <v>41</v>
      </c>
      <c r="G1882" t="s">
        <v>1723</v>
      </c>
      <c r="H1882" s="9">
        <v>44657</v>
      </c>
      <c r="I1882" t="s">
        <v>8634</v>
      </c>
      <c r="J1882" t="s">
        <v>2</v>
      </c>
      <c r="K1882" s="9">
        <v>44726</v>
      </c>
      <c r="L1882" t="s">
        <v>29</v>
      </c>
      <c r="M1882" t="s">
        <v>1686</v>
      </c>
      <c r="N1882" s="9">
        <v>44686</v>
      </c>
      <c r="O1882" s="9">
        <v>44693</v>
      </c>
      <c r="P1882" s="9">
        <v>44693</v>
      </c>
      <c r="Q1882" s="9">
        <v>44862</v>
      </c>
      <c r="R1882"/>
      <c r="S1882"/>
      <c r="T1882"/>
      <c r="U1882"/>
    </row>
    <row r="1883" spans="1:21" hidden="1">
      <c r="A1883" s="7" t="s">
        <v>8831</v>
      </c>
      <c r="B1883" s="7" t="s">
        <v>8354</v>
      </c>
      <c r="C1883" s="8" t="s">
        <v>5317</v>
      </c>
      <c r="D1883" t="s">
        <v>164</v>
      </c>
      <c r="E1883" t="s">
        <v>1724</v>
      </c>
      <c r="F1883" t="s">
        <v>209</v>
      </c>
      <c r="G1883" t="s">
        <v>1725</v>
      </c>
      <c r="H1883" s="9">
        <v>44657</v>
      </c>
      <c r="I1883" t="s">
        <v>167</v>
      </c>
      <c r="J1883" t="s">
        <v>0</v>
      </c>
      <c r="K1883" s="9">
        <v>44664</v>
      </c>
      <c r="L1883" t="s">
        <v>29</v>
      </c>
      <c r="M1883"/>
      <c r="N1883"/>
      <c r="O1883"/>
      <c r="P1883"/>
      <c r="Q1883" s="9">
        <v>44664</v>
      </c>
      <c r="R1883" s="9">
        <v>44659.445752314801</v>
      </c>
      <c r="S1883"/>
      <c r="T1883"/>
      <c r="U1883"/>
    </row>
    <row r="1884" spans="1:21" hidden="1">
      <c r="A1884" s="7" t="s">
        <v>8831</v>
      </c>
      <c r="B1884" s="7" t="s">
        <v>8354</v>
      </c>
      <c r="C1884" s="8" t="s">
        <v>5317</v>
      </c>
      <c r="D1884" t="s">
        <v>164</v>
      </c>
      <c r="E1884" t="s">
        <v>1724</v>
      </c>
      <c r="F1884" t="s">
        <v>209</v>
      </c>
      <c r="G1884" t="s">
        <v>1726</v>
      </c>
      <c r="H1884" s="9">
        <v>44657</v>
      </c>
      <c r="I1884" t="s">
        <v>167</v>
      </c>
      <c r="J1884" t="s">
        <v>0</v>
      </c>
      <c r="K1884" s="9">
        <v>44664</v>
      </c>
      <c r="L1884" t="s">
        <v>29</v>
      </c>
      <c r="M1884"/>
      <c r="N1884"/>
      <c r="O1884"/>
      <c r="P1884"/>
      <c r="Q1884" s="9">
        <v>44664</v>
      </c>
      <c r="R1884" s="9">
        <v>44659.445752314801</v>
      </c>
      <c r="S1884"/>
      <c r="T1884"/>
      <c r="U1884"/>
    </row>
    <row r="1885" spans="1:21" hidden="1">
      <c r="A1885" s="7" t="s">
        <v>8763</v>
      </c>
      <c r="B1885" s="7" t="s">
        <v>5405</v>
      </c>
      <c r="C1885" s="8" t="s">
        <v>5317</v>
      </c>
      <c r="D1885" t="s">
        <v>164</v>
      </c>
      <c r="E1885" t="s">
        <v>25</v>
      </c>
      <c r="F1885" t="s">
        <v>280</v>
      </c>
      <c r="G1885" t="s">
        <v>1727</v>
      </c>
      <c r="H1885" s="9">
        <v>44657</v>
      </c>
      <c r="I1885" t="s">
        <v>8634</v>
      </c>
      <c r="J1885" t="s">
        <v>163</v>
      </c>
      <c r="K1885" s="9">
        <v>44693</v>
      </c>
      <c r="L1885" t="s">
        <v>29</v>
      </c>
      <c r="M1885"/>
      <c r="N1885" s="9">
        <v>44686</v>
      </c>
      <c r="O1885" s="9">
        <v>44693</v>
      </c>
      <c r="P1885" s="9">
        <v>44693</v>
      </c>
      <c r="Q1885"/>
      <c r="R1885"/>
      <c r="S1885"/>
      <c r="T1885"/>
      <c r="U1885"/>
    </row>
    <row r="1886" spans="1:21" hidden="1">
      <c r="A1886" s="7" t="s">
        <v>8831</v>
      </c>
      <c r="B1886" s="7" t="s">
        <v>8354</v>
      </c>
      <c r="C1886" s="8" t="s">
        <v>5317</v>
      </c>
      <c r="D1886" t="s">
        <v>164</v>
      </c>
      <c r="E1886" t="s">
        <v>1724</v>
      </c>
      <c r="F1886" t="s">
        <v>209</v>
      </c>
      <c r="G1886" t="s">
        <v>1728</v>
      </c>
      <c r="H1886" s="9">
        <v>44657</v>
      </c>
      <c r="I1886" t="s">
        <v>167</v>
      </c>
      <c r="J1886" t="s">
        <v>0</v>
      </c>
      <c r="K1886" s="9">
        <v>44664</v>
      </c>
      <c r="L1886" t="s">
        <v>29</v>
      </c>
      <c r="M1886"/>
      <c r="N1886"/>
      <c r="O1886"/>
      <c r="P1886"/>
      <c r="Q1886" s="9">
        <v>44664</v>
      </c>
      <c r="R1886" s="9">
        <v>44659.445752314801</v>
      </c>
      <c r="S1886"/>
      <c r="T1886"/>
      <c r="U1886"/>
    </row>
    <row r="1887" spans="1:21" hidden="1">
      <c r="A1887" s="7" t="s">
        <v>8831</v>
      </c>
      <c r="B1887" s="7" t="s">
        <v>8354</v>
      </c>
      <c r="C1887" s="8" t="s">
        <v>5317</v>
      </c>
      <c r="D1887" t="s">
        <v>164</v>
      </c>
      <c r="E1887" t="s">
        <v>1724</v>
      </c>
      <c r="F1887" t="s">
        <v>209</v>
      </c>
      <c r="G1887" t="s">
        <v>1729</v>
      </c>
      <c r="H1887" s="9">
        <v>44657</v>
      </c>
      <c r="I1887" t="s">
        <v>167</v>
      </c>
      <c r="J1887" t="s">
        <v>0</v>
      </c>
      <c r="K1887" s="9">
        <v>44664</v>
      </c>
      <c r="L1887" t="s">
        <v>29</v>
      </c>
      <c r="M1887"/>
      <c r="N1887"/>
      <c r="O1887"/>
      <c r="P1887"/>
      <c r="Q1887" s="9">
        <v>44664</v>
      </c>
      <c r="R1887" s="9">
        <v>44659.445752314801</v>
      </c>
      <c r="S1887"/>
      <c r="T1887"/>
      <c r="U1887"/>
    </row>
    <row r="1888" spans="1:21" hidden="1">
      <c r="A1888" s="7" t="s">
        <v>8831</v>
      </c>
      <c r="B1888" s="7" t="s">
        <v>8354</v>
      </c>
      <c r="C1888" s="8" t="s">
        <v>5317</v>
      </c>
      <c r="D1888" t="s">
        <v>164</v>
      </c>
      <c r="E1888" t="s">
        <v>1724</v>
      </c>
      <c r="F1888" t="s">
        <v>209</v>
      </c>
      <c r="G1888" t="s">
        <v>1730</v>
      </c>
      <c r="H1888" s="9">
        <v>44657</v>
      </c>
      <c r="I1888" t="s">
        <v>167</v>
      </c>
      <c r="J1888" t="s">
        <v>0</v>
      </c>
      <c r="K1888" s="9">
        <v>44664</v>
      </c>
      <c r="L1888" t="s">
        <v>29</v>
      </c>
      <c r="M1888"/>
      <c r="N1888"/>
      <c r="O1888"/>
      <c r="P1888"/>
      <c r="Q1888" s="9">
        <v>44664</v>
      </c>
      <c r="R1888" s="9">
        <v>44659.445752314801</v>
      </c>
      <c r="S1888"/>
      <c r="T1888"/>
      <c r="U1888"/>
    </row>
    <row r="1889" spans="1:21" hidden="1">
      <c r="A1889" s="7" t="s">
        <v>8831</v>
      </c>
      <c r="B1889" s="7" t="s">
        <v>8354</v>
      </c>
      <c r="C1889" s="8" t="s">
        <v>5317</v>
      </c>
      <c r="D1889" t="s">
        <v>164</v>
      </c>
      <c r="E1889" t="s">
        <v>1724</v>
      </c>
      <c r="F1889" t="s">
        <v>209</v>
      </c>
      <c r="G1889" t="s">
        <v>1731</v>
      </c>
      <c r="H1889" s="9">
        <v>44657</v>
      </c>
      <c r="I1889" t="s">
        <v>167</v>
      </c>
      <c r="J1889" t="s">
        <v>0</v>
      </c>
      <c r="K1889" s="9">
        <v>44664</v>
      </c>
      <c r="L1889" t="s">
        <v>29</v>
      </c>
      <c r="M1889"/>
      <c r="N1889"/>
      <c r="O1889"/>
      <c r="P1889"/>
      <c r="Q1889" s="9">
        <v>44664</v>
      </c>
      <c r="R1889" s="9">
        <v>44659.445752314801</v>
      </c>
      <c r="S1889"/>
      <c r="T1889"/>
      <c r="U1889"/>
    </row>
    <row r="1890" spans="1:21" hidden="1">
      <c r="A1890" s="7" t="s">
        <v>8831</v>
      </c>
      <c r="B1890" s="7" t="s">
        <v>8354</v>
      </c>
      <c r="C1890" s="8" t="s">
        <v>5317</v>
      </c>
      <c r="D1890" t="s">
        <v>164</v>
      </c>
      <c r="E1890" t="s">
        <v>1724</v>
      </c>
      <c r="F1890" t="s">
        <v>209</v>
      </c>
      <c r="G1890" t="s">
        <v>1732</v>
      </c>
      <c r="H1890" s="9">
        <v>44657</v>
      </c>
      <c r="I1890" t="s">
        <v>167</v>
      </c>
      <c r="J1890" t="s">
        <v>0</v>
      </c>
      <c r="K1890" s="9">
        <v>44664</v>
      </c>
      <c r="L1890" t="s">
        <v>29</v>
      </c>
      <c r="M1890"/>
      <c r="N1890"/>
      <c r="O1890"/>
      <c r="P1890"/>
      <c r="Q1890" s="9">
        <v>44664</v>
      </c>
      <c r="R1890" s="9">
        <v>44659.445752314801</v>
      </c>
      <c r="S1890"/>
      <c r="T1890"/>
      <c r="U1890"/>
    </row>
    <row r="1891" spans="1:21" hidden="1">
      <c r="A1891" s="7" t="s">
        <v>8831</v>
      </c>
      <c r="B1891" s="7" t="s">
        <v>8354</v>
      </c>
      <c r="C1891" s="8" t="s">
        <v>5317</v>
      </c>
      <c r="D1891" t="s">
        <v>164</v>
      </c>
      <c r="E1891" t="s">
        <v>1724</v>
      </c>
      <c r="F1891" t="s">
        <v>209</v>
      </c>
      <c r="G1891" t="s">
        <v>1733</v>
      </c>
      <c r="H1891" s="9">
        <v>44657</v>
      </c>
      <c r="I1891" t="s">
        <v>167</v>
      </c>
      <c r="J1891" t="s">
        <v>0</v>
      </c>
      <c r="K1891" s="9">
        <v>44664</v>
      </c>
      <c r="L1891" t="s">
        <v>29</v>
      </c>
      <c r="M1891"/>
      <c r="N1891"/>
      <c r="O1891"/>
      <c r="P1891"/>
      <c r="Q1891" s="9">
        <v>44664</v>
      </c>
      <c r="R1891" s="9">
        <v>44659.445752314801</v>
      </c>
      <c r="S1891"/>
      <c r="T1891"/>
      <c r="U1891"/>
    </row>
    <row r="1892" spans="1:21" hidden="1">
      <c r="A1892" s="7" t="s">
        <v>8831</v>
      </c>
      <c r="B1892" s="7" t="s">
        <v>8354</v>
      </c>
      <c r="C1892" s="8" t="s">
        <v>5317</v>
      </c>
      <c r="D1892" t="s">
        <v>164</v>
      </c>
      <c r="E1892" t="s">
        <v>1724</v>
      </c>
      <c r="F1892" t="s">
        <v>209</v>
      </c>
      <c r="G1892" t="s">
        <v>1734</v>
      </c>
      <c r="H1892" s="9">
        <v>44657</v>
      </c>
      <c r="I1892" t="s">
        <v>167</v>
      </c>
      <c r="J1892" t="s">
        <v>0</v>
      </c>
      <c r="K1892" s="9">
        <v>44664</v>
      </c>
      <c r="L1892" t="s">
        <v>29</v>
      </c>
      <c r="M1892"/>
      <c r="N1892"/>
      <c r="O1892"/>
      <c r="P1892"/>
      <c r="Q1892" s="9">
        <v>44664</v>
      </c>
      <c r="R1892" s="9">
        <v>44659.445752314801</v>
      </c>
      <c r="S1892"/>
      <c r="T1892"/>
      <c r="U1892"/>
    </row>
    <row r="1893" spans="1:21" hidden="1">
      <c r="A1893" s="7" t="s">
        <v>8831</v>
      </c>
      <c r="B1893" s="7" t="s">
        <v>8354</v>
      </c>
      <c r="C1893" s="8" t="s">
        <v>5317</v>
      </c>
      <c r="D1893" t="s">
        <v>164</v>
      </c>
      <c r="E1893" t="s">
        <v>1724</v>
      </c>
      <c r="F1893" t="s">
        <v>209</v>
      </c>
      <c r="G1893" t="s">
        <v>1735</v>
      </c>
      <c r="H1893" s="9">
        <v>44657</v>
      </c>
      <c r="I1893" t="s">
        <v>167</v>
      </c>
      <c r="J1893" t="s">
        <v>0</v>
      </c>
      <c r="K1893" s="9">
        <v>44664</v>
      </c>
      <c r="L1893" t="s">
        <v>29</v>
      </c>
      <c r="M1893"/>
      <c r="N1893"/>
      <c r="O1893"/>
      <c r="P1893"/>
      <c r="Q1893" s="9">
        <v>44664</v>
      </c>
      <c r="R1893" s="9">
        <v>44659.445752314801</v>
      </c>
      <c r="S1893"/>
      <c r="T1893"/>
      <c r="U1893"/>
    </row>
    <row r="1894" spans="1:21" hidden="1">
      <c r="A1894" s="7" t="s">
        <v>8831</v>
      </c>
      <c r="B1894" s="7" t="s">
        <v>8354</v>
      </c>
      <c r="C1894" s="8" t="s">
        <v>5317</v>
      </c>
      <c r="D1894" t="s">
        <v>164</v>
      </c>
      <c r="E1894" t="s">
        <v>1724</v>
      </c>
      <c r="F1894" t="s">
        <v>209</v>
      </c>
      <c r="G1894" t="s">
        <v>1736</v>
      </c>
      <c r="H1894" s="9">
        <v>44657</v>
      </c>
      <c r="I1894" t="s">
        <v>167</v>
      </c>
      <c r="J1894" t="s">
        <v>0</v>
      </c>
      <c r="K1894" s="9">
        <v>44664</v>
      </c>
      <c r="L1894" t="s">
        <v>29</v>
      </c>
      <c r="M1894"/>
      <c r="N1894"/>
      <c r="O1894"/>
      <c r="P1894"/>
      <c r="Q1894" s="9">
        <v>44664</v>
      </c>
      <c r="R1894" s="9">
        <v>44659.445752314801</v>
      </c>
      <c r="S1894"/>
      <c r="T1894"/>
      <c r="U1894"/>
    </row>
    <row r="1895" spans="1:21" hidden="1">
      <c r="A1895" s="7" t="s">
        <v>8831</v>
      </c>
      <c r="B1895" s="7" t="s">
        <v>8354</v>
      </c>
      <c r="C1895" s="8" t="s">
        <v>5317</v>
      </c>
      <c r="D1895" t="s">
        <v>164</v>
      </c>
      <c r="E1895" t="s">
        <v>1724</v>
      </c>
      <c r="F1895" t="s">
        <v>209</v>
      </c>
      <c r="G1895" t="s">
        <v>1737</v>
      </c>
      <c r="H1895" s="9">
        <v>44657</v>
      </c>
      <c r="I1895" t="s">
        <v>167</v>
      </c>
      <c r="J1895" t="s">
        <v>0</v>
      </c>
      <c r="K1895" s="9">
        <v>44664</v>
      </c>
      <c r="L1895" t="s">
        <v>29</v>
      </c>
      <c r="M1895"/>
      <c r="N1895"/>
      <c r="O1895"/>
      <c r="P1895"/>
      <c r="Q1895" s="9">
        <v>44664</v>
      </c>
      <c r="R1895" s="9">
        <v>44659.445752314801</v>
      </c>
      <c r="S1895"/>
      <c r="T1895"/>
      <c r="U1895"/>
    </row>
    <row r="1896" spans="1:21" hidden="1">
      <c r="A1896" s="7" t="s">
        <v>8831</v>
      </c>
      <c r="B1896" s="7" t="s">
        <v>8354</v>
      </c>
      <c r="C1896" s="8" t="s">
        <v>5317</v>
      </c>
      <c r="D1896" t="s">
        <v>164</v>
      </c>
      <c r="E1896" t="s">
        <v>1724</v>
      </c>
      <c r="F1896" t="s">
        <v>209</v>
      </c>
      <c r="G1896" t="s">
        <v>1738</v>
      </c>
      <c r="H1896" s="9">
        <v>44657</v>
      </c>
      <c r="I1896" t="s">
        <v>167</v>
      </c>
      <c r="J1896" t="s">
        <v>0</v>
      </c>
      <c r="K1896" s="9">
        <v>44664</v>
      </c>
      <c r="L1896" t="s">
        <v>29</v>
      </c>
      <c r="M1896"/>
      <c r="N1896"/>
      <c r="O1896"/>
      <c r="P1896"/>
      <c r="Q1896" s="9">
        <v>44664</v>
      </c>
      <c r="R1896" s="9">
        <v>44659.445752314801</v>
      </c>
      <c r="S1896"/>
      <c r="T1896"/>
      <c r="U1896"/>
    </row>
    <row r="1897" spans="1:21" hidden="1">
      <c r="A1897" s="7" t="s">
        <v>8831</v>
      </c>
      <c r="B1897" s="7" t="s">
        <v>8354</v>
      </c>
      <c r="C1897" s="8" t="s">
        <v>5317</v>
      </c>
      <c r="D1897" t="s">
        <v>164</v>
      </c>
      <c r="E1897" t="s">
        <v>1724</v>
      </c>
      <c r="F1897" t="s">
        <v>209</v>
      </c>
      <c r="G1897" t="s">
        <v>1739</v>
      </c>
      <c r="H1897" s="9">
        <v>44657</v>
      </c>
      <c r="I1897" t="s">
        <v>167</v>
      </c>
      <c r="J1897" t="s">
        <v>0</v>
      </c>
      <c r="K1897" s="9">
        <v>44664</v>
      </c>
      <c r="L1897" t="s">
        <v>29</v>
      </c>
      <c r="M1897"/>
      <c r="N1897"/>
      <c r="O1897"/>
      <c r="P1897"/>
      <c r="Q1897" s="9">
        <v>44664</v>
      </c>
      <c r="R1897" s="9">
        <v>44659.445752314801</v>
      </c>
      <c r="S1897"/>
      <c r="T1897"/>
      <c r="U1897"/>
    </row>
    <row r="1898" spans="1:21" hidden="1">
      <c r="A1898" s="7" t="s">
        <v>8831</v>
      </c>
      <c r="B1898" s="7" t="s">
        <v>8354</v>
      </c>
      <c r="C1898" s="8" t="s">
        <v>5317</v>
      </c>
      <c r="D1898" t="s">
        <v>164</v>
      </c>
      <c r="E1898" t="s">
        <v>1724</v>
      </c>
      <c r="F1898" t="s">
        <v>209</v>
      </c>
      <c r="G1898" t="s">
        <v>1740</v>
      </c>
      <c r="H1898" s="9">
        <v>44657</v>
      </c>
      <c r="I1898" t="s">
        <v>167</v>
      </c>
      <c r="J1898" t="s">
        <v>0</v>
      </c>
      <c r="K1898" s="9">
        <v>44664</v>
      </c>
      <c r="L1898" t="s">
        <v>29</v>
      </c>
      <c r="M1898"/>
      <c r="N1898"/>
      <c r="O1898"/>
      <c r="P1898"/>
      <c r="Q1898" s="9">
        <v>44664</v>
      </c>
      <c r="R1898" s="9">
        <v>44659.445752314801</v>
      </c>
      <c r="S1898"/>
      <c r="T1898"/>
      <c r="U1898"/>
    </row>
    <row r="1899" spans="1:21" hidden="1">
      <c r="A1899" s="7" t="s">
        <v>8763</v>
      </c>
      <c r="B1899" s="7" t="s">
        <v>5405</v>
      </c>
      <c r="C1899" s="8" t="s">
        <v>5317</v>
      </c>
      <c r="D1899" t="s">
        <v>164</v>
      </c>
      <c r="E1899" t="s">
        <v>25</v>
      </c>
      <c r="F1899" t="s">
        <v>280</v>
      </c>
      <c r="G1899" t="s">
        <v>1430</v>
      </c>
      <c r="H1899" s="9">
        <v>44657</v>
      </c>
      <c r="I1899" t="s">
        <v>8634</v>
      </c>
      <c r="J1899" t="s">
        <v>0</v>
      </c>
      <c r="K1899" s="9">
        <v>44858</v>
      </c>
      <c r="L1899" t="s">
        <v>29</v>
      </c>
      <c r="M1899"/>
      <c r="N1899" s="9">
        <v>44686</v>
      </c>
      <c r="O1899" s="9">
        <v>44693</v>
      </c>
      <c r="P1899" s="9">
        <v>44693</v>
      </c>
      <c r="Q1899" s="9">
        <v>44858</v>
      </c>
      <c r="R1899"/>
      <c r="S1899"/>
      <c r="T1899"/>
      <c r="U1899"/>
    </row>
    <row r="1900" spans="1:21" hidden="1">
      <c r="A1900" s="7" t="s">
        <v>8743</v>
      </c>
      <c r="B1900" s="7" t="s">
        <v>7376</v>
      </c>
      <c r="C1900" s="8" t="s">
        <v>5317</v>
      </c>
      <c r="D1900" t="s">
        <v>164</v>
      </c>
      <c r="E1900" t="s">
        <v>328</v>
      </c>
      <c r="F1900" t="s">
        <v>117</v>
      </c>
      <c r="G1900" t="s">
        <v>1741</v>
      </c>
      <c r="H1900" s="9">
        <v>44657</v>
      </c>
      <c r="I1900" t="s">
        <v>330</v>
      </c>
      <c r="J1900" t="s">
        <v>2</v>
      </c>
      <c r="K1900" s="9">
        <v>44726</v>
      </c>
      <c r="L1900" t="s">
        <v>29</v>
      </c>
      <c r="M1900" t="s">
        <v>1686</v>
      </c>
      <c r="N1900" s="9">
        <v>44686</v>
      </c>
      <c r="O1900" s="9">
        <v>44693</v>
      </c>
      <c r="P1900" s="9">
        <v>44693</v>
      </c>
      <c r="Q1900"/>
      <c r="R1900"/>
      <c r="S1900"/>
      <c r="T1900"/>
      <c r="U1900"/>
    </row>
    <row r="1901" spans="1:21" hidden="1">
      <c r="A1901" s="7" t="s">
        <v>8743</v>
      </c>
      <c r="B1901" s="7" t="s">
        <v>7376</v>
      </c>
      <c r="C1901" s="8" t="s">
        <v>5317</v>
      </c>
      <c r="D1901" t="s">
        <v>164</v>
      </c>
      <c r="E1901" t="s">
        <v>328</v>
      </c>
      <c r="F1901" t="s">
        <v>117</v>
      </c>
      <c r="G1901" t="s">
        <v>1742</v>
      </c>
      <c r="H1901" s="9">
        <v>44657</v>
      </c>
      <c r="I1901" t="s">
        <v>330</v>
      </c>
      <c r="J1901" t="s">
        <v>2</v>
      </c>
      <c r="K1901" s="9">
        <v>44726</v>
      </c>
      <c r="L1901" t="s">
        <v>29</v>
      </c>
      <c r="M1901" t="s">
        <v>1686</v>
      </c>
      <c r="N1901" s="9">
        <v>44686</v>
      </c>
      <c r="O1901" s="9">
        <v>44693</v>
      </c>
      <c r="P1901" s="9">
        <v>44693</v>
      </c>
      <c r="Q1901"/>
      <c r="R1901"/>
      <c r="S1901"/>
      <c r="T1901"/>
      <c r="U1901"/>
    </row>
    <row r="1902" spans="1:21" hidden="1">
      <c r="A1902" s="7" t="s">
        <v>8743</v>
      </c>
      <c r="B1902" s="7" t="s">
        <v>7376</v>
      </c>
      <c r="C1902" s="8" t="s">
        <v>5317</v>
      </c>
      <c r="D1902" t="s">
        <v>164</v>
      </c>
      <c r="E1902" t="s">
        <v>328</v>
      </c>
      <c r="F1902" t="s">
        <v>117</v>
      </c>
      <c r="G1902" t="s">
        <v>1743</v>
      </c>
      <c r="H1902" s="9">
        <v>44657</v>
      </c>
      <c r="I1902" t="s">
        <v>330</v>
      </c>
      <c r="J1902" t="s">
        <v>2</v>
      </c>
      <c r="K1902" s="9">
        <v>44726</v>
      </c>
      <c r="L1902" t="s">
        <v>29</v>
      </c>
      <c r="M1902" t="s">
        <v>1686</v>
      </c>
      <c r="N1902" s="9">
        <v>44686</v>
      </c>
      <c r="O1902" s="9">
        <v>44693</v>
      </c>
      <c r="P1902" s="9">
        <v>44693</v>
      </c>
      <c r="Q1902"/>
      <c r="R1902"/>
      <c r="S1902"/>
      <c r="T1902"/>
      <c r="U1902"/>
    </row>
    <row r="1903" spans="1:21" hidden="1">
      <c r="A1903" s="7" t="s">
        <v>8743</v>
      </c>
      <c r="B1903" s="7" t="s">
        <v>7376</v>
      </c>
      <c r="C1903" s="8" t="s">
        <v>5317</v>
      </c>
      <c r="D1903" t="s">
        <v>164</v>
      </c>
      <c r="E1903" t="s">
        <v>328</v>
      </c>
      <c r="F1903" t="s">
        <v>117</v>
      </c>
      <c r="G1903" t="s">
        <v>1744</v>
      </c>
      <c r="H1903" s="9">
        <v>44657</v>
      </c>
      <c r="I1903" t="s">
        <v>330</v>
      </c>
      <c r="J1903" t="s">
        <v>2</v>
      </c>
      <c r="K1903" s="9">
        <v>44726</v>
      </c>
      <c r="L1903" t="s">
        <v>29</v>
      </c>
      <c r="M1903" t="s">
        <v>1686</v>
      </c>
      <c r="N1903" s="9">
        <v>44686</v>
      </c>
      <c r="O1903" s="9">
        <v>44693</v>
      </c>
      <c r="P1903" s="9">
        <v>44693</v>
      </c>
      <c r="Q1903"/>
      <c r="R1903"/>
      <c r="S1903"/>
      <c r="T1903"/>
      <c r="U1903"/>
    </row>
    <row r="1904" spans="1:21" hidden="1">
      <c r="A1904" s="7" t="s">
        <v>8743</v>
      </c>
      <c r="B1904" s="7" t="s">
        <v>7376</v>
      </c>
      <c r="C1904" s="8" t="s">
        <v>5317</v>
      </c>
      <c r="D1904" t="s">
        <v>164</v>
      </c>
      <c r="E1904" t="s">
        <v>328</v>
      </c>
      <c r="F1904" t="s">
        <v>117</v>
      </c>
      <c r="G1904" t="s">
        <v>1745</v>
      </c>
      <c r="H1904" s="9">
        <v>44657</v>
      </c>
      <c r="I1904" t="s">
        <v>330</v>
      </c>
      <c r="J1904" t="s">
        <v>2</v>
      </c>
      <c r="K1904" s="9">
        <v>44726</v>
      </c>
      <c r="L1904" t="s">
        <v>29</v>
      </c>
      <c r="M1904" t="s">
        <v>1686</v>
      </c>
      <c r="N1904" s="9">
        <v>44686</v>
      </c>
      <c r="O1904" s="9">
        <v>44693</v>
      </c>
      <c r="P1904" s="9">
        <v>44693</v>
      </c>
      <c r="Q1904"/>
      <c r="R1904"/>
      <c r="S1904"/>
      <c r="T1904"/>
      <c r="U1904"/>
    </row>
    <row r="1905" spans="1:21" hidden="1">
      <c r="A1905" s="7" t="s">
        <v>8743</v>
      </c>
      <c r="B1905" s="7" t="s">
        <v>7376</v>
      </c>
      <c r="C1905" s="8" t="s">
        <v>5317</v>
      </c>
      <c r="D1905" t="s">
        <v>164</v>
      </c>
      <c r="E1905" t="s">
        <v>328</v>
      </c>
      <c r="F1905" t="s">
        <v>117</v>
      </c>
      <c r="G1905" t="s">
        <v>1746</v>
      </c>
      <c r="H1905" s="9">
        <v>44657</v>
      </c>
      <c r="I1905" t="s">
        <v>330</v>
      </c>
      <c r="J1905" t="s">
        <v>2</v>
      </c>
      <c r="K1905" s="9">
        <v>44726</v>
      </c>
      <c r="L1905" t="s">
        <v>29</v>
      </c>
      <c r="M1905" t="s">
        <v>1686</v>
      </c>
      <c r="N1905" s="9">
        <v>44686</v>
      </c>
      <c r="O1905" s="9">
        <v>44693</v>
      </c>
      <c r="P1905" s="9">
        <v>44693</v>
      </c>
      <c r="Q1905"/>
      <c r="R1905"/>
      <c r="S1905"/>
      <c r="T1905"/>
      <c r="U1905"/>
    </row>
    <row r="1906" spans="1:21" hidden="1">
      <c r="A1906" s="7" t="s">
        <v>8743</v>
      </c>
      <c r="B1906" s="7" t="s">
        <v>7376</v>
      </c>
      <c r="C1906" s="8" t="s">
        <v>5317</v>
      </c>
      <c r="D1906" t="s">
        <v>164</v>
      </c>
      <c r="E1906" t="s">
        <v>328</v>
      </c>
      <c r="F1906" t="s">
        <v>117</v>
      </c>
      <c r="G1906" t="s">
        <v>1747</v>
      </c>
      <c r="H1906" s="9">
        <v>44657</v>
      </c>
      <c r="I1906" t="s">
        <v>330</v>
      </c>
      <c r="J1906" t="s">
        <v>2</v>
      </c>
      <c r="K1906" s="9">
        <v>44726</v>
      </c>
      <c r="L1906" t="s">
        <v>29</v>
      </c>
      <c r="M1906" t="s">
        <v>1686</v>
      </c>
      <c r="N1906" s="9">
        <v>44686</v>
      </c>
      <c r="O1906" s="9">
        <v>44693</v>
      </c>
      <c r="P1906" s="9">
        <v>44693</v>
      </c>
      <c r="Q1906"/>
      <c r="R1906"/>
      <c r="S1906"/>
      <c r="T1906"/>
      <c r="U1906"/>
    </row>
    <row r="1907" spans="1:21" hidden="1">
      <c r="A1907" s="7" t="s">
        <v>8743</v>
      </c>
      <c r="B1907" s="7" t="s">
        <v>7376</v>
      </c>
      <c r="C1907" s="8" t="s">
        <v>5317</v>
      </c>
      <c r="D1907" t="s">
        <v>164</v>
      </c>
      <c r="E1907" t="s">
        <v>328</v>
      </c>
      <c r="F1907" t="s">
        <v>117</v>
      </c>
      <c r="G1907" t="s">
        <v>1748</v>
      </c>
      <c r="H1907" s="9">
        <v>44657</v>
      </c>
      <c r="I1907" t="s">
        <v>330</v>
      </c>
      <c r="J1907" t="s">
        <v>2</v>
      </c>
      <c r="K1907" s="9">
        <v>44726</v>
      </c>
      <c r="L1907" t="s">
        <v>29</v>
      </c>
      <c r="M1907" t="s">
        <v>1686</v>
      </c>
      <c r="N1907" s="9">
        <v>44686</v>
      </c>
      <c r="O1907" s="9">
        <v>44693</v>
      </c>
      <c r="P1907" s="9">
        <v>44693</v>
      </c>
      <c r="Q1907"/>
      <c r="R1907"/>
      <c r="S1907"/>
      <c r="T1907"/>
      <c r="U1907"/>
    </row>
    <row r="1908" spans="1:21" hidden="1">
      <c r="A1908" s="7" t="s">
        <v>8743</v>
      </c>
      <c r="B1908" s="7" t="s">
        <v>7376</v>
      </c>
      <c r="C1908" s="8" t="s">
        <v>5317</v>
      </c>
      <c r="D1908" t="s">
        <v>164</v>
      </c>
      <c r="E1908" t="s">
        <v>328</v>
      </c>
      <c r="F1908" t="s">
        <v>117</v>
      </c>
      <c r="G1908" t="s">
        <v>1749</v>
      </c>
      <c r="H1908" s="9">
        <v>44657</v>
      </c>
      <c r="I1908" t="s">
        <v>330</v>
      </c>
      <c r="J1908" t="s">
        <v>2</v>
      </c>
      <c r="K1908" s="9">
        <v>44726</v>
      </c>
      <c r="L1908" t="s">
        <v>29</v>
      </c>
      <c r="M1908" t="s">
        <v>1686</v>
      </c>
      <c r="N1908" s="9">
        <v>44686</v>
      </c>
      <c r="O1908" s="9">
        <v>44693</v>
      </c>
      <c r="P1908" s="9">
        <v>44693</v>
      </c>
      <c r="Q1908"/>
      <c r="R1908"/>
      <c r="S1908"/>
      <c r="T1908"/>
      <c r="U1908"/>
    </row>
    <row r="1909" spans="1:21" hidden="1">
      <c r="A1909" s="7" t="s">
        <v>8743</v>
      </c>
      <c r="B1909" s="7" t="s">
        <v>7376</v>
      </c>
      <c r="C1909" s="8" t="s">
        <v>5317</v>
      </c>
      <c r="D1909" t="s">
        <v>164</v>
      </c>
      <c r="E1909" t="s">
        <v>328</v>
      </c>
      <c r="F1909" t="s">
        <v>117</v>
      </c>
      <c r="G1909" t="s">
        <v>1750</v>
      </c>
      <c r="H1909" s="9">
        <v>44657</v>
      </c>
      <c r="I1909" t="s">
        <v>330</v>
      </c>
      <c r="J1909" t="s">
        <v>2</v>
      </c>
      <c r="K1909" s="9">
        <v>44726</v>
      </c>
      <c r="L1909" t="s">
        <v>29</v>
      </c>
      <c r="M1909" t="s">
        <v>1686</v>
      </c>
      <c r="N1909" s="9">
        <v>44686</v>
      </c>
      <c r="O1909" s="9">
        <v>44693</v>
      </c>
      <c r="P1909" s="9">
        <v>44693</v>
      </c>
      <c r="Q1909"/>
      <c r="R1909"/>
      <c r="S1909"/>
      <c r="T1909"/>
      <c r="U1909"/>
    </row>
    <row r="1910" spans="1:21" hidden="1">
      <c r="A1910" s="7" t="s">
        <v>8743</v>
      </c>
      <c r="B1910" s="7" t="s">
        <v>7376</v>
      </c>
      <c r="C1910" s="8" t="s">
        <v>5317</v>
      </c>
      <c r="D1910" t="s">
        <v>164</v>
      </c>
      <c r="E1910" t="s">
        <v>328</v>
      </c>
      <c r="F1910" t="s">
        <v>117</v>
      </c>
      <c r="G1910" t="s">
        <v>1751</v>
      </c>
      <c r="H1910" s="9">
        <v>44657</v>
      </c>
      <c r="I1910" t="s">
        <v>330</v>
      </c>
      <c r="J1910" t="s">
        <v>2</v>
      </c>
      <c r="K1910" s="9">
        <v>44726</v>
      </c>
      <c r="L1910" t="s">
        <v>29</v>
      </c>
      <c r="M1910" t="s">
        <v>1686</v>
      </c>
      <c r="N1910" s="9">
        <v>44686</v>
      </c>
      <c r="O1910" s="9">
        <v>44693</v>
      </c>
      <c r="P1910" s="9">
        <v>44693</v>
      </c>
      <c r="Q1910"/>
      <c r="R1910"/>
      <c r="S1910"/>
      <c r="T1910"/>
      <c r="U1910"/>
    </row>
    <row r="1911" spans="1:21" hidden="1">
      <c r="A1911" s="7" t="s">
        <v>8743</v>
      </c>
      <c r="B1911" s="7" t="s">
        <v>7376</v>
      </c>
      <c r="C1911" s="8" t="s">
        <v>5317</v>
      </c>
      <c r="D1911" t="s">
        <v>164</v>
      </c>
      <c r="E1911" t="s">
        <v>328</v>
      </c>
      <c r="F1911" t="s">
        <v>117</v>
      </c>
      <c r="G1911" t="s">
        <v>1752</v>
      </c>
      <c r="H1911" s="9">
        <v>44657</v>
      </c>
      <c r="I1911" t="s">
        <v>330</v>
      </c>
      <c r="J1911" t="s">
        <v>2</v>
      </c>
      <c r="K1911" s="9">
        <v>44726</v>
      </c>
      <c r="L1911" t="s">
        <v>29</v>
      </c>
      <c r="M1911" t="s">
        <v>1686</v>
      </c>
      <c r="N1911" s="9">
        <v>44686</v>
      </c>
      <c r="O1911" s="9">
        <v>44693</v>
      </c>
      <c r="P1911" s="9">
        <v>44693</v>
      </c>
      <c r="Q1911"/>
      <c r="R1911"/>
      <c r="S1911"/>
      <c r="T1911"/>
      <c r="U1911"/>
    </row>
    <row r="1912" spans="1:21" hidden="1">
      <c r="A1912" s="7" t="s">
        <v>8743</v>
      </c>
      <c r="B1912" s="7" t="s">
        <v>7376</v>
      </c>
      <c r="C1912" s="8" t="s">
        <v>5317</v>
      </c>
      <c r="D1912" t="s">
        <v>164</v>
      </c>
      <c r="E1912" t="s">
        <v>328</v>
      </c>
      <c r="F1912" t="s">
        <v>117</v>
      </c>
      <c r="G1912" t="s">
        <v>1753</v>
      </c>
      <c r="H1912" s="9">
        <v>44657</v>
      </c>
      <c r="I1912" t="s">
        <v>330</v>
      </c>
      <c r="J1912" t="s">
        <v>2</v>
      </c>
      <c r="K1912" s="9">
        <v>44726</v>
      </c>
      <c r="L1912" t="s">
        <v>29</v>
      </c>
      <c r="M1912" t="s">
        <v>1686</v>
      </c>
      <c r="N1912" s="9">
        <v>44686</v>
      </c>
      <c r="O1912" s="9">
        <v>44693</v>
      </c>
      <c r="P1912" s="9">
        <v>44693</v>
      </c>
      <c r="Q1912"/>
      <c r="R1912"/>
      <c r="S1912"/>
      <c r="T1912"/>
      <c r="U1912"/>
    </row>
    <row r="1913" spans="1:21" hidden="1">
      <c r="A1913" s="7" t="s">
        <v>8743</v>
      </c>
      <c r="B1913" s="7" t="s">
        <v>7376</v>
      </c>
      <c r="C1913" s="8" t="s">
        <v>5317</v>
      </c>
      <c r="D1913" t="s">
        <v>164</v>
      </c>
      <c r="E1913" t="s">
        <v>328</v>
      </c>
      <c r="F1913" t="s">
        <v>117</v>
      </c>
      <c r="G1913" t="s">
        <v>1754</v>
      </c>
      <c r="H1913" s="9">
        <v>44657</v>
      </c>
      <c r="I1913" t="s">
        <v>330</v>
      </c>
      <c r="J1913" t="s">
        <v>2</v>
      </c>
      <c r="K1913" s="9">
        <v>44726</v>
      </c>
      <c r="L1913" t="s">
        <v>29</v>
      </c>
      <c r="M1913" t="s">
        <v>1686</v>
      </c>
      <c r="N1913" s="9">
        <v>44686</v>
      </c>
      <c r="O1913" s="9">
        <v>44693</v>
      </c>
      <c r="P1913" s="9">
        <v>44693</v>
      </c>
      <c r="Q1913"/>
      <c r="R1913"/>
      <c r="S1913"/>
      <c r="T1913"/>
      <c r="U1913"/>
    </row>
    <row r="1914" spans="1:21" hidden="1">
      <c r="A1914" s="7" t="s">
        <v>8743</v>
      </c>
      <c r="B1914" s="7" t="s">
        <v>7376</v>
      </c>
      <c r="C1914" s="8" t="s">
        <v>5317</v>
      </c>
      <c r="D1914" t="s">
        <v>164</v>
      </c>
      <c r="E1914" t="s">
        <v>328</v>
      </c>
      <c r="F1914" t="s">
        <v>117</v>
      </c>
      <c r="G1914" t="s">
        <v>1755</v>
      </c>
      <c r="H1914" s="9">
        <v>44657</v>
      </c>
      <c r="I1914" t="s">
        <v>330</v>
      </c>
      <c r="J1914" t="s">
        <v>2</v>
      </c>
      <c r="K1914" s="9">
        <v>44726</v>
      </c>
      <c r="L1914" t="s">
        <v>29</v>
      </c>
      <c r="M1914" t="s">
        <v>1686</v>
      </c>
      <c r="N1914" s="9">
        <v>44686</v>
      </c>
      <c r="O1914" s="9">
        <v>44693</v>
      </c>
      <c r="P1914" s="9">
        <v>44693</v>
      </c>
      <c r="Q1914"/>
      <c r="R1914"/>
      <c r="S1914"/>
      <c r="T1914"/>
      <c r="U1914"/>
    </row>
    <row r="1915" spans="1:21" hidden="1">
      <c r="A1915" s="7" t="s">
        <v>8743</v>
      </c>
      <c r="B1915" s="7" t="s">
        <v>7376</v>
      </c>
      <c r="C1915" s="8" t="s">
        <v>5317</v>
      </c>
      <c r="D1915" t="s">
        <v>164</v>
      </c>
      <c r="E1915" t="s">
        <v>328</v>
      </c>
      <c r="F1915" t="s">
        <v>117</v>
      </c>
      <c r="G1915" t="s">
        <v>1756</v>
      </c>
      <c r="H1915" s="9">
        <v>44657</v>
      </c>
      <c r="I1915" t="s">
        <v>330</v>
      </c>
      <c r="J1915" t="s">
        <v>2</v>
      </c>
      <c r="K1915" s="9">
        <v>44726</v>
      </c>
      <c r="L1915" t="s">
        <v>29</v>
      </c>
      <c r="M1915" t="s">
        <v>1686</v>
      </c>
      <c r="N1915" s="9">
        <v>44686</v>
      </c>
      <c r="O1915" s="9">
        <v>44693</v>
      </c>
      <c r="P1915" s="9">
        <v>44693</v>
      </c>
      <c r="Q1915"/>
      <c r="R1915"/>
      <c r="S1915"/>
      <c r="T1915"/>
      <c r="U1915"/>
    </row>
    <row r="1916" spans="1:21" hidden="1">
      <c r="A1916" s="7" t="s">
        <v>8743</v>
      </c>
      <c r="B1916" s="7" t="s">
        <v>7376</v>
      </c>
      <c r="C1916" s="8" t="s">
        <v>5317</v>
      </c>
      <c r="D1916" t="s">
        <v>164</v>
      </c>
      <c r="E1916" t="s">
        <v>328</v>
      </c>
      <c r="F1916" t="s">
        <v>117</v>
      </c>
      <c r="G1916" t="s">
        <v>1757</v>
      </c>
      <c r="H1916" s="9">
        <v>44657</v>
      </c>
      <c r="I1916" t="s">
        <v>330</v>
      </c>
      <c r="J1916" t="s">
        <v>2</v>
      </c>
      <c r="K1916" s="9">
        <v>44726</v>
      </c>
      <c r="L1916" t="s">
        <v>29</v>
      </c>
      <c r="M1916" t="s">
        <v>1686</v>
      </c>
      <c r="N1916" s="9">
        <v>44686</v>
      </c>
      <c r="O1916" s="9">
        <v>44693</v>
      </c>
      <c r="P1916" s="9">
        <v>44693</v>
      </c>
      <c r="Q1916"/>
      <c r="R1916"/>
      <c r="S1916"/>
      <c r="T1916"/>
      <c r="U1916"/>
    </row>
    <row r="1917" spans="1:21" hidden="1">
      <c r="A1917" s="7" t="s">
        <v>8743</v>
      </c>
      <c r="B1917" s="7" t="s">
        <v>7376</v>
      </c>
      <c r="C1917" s="8" t="s">
        <v>5317</v>
      </c>
      <c r="D1917" t="s">
        <v>164</v>
      </c>
      <c r="E1917" t="s">
        <v>328</v>
      </c>
      <c r="F1917" t="s">
        <v>117</v>
      </c>
      <c r="G1917" t="s">
        <v>1758</v>
      </c>
      <c r="H1917" s="9">
        <v>44657</v>
      </c>
      <c r="I1917" t="s">
        <v>330</v>
      </c>
      <c r="J1917" t="s">
        <v>2</v>
      </c>
      <c r="K1917" s="9">
        <v>44726</v>
      </c>
      <c r="L1917" t="s">
        <v>29</v>
      </c>
      <c r="M1917" t="s">
        <v>1686</v>
      </c>
      <c r="N1917" s="9">
        <v>44686</v>
      </c>
      <c r="O1917" s="9">
        <v>44693</v>
      </c>
      <c r="P1917" s="9">
        <v>44693</v>
      </c>
      <c r="Q1917"/>
      <c r="R1917"/>
      <c r="S1917"/>
      <c r="T1917"/>
      <c r="U1917"/>
    </row>
    <row r="1918" spans="1:21" hidden="1">
      <c r="A1918" s="7" t="s">
        <v>8743</v>
      </c>
      <c r="B1918" s="7" t="s">
        <v>7376</v>
      </c>
      <c r="C1918" s="8" t="s">
        <v>5317</v>
      </c>
      <c r="D1918" t="s">
        <v>164</v>
      </c>
      <c r="E1918" t="s">
        <v>328</v>
      </c>
      <c r="F1918" t="s">
        <v>117</v>
      </c>
      <c r="G1918" t="s">
        <v>1759</v>
      </c>
      <c r="H1918" s="9">
        <v>44657</v>
      </c>
      <c r="I1918" t="s">
        <v>330</v>
      </c>
      <c r="J1918" t="s">
        <v>2</v>
      </c>
      <c r="K1918" s="9">
        <v>44726</v>
      </c>
      <c r="L1918" t="s">
        <v>29</v>
      </c>
      <c r="M1918" t="s">
        <v>1686</v>
      </c>
      <c r="N1918" s="9">
        <v>44686</v>
      </c>
      <c r="O1918" s="9">
        <v>44693</v>
      </c>
      <c r="P1918" s="9">
        <v>44693</v>
      </c>
      <c r="Q1918"/>
      <c r="R1918"/>
      <c r="S1918"/>
      <c r="T1918"/>
      <c r="U1918"/>
    </row>
    <row r="1919" spans="1:21" hidden="1">
      <c r="A1919" s="7" t="s">
        <v>8743</v>
      </c>
      <c r="B1919" s="7" t="s">
        <v>7376</v>
      </c>
      <c r="C1919" s="8" t="s">
        <v>5317</v>
      </c>
      <c r="D1919" t="s">
        <v>164</v>
      </c>
      <c r="E1919" t="s">
        <v>328</v>
      </c>
      <c r="F1919" t="s">
        <v>117</v>
      </c>
      <c r="G1919" t="s">
        <v>1760</v>
      </c>
      <c r="H1919" s="9">
        <v>44657</v>
      </c>
      <c r="I1919" t="s">
        <v>330</v>
      </c>
      <c r="J1919" t="s">
        <v>2</v>
      </c>
      <c r="K1919" s="9">
        <v>44726</v>
      </c>
      <c r="L1919" t="s">
        <v>29</v>
      </c>
      <c r="M1919" t="s">
        <v>1686</v>
      </c>
      <c r="N1919" s="9">
        <v>44686</v>
      </c>
      <c r="O1919" s="9">
        <v>44693</v>
      </c>
      <c r="P1919" s="9">
        <v>44693</v>
      </c>
      <c r="Q1919"/>
      <c r="R1919"/>
      <c r="S1919"/>
      <c r="T1919"/>
      <c r="U1919"/>
    </row>
    <row r="1920" spans="1:21" hidden="1">
      <c r="A1920" s="7" t="s">
        <v>8743</v>
      </c>
      <c r="B1920" s="7" t="s">
        <v>7376</v>
      </c>
      <c r="C1920" s="8" t="s">
        <v>5317</v>
      </c>
      <c r="D1920" t="s">
        <v>164</v>
      </c>
      <c r="E1920" t="s">
        <v>328</v>
      </c>
      <c r="F1920" t="s">
        <v>117</v>
      </c>
      <c r="G1920" t="s">
        <v>1761</v>
      </c>
      <c r="H1920" s="9">
        <v>44657</v>
      </c>
      <c r="I1920" t="s">
        <v>330</v>
      </c>
      <c r="J1920" t="s">
        <v>2</v>
      </c>
      <c r="K1920" s="9">
        <v>44726</v>
      </c>
      <c r="L1920" t="s">
        <v>29</v>
      </c>
      <c r="M1920" t="s">
        <v>1686</v>
      </c>
      <c r="N1920" s="9">
        <v>44686</v>
      </c>
      <c r="O1920" s="9">
        <v>44693</v>
      </c>
      <c r="P1920" s="9">
        <v>44693</v>
      </c>
      <c r="Q1920"/>
      <c r="R1920"/>
      <c r="S1920"/>
      <c r="T1920"/>
      <c r="U1920"/>
    </row>
    <row r="1921" spans="1:21" hidden="1">
      <c r="A1921" s="7" t="s">
        <v>8743</v>
      </c>
      <c r="B1921" s="7" t="s">
        <v>7376</v>
      </c>
      <c r="C1921" s="8" t="s">
        <v>5317</v>
      </c>
      <c r="D1921" t="s">
        <v>164</v>
      </c>
      <c r="E1921" t="s">
        <v>328</v>
      </c>
      <c r="F1921" t="s">
        <v>117</v>
      </c>
      <c r="G1921" t="s">
        <v>1762</v>
      </c>
      <c r="H1921" s="9">
        <v>44657</v>
      </c>
      <c r="I1921" t="s">
        <v>330</v>
      </c>
      <c r="J1921" t="s">
        <v>2</v>
      </c>
      <c r="K1921" s="9">
        <v>44726</v>
      </c>
      <c r="L1921" t="s">
        <v>29</v>
      </c>
      <c r="M1921" t="s">
        <v>1686</v>
      </c>
      <c r="N1921" s="9">
        <v>44686</v>
      </c>
      <c r="O1921" s="9">
        <v>44693</v>
      </c>
      <c r="P1921" s="9">
        <v>44693</v>
      </c>
      <c r="Q1921"/>
      <c r="R1921"/>
      <c r="S1921"/>
      <c r="T1921"/>
      <c r="U1921"/>
    </row>
    <row r="1922" spans="1:21" hidden="1">
      <c r="A1922" s="7" t="s">
        <v>8743</v>
      </c>
      <c r="B1922" s="7" t="s">
        <v>7376</v>
      </c>
      <c r="C1922" s="8" t="s">
        <v>5317</v>
      </c>
      <c r="D1922" t="s">
        <v>164</v>
      </c>
      <c r="E1922" t="s">
        <v>328</v>
      </c>
      <c r="F1922" t="s">
        <v>117</v>
      </c>
      <c r="G1922" t="s">
        <v>1763</v>
      </c>
      <c r="H1922" s="9">
        <v>44657</v>
      </c>
      <c r="I1922" t="s">
        <v>330</v>
      </c>
      <c r="J1922" t="s">
        <v>2</v>
      </c>
      <c r="K1922" s="9">
        <v>44726</v>
      </c>
      <c r="L1922" t="s">
        <v>29</v>
      </c>
      <c r="M1922" t="s">
        <v>1686</v>
      </c>
      <c r="N1922" s="9">
        <v>44686</v>
      </c>
      <c r="O1922" s="9">
        <v>44693</v>
      </c>
      <c r="P1922" s="9">
        <v>44693</v>
      </c>
      <c r="Q1922"/>
      <c r="R1922"/>
      <c r="S1922"/>
      <c r="T1922"/>
      <c r="U1922"/>
    </row>
    <row r="1923" spans="1:21" hidden="1">
      <c r="A1923" s="7" t="s">
        <v>8743</v>
      </c>
      <c r="B1923" s="7" t="s">
        <v>7376</v>
      </c>
      <c r="C1923" s="8" t="s">
        <v>5317</v>
      </c>
      <c r="D1923" t="s">
        <v>164</v>
      </c>
      <c r="E1923" t="s">
        <v>328</v>
      </c>
      <c r="F1923" t="s">
        <v>117</v>
      </c>
      <c r="G1923" t="s">
        <v>1764</v>
      </c>
      <c r="H1923" s="9">
        <v>44657</v>
      </c>
      <c r="I1923" t="s">
        <v>330</v>
      </c>
      <c r="J1923" t="s">
        <v>2</v>
      </c>
      <c r="K1923" s="9">
        <v>44726</v>
      </c>
      <c r="L1923" t="s">
        <v>29</v>
      </c>
      <c r="M1923" t="s">
        <v>1686</v>
      </c>
      <c r="N1923" s="9">
        <v>44686</v>
      </c>
      <c r="O1923" s="9">
        <v>44693</v>
      </c>
      <c r="P1923" s="9">
        <v>44693</v>
      </c>
      <c r="Q1923"/>
      <c r="R1923"/>
      <c r="S1923"/>
      <c r="T1923"/>
      <c r="U1923"/>
    </row>
    <row r="1924" spans="1:21" hidden="1">
      <c r="A1924" s="7" t="s">
        <v>8743</v>
      </c>
      <c r="B1924" s="7" t="s">
        <v>7376</v>
      </c>
      <c r="C1924" s="8" t="s">
        <v>5317</v>
      </c>
      <c r="D1924" t="s">
        <v>164</v>
      </c>
      <c r="E1924" t="s">
        <v>328</v>
      </c>
      <c r="F1924" t="s">
        <v>117</v>
      </c>
      <c r="G1924" t="s">
        <v>1765</v>
      </c>
      <c r="H1924" s="9">
        <v>44657</v>
      </c>
      <c r="I1924" t="s">
        <v>330</v>
      </c>
      <c r="J1924" t="s">
        <v>2</v>
      </c>
      <c r="K1924" s="9">
        <v>44726</v>
      </c>
      <c r="L1924" t="s">
        <v>29</v>
      </c>
      <c r="M1924" t="s">
        <v>1686</v>
      </c>
      <c r="N1924" s="9">
        <v>44686</v>
      </c>
      <c r="O1924" s="9">
        <v>44693</v>
      </c>
      <c r="P1924" s="9">
        <v>44693</v>
      </c>
      <c r="Q1924"/>
      <c r="R1924"/>
      <c r="S1924"/>
      <c r="T1924"/>
      <c r="U1924"/>
    </row>
    <row r="1925" spans="1:21" hidden="1">
      <c r="A1925" s="7" t="s">
        <v>8743</v>
      </c>
      <c r="B1925" s="7" t="s">
        <v>7376</v>
      </c>
      <c r="C1925" s="8" t="s">
        <v>5317</v>
      </c>
      <c r="D1925" t="s">
        <v>164</v>
      </c>
      <c r="E1925" t="s">
        <v>328</v>
      </c>
      <c r="F1925" t="s">
        <v>117</v>
      </c>
      <c r="G1925" t="s">
        <v>1766</v>
      </c>
      <c r="H1925" s="9">
        <v>44657</v>
      </c>
      <c r="I1925" t="s">
        <v>330</v>
      </c>
      <c r="J1925" t="s">
        <v>2</v>
      </c>
      <c r="K1925" s="9">
        <v>44726</v>
      </c>
      <c r="L1925" t="s">
        <v>29</v>
      </c>
      <c r="M1925" t="s">
        <v>1686</v>
      </c>
      <c r="N1925" s="9">
        <v>44686</v>
      </c>
      <c r="O1925" s="9">
        <v>44693</v>
      </c>
      <c r="P1925" s="9">
        <v>44693</v>
      </c>
      <c r="Q1925"/>
      <c r="R1925"/>
      <c r="S1925"/>
      <c r="T1925"/>
      <c r="U1925"/>
    </row>
    <row r="1926" spans="1:21" hidden="1">
      <c r="A1926" s="7" t="s">
        <v>8743</v>
      </c>
      <c r="B1926" s="7" t="s">
        <v>7376</v>
      </c>
      <c r="C1926" s="8" t="s">
        <v>5317</v>
      </c>
      <c r="D1926" t="s">
        <v>164</v>
      </c>
      <c r="E1926" t="s">
        <v>328</v>
      </c>
      <c r="F1926" t="s">
        <v>117</v>
      </c>
      <c r="G1926" t="s">
        <v>1767</v>
      </c>
      <c r="H1926" s="9">
        <v>44657</v>
      </c>
      <c r="I1926" t="s">
        <v>330</v>
      </c>
      <c r="J1926" t="s">
        <v>2</v>
      </c>
      <c r="K1926" s="9">
        <v>44726</v>
      </c>
      <c r="L1926" t="s">
        <v>29</v>
      </c>
      <c r="M1926" t="s">
        <v>1686</v>
      </c>
      <c r="N1926" s="9">
        <v>44686</v>
      </c>
      <c r="O1926" s="9">
        <v>44693</v>
      </c>
      <c r="P1926" s="9">
        <v>44693</v>
      </c>
      <c r="Q1926"/>
      <c r="R1926"/>
      <c r="S1926"/>
      <c r="T1926"/>
      <c r="U1926"/>
    </row>
    <row r="1927" spans="1:21" hidden="1">
      <c r="A1927" s="7" t="s">
        <v>8743</v>
      </c>
      <c r="B1927" s="7" t="s">
        <v>7376</v>
      </c>
      <c r="C1927" s="8" t="s">
        <v>5317</v>
      </c>
      <c r="D1927" t="s">
        <v>164</v>
      </c>
      <c r="E1927" t="s">
        <v>328</v>
      </c>
      <c r="F1927" t="s">
        <v>117</v>
      </c>
      <c r="G1927" t="s">
        <v>1768</v>
      </c>
      <c r="H1927" s="9">
        <v>44657</v>
      </c>
      <c r="I1927" t="s">
        <v>330</v>
      </c>
      <c r="J1927" t="s">
        <v>2</v>
      </c>
      <c r="K1927" s="9">
        <v>44726</v>
      </c>
      <c r="L1927" t="s">
        <v>29</v>
      </c>
      <c r="M1927" t="s">
        <v>1686</v>
      </c>
      <c r="N1927" s="9">
        <v>44686</v>
      </c>
      <c r="O1927" s="9">
        <v>44693</v>
      </c>
      <c r="P1927" s="9">
        <v>44693</v>
      </c>
      <c r="Q1927"/>
      <c r="R1927"/>
      <c r="S1927"/>
      <c r="T1927"/>
      <c r="U1927"/>
    </row>
    <row r="1928" spans="1:21" hidden="1">
      <c r="A1928" s="7" t="s">
        <v>8743</v>
      </c>
      <c r="B1928" s="7" t="s">
        <v>7376</v>
      </c>
      <c r="C1928" s="8" t="s">
        <v>5317</v>
      </c>
      <c r="D1928" t="s">
        <v>164</v>
      </c>
      <c r="E1928" t="s">
        <v>328</v>
      </c>
      <c r="F1928" t="s">
        <v>117</v>
      </c>
      <c r="G1928" t="s">
        <v>1769</v>
      </c>
      <c r="H1928" s="9">
        <v>44657</v>
      </c>
      <c r="I1928" t="s">
        <v>330</v>
      </c>
      <c r="J1928" t="s">
        <v>2</v>
      </c>
      <c r="K1928" s="9">
        <v>44726</v>
      </c>
      <c r="L1928" t="s">
        <v>29</v>
      </c>
      <c r="M1928" t="s">
        <v>1686</v>
      </c>
      <c r="N1928" s="9">
        <v>44686</v>
      </c>
      <c r="O1928" s="9">
        <v>44693</v>
      </c>
      <c r="P1928" s="9">
        <v>44693</v>
      </c>
      <c r="Q1928"/>
      <c r="R1928"/>
      <c r="S1928"/>
      <c r="T1928"/>
      <c r="U1928"/>
    </row>
    <row r="1929" spans="1:21" hidden="1">
      <c r="A1929" s="7" t="s">
        <v>8743</v>
      </c>
      <c r="B1929" s="7" t="s">
        <v>7376</v>
      </c>
      <c r="C1929" s="8" t="s">
        <v>5317</v>
      </c>
      <c r="D1929" t="s">
        <v>164</v>
      </c>
      <c r="E1929" t="s">
        <v>328</v>
      </c>
      <c r="F1929" t="s">
        <v>117</v>
      </c>
      <c r="G1929" t="s">
        <v>1770</v>
      </c>
      <c r="H1929" s="9">
        <v>44657</v>
      </c>
      <c r="I1929" t="s">
        <v>330</v>
      </c>
      <c r="J1929" t="s">
        <v>2</v>
      </c>
      <c r="K1929" s="9">
        <v>44726</v>
      </c>
      <c r="L1929" t="s">
        <v>29</v>
      </c>
      <c r="M1929" t="s">
        <v>1686</v>
      </c>
      <c r="N1929" s="9">
        <v>44686</v>
      </c>
      <c r="O1929" s="9">
        <v>44693</v>
      </c>
      <c r="P1929" s="9">
        <v>44693</v>
      </c>
      <c r="Q1929"/>
      <c r="R1929"/>
      <c r="S1929"/>
      <c r="T1929"/>
      <c r="U1929"/>
    </row>
    <row r="1930" spans="1:21" hidden="1">
      <c r="A1930" s="7" t="s">
        <v>8743</v>
      </c>
      <c r="B1930" s="7" t="s">
        <v>7376</v>
      </c>
      <c r="C1930" s="8" t="s">
        <v>5317</v>
      </c>
      <c r="D1930" t="s">
        <v>164</v>
      </c>
      <c r="E1930" t="s">
        <v>328</v>
      </c>
      <c r="F1930" t="s">
        <v>117</v>
      </c>
      <c r="G1930" t="s">
        <v>1771</v>
      </c>
      <c r="H1930" s="9">
        <v>44657</v>
      </c>
      <c r="I1930" t="s">
        <v>330</v>
      </c>
      <c r="J1930" t="s">
        <v>2</v>
      </c>
      <c r="K1930" s="9">
        <v>44726</v>
      </c>
      <c r="L1930" t="s">
        <v>29</v>
      </c>
      <c r="M1930" t="s">
        <v>1686</v>
      </c>
      <c r="N1930" s="9">
        <v>44686</v>
      </c>
      <c r="O1930" s="9">
        <v>44693</v>
      </c>
      <c r="P1930" s="9">
        <v>44693</v>
      </c>
      <c r="Q1930"/>
      <c r="R1930"/>
      <c r="S1930"/>
      <c r="T1930"/>
      <c r="U1930"/>
    </row>
    <row r="1931" spans="1:21" hidden="1">
      <c r="A1931" s="7" t="s">
        <v>8743</v>
      </c>
      <c r="B1931" s="7" t="s">
        <v>7376</v>
      </c>
      <c r="C1931" s="8" t="s">
        <v>5317</v>
      </c>
      <c r="D1931" t="s">
        <v>164</v>
      </c>
      <c r="E1931" t="s">
        <v>328</v>
      </c>
      <c r="F1931" t="s">
        <v>117</v>
      </c>
      <c r="G1931" t="s">
        <v>1772</v>
      </c>
      <c r="H1931" s="9">
        <v>44657</v>
      </c>
      <c r="I1931" t="s">
        <v>330</v>
      </c>
      <c r="J1931" t="s">
        <v>2</v>
      </c>
      <c r="K1931" s="9">
        <v>44726</v>
      </c>
      <c r="L1931" t="s">
        <v>29</v>
      </c>
      <c r="M1931" t="s">
        <v>1686</v>
      </c>
      <c r="N1931" s="9">
        <v>44686</v>
      </c>
      <c r="O1931" s="9">
        <v>44693</v>
      </c>
      <c r="P1931" s="9">
        <v>44693</v>
      </c>
      <c r="Q1931"/>
      <c r="R1931"/>
      <c r="S1931"/>
      <c r="T1931"/>
      <c r="U1931"/>
    </row>
    <row r="1932" spans="1:21" hidden="1">
      <c r="A1932" s="7" t="s">
        <v>8743</v>
      </c>
      <c r="B1932" s="7" t="s">
        <v>7376</v>
      </c>
      <c r="C1932" s="8" t="s">
        <v>5317</v>
      </c>
      <c r="D1932" t="s">
        <v>164</v>
      </c>
      <c r="E1932" t="s">
        <v>328</v>
      </c>
      <c r="F1932" t="s">
        <v>117</v>
      </c>
      <c r="G1932" t="s">
        <v>1773</v>
      </c>
      <c r="H1932" s="9">
        <v>44657</v>
      </c>
      <c r="I1932" t="s">
        <v>330</v>
      </c>
      <c r="J1932" t="s">
        <v>2</v>
      </c>
      <c r="K1932" s="9">
        <v>44726</v>
      </c>
      <c r="L1932" t="s">
        <v>29</v>
      </c>
      <c r="M1932" t="s">
        <v>1686</v>
      </c>
      <c r="N1932" s="9">
        <v>44686</v>
      </c>
      <c r="O1932" s="9">
        <v>44693</v>
      </c>
      <c r="P1932" s="9">
        <v>44693</v>
      </c>
      <c r="Q1932"/>
      <c r="R1932"/>
      <c r="S1932"/>
      <c r="T1932"/>
      <c r="U1932"/>
    </row>
    <row r="1933" spans="1:21" hidden="1">
      <c r="A1933" s="7" t="s">
        <v>8743</v>
      </c>
      <c r="B1933" s="7" t="s">
        <v>7376</v>
      </c>
      <c r="C1933" s="8" t="s">
        <v>5317</v>
      </c>
      <c r="D1933" t="s">
        <v>164</v>
      </c>
      <c r="E1933" t="s">
        <v>328</v>
      </c>
      <c r="F1933" t="s">
        <v>117</v>
      </c>
      <c r="G1933" t="s">
        <v>1774</v>
      </c>
      <c r="H1933" s="9">
        <v>44657</v>
      </c>
      <c r="I1933" t="s">
        <v>330</v>
      </c>
      <c r="J1933" t="s">
        <v>2</v>
      </c>
      <c r="K1933" s="9">
        <v>44726</v>
      </c>
      <c r="L1933" t="s">
        <v>29</v>
      </c>
      <c r="M1933" t="s">
        <v>1686</v>
      </c>
      <c r="N1933" s="9">
        <v>44686</v>
      </c>
      <c r="O1933" s="9">
        <v>44693</v>
      </c>
      <c r="P1933" s="9">
        <v>44693</v>
      </c>
      <c r="Q1933"/>
      <c r="R1933"/>
      <c r="S1933"/>
      <c r="T1933"/>
      <c r="U1933"/>
    </row>
    <row r="1934" spans="1:21" hidden="1">
      <c r="A1934" s="7" t="s">
        <v>8743</v>
      </c>
      <c r="B1934" s="7" t="s">
        <v>7376</v>
      </c>
      <c r="C1934" s="8" t="s">
        <v>5317</v>
      </c>
      <c r="D1934" t="s">
        <v>164</v>
      </c>
      <c r="E1934" t="s">
        <v>328</v>
      </c>
      <c r="F1934" t="s">
        <v>117</v>
      </c>
      <c r="G1934" t="s">
        <v>1775</v>
      </c>
      <c r="H1934" s="9">
        <v>44657</v>
      </c>
      <c r="I1934" t="s">
        <v>330</v>
      </c>
      <c r="J1934" t="s">
        <v>2</v>
      </c>
      <c r="K1934" s="9">
        <v>44726</v>
      </c>
      <c r="L1934" t="s">
        <v>29</v>
      </c>
      <c r="M1934" t="s">
        <v>1686</v>
      </c>
      <c r="N1934" s="9">
        <v>44686</v>
      </c>
      <c r="O1934" s="9">
        <v>44693</v>
      </c>
      <c r="P1934" s="9">
        <v>44693</v>
      </c>
      <c r="Q1934"/>
      <c r="R1934"/>
      <c r="S1934"/>
      <c r="T1934"/>
      <c r="U1934"/>
    </row>
    <row r="1935" spans="1:21" hidden="1">
      <c r="A1935" s="7" t="s">
        <v>8743</v>
      </c>
      <c r="B1935" s="7" t="s">
        <v>7376</v>
      </c>
      <c r="C1935" s="8" t="s">
        <v>5317</v>
      </c>
      <c r="D1935" t="s">
        <v>164</v>
      </c>
      <c r="E1935" t="s">
        <v>328</v>
      </c>
      <c r="F1935" t="s">
        <v>117</v>
      </c>
      <c r="G1935" t="s">
        <v>1776</v>
      </c>
      <c r="H1935" s="9">
        <v>44657</v>
      </c>
      <c r="I1935" t="s">
        <v>330</v>
      </c>
      <c r="J1935" t="s">
        <v>2</v>
      </c>
      <c r="K1935" s="9">
        <v>44726</v>
      </c>
      <c r="L1935" t="s">
        <v>29</v>
      </c>
      <c r="M1935" t="s">
        <v>1686</v>
      </c>
      <c r="N1935" s="9">
        <v>44686</v>
      </c>
      <c r="O1935" s="9">
        <v>44693</v>
      </c>
      <c r="P1935" s="9">
        <v>44693</v>
      </c>
      <c r="Q1935"/>
      <c r="R1935"/>
      <c r="S1935"/>
      <c r="T1935"/>
      <c r="U1935"/>
    </row>
    <row r="1936" spans="1:21" hidden="1">
      <c r="A1936" s="7" t="s">
        <v>8743</v>
      </c>
      <c r="B1936" s="7" t="s">
        <v>7376</v>
      </c>
      <c r="C1936" s="8" t="s">
        <v>5317</v>
      </c>
      <c r="D1936" t="s">
        <v>164</v>
      </c>
      <c r="E1936" t="s">
        <v>328</v>
      </c>
      <c r="F1936" t="s">
        <v>117</v>
      </c>
      <c r="G1936" t="s">
        <v>1777</v>
      </c>
      <c r="H1936" s="9">
        <v>44657</v>
      </c>
      <c r="I1936" t="s">
        <v>330</v>
      </c>
      <c r="J1936" t="s">
        <v>2</v>
      </c>
      <c r="K1936" s="9">
        <v>44726</v>
      </c>
      <c r="L1936" t="s">
        <v>29</v>
      </c>
      <c r="M1936" t="s">
        <v>1686</v>
      </c>
      <c r="N1936" s="9">
        <v>44686</v>
      </c>
      <c r="O1936" s="9">
        <v>44693</v>
      </c>
      <c r="P1936" s="9">
        <v>44693</v>
      </c>
      <c r="Q1936"/>
      <c r="R1936"/>
      <c r="S1936"/>
      <c r="T1936"/>
      <c r="U1936"/>
    </row>
    <row r="1937" spans="1:21" hidden="1">
      <c r="A1937" s="7" t="s">
        <v>8743</v>
      </c>
      <c r="B1937" s="7" t="s">
        <v>7376</v>
      </c>
      <c r="C1937" s="8" t="s">
        <v>5317</v>
      </c>
      <c r="D1937" t="s">
        <v>164</v>
      </c>
      <c r="E1937" t="s">
        <v>328</v>
      </c>
      <c r="F1937" t="s">
        <v>117</v>
      </c>
      <c r="G1937" t="s">
        <v>1778</v>
      </c>
      <c r="H1937" s="9">
        <v>44657</v>
      </c>
      <c r="I1937" t="s">
        <v>330</v>
      </c>
      <c r="J1937" t="s">
        <v>2</v>
      </c>
      <c r="K1937" s="9">
        <v>44726</v>
      </c>
      <c r="L1937" t="s">
        <v>29</v>
      </c>
      <c r="M1937" t="s">
        <v>1686</v>
      </c>
      <c r="N1937" s="9">
        <v>44686</v>
      </c>
      <c r="O1937" s="9">
        <v>44693</v>
      </c>
      <c r="P1937" s="9">
        <v>44693</v>
      </c>
      <c r="Q1937"/>
      <c r="R1937"/>
      <c r="S1937"/>
      <c r="T1937"/>
      <c r="U1937"/>
    </row>
    <row r="1938" spans="1:21" hidden="1">
      <c r="A1938" s="7" t="s">
        <v>8743</v>
      </c>
      <c r="B1938" s="7" t="s">
        <v>7376</v>
      </c>
      <c r="C1938" s="8" t="s">
        <v>5317</v>
      </c>
      <c r="D1938" t="s">
        <v>164</v>
      </c>
      <c r="E1938" t="s">
        <v>328</v>
      </c>
      <c r="F1938" t="s">
        <v>117</v>
      </c>
      <c r="G1938" t="s">
        <v>1779</v>
      </c>
      <c r="H1938" s="9">
        <v>44657</v>
      </c>
      <c r="I1938" t="s">
        <v>330</v>
      </c>
      <c r="J1938" t="s">
        <v>2</v>
      </c>
      <c r="K1938" s="9">
        <v>44726</v>
      </c>
      <c r="L1938" t="s">
        <v>29</v>
      </c>
      <c r="M1938" t="s">
        <v>1686</v>
      </c>
      <c r="N1938" s="9">
        <v>44686</v>
      </c>
      <c r="O1938" s="9">
        <v>44693</v>
      </c>
      <c r="P1938" s="9">
        <v>44693</v>
      </c>
      <c r="Q1938"/>
      <c r="R1938"/>
      <c r="S1938"/>
      <c r="T1938"/>
      <c r="U1938"/>
    </row>
    <row r="1939" spans="1:21" hidden="1">
      <c r="A1939" s="7" t="s">
        <v>8832</v>
      </c>
      <c r="B1939" s="7" t="s">
        <v>8356</v>
      </c>
      <c r="C1939" s="8" t="s">
        <v>5317</v>
      </c>
      <c r="D1939" t="s">
        <v>164</v>
      </c>
      <c r="E1939" t="s">
        <v>1780</v>
      </c>
      <c r="F1939" t="s">
        <v>117</v>
      </c>
      <c r="G1939" t="s">
        <v>1781</v>
      </c>
      <c r="H1939" s="9">
        <v>44657</v>
      </c>
      <c r="I1939" t="s">
        <v>330</v>
      </c>
      <c r="J1939" t="s">
        <v>2</v>
      </c>
      <c r="K1939" s="9">
        <v>44762</v>
      </c>
      <c r="L1939" t="s">
        <v>29</v>
      </c>
      <c r="M1939" t="s">
        <v>1686</v>
      </c>
      <c r="N1939"/>
      <c r="O1939"/>
      <c r="P1939"/>
      <c r="Q1939" s="9">
        <v>44672</v>
      </c>
      <c r="R1939"/>
      <c r="S1939"/>
      <c r="T1939"/>
      <c r="U1939"/>
    </row>
    <row r="1940" spans="1:21" hidden="1">
      <c r="A1940" s="7" t="s">
        <v>8832</v>
      </c>
      <c r="B1940" s="7" t="s">
        <v>8356</v>
      </c>
      <c r="C1940" s="8" t="s">
        <v>5317</v>
      </c>
      <c r="D1940" t="s">
        <v>164</v>
      </c>
      <c r="E1940" t="s">
        <v>1780</v>
      </c>
      <c r="F1940" t="s">
        <v>117</v>
      </c>
      <c r="G1940" t="s">
        <v>1782</v>
      </c>
      <c r="H1940" s="9">
        <v>44657</v>
      </c>
      <c r="I1940" t="s">
        <v>330</v>
      </c>
      <c r="J1940" t="s">
        <v>2</v>
      </c>
      <c r="K1940" s="9">
        <v>44762</v>
      </c>
      <c r="L1940" t="s">
        <v>29</v>
      </c>
      <c r="M1940" t="s">
        <v>1686</v>
      </c>
      <c r="N1940"/>
      <c r="O1940"/>
      <c r="P1940"/>
      <c r="Q1940" s="9">
        <v>44672</v>
      </c>
      <c r="R1940"/>
      <c r="S1940"/>
      <c r="T1940"/>
      <c r="U1940"/>
    </row>
    <row r="1941" spans="1:21" hidden="1">
      <c r="A1941" s="7" t="s">
        <v>8832</v>
      </c>
      <c r="B1941" s="7" t="s">
        <v>8356</v>
      </c>
      <c r="C1941" s="8" t="s">
        <v>5317</v>
      </c>
      <c r="D1941" t="s">
        <v>164</v>
      </c>
      <c r="E1941" t="s">
        <v>1780</v>
      </c>
      <c r="F1941" t="s">
        <v>117</v>
      </c>
      <c r="G1941" t="s">
        <v>1783</v>
      </c>
      <c r="H1941" s="9">
        <v>44657</v>
      </c>
      <c r="I1941" t="s">
        <v>330</v>
      </c>
      <c r="J1941" t="s">
        <v>2</v>
      </c>
      <c r="K1941" s="9">
        <v>44762</v>
      </c>
      <c r="L1941" t="s">
        <v>29</v>
      </c>
      <c r="M1941" t="s">
        <v>1686</v>
      </c>
      <c r="N1941"/>
      <c r="O1941"/>
      <c r="P1941"/>
      <c r="Q1941" s="9">
        <v>44672</v>
      </c>
      <c r="R1941"/>
      <c r="S1941"/>
      <c r="T1941"/>
      <c r="U1941"/>
    </row>
    <row r="1942" spans="1:21" hidden="1">
      <c r="A1942" s="7" t="s">
        <v>8832</v>
      </c>
      <c r="B1942" s="7" t="s">
        <v>8356</v>
      </c>
      <c r="C1942" s="8" t="s">
        <v>5317</v>
      </c>
      <c r="D1942" t="s">
        <v>164</v>
      </c>
      <c r="E1942" t="s">
        <v>1780</v>
      </c>
      <c r="F1942" t="s">
        <v>117</v>
      </c>
      <c r="G1942" t="s">
        <v>1784</v>
      </c>
      <c r="H1942" s="9">
        <v>44657</v>
      </c>
      <c r="I1942" t="s">
        <v>330</v>
      </c>
      <c r="J1942" t="s">
        <v>2</v>
      </c>
      <c r="K1942" s="9">
        <v>44762</v>
      </c>
      <c r="L1942" t="s">
        <v>29</v>
      </c>
      <c r="M1942" t="s">
        <v>1686</v>
      </c>
      <c r="N1942"/>
      <c r="O1942"/>
      <c r="P1942"/>
      <c r="Q1942" s="9">
        <v>44672</v>
      </c>
      <c r="R1942"/>
      <c r="S1942"/>
      <c r="T1942"/>
      <c r="U1942"/>
    </row>
    <row r="1943" spans="1:21" hidden="1">
      <c r="A1943" s="7" t="s">
        <v>8832</v>
      </c>
      <c r="B1943" s="7" t="s">
        <v>8356</v>
      </c>
      <c r="C1943" s="8" t="s">
        <v>5317</v>
      </c>
      <c r="D1943" t="s">
        <v>164</v>
      </c>
      <c r="E1943" t="s">
        <v>1780</v>
      </c>
      <c r="F1943" t="s">
        <v>117</v>
      </c>
      <c r="G1943" t="s">
        <v>1785</v>
      </c>
      <c r="H1943" s="9">
        <v>44657</v>
      </c>
      <c r="I1943" t="s">
        <v>330</v>
      </c>
      <c r="J1943" t="s">
        <v>2</v>
      </c>
      <c r="K1943" s="9">
        <v>44762</v>
      </c>
      <c r="L1943" t="s">
        <v>29</v>
      </c>
      <c r="M1943" t="s">
        <v>1686</v>
      </c>
      <c r="N1943"/>
      <c r="O1943"/>
      <c r="P1943"/>
      <c r="Q1943" s="9">
        <v>44672</v>
      </c>
      <c r="R1943"/>
      <c r="S1943"/>
      <c r="T1943"/>
      <c r="U1943"/>
    </row>
    <row r="1944" spans="1:21" hidden="1">
      <c r="A1944" s="7" t="s">
        <v>8832</v>
      </c>
      <c r="B1944" s="7" t="s">
        <v>8356</v>
      </c>
      <c r="C1944" s="8" t="s">
        <v>5317</v>
      </c>
      <c r="D1944" t="s">
        <v>164</v>
      </c>
      <c r="E1944" t="s">
        <v>1780</v>
      </c>
      <c r="F1944" t="s">
        <v>117</v>
      </c>
      <c r="G1944" t="s">
        <v>1786</v>
      </c>
      <c r="H1944" s="9">
        <v>44657</v>
      </c>
      <c r="I1944" t="s">
        <v>330</v>
      </c>
      <c r="J1944" t="s">
        <v>2</v>
      </c>
      <c r="K1944" s="9">
        <v>44762</v>
      </c>
      <c r="L1944" t="s">
        <v>29</v>
      </c>
      <c r="M1944" t="s">
        <v>1686</v>
      </c>
      <c r="N1944"/>
      <c r="O1944"/>
      <c r="P1944"/>
      <c r="Q1944" s="9">
        <v>44672</v>
      </c>
      <c r="R1944"/>
      <c r="S1944"/>
      <c r="T1944"/>
      <c r="U1944"/>
    </row>
    <row r="1945" spans="1:21" hidden="1">
      <c r="A1945" s="7" t="s">
        <v>8832</v>
      </c>
      <c r="B1945" s="7" t="s">
        <v>8356</v>
      </c>
      <c r="C1945" s="8" t="s">
        <v>5317</v>
      </c>
      <c r="D1945" t="s">
        <v>164</v>
      </c>
      <c r="E1945" t="s">
        <v>1780</v>
      </c>
      <c r="F1945" t="s">
        <v>117</v>
      </c>
      <c r="G1945" t="s">
        <v>1787</v>
      </c>
      <c r="H1945" s="9">
        <v>44657</v>
      </c>
      <c r="I1945" t="s">
        <v>330</v>
      </c>
      <c r="J1945" t="s">
        <v>2</v>
      </c>
      <c r="K1945" s="9">
        <v>44762</v>
      </c>
      <c r="L1945" t="s">
        <v>29</v>
      </c>
      <c r="M1945" t="s">
        <v>1686</v>
      </c>
      <c r="N1945"/>
      <c r="O1945"/>
      <c r="P1945"/>
      <c r="Q1945" s="9">
        <v>44672</v>
      </c>
      <c r="R1945"/>
      <c r="S1945"/>
      <c r="T1945"/>
      <c r="U1945"/>
    </row>
    <row r="1946" spans="1:21" hidden="1">
      <c r="A1946" s="7" t="s">
        <v>8832</v>
      </c>
      <c r="B1946" s="7" t="s">
        <v>8356</v>
      </c>
      <c r="C1946" s="8" t="s">
        <v>5317</v>
      </c>
      <c r="D1946" t="s">
        <v>164</v>
      </c>
      <c r="E1946" t="s">
        <v>1780</v>
      </c>
      <c r="F1946" t="s">
        <v>117</v>
      </c>
      <c r="G1946" t="s">
        <v>1788</v>
      </c>
      <c r="H1946" s="9">
        <v>44657</v>
      </c>
      <c r="I1946" t="s">
        <v>330</v>
      </c>
      <c r="J1946" t="s">
        <v>2</v>
      </c>
      <c r="K1946" s="9">
        <v>44762</v>
      </c>
      <c r="L1946" t="s">
        <v>29</v>
      </c>
      <c r="M1946" t="s">
        <v>1686</v>
      </c>
      <c r="N1946"/>
      <c r="O1946"/>
      <c r="P1946"/>
      <c r="Q1946" s="9">
        <v>44672</v>
      </c>
      <c r="R1946"/>
      <c r="S1946"/>
      <c r="T1946"/>
      <c r="U1946"/>
    </row>
    <row r="1947" spans="1:21" hidden="1">
      <c r="A1947" s="7" t="s">
        <v>8832</v>
      </c>
      <c r="B1947" s="7" t="s">
        <v>8356</v>
      </c>
      <c r="C1947" s="8" t="s">
        <v>5317</v>
      </c>
      <c r="D1947" t="s">
        <v>164</v>
      </c>
      <c r="E1947" t="s">
        <v>1780</v>
      </c>
      <c r="F1947" t="s">
        <v>117</v>
      </c>
      <c r="G1947" t="s">
        <v>1789</v>
      </c>
      <c r="H1947" s="9">
        <v>44657</v>
      </c>
      <c r="I1947" t="s">
        <v>330</v>
      </c>
      <c r="J1947" t="s">
        <v>2</v>
      </c>
      <c r="K1947" s="9">
        <v>44762</v>
      </c>
      <c r="L1947" t="s">
        <v>29</v>
      </c>
      <c r="M1947" t="s">
        <v>1686</v>
      </c>
      <c r="N1947"/>
      <c r="O1947"/>
      <c r="P1947"/>
      <c r="Q1947" s="9">
        <v>44672</v>
      </c>
      <c r="R1947"/>
      <c r="S1947"/>
      <c r="T1947"/>
      <c r="U1947"/>
    </row>
    <row r="1948" spans="1:21" hidden="1">
      <c r="A1948" s="7" t="s">
        <v>8833</v>
      </c>
      <c r="B1948" s="7" t="s">
        <v>7735</v>
      </c>
      <c r="C1948" s="8" t="s">
        <v>5317</v>
      </c>
      <c r="D1948" t="s">
        <v>164</v>
      </c>
      <c r="E1948" t="s">
        <v>1790</v>
      </c>
      <c r="F1948" t="s">
        <v>117</v>
      </c>
      <c r="G1948" t="s">
        <v>1791</v>
      </c>
      <c r="H1948" s="9">
        <v>44657</v>
      </c>
      <c r="I1948" t="s">
        <v>297</v>
      </c>
      <c r="J1948" t="s">
        <v>2</v>
      </c>
      <c r="K1948" s="9">
        <v>44726</v>
      </c>
      <c r="L1948" t="s">
        <v>29</v>
      </c>
      <c r="M1948" t="s">
        <v>1686</v>
      </c>
      <c r="N1948" s="9">
        <v>44686</v>
      </c>
      <c r="O1948" s="9">
        <v>44693</v>
      </c>
      <c r="P1948" s="9">
        <v>44693</v>
      </c>
      <c r="Q1948"/>
      <c r="R1948"/>
      <c r="S1948"/>
      <c r="T1948"/>
      <c r="U1948"/>
    </row>
    <row r="1949" spans="1:21" hidden="1">
      <c r="A1949" s="7" t="s">
        <v>8833</v>
      </c>
      <c r="B1949" s="7" t="s">
        <v>7735</v>
      </c>
      <c r="C1949" s="8" t="s">
        <v>5317</v>
      </c>
      <c r="D1949" t="s">
        <v>164</v>
      </c>
      <c r="E1949" t="s">
        <v>1790</v>
      </c>
      <c r="F1949" t="s">
        <v>117</v>
      </c>
      <c r="G1949" t="s">
        <v>1792</v>
      </c>
      <c r="H1949" s="9">
        <v>44657</v>
      </c>
      <c r="I1949" t="s">
        <v>297</v>
      </c>
      <c r="J1949" t="s">
        <v>2</v>
      </c>
      <c r="K1949" s="9">
        <v>44726</v>
      </c>
      <c r="L1949" t="s">
        <v>29</v>
      </c>
      <c r="M1949" t="s">
        <v>1686</v>
      </c>
      <c r="N1949" s="9">
        <v>44686</v>
      </c>
      <c r="O1949" s="9">
        <v>44693</v>
      </c>
      <c r="P1949" s="9">
        <v>44693</v>
      </c>
      <c r="Q1949"/>
      <c r="R1949"/>
      <c r="S1949"/>
      <c r="T1949"/>
      <c r="U1949"/>
    </row>
    <row r="1950" spans="1:21" hidden="1">
      <c r="A1950" s="7" t="s">
        <v>8833</v>
      </c>
      <c r="B1950" s="7" t="s">
        <v>7735</v>
      </c>
      <c r="C1950" s="8" t="s">
        <v>5317</v>
      </c>
      <c r="D1950" t="s">
        <v>164</v>
      </c>
      <c r="E1950" t="s">
        <v>1790</v>
      </c>
      <c r="F1950" t="s">
        <v>117</v>
      </c>
      <c r="G1950" t="s">
        <v>1793</v>
      </c>
      <c r="H1950" s="9">
        <v>44657</v>
      </c>
      <c r="I1950" t="s">
        <v>297</v>
      </c>
      <c r="J1950" t="s">
        <v>2</v>
      </c>
      <c r="K1950" s="9">
        <v>44726</v>
      </c>
      <c r="L1950" t="s">
        <v>29</v>
      </c>
      <c r="M1950" t="s">
        <v>1686</v>
      </c>
      <c r="N1950" s="9">
        <v>44686</v>
      </c>
      <c r="O1950" s="9">
        <v>44693</v>
      </c>
      <c r="P1950" s="9">
        <v>44693</v>
      </c>
      <c r="Q1950"/>
      <c r="R1950"/>
      <c r="S1950"/>
      <c r="T1950"/>
      <c r="U1950"/>
    </row>
    <row r="1951" spans="1:21" hidden="1">
      <c r="A1951" s="7" t="s">
        <v>8833</v>
      </c>
      <c r="B1951" s="7" t="s">
        <v>7735</v>
      </c>
      <c r="C1951" s="8" t="s">
        <v>5317</v>
      </c>
      <c r="D1951" t="s">
        <v>164</v>
      </c>
      <c r="E1951" t="s">
        <v>1790</v>
      </c>
      <c r="F1951" t="s">
        <v>117</v>
      </c>
      <c r="G1951" t="s">
        <v>1794</v>
      </c>
      <c r="H1951" s="9">
        <v>44657</v>
      </c>
      <c r="I1951" t="s">
        <v>297</v>
      </c>
      <c r="J1951" t="s">
        <v>2</v>
      </c>
      <c r="K1951" s="9">
        <v>44726</v>
      </c>
      <c r="L1951" t="s">
        <v>29</v>
      </c>
      <c r="M1951" t="s">
        <v>1686</v>
      </c>
      <c r="N1951" s="9">
        <v>44686</v>
      </c>
      <c r="O1951" s="9">
        <v>44693</v>
      </c>
      <c r="P1951" s="9">
        <v>44693</v>
      </c>
      <c r="Q1951"/>
      <c r="R1951"/>
      <c r="S1951"/>
      <c r="T1951"/>
      <c r="U1951"/>
    </row>
    <row r="1952" spans="1:21" hidden="1">
      <c r="A1952" s="7" t="s">
        <v>8833</v>
      </c>
      <c r="B1952" s="7" t="s">
        <v>7735</v>
      </c>
      <c r="C1952" s="8" t="s">
        <v>5317</v>
      </c>
      <c r="D1952" t="s">
        <v>164</v>
      </c>
      <c r="E1952" t="s">
        <v>1790</v>
      </c>
      <c r="F1952" t="s">
        <v>117</v>
      </c>
      <c r="G1952" t="s">
        <v>1795</v>
      </c>
      <c r="H1952" s="9">
        <v>44657</v>
      </c>
      <c r="I1952" t="s">
        <v>297</v>
      </c>
      <c r="J1952" t="s">
        <v>2</v>
      </c>
      <c r="K1952" s="9">
        <v>44726</v>
      </c>
      <c r="L1952" t="s">
        <v>29</v>
      </c>
      <c r="M1952" t="s">
        <v>1686</v>
      </c>
      <c r="N1952" s="9">
        <v>44686</v>
      </c>
      <c r="O1952" s="9">
        <v>44693</v>
      </c>
      <c r="P1952" s="9">
        <v>44693</v>
      </c>
      <c r="Q1952"/>
      <c r="R1952"/>
      <c r="S1952"/>
      <c r="T1952"/>
      <c r="U1952"/>
    </row>
    <row r="1953" spans="1:21" hidden="1">
      <c r="A1953" s="7" t="s">
        <v>8833</v>
      </c>
      <c r="B1953" s="7" t="s">
        <v>7735</v>
      </c>
      <c r="C1953" s="8" t="s">
        <v>5317</v>
      </c>
      <c r="D1953" t="s">
        <v>164</v>
      </c>
      <c r="E1953" t="s">
        <v>1790</v>
      </c>
      <c r="F1953" t="s">
        <v>117</v>
      </c>
      <c r="G1953" t="s">
        <v>1796</v>
      </c>
      <c r="H1953" s="9">
        <v>44657</v>
      </c>
      <c r="I1953" t="s">
        <v>297</v>
      </c>
      <c r="J1953" t="s">
        <v>2</v>
      </c>
      <c r="K1953" s="9">
        <v>44726</v>
      </c>
      <c r="L1953" t="s">
        <v>29</v>
      </c>
      <c r="M1953" t="s">
        <v>1686</v>
      </c>
      <c r="N1953" s="9">
        <v>44686</v>
      </c>
      <c r="O1953" s="9">
        <v>44693</v>
      </c>
      <c r="P1953" s="9">
        <v>44693</v>
      </c>
      <c r="Q1953"/>
      <c r="R1953"/>
      <c r="S1953"/>
      <c r="T1953"/>
      <c r="U1953"/>
    </row>
    <row r="1954" spans="1:21" hidden="1">
      <c r="A1954" s="7" t="s">
        <v>8833</v>
      </c>
      <c r="B1954" s="7" t="s">
        <v>7735</v>
      </c>
      <c r="C1954" s="8" t="s">
        <v>5317</v>
      </c>
      <c r="D1954" t="s">
        <v>164</v>
      </c>
      <c r="E1954" t="s">
        <v>1790</v>
      </c>
      <c r="F1954" t="s">
        <v>117</v>
      </c>
      <c r="G1954" t="s">
        <v>1797</v>
      </c>
      <c r="H1954" s="9">
        <v>44657</v>
      </c>
      <c r="I1954" t="s">
        <v>297</v>
      </c>
      <c r="J1954" t="s">
        <v>2</v>
      </c>
      <c r="K1954" s="9">
        <v>44726</v>
      </c>
      <c r="L1954" t="s">
        <v>29</v>
      </c>
      <c r="M1954" t="s">
        <v>1686</v>
      </c>
      <c r="N1954" s="9">
        <v>44686</v>
      </c>
      <c r="O1954" s="9">
        <v>44693</v>
      </c>
      <c r="P1954" s="9">
        <v>44693</v>
      </c>
      <c r="Q1954"/>
      <c r="R1954"/>
      <c r="S1954"/>
      <c r="T1954"/>
      <c r="U1954"/>
    </row>
    <row r="1955" spans="1:21" hidden="1">
      <c r="A1955" s="7" t="s">
        <v>8833</v>
      </c>
      <c r="B1955" s="7" t="s">
        <v>7735</v>
      </c>
      <c r="C1955" s="8" t="s">
        <v>5317</v>
      </c>
      <c r="D1955" t="s">
        <v>164</v>
      </c>
      <c r="E1955" t="s">
        <v>1790</v>
      </c>
      <c r="F1955" t="s">
        <v>117</v>
      </c>
      <c r="G1955" t="s">
        <v>1798</v>
      </c>
      <c r="H1955" s="9">
        <v>44657</v>
      </c>
      <c r="I1955" t="s">
        <v>297</v>
      </c>
      <c r="J1955" t="s">
        <v>2</v>
      </c>
      <c r="K1955" s="9">
        <v>44726</v>
      </c>
      <c r="L1955" t="s">
        <v>29</v>
      </c>
      <c r="M1955" t="s">
        <v>1686</v>
      </c>
      <c r="N1955" s="9">
        <v>44686</v>
      </c>
      <c r="O1955" s="9">
        <v>44693</v>
      </c>
      <c r="P1955" s="9">
        <v>44693</v>
      </c>
      <c r="Q1955"/>
      <c r="R1955"/>
      <c r="S1955"/>
      <c r="T1955"/>
      <c r="U1955"/>
    </row>
    <row r="1956" spans="1:21" hidden="1">
      <c r="A1956" s="7" t="s">
        <v>8833</v>
      </c>
      <c r="B1956" s="7" t="s">
        <v>7735</v>
      </c>
      <c r="C1956" s="8" t="s">
        <v>5317</v>
      </c>
      <c r="D1956" t="s">
        <v>164</v>
      </c>
      <c r="E1956" t="s">
        <v>1790</v>
      </c>
      <c r="F1956" t="s">
        <v>117</v>
      </c>
      <c r="G1956" t="s">
        <v>1799</v>
      </c>
      <c r="H1956" s="9">
        <v>44657</v>
      </c>
      <c r="I1956" t="s">
        <v>297</v>
      </c>
      <c r="J1956" t="s">
        <v>2</v>
      </c>
      <c r="K1956" s="9">
        <v>44726</v>
      </c>
      <c r="L1956" t="s">
        <v>29</v>
      </c>
      <c r="M1956" t="s">
        <v>1686</v>
      </c>
      <c r="N1956" s="9">
        <v>44686</v>
      </c>
      <c r="O1956" s="9">
        <v>44693</v>
      </c>
      <c r="P1956" s="9">
        <v>44693</v>
      </c>
      <c r="Q1956"/>
      <c r="R1956"/>
      <c r="S1956"/>
      <c r="T1956"/>
      <c r="U1956"/>
    </row>
    <row r="1957" spans="1:21" hidden="1">
      <c r="A1957" s="7" t="s">
        <v>8833</v>
      </c>
      <c r="B1957" s="7" t="s">
        <v>7735</v>
      </c>
      <c r="C1957" s="8" t="s">
        <v>5317</v>
      </c>
      <c r="D1957" t="s">
        <v>164</v>
      </c>
      <c r="E1957" t="s">
        <v>1790</v>
      </c>
      <c r="F1957" t="s">
        <v>117</v>
      </c>
      <c r="G1957" t="s">
        <v>1800</v>
      </c>
      <c r="H1957" s="9">
        <v>44657</v>
      </c>
      <c r="I1957" t="s">
        <v>297</v>
      </c>
      <c r="J1957" t="s">
        <v>2</v>
      </c>
      <c r="K1957" s="9">
        <v>44726</v>
      </c>
      <c r="L1957" t="s">
        <v>29</v>
      </c>
      <c r="M1957" t="s">
        <v>1686</v>
      </c>
      <c r="N1957" s="9">
        <v>44686</v>
      </c>
      <c r="O1957" s="9">
        <v>44693</v>
      </c>
      <c r="P1957" s="9">
        <v>44693</v>
      </c>
      <c r="Q1957"/>
      <c r="R1957"/>
      <c r="S1957"/>
      <c r="T1957"/>
      <c r="U1957"/>
    </row>
    <row r="1958" spans="1:21" hidden="1">
      <c r="A1958" s="7" t="s">
        <v>8833</v>
      </c>
      <c r="B1958" s="7" t="s">
        <v>7735</v>
      </c>
      <c r="C1958" s="8" t="s">
        <v>5317</v>
      </c>
      <c r="D1958" t="s">
        <v>164</v>
      </c>
      <c r="E1958" t="s">
        <v>1790</v>
      </c>
      <c r="F1958" t="s">
        <v>117</v>
      </c>
      <c r="G1958" t="s">
        <v>1801</v>
      </c>
      <c r="H1958" s="9">
        <v>44657</v>
      </c>
      <c r="I1958" t="s">
        <v>297</v>
      </c>
      <c r="J1958" t="s">
        <v>2</v>
      </c>
      <c r="K1958" s="9">
        <v>44726</v>
      </c>
      <c r="L1958" t="s">
        <v>29</v>
      </c>
      <c r="M1958" t="s">
        <v>1686</v>
      </c>
      <c r="N1958" s="9">
        <v>44686</v>
      </c>
      <c r="O1958" s="9">
        <v>44693</v>
      </c>
      <c r="P1958" s="9">
        <v>44693</v>
      </c>
      <c r="Q1958"/>
      <c r="R1958"/>
      <c r="S1958"/>
      <c r="T1958"/>
      <c r="U1958"/>
    </row>
    <row r="1959" spans="1:21" hidden="1">
      <c r="A1959" s="7" t="s">
        <v>8833</v>
      </c>
      <c r="B1959" s="7" t="s">
        <v>7735</v>
      </c>
      <c r="C1959" s="8" t="s">
        <v>5317</v>
      </c>
      <c r="D1959" t="s">
        <v>164</v>
      </c>
      <c r="E1959" t="s">
        <v>1790</v>
      </c>
      <c r="F1959" t="s">
        <v>117</v>
      </c>
      <c r="G1959" t="s">
        <v>1802</v>
      </c>
      <c r="H1959" s="9">
        <v>44657</v>
      </c>
      <c r="I1959" t="s">
        <v>297</v>
      </c>
      <c r="J1959" t="s">
        <v>2</v>
      </c>
      <c r="K1959" s="9">
        <v>44726</v>
      </c>
      <c r="L1959" t="s">
        <v>29</v>
      </c>
      <c r="M1959" t="s">
        <v>1686</v>
      </c>
      <c r="N1959" s="9">
        <v>44686</v>
      </c>
      <c r="O1959" s="9">
        <v>44693</v>
      </c>
      <c r="P1959" s="9">
        <v>44693</v>
      </c>
      <c r="Q1959"/>
      <c r="R1959"/>
      <c r="S1959"/>
      <c r="T1959"/>
      <c r="U1959"/>
    </row>
    <row r="1960" spans="1:21" hidden="1">
      <c r="A1960" s="7" t="s">
        <v>8820</v>
      </c>
      <c r="B1960" s="7" t="s">
        <v>8307</v>
      </c>
      <c r="C1960" s="8" t="s">
        <v>5317</v>
      </c>
      <c r="D1960" t="s">
        <v>164</v>
      </c>
      <c r="E1960" t="s">
        <v>1433</v>
      </c>
      <c r="F1960" t="s">
        <v>117</v>
      </c>
      <c r="G1960" t="s">
        <v>1434</v>
      </c>
      <c r="H1960" s="9">
        <v>44657</v>
      </c>
      <c r="I1960" t="s">
        <v>1435</v>
      </c>
      <c r="J1960" t="s">
        <v>2</v>
      </c>
      <c r="K1960" s="9">
        <v>44726</v>
      </c>
      <c r="L1960" t="s">
        <v>29</v>
      </c>
      <c r="M1960" t="s">
        <v>1686</v>
      </c>
      <c r="N1960" s="9">
        <v>44686</v>
      </c>
      <c r="O1960" s="9">
        <v>44693</v>
      </c>
      <c r="P1960" s="9">
        <v>44693</v>
      </c>
      <c r="Q1960"/>
      <c r="R1960"/>
      <c r="S1960"/>
      <c r="T1960"/>
      <c r="U1960"/>
    </row>
    <row r="1961" spans="1:21" hidden="1">
      <c r="A1961" s="7" t="s">
        <v>8820</v>
      </c>
      <c r="B1961" s="7" t="s">
        <v>8307</v>
      </c>
      <c r="C1961" s="8" t="s">
        <v>5317</v>
      </c>
      <c r="D1961" t="s">
        <v>164</v>
      </c>
      <c r="E1961" t="s">
        <v>1433</v>
      </c>
      <c r="F1961" t="s">
        <v>117</v>
      </c>
      <c r="G1961" t="s">
        <v>1444</v>
      </c>
      <c r="H1961" s="9">
        <v>44657</v>
      </c>
      <c r="I1961" t="s">
        <v>1435</v>
      </c>
      <c r="J1961" t="s">
        <v>2</v>
      </c>
      <c r="K1961" s="9">
        <v>44726</v>
      </c>
      <c r="L1961" t="s">
        <v>29</v>
      </c>
      <c r="M1961" t="s">
        <v>1686</v>
      </c>
      <c r="N1961" s="9">
        <v>44686</v>
      </c>
      <c r="O1961" s="9">
        <v>44693</v>
      </c>
      <c r="P1961" s="9">
        <v>44693</v>
      </c>
      <c r="Q1961"/>
      <c r="R1961"/>
      <c r="S1961"/>
      <c r="T1961"/>
      <c r="U1961"/>
    </row>
    <row r="1962" spans="1:21" hidden="1">
      <c r="A1962" s="7" t="s">
        <v>8820</v>
      </c>
      <c r="B1962" s="7" t="s">
        <v>8307</v>
      </c>
      <c r="C1962" s="8" t="s">
        <v>5317</v>
      </c>
      <c r="D1962" t="s">
        <v>164</v>
      </c>
      <c r="E1962" t="s">
        <v>1433</v>
      </c>
      <c r="F1962" t="s">
        <v>117</v>
      </c>
      <c r="G1962" t="s">
        <v>1447</v>
      </c>
      <c r="H1962" s="9">
        <v>44657</v>
      </c>
      <c r="I1962" t="s">
        <v>1435</v>
      </c>
      <c r="J1962" t="s">
        <v>2</v>
      </c>
      <c r="K1962" s="9">
        <v>44858</v>
      </c>
      <c r="L1962" t="s">
        <v>29</v>
      </c>
      <c r="M1962" t="s">
        <v>331</v>
      </c>
      <c r="N1962" s="9">
        <v>44686</v>
      </c>
      <c r="O1962" s="9">
        <v>44693</v>
      </c>
      <c r="P1962" s="9">
        <v>44693</v>
      </c>
      <c r="Q1962"/>
      <c r="R1962"/>
      <c r="S1962"/>
      <c r="T1962"/>
      <c r="U1962"/>
    </row>
    <row r="1963" spans="1:21" hidden="1">
      <c r="A1963" s="7" t="s">
        <v>8830</v>
      </c>
      <c r="B1963" s="7" t="s">
        <v>5405</v>
      </c>
      <c r="C1963" s="8" t="s">
        <v>5317</v>
      </c>
      <c r="D1963" t="s">
        <v>164</v>
      </c>
      <c r="E1963" t="s">
        <v>25</v>
      </c>
      <c r="F1963" t="s">
        <v>41</v>
      </c>
      <c r="G1963" t="s">
        <v>1803</v>
      </c>
      <c r="H1963" s="9">
        <v>44657</v>
      </c>
      <c r="I1963" t="s">
        <v>8634</v>
      </c>
      <c r="J1963" t="s">
        <v>2</v>
      </c>
      <c r="K1963" s="9">
        <v>44726</v>
      </c>
      <c r="L1963" t="s">
        <v>29</v>
      </c>
      <c r="M1963" t="s">
        <v>1686</v>
      </c>
      <c r="N1963" s="9">
        <v>44686</v>
      </c>
      <c r="O1963" s="9">
        <v>44693</v>
      </c>
      <c r="P1963" s="9">
        <v>44693</v>
      </c>
      <c r="Q1963" s="9">
        <v>44862</v>
      </c>
      <c r="R1963"/>
      <c r="S1963"/>
      <c r="T1963"/>
      <c r="U1963"/>
    </row>
    <row r="1964" spans="1:21" hidden="1">
      <c r="A1964" s="7" t="s">
        <v>8830</v>
      </c>
      <c r="B1964" s="7" t="s">
        <v>5405</v>
      </c>
      <c r="C1964" s="8" t="s">
        <v>5317</v>
      </c>
      <c r="D1964" t="s">
        <v>164</v>
      </c>
      <c r="E1964" t="s">
        <v>25</v>
      </c>
      <c r="F1964" t="s">
        <v>41</v>
      </c>
      <c r="G1964" t="s">
        <v>1804</v>
      </c>
      <c r="H1964" s="9">
        <v>44657</v>
      </c>
      <c r="I1964" t="s">
        <v>8634</v>
      </c>
      <c r="J1964" t="s">
        <v>2</v>
      </c>
      <c r="K1964" s="9">
        <v>44726</v>
      </c>
      <c r="L1964" t="s">
        <v>29</v>
      </c>
      <c r="M1964" t="s">
        <v>1686</v>
      </c>
      <c r="N1964" s="9">
        <v>44686</v>
      </c>
      <c r="O1964" s="9">
        <v>44693</v>
      </c>
      <c r="P1964" s="9">
        <v>44693</v>
      </c>
      <c r="Q1964" s="9">
        <v>44862</v>
      </c>
      <c r="R1964"/>
      <c r="S1964"/>
      <c r="T1964"/>
      <c r="U1964"/>
    </row>
    <row r="1965" spans="1:21" hidden="1">
      <c r="A1965" s="7" t="s">
        <v>8830</v>
      </c>
      <c r="B1965" s="7" t="s">
        <v>5405</v>
      </c>
      <c r="C1965" s="8" t="s">
        <v>5317</v>
      </c>
      <c r="D1965" t="s">
        <v>164</v>
      </c>
      <c r="E1965" t="s">
        <v>25</v>
      </c>
      <c r="F1965" t="s">
        <v>41</v>
      </c>
      <c r="G1965" t="s">
        <v>1805</v>
      </c>
      <c r="H1965" s="9">
        <v>44657</v>
      </c>
      <c r="I1965" t="s">
        <v>8634</v>
      </c>
      <c r="J1965" t="s">
        <v>2</v>
      </c>
      <c r="K1965" s="9">
        <v>44726</v>
      </c>
      <c r="L1965" t="s">
        <v>29</v>
      </c>
      <c r="M1965" t="s">
        <v>1686</v>
      </c>
      <c r="N1965" s="9">
        <v>44686</v>
      </c>
      <c r="O1965" s="9">
        <v>44693</v>
      </c>
      <c r="P1965" s="9">
        <v>44693</v>
      </c>
      <c r="Q1965" s="9">
        <v>44862</v>
      </c>
      <c r="R1965"/>
      <c r="S1965"/>
      <c r="T1965"/>
      <c r="U1965"/>
    </row>
    <row r="1966" spans="1:21" hidden="1">
      <c r="A1966" s="7" t="s">
        <v>8830</v>
      </c>
      <c r="B1966" s="7" t="s">
        <v>5405</v>
      </c>
      <c r="C1966" s="8" t="s">
        <v>5317</v>
      </c>
      <c r="D1966" t="s">
        <v>164</v>
      </c>
      <c r="E1966" t="s">
        <v>25</v>
      </c>
      <c r="F1966" t="s">
        <v>41</v>
      </c>
      <c r="G1966" t="s">
        <v>1806</v>
      </c>
      <c r="H1966" s="9">
        <v>44657</v>
      </c>
      <c r="I1966" t="s">
        <v>8634</v>
      </c>
      <c r="J1966" t="s">
        <v>2</v>
      </c>
      <c r="K1966" s="9">
        <v>44726</v>
      </c>
      <c r="L1966" t="s">
        <v>29</v>
      </c>
      <c r="M1966" t="s">
        <v>1686</v>
      </c>
      <c r="N1966" s="9">
        <v>44686</v>
      </c>
      <c r="O1966" s="9">
        <v>44693</v>
      </c>
      <c r="P1966" s="9">
        <v>44693</v>
      </c>
      <c r="Q1966"/>
      <c r="R1966"/>
      <c r="S1966"/>
      <c r="T1966"/>
      <c r="U1966"/>
    </row>
    <row r="1967" spans="1:21" hidden="1">
      <c r="A1967" s="7" t="s">
        <v>8830</v>
      </c>
      <c r="B1967" s="7" t="s">
        <v>5405</v>
      </c>
      <c r="C1967" s="8" t="s">
        <v>5317</v>
      </c>
      <c r="D1967" t="s">
        <v>164</v>
      </c>
      <c r="E1967" t="s">
        <v>25</v>
      </c>
      <c r="F1967" t="s">
        <v>41</v>
      </c>
      <c r="G1967" t="s">
        <v>1807</v>
      </c>
      <c r="H1967" s="9">
        <v>44657</v>
      </c>
      <c r="I1967" t="s">
        <v>8634</v>
      </c>
      <c r="J1967" t="s">
        <v>2</v>
      </c>
      <c r="K1967" s="9">
        <v>44726</v>
      </c>
      <c r="L1967" t="s">
        <v>29</v>
      </c>
      <c r="M1967" t="s">
        <v>1686</v>
      </c>
      <c r="N1967" s="9">
        <v>44686</v>
      </c>
      <c r="O1967" s="9">
        <v>44693</v>
      </c>
      <c r="P1967" s="9">
        <v>44693</v>
      </c>
      <c r="Q1967"/>
      <c r="R1967"/>
      <c r="S1967"/>
      <c r="T1967"/>
      <c r="U1967"/>
    </row>
    <row r="1968" spans="1:21" hidden="1">
      <c r="A1968" s="7" t="s">
        <v>8830</v>
      </c>
      <c r="B1968" s="7" t="s">
        <v>5405</v>
      </c>
      <c r="C1968" s="8" t="s">
        <v>5317</v>
      </c>
      <c r="D1968" t="s">
        <v>164</v>
      </c>
      <c r="E1968" t="s">
        <v>25</v>
      </c>
      <c r="F1968" t="s">
        <v>41</v>
      </c>
      <c r="G1968" t="s">
        <v>1808</v>
      </c>
      <c r="H1968" s="9">
        <v>44657</v>
      </c>
      <c r="I1968" t="s">
        <v>8634</v>
      </c>
      <c r="J1968" t="s">
        <v>2</v>
      </c>
      <c r="K1968" s="9">
        <v>44726</v>
      </c>
      <c r="L1968" t="s">
        <v>29</v>
      </c>
      <c r="M1968" t="s">
        <v>1686</v>
      </c>
      <c r="N1968" s="9">
        <v>44686</v>
      </c>
      <c r="O1968" s="9">
        <v>44693</v>
      </c>
      <c r="P1968" s="9">
        <v>44693</v>
      </c>
      <c r="Q1968"/>
      <c r="R1968"/>
      <c r="S1968"/>
      <c r="T1968"/>
      <c r="U1968"/>
    </row>
    <row r="1969" spans="1:21" hidden="1">
      <c r="A1969" s="7" t="s">
        <v>8763</v>
      </c>
      <c r="B1969" s="7" t="s">
        <v>5405</v>
      </c>
      <c r="C1969" s="8" t="s">
        <v>5317</v>
      </c>
      <c r="D1969" t="s">
        <v>164</v>
      </c>
      <c r="E1969" t="s">
        <v>25</v>
      </c>
      <c r="F1969" t="s">
        <v>280</v>
      </c>
      <c r="G1969" t="s">
        <v>1809</v>
      </c>
      <c r="H1969" s="9">
        <v>44657</v>
      </c>
      <c r="I1969" t="s">
        <v>8634</v>
      </c>
      <c r="J1969" t="s">
        <v>0</v>
      </c>
      <c r="K1969" s="9">
        <v>44858</v>
      </c>
      <c r="L1969" t="s">
        <v>29</v>
      </c>
      <c r="M1969"/>
      <c r="N1969" s="9">
        <v>44686</v>
      </c>
      <c r="O1969" s="9">
        <v>44693</v>
      </c>
      <c r="P1969" s="9">
        <v>44693</v>
      </c>
      <c r="Q1969" s="9">
        <v>44858</v>
      </c>
      <c r="R1969"/>
      <c r="S1969"/>
      <c r="T1969"/>
      <c r="U1969"/>
    </row>
    <row r="1970" spans="1:21" hidden="1">
      <c r="A1970" s="7" t="s">
        <v>8763</v>
      </c>
      <c r="B1970" s="7" t="s">
        <v>5405</v>
      </c>
      <c r="C1970" s="8" t="s">
        <v>5317</v>
      </c>
      <c r="D1970" t="s">
        <v>164</v>
      </c>
      <c r="E1970" t="s">
        <v>25</v>
      </c>
      <c r="F1970" t="s">
        <v>280</v>
      </c>
      <c r="G1970" t="s">
        <v>1458</v>
      </c>
      <c r="H1970" s="9">
        <v>44657</v>
      </c>
      <c r="I1970" t="s">
        <v>8634</v>
      </c>
      <c r="J1970" t="s">
        <v>0</v>
      </c>
      <c r="K1970" s="9">
        <v>44858</v>
      </c>
      <c r="L1970" t="s">
        <v>29</v>
      </c>
      <c r="M1970"/>
      <c r="N1970" s="9">
        <v>44686</v>
      </c>
      <c r="O1970" s="9">
        <v>44693</v>
      </c>
      <c r="P1970" s="9">
        <v>44693</v>
      </c>
      <c r="Q1970" s="9">
        <v>44858</v>
      </c>
      <c r="R1970"/>
      <c r="S1970"/>
      <c r="T1970"/>
      <c r="U1970"/>
    </row>
    <row r="1971" spans="1:21" hidden="1">
      <c r="A1971" s="7" t="s">
        <v>8763</v>
      </c>
      <c r="B1971" s="7" t="s">
        <v>5405</v>
      </c>
      <c r="C1971" s="8" t="s">
        <v>5317</v>
      </c>
      <c r="D1971" t="s">
        <v>164</v>
      </c>
      <c r="E1971" t="s">
        <v>25</v>
      </c>
      <c r="F1971" t="s">
        <v>280</v>
      </c>
      <c r="G1971" t="s">
        <v>1459</v>
      </c>
      <c r="H1971" s="9">
        <v>44657</v>
      </c>
      <c r="I1971" t="s">
        <v>8634</v>
      </c>
      <c r="J1971" t="s">
        <v>0</v>
      </c>
      <c r="K1971" s="9">
        <v>44858</v>
      </c>
      <c r="L1971" t="s">
        <v>29</v>
      </c>
      <c r="M1971"/>
      <c r="N1971" s="9">
        <v>44686</v>
      </c>
      <c r="O1971" s="9">
        <v>44693</v>
      </c>
      <c r="P1971" s="9">
        <v>44693</v>
      </c>
      <c r="Q1971" s="9">
        <v>44858</v>
      </c>
      <c r="R1971"/>
      <c r="S1971"/>
      <c r="T1971"/>
      <c r="U1971"/>
    </row>
    <row r="1972" spans="1:21" hidden="1">
      <c r="A1972" s="7" t="s">
        <v>8828</v>
      </c>
      <c r="B1972" s="7" t="s">
        <v>5405</v>
      </c>
      <c r="C1972" s="8" t="s">
        <v>5317</v>
      </c>
      <c r="D1972" t="s">
        <v>164</v>
      </c>
      <c r="E1972" t="s">
        <v>25</v>
      </c>
      <c r="F1972" t="s">
        <v>1687</v>
      </c>
      <c r="G1972" t="s">
        <v>1810</v>
      </c>
      <c r="H1972" s="9">
        <v>44657</v>
      </c>
      <c r="I1972" t="s">
        <v>8634</v>
      </c>
      <c r="J1972" t="s">
        <v>163</v>
      </c>
      <c r="K1972" s="9">
        <v>44693</v>
      </c>
      <c r="L1972" t="s">
        <v>29</v>
      </c>
      <c r="M1972"/>
      <c r="N1972" s="9">
        <v>44686</v>
      </c>
      <c r="O1972" s="9">
        <v>44693</v>
      </c>
      <c r="P1972" s="9">
        <v>44693</v>
      </c>
      <c r="Q1972"/>
      <c r="R1972"/>
      <c r="S1972"/>
      <c r="T1972"/>
      <c r="U1972"/>
    </row>
    <row r="1973" spans="1:21" hidden="1">
      <c r="A1973" s="7" t="s">
        <v>8829</v>
      </c>
      <c r="B1973" s="7" t="s">
        <v>5405</v>
      </c>
      <c r="C1973" s="8" t="s">
        <v>5317</v>
      </c>
      <c r="D1973" t="s">
        <v>164</v>
      </c>
      <c r="E1973" t="s">
        <v>25</v>
      </c>
      <c r="F1973" t="s">
        <v>1718</v>
      </c>
      <c r="G1973" t="s">
        <v>1811</v>
      </c>
      <c r="H1973" s="9">
        <v>44657</v>
      </c>
      <c r="I1973" t="s">
        <v>8634</v>
      </c>
      <c r="J1973" t="s">
        <v>2</v>
      </c>
      <c r="K1973" s="9">
        <v>44726</v>
      </c>
      <c r="L1973" t="s">
        <v>29</v>
      </c>
      <c r="M1973" t="s">
        <v>1686</v>
      </c>
      <c r="N1973" s="9">
        <v>44686</v>
      </c>
      <c r="O1973" s="9">
        <v>44693</v>
      </c>
      <c r="P1973" s="9">
        <v>44693</v>
      </c>
      <c r="Q1973" s="9">
        <v>44810</v>
      </c>
      <c r="R1973"/>
      <c r="S1973"/>
      <c r="T1973"/>
      <c r="U1973"/>
    </row>
    <row r="1974" spans="1:21" hidden="1">
      <c r="A1974" s="7" t="s">
        <v>8763</v>
      </c>
      <c r="B1974" s="7" t="s">
        <v>5405</v>
      </c>
      <c r="C1974" s="8" t="s">
        <v>5317</v>
      </c>
      <c r="D1974" t="s">
        <v>164</v>
      </c>
      <c r="E1974" t="s">
        <v>25</v>
      </c>
      <c r="F1974" t="s">
        <v>280</v>
      </c>
      <c r="G1974" t="s">
        <v>1462</v>
      </c>
      <c r="H1974" s="9">
        <v>44657</v>
      </c>
      <c r="I1974" t="s">
        <v>8634</v>
      </c>
      <c r="J1974" t="s">
        <v>0</v>
      </c>
      <c r="K1974" s="9">
        <v>44858</v>
      </c>
      <c r="L1974" t="s">
        <v>29</v>
      </c>
      <c r="M1974"/>
      <c r="N1974" s="9">
        <v>44686</v>
      </c>
      <c r="O1974" s="9">
        <v>44693</v>
      </c>
      <c r="P1974" s="9">
        <v>44693</v>
      </c>
      <c r="Q1974" s="9">
        <v>44858</v>
      </c>
      <c r="R1974"/>
      <c r="S1974"/>
      <c r="T1974"/>
      <c r="U1974"/>
    </row>
    <row r="1975" spans="1:21" hidden="1">
      <c r="A1975" s="7" t="s">
        <v>8763</v>
      </c>
      <c r="B1975" s="7" t="s">
        <v>5405</v>
      </c>
      <c r="C1975" s="8" t="s">
        <v>5317</v>
      </c>
      <c r="D1975" t="s">
        <v>164</v>
      </c>
      <c r="E1975" t="s">
        <v>25</v>
      </c>
      <c r="F1975" t="s">
        <v>280</v>
      </c>
      <c r="G1975" t="s">
        <v>1463</v>
      </c>
      <c r="H1975" s="9">
        <v>44657</v>
      </c>
      <c r="I1975" t="s">
        <v>8634</v>
      </c>
      <c r="J1975" t="s">
        <v>0</v>
      </c>
      <c r="K1975" s="9">
        <v>44858</v>
      </c>
      <c r="L1975" t="s">
        <v>29</v>
      </c>
      <c r="M1975"/>
      <c r="N1975" s="9">
        <v>44686</v>
      </c>
      <c r="O1975" s="9">
        <v>44693</v>
      </c>
      <c r="P1975" s="9">
        <v>44693</v>
      </c>
      <c r="Q1975" s="9">
        <v>44858</v>
      </c>
      <c r="R1975"/>
      <c r="S1975"/>
      <c r="T1975"/>
      <c r="U1975"/>
    </row>
    <row r="1976" spans="1:21" hidden="1">
      <c r="A1976" s="7" t="s">
        <v>8833</v>
      </c>
      <c r="B1976" s="7" t="s">
        <v>7735</v>
      </c>
      <c r="C1976" s="8" t="s">
        <v>5317</v>
      </c>
      <c r="D1976" t="s">
        <v>164</v>
      </c>
      <c r="E1976" t="s">
        <v>1790</v>
      </c>
      <c r="F1976" t="s">
        <v>117</v>
      </c>
      <c r="G1976" t="s">
        <v>1812</v>
      </c>
      <c r="H1976" s="9">
        <v>44657</v>
      </c>
      <c r="I1976" t="s">
        <v>297</v>
      </c>
      <c r="J1976" t="s">
        <v>2</v>
      </c>
      <c r="K1976" s="9">
        <v>44726</v>
      </c>
      <c r="L1976" t="s">
        <v>29</v>
      </c>
      <c r="M1976" t="s">
        <v>1686</v>
      </c>
      <c r="N1976" s="9">
        <v>44686</v>
      </c>
      <c r="O1976" s="9">
        <v>44693</v>
      </c>
      <c r="P1976" s="9">
        <v>44693</v>
      </c>
      <c r="Q1976"/>
      <c r="R1976"/>
      <c r="S1976"/>
      <c r="T1976"/>
      <c r="U1976"/>
    </row>
    <row r="1977" spans="1:21" hidden="1">
      <c r="A1977" s="7" t="s">
        <v>8830</v>
      </c>
      <c r="B1977" s="7" t="s">
        <v>5405</v>
      </c>
      <c r="C1977" s="8" t="s">
        <v>5317</v>
      </c>
      <c r="D1977" t="s">
        <v>164</v>
      </c>
      <c r="E1977" t="s">
        <v>25</v>
      </c>
      <c r="F1977" t="s">
        <v>41</v>
      </c>
      <c r="G1977" t="s">
        <v>1813</v>
      </c>
      <c r="H1977" s="9">
        <v>44657</v>
      </c>
      <c r="I1977" t="s">
        <v>8634</v>
      </c>
      <c r="J1977" t="s">
        <v>2</v>
      </c>
      <c r="K1977" s="9">
        <v>44726</v>
      </c>
      <c r="L1977" t="s">
        <v>29</v>
      </c>
      <c r="M1977" t="s">
        <v>1686</v>
      </c>
      <c r="N1977" s="9">
        <v>44686</v>
      </c>
      <c r="O1977" s="9">
        <v>44693</v>
      </c>
      <c r="P1977" s="9">
        <v>44693</v>
      </c>
      <c r="Q1977" s="9">
        <v>44862</v>
      </c>
      <c r="R1977"/>
      <c r="S1977"/>
      <c r="T1977"/>
      <c r="U1977"/>
    </row>
    <row r="1978" spans="1:21" hidden="1">
      <c r="A1978" s="7" t="s">
        <v>8833</v>
      </c>
      <c r="B1978" s="7" t="s">
        <v>7735</v>
      </c>
      <c r="C1978" s="8" t="s">
        <v>5317</v>
      </c>
      <c r="D1978" t="s">
        <v>164</v>
      </c>
      <c r="E1978" t="s">
        <v>1790</v>
      </c>
      <c r="F1978" t="s">
        <v>117</v>
      </c>
      <c r="G1978" t="s">
        <v>1814</v>
      </c>
      <c r="H1978" s="9">
        <v>44657</v>
      </c>
      <c r="I1978" t="s">
        <v>297</v>
      </c>
      <c r="J1978" t="s">
        <v>2</v>
      </c>
      <c r="K1978" s="9">
        <v>44726</v>
      </c>
      <c r="L1978" t="s">
        <v>29</v>
      </c>
      <c r="M1978" t="s">
        <v>1686</v>
      </c>
      <c r="N1978" s="9">
        <v>44686</v>
      </c>
      <c r="O1978" s="9">
        <v>44693</v>
      </c>
      <c r="P1978" s="9">
        <v>44693</v>
      </c>
      <c r="Q1978"/>
      <c r="R1978"/>
      <c r="S1978"/>
      <c r="T1978"/>
      <c r="U1978"/>
    </row>
    <row r="1979" spans="1:21" hidden="1">
      <c r="A1979" s="7" t="s">
        <v>8830</v>
      </c>
      <c r="B1979" s="7" t="s">
        <v>5405</v>
      </c>
      <c r="C1979" s="8" t="s">
        <v>5317</v>
      </c>
      <c r="D1979" t="s">
        <v>164</v>
      </c>
      <c r="E1979" t="s">
        <v>25</v>
      </c>
      <c r="F1979" t="s">
        <v>41</v>
      </c>
      <c r="G1979" t="s">
        <v>1815</v>
      </c>
      <c r="H1979" s="9">
        <v>44657</v>
      </c>
      <c r="I1979" t="s">
        <v>8634</v>
      </c>
      <c r="J1979" t="s">
        <v>2</v>
      </c>
      <c r="K1979" s="9">
        <v>44726</v>
      </c>
      <c r="L1979" t="s">
        <v>29</v>
      </c>
      <c r="M1979" t="s">
        <v>1686</v>
      </c>
      <c r="N1979" s="9">
        <v>44686</v>
      </c>
      <c r="O1979" s="9">
        <v>44693</v>
      </c>
      <c r="P1979" s="9">
        <v>44693</v>
      </c>
      <c r="Q1979" s="9">
        <v>44862</v>
      </c>
      <c r="R1979"/>
      <c r="S1979"/>
      <c r="T1979"/>
      <c r="U1979"/>
    </row>
    <row r="1980" spans="1:21" hidden="1">
      <c r="A1980" s="7" t="s">
        <v>8830</v>
      </c>
      <c r="B1980" s="7" t="s">
        <v>5405</v>
      </c>
      <c r="C1980" s="8" t="s">
        <v>5317</v>
      </c>
      <c r="D1980" t="s">
        <v>164</v>
      </c>
      <c r="E1980" t="s">
        <v>25</v>
      </c>
      <c r="F1980" t="s">
        <v>41</v>
      </c>
      <c r="G1980" t="s">
        <v>1816</v>
      </c>
      <c r="H1980" s="9">
        <v>44657</v>
      </c>
      <c r="I1980" t="s">
        <v>8634</v>
      </c>
      <c r="J1980" t="s">
        <v>2</v>
      </c>
      <c r="K1980" s="9">
        <v>44726</v>
      </c>
      <c r="L1980" t="s">
        <v>29</v>
      </c>
      <c r="M1980" t="s">
        <v>1686</v>
      </c>
      <c r="N1980" s="9">
        <v>44686</v>
      </c>
      <c r="O1980" s="9">
        <v>44693</v>
      </c>
      <c r="P1980" s="9">
        <v>44693</v>
      </c>
      <c r="Q1980" s="9">
        <v>44862</v>
      </c>
      <c r="R1980"/>
      <c r="S1980"/>
      <c r="T1980"/>
      <c r="U1980"/>
    </row>
    <row r="1981" spans="1:21" hidden="1">
      <c r="A1981" s="7" t="s">
        <v>8830</v>
      </c>
      <c r="B1981" s="7" t="s">
        <v>5405</v>
      </c>
      <c r="C1981" s="8" t="s">
        <v>5317</v>
      </c>
      <c r="D1981" t="s">
        <v>164</v>
      </c>
      <c r="E1981" t="s">
        <v>25</v>
      </c>
      <c r="F1981" t="s">
        <v>41</v>
      </c>
      <c r="G1981" t="s">
        <v>1817</v>
      </c>
      <c r="H1981" s="9">
        <v>44657</v>
      </c>
      <c r="I1981" t="s">
        <v>8634</v>
      </c>
      <c r="J1981" t="s">
        <v>2</v>
      </c>
      <c r="K1981" s="9">
        <v>44726</v>
      </c>
      <c r="L1981" t="s">
        <v>29</v>
      </c>
      <c r="M1981" t="s">
        <v>1686</v>
      </c>
      <c r="N1981" s="9">
        <v>44686</v>
      </c>
      <c r="O1981" s="9">
        <v>44693</v>
      </c>
      <c r="P1981" s="9">
        <v>44693</v>
      </c>
      <c r="Q1981" s="9">
        <v>44862</v>
      </c>
      <c r="R1981"/>
      <c r="S1981"/>
      <c r="T1981"/>
      <c r="U1981"/>
    </row>
    <row r="1982" spans="1:21" hidden="1">
      <c r="A1982" s="7" t="s">
        <v>8830</v>
      </c>
      <c r="B1982" s="7" t="s">
        <v>5405</v>
      </c>
      <c r="C1982" s="8" t="s">
        <v>5317</v>
      </c>
      <c r="D1982" t="s">
        <v>164</v>
      </c>
      <c r="E1982" t="s">
        <v>25</v>
      </c>
      <c r="F1982" t="s">
        <v>41</v>
      </c>
      <c r="G1982" t="s">
        <v>1818</v>
      </c>
      <c r="H1982" s="9">
        <v>44657</v>
      </c>
      <c r="I1982" t="s">
        <v>8634</v>
      </c>
      <c r="J1982" t="s">
        <v>2</v>
      </c>
      <c r="K1982" s="9">
        <v>44726</v>
      </c>
      <c r="L1982" t="s">
        <v>29</v>
      </c>
      <c r="M1982" t="s">
        <v>1686</v>
      </c>
      <c r="N1982" s="9">
        <v>44686</v>
      </c>
      <c r="O1982" s="9">
        <v>44693</v>
      </c>
      <c r="P1982" s="9">
        <v>44693</v>
      </c>
      <c r="Q1982"/>
      <c r="R1982"/>
      <c r="S1982"/>
      <c r="T1982"/>
      <c r="U1982"/>
    </row>
    <row r="1983" spans="1:21" hidden="1">
      <c r="A1983" s="7" t="s">
        <v>8833</v>
      </c>
      <c r="B1983" s="7" t="s">
        <v>7735</v>
      </c>
      <c r="C1983" s="8" t="s">
        <v>5317</v>
      </c>
      <c r="D1983" t="s">
        <v>164</v>
      </c>
      <c r="E1983" t="s">
        <v>1790</v>
      </c>
      <c r="F1983" t="s">
        <v>117</v>
      </c>
      <c r="G1983" t="s">
        <v>1819</v>
      </c>
      <c r="H1983" s="9">
        <v>44657</v>
      </c>
      <c r="I1983" t="s">
        <v>297</v>
      </c>
      <c r="J1983" t="s">
        <v>2</v>
      </c>
      <c r="K1983" s="9">
        <v>44726</v>
      </c>
      <c r="L1983" t="s">
        <v>29</v>
      </c>
      <c r="M1983" t="s">
        <v>1686</v>
      </c>
      <c r="N1983" s="9">
        <v>44686</v>
      </c>
      <c r="O1983" s="9">
        <v>44693</v>
      </c>
      <c r="P1983" s="9">
        <v>44693</v>
      </c>
      <c r="Q1983"/>
      <c r="R1983"/>
      <c r="S1983"/>
      <c r="T1983"/>
      <c r="U1983"/>
    </row>
    <row r="1984" spans="1:21" hidden="1">
      <c r="A1984" s="7" t="s">
        <v>8833</v>
      </c>
      <c r="B1984" s="7" t="s">
        <v>7735</v>
      </c>
      <c r="C1984" s="8" t="s">
        <v>5317</v>
      </c>
      <c r="D1984" t="s">
        <v>164</v>
      </c>
      <c r="E1984" t="s">
        <v>1790</v>
      </c>
      <c r="F1984" t="s">
        <v>117</v>
      </c>
      <c r="G1984" t="s">
        <v>1820</v>
      </c>
      <c r="H1984" s="9">
        <v>44657</v>
      </c>
      <c r="I1984" t="s">
        <v>297</v>
      </c>
      <c r="J1984" t="s">
        <v>2</v>
      </c>
      <c r="K1984" s="9">
        <v>44726</v>
      </c>
      <c r="L1984" t="s">
        <v>29</v>
      </c>
      <c r="M1984" t="s">
        <v>1686</v>
      </c>
      <c r="N1984" s="9">
        <v>44686</v>
      </c>
      <c r="O1984" s="9">
        <v>44693</v>
      </c>
      <c r="P1984" s="9">
        <v>44693</v>
      </c>
      <c r="Q1984"/>
      <c r="R1984"/>
      <c r="S1984"/>
      <c r="T1984"/>
      <c r="U1984"/>
    </row>
    <row r="1985" spans="1:21" hidden="1">
      <c r="A1985" s="7" t="s">
        <v>8830</v>
      </c>
      <c r="B1985" s="7" t="s">
        <v>5405</v>
      </c>
      <c r="C1985" s="8" t="s">
        <v>5317</v>
      </c>
      <c r="D1985" t="s">
        <v>164</v>
      </c>
      <c r="E1985" t="s">
        <v>25</v>
      </c>
      <c r="F1985" t="s">
        <v>41</v>
      </c>
      <c r="G1985" t="s">
        <v>1821</v>
      </c>
      <c r="H1985" s="9">
        <v>44657</v>
      </c>
      <c r="I1985" t="s">
        <v>8634</v>
      </c>
      <c r="J1985" t="s">
        <v>2</v>
      </c>
      <c r="K1985" s="9">
        <v>44726</v>
      </c>
      <c r="L1985" t="s">
        <v>29</v>
      </c>
      <c r="M1985" t="s">
        <v>1686</v>
      </c>
      <c r="N1985" s="9">
        <v>44686</v>
      </c>
      <c r="O1985" s="9">
        <v>44693</v>
      </c>
      <c r="P1985" s="9">
        <v>44693</v>
      </c>
      <c r="Q1985" s="9">
        <v>44862</v>
      </c>
      <c r="R1985"/>
      <c r="S1985"/>
      <c r="T1985"/>
      <c r="U1985"/>
    </row>
    <row r="1986" spans="1:21" hidden="1">
      <c r="A1986" s="7" t="s">
        <v>8833</v>
      </c>
      <c r="B1986" s="7" t="s">
        <v>7735</v>
      </c>
      <c r="C1986" s="8" t="s">
        <v>5317</v>
      </c>
      <c r="D1986" t="s">
        <v>164</v>
      </c>
      <c r="E1986" t="s">
        <v>1790</v>
      </c>
      <c r="F1986" t="s">
        <v>117</v>
      </c>
      <c r="G1986" t="s">
        <v>1821</v>
      </c>
      <c r="H1986" s="9">
        <v>44657</v>
      </c>
      <c r="I1986" t="s">
        <v>297</v>
      </c>
      <c r="J1986" t="s">
        <v>2</v>
      </c>
      <c r="K1986" s="9">
        <v>44726</v>
      </c>
      <c r="L1986" t="s">
        <v>29</v>
      </c>
      <c r="M1986" t="s">
        <v>1686</v>
      </c>
      <c r="N1986" s="9">
        <v>44686</v>
      </c>
      <c r="O1986" s="9">
        <v>44693</v>
      </c>
      <c r="P1986" s="9">
        <v>44693</v>
      </c>
      <c r="Q1986"/>
      <c r="R1986"/>
      <c r="S1986"/>
      <c r="T1986"/>
      <c r="U1986"/>
    </row>
    <row r="1987" spans="1:21" hidden="1">
      <c r="A1987" s="7" t="s">
        <v>8833</v>
      </c>
      <c r="B1987" s="7" t="s">
        <v>7735</v>
      </c>
      <c r="C1987" s="8" t="s">
        <v>5317</v>
      </c>
      <c r="D1987" t="s">
        <v>164</v>
      </c>
      <c r="E1987" t="s">
        <v>1790</v>
      </c>
      <c r="F1987" t="s">
        <v>117</v>
      </c>
      <c r="G1987" t="s">
        <v>1822</v>
      </c>
      <c r="H1987" s="9">
        <v>44657</v>
      </c>
      <c r="I1987" t="s">
        <v>297</v>
      </c>
      <c r="J1987" t="s">
        <v>2</v>
      </c>
      <c r="K1987" s="9">
        <v>44726</v>
      </c>
      <c r="L1987" t="s">
        <v>29</v>
      </c>
      <c r="M1987" t="s">
        <v>1686</v>
      </c>
      <c r="N1987" s="9">
        <v>44686</v>
      </c>
      <c r="O1987" s="9">
        <v>44693</v>
      </c>
      <c r="P1987" s="9">
        <v>44693</v>
      </c>
      <c r="Q1987"/>
      <c r="R1987"/>
      <c r="S1987"/>
      <c r="T1987"/>
      <c r="U1987"/>
    </row>
    <row r="1988" spans="1:21" hidden="1">
      <c r="A1988" s="7" t="s">
        <v>8833</v>
      </c>
      <c r="B1988" s="7" t="s">
        <v>7735</v>
      </c>
      <c r="C1988" s="8" t="s">
        <v>5317</v>
      </c>
      <c r="D1988" t="s">
        <v>164</v>
      </c>
      <c r="E1988" t="s">
        <v>1790</v>
      </c>
      <c r="F1988" t="s">
        <v>117</v>
      </c>
      <c r="G1988" t="s">
        <v>1823</v>
      </c>
      <c r="H1988" s="9">
        <v>44657</v>
      </c>
      <c r="I1988" t="s">
        <v>297</v>
      </c>
      <c r="J1988" t="s">
        <v>2</v>
      </c>
      <c r="K1988" s="9">
        <v>44726</v>
      </c>
      <c r="L1988" t="s">
        <v>29</v>
      </c>
      <c r="M1988" t="s">
        <v>1686</v>
      </c>
      <c r="N1988" s="9">
        <v>44686</v>
      </c>
      <c r="O1988" s="9">
        <v>44693</v>
      </c>
      <c r="P1988" s="9">
        <v>44693</v>
      </c>
      <c r="Q1988"/>
      <c r="R1988"/>
      <c r="S1988"/>
      <c r="T1988"/>
      <c r="U1988"/>
    </row>
    <row r="1989" spans="1:21" hidden="1">
      <c r="A1989" s="7" t="s">
        <v>8830</v>
      </c>
      <c r="B1989" s="7" t="s">
        <v>5405</v>
      </c>
      <c r="C1989" s="8" t="s">
        <v>5317</v>
      </c>
      <c r="D1989" t="s">
        <v>164</v>
      </c>
      <c r="E1989" t="s">
        <v>25</v>
      </c>
      <c r="F1989" t="s">
        <v>41</v>
      </c>
      <c r="G1989" t="s">
        <v>1824</v>
      </c>
      <c r="H1989" s="9">
        <v>44657</v>
      </c>
      <c r="I1989" t="s">
        <v>8634</v>
      </c>
      <c r="J1989" t="s">
        <v>2</v>
      </c>
      <c r="K1989" s="9">
        <v>44726</v>
      </c>
      <c r="L1989" t="s">
        <v>29</v>
      </c>
      <c r="M1989" t="s">
        <v>1686</v>
      </c>
      <c r="N1989" s="9">
        <v>44686</v>
      </c>
      <c r="O1989" s="9">
        <v>44693</v>
      </c>
      <c r="P1989" s="9">
        <v>44693</v>
      </c>
      <c r="Q1989"/>
      <c r="R1989"/>
      <c r="S1989"/>
      <c r="T1989"/>
      <c r="U1989"/>
    </row>
    <row r="1990" spans="1:21" hidden="1">
      <c r="A1990" s="7" t="s">
        <v>8829</v>
      </c>
      <c r="B1990" s="7" t="s">
        <v>5405</v>
      </c>
      <c r="C1990" s="8" t="s">
        <v>5317</v>
      </c>
      <c r="D1990" t="s">
        <v>164</v>
      </c>
      <c r="E1990" t="s">
        <v>25</v>
      </c>
      <c r="F1990" t="s">
        <v>1718</v>
      </c>
      <c r="G1990" t="s">
        <v>1825</v>
      </c>
      <c r="H1990" s="9">
        <v>44657</v>
      </c>
      <c r="I1990" t="s">
        <v>8634</v>
      </c>
      <c r="J1990" t="s">
        <v>2</v>
      </c>
      <c r="K1990" s="9">
        <v>44726</v>
      </c>
      <c r="L1990" t="s">
        <v>29</v>
      </c>
      <c r="M1990" t="s">
        <v>1686</v>
      </c>
      <c r="N1990" s="9">
        <v>44686</v>
      </c>
      <c r="O1990" s="9">
        <v>44693</v>
      </c>
      <c r="P1990" s="9">
        <v>44693</v>
      </c>
      <c r="Q1990" s="9">
        <v>44810</v>
      </c>
      <c r="R1990"/>
      <c r="S1990"/>
      <c r="T1990"/>
      <c r="U1990"/>
    </row>
    <row r="1991" spans="1:21" hidden="1">
      <c r="A1991" s="7" t="s">
        <v>8834</v>
      </c>
      <c r="B1991" s="7" t="s">
        <v>7878</v>
      </c>
      <c r="C1991" s="8" t="s">
        <v>5317</v>
      </c>
      <c r="D1991" t="s">
        <v>164</v>
      </c>
      <c r="E1991" t="s">
        <v>1826</v>
      </c>
      <c r="F1991" t="s">
        <v>117</v>
      </c>
      <c r="G1991" t="s">
        <v>1827</v>
      </c>
      <c r="H1991" s="9">
        <v>44657</v>
      </c>
      <c r="I1991" t="s">
        <v>1070</v>
      </c>
      <c r="J1991" t="s">
        <v>163</v>
      </c>
      <c r="K1991" s="9">
        <v>44693</v>
      </c>
      <c r="L1991" t="s">
        <v>29</v>
      </c>
      <c r="M1991"/>
      <c r="N1991" s="9">
        <v>44686</v>
      </c>
      <c r="O1991" s="9">
        <v>44693</v>
      </c>
      <c r="P1991" s="9">
        <v>44693</v>
      </c>
      <c r="Q1991"/>
      <c r="R1991"/>
      <c r="S1991"/>
      <c r="T1991"/>
      <c r="U1991"/>
    </row>
    <row r="1992" spans="1:21" hidden="1">
      <c r="A1992" s="7" t="s">
        <v>8763</v>
      </c>
      <c r="B1992" s="7" t="s">
        <v>5405</v>
      </c>
      <c r="C1992" s="8" t="s">
        <v>5317</v>
      </c>
      <c r="D1992" t="s">
        <v>164</v>
      </c>
      <c r="E1992" t="s">
        <v>25</v>
      </c>
      <c r="F1992" t="s">
        <v>280</v>
      </c>
      <c r="G1992" t="s">
        <v>1828</v>
      </c>
      <c r="H1992" s="9">
        <v>44657</v>
      </c>
      <c r="I1992" t="s">
        <v>8634</v>
      </c>
      <c r="J1992" t="s">
        <v>0</v>
      </c>
      <c r="K1992" s="9">
        <v>44858</v>
      </c>
      <c r="L1992" t="s">
        <v>29</v>
      </c>
      <c r="M1992"/>
      <c r="N1992" s="9">
        <v>44686</v>
      </c>
      <c r="O1992" s="9">
        <v>44693</v>
      </c>
      <c r="P1992" s="9">
        <v>44693</v>
      </c>
      <c r="Q1992" s="9">
        <v>44858</v>
      </c>
      <c r="R1992"/>
      <c r="S1992"/>
      <c r="T1992"/>
      <c r="U1992"/>
    </row>
    <row r="1993" spans="1:21" hidden="1">
      <c r="A1993" s="7" t="s">
        <v>8763</v>
      </c>
      <c r="B1993" s="7" t="s">
        <v>5405</v>
      </c>
      <c r="C1993" s="8" t="s">
        <v>5317</v>
      </c>
      <c r="D1993" t="s">
        <v>164</v>
      </c>
      <c r="E1993" t="s">
        <v>25</v>
      </c>
      <c r="F1993" t="s">
        <v>280</v>
      </c>
      <c r="G1993" t="s">
        <v>1829</v>
      </c>
      <c r="H1993" s="9">
        <v>44657</v>
      </c>
      <c r="I1993" t="s">
        <v>8634</v>
      </c>
      <c r="J1993" t="s">
        <v>0</v>
      </c>
      <c r="K1993" s="9">
        <v>44858</v>
      </c>
      <c r="L1993" t="s">
        <v>29</v>
      </c>
      <c r="M1993"/>
      <c r="N1993" s="9">
        <v>44686</v>
      </c>
      <c r="O1993" s="9">
        <v>44693</v>
      </c>
      <c r="P1993" s="9">
        <v>44693</v>
      </c>
      <c r="Q1993" s="9">
        <v>44858</v>
      </c>
      <c r="R1993"/>
      <c r="S1993"/>
      <c r="T1993"/>
      <c r="U1993"/>
    </row>
    <row r="1994" spans="1:21" hidden="1">
      <c r="A1994" s="7" t="s">
        <v>8763</v>
      </c>
      <c r="B1994" s="7" t="s">
        <v>5405</v>
      </c>
      <c r="C1994" s="8" t="s">
        <v>5317</v>
      </c>
      <c r="D1994" t="s">
        <v>164</v>
      </c>
      <c r="E1994" t="s">
        <v>25</v>
      </c>
      <c r="F1994" t="s">
        <v>280</v>
      </c>
      <c r="G1994" t="s">
        <v>1830</v>
      </c>
      <c r="H1994" s="9">
        <v>44657</v>
      </c>
      <c r="I1994" t="s">
        <v>8634</v>
      </c>
      <c r="J1994" t="s">
        <v>0</v>
      </c>
      <c r="K1994" s="9">
        <v>44858</v>
      </c>
      <c r="L1994" t="s">
        <v>29</v>
      </c>
      <c r="M1994"/>
      <c r="N1994" s="9">
        <v>44686</v>
      </c>
      <c r="O1994" s="9">
        <v>44693</v>
      </c>
      <c r="P1994" s="9">
        <v>44693</v>
      </c>
      <c r="Q1994" s="9">
        <v>44858</v>
      </c>
      <c r="R1994"/>
      <c r="S1994"/>
      <c r="T1994"/>
      <c r="U1994"/>
    </row>
    <row r="1995" spans="1:21" hidden="1">
      <c r="A1995" s="7" t="s">
        <v>8763</v>
      </c>
      <c r="B1995" s="7" t="s">
        <v>5405</v>
      </c>
      <c r="C1995" s="8" t="s">
        <v>5317</v>
      </c>
      <c r="D1995" t="s">
        <v>164</v>
      </c>
      <c r="E1995" t="s">
        <v>25</v>
      </c>
      <c r="F1995" t="s">
        <v>280</v>
      </c>
      <c r="G1995" t="s">
        <v>1831</v>
      </c>
      <c r="H1995" s="9">
        <v>44657</v>
      </c>
      <c r="I1995" t="s">
        <v>8634</v>
      </c>
      <c r="J1995" t="s">
        <v>0</v>
      </c>
      <c r="K1995" s="9">
        <v>44858</v>
      </c>
      <c r="L1995" t="s">
        <v>29</v>
      </c>
      <c r="M1995"/>
      <c r="N1995" s="9">
        <v>44686</v>
      </c>
      <c r="O1995" s="9">
        <v>44693</v>
      </c>
      <c r="P1995" s="9">
        <v>44693</v>
      </c>
      <c r="Q1995" s="9">
        <v>44858</v>
      </c>
      <c r="R1995"/>
      <c r="S1995"/>
      <c r="T1995"/>
      <c r="U1995"/>
    </row>
    <row r="1996" spans="1:21" hidden="1">
      <c r="A1996" s="7" t="s">
        <v>8830</v>
      </c>
      <c r="B1996" s="7" t="s">
        <v>5405</v>
      </c>
      <c r="C1996" s="8" t="s">
        <v>5317</v>
      </c>
      <c r="D1996" t="s">
        <v>164</v>
      </c>
      <c r="E1996" t="s">
        <v>25</v>
      </c>
      <c r="F1996" t="s">
        <v>41</v>
      </c>
      <c r="G1996" t="s">
        <v>1832</v>
      </c>
      <c r="H1996" s="9">
        <v>44657</v>
      </c>
      <c r="I1996" t="s">
        <v>8634</v>
      </c>
      <c r="J1996" t="s">
        <v>2</v>
      </c>
      <c r="K1996" s="9">
        <v>44726</v>
      </c>
      <c r="L1996" t="s">
        <v>29</v>
      </c>
      <c r="M1996" t="s">
        <v>1686</v>
      </c>
      <c r="N1996" s="9">
        <v>44686</v>
      </c>
      <c r="O1996" s="9">
        <v>44693</v>
      </c>
      <c r="P1996" s="9">
        <v>44693</v>
      </c>
      <c r="Q1996" s="9">
        <v>44862</v>
      </c>
      <c r="R1996"/>
      <c r="S1996"/>
      <c r="T1996"/>
      <c r="U1996"/>
    </row>
    <row r="1997" spans="1:21" hidden="1">
      <c r="A1997" s="7" t="s">
        <v>8763</v>
      </c>
      <c r="B1997" s="7" t="s">
        <v>5405</v>
      </c>
      <c r="C1997" s="8" t="s">
        <v>5317</v>
      </c>
      <c r="D1997" t="s">
        <v>164</v>
      </c>
      <c r="E1997" t="s">
        <v>25</v>
      </c>
      <c r="F1997" t="s">
        <v>280</v>
      </c>
      <c r="G1997" t="s">
        <v>1526</v>
      </c>
      <c r="H1997" s="9">
        <v>44657</v>
      </c>
      <c r="I1997" t="s">
        <v>8634</v>
      </c>
      <c r="J1997" t="s">
        <v>0</v>
      </c>
      <c r="K1997" s="9">
        <v>44858</v>
      </c>
      <c r="L1997" t="s">
        <v>29</v>
      </c>
      <c r="M1997"/>
      <c r="N1997" s="9">
        <v>44686</v>
      </c>
      <c r="O1997" s="9">
        <v>44693</v>
      </c>
      <c r="P1997" s="9">
        <v>44693</v>
      </c>
      <c r="Q1997" s="9">
        <v>44858</v>
      </c>
      <c r="R1997"/>
      <c r="S1997"/>
      <c r="T1997"/>
      <c r="U1997"/>
    </row>
    <row r="1998" spans="1:21" hidden="1">
      <c r="A1998" s="7" t="s">
        <v>8763</v>
      </c>
      <c r="B1998" s="7" t="s">
        <v>5405</v>
      </c>
      <c r="C1998" s="8" t="s">
        <v>5317</v>
      </c>
      <c r="D1998" t="s">
        <v>164</v>
      </c>
      <c r="E1998" t="s">
        <v>25</v>
      </c>
      <c r="F1998" t="s">
        <v>280</v>
      </c>
      <c r="G1998" t="s">
        <v>1527</v>
      </c>
      <c r="H1998" s="9">
        <v>44657</v>
      </c>
      <c r="I1998" t="s">
        <v>8634</v>
      </c>
      <c r="J1998" t="s">
        <v>0</v>
      </c>
      <c r="K1998" s="9">
        <v>44858</v>
      </c>
      <c r="L1998" t="s">
        <v>29</v>
      </c>
      <c r="M1998"/>
      <c r="N1998" s="9">
        <v>44686</v>
      </c>
      <c r="O1998" s="9">
        <v>44693</v>
      </c>
      <c r="P1998" s="9">
        <v>44693</v>
      </c>
      <c r="Q1998" s="9">
        <v>44858</v>
      </c>
      <c r="R1998"/>
      <c r="S1998"/>
      <c r="T1998"/>
      <c r="U1998"/>
    </row>
    <row r="1999" spans="1:21" hidden="1">
      <c r="A1999" s="7" t="s">
        <v>8830</v>
      </c>
      <c r="B1999" s="7" t="s">
        <v>5405</v>
      </c>
      <c r="C1999" s="8" t="s">
        <v>5317</v>
      </c>
      <c r="D1999" t="s">
        <v>164</v>
      </c>
      <c r="E1999" t="s">
        <v>25</v>
      </c>
      <c r="F1999" t="s">
        <v>41</v>
      </c>
      <c r="G1999" t="s">
        <v>1833</v>
      </c>
      <c r="H1999" s="9">
        <v>44657</v>
      </c>
      <c r="I1999" t="s">
        <v>8634</v>
      </c>
      <c r="J1999" t="s">
        <v>2</v>
      </c>
      <c r="K1999" s="9">
        <v>44726</v>
      </c>
      <c r="L1999" t="s">
        <v>29</v>
      </c>
      <c r="M1999" t="s">
        <v>1686</v>
      </c>
      <c r="N1999" s="9">
        <v>44686</v>
      </c>
      <c r="O1999" s="9">
        <v>44693</v>
      </c>
      <c r="P1999" s="9">
        <v>44693</v>
      </c>
      <c r="Q1999" s="9">
        <v>44862</v>
      </c>
      <c r="R1999"/>
      <c r="S1999"/>
      <c r="T1999"/>
      <c r="U1999"/>
    </row>
    <row r="2000" spans="1:21" hidden="1">
      <c r="A2000" s="7" t="s">
        <v>8830</v>
      </c>
      <c r="B2000" s="7" t="s">
        <v>5405</v>
      </c>
      <c r="C2000" s="8" t="s">
        <v>5317</v>
      </c>
      <c r="D2000" t="s">
        <v>164</v>
      </c>
      <c r="E2000" t="s">
        <v>25</v>
      </c>
      <c r="F2000" t="s">
        <v>41</v>
      </c>
      <c r="G2000" t="s">
        <v>1834</v>
      </c>
      <c r="H2000" s="9">
        <v>44657</v>
      </c>
      <c r="I2000" t="s">
        <v>8634</v>
      </c>
      <c r="J2000" t="s">
        <v>2</v>
      </c>
      <c r="K2000" s="9">
        <v>44726</v>
      </c>
      <c r="L2000" t="s">
        <v>29</v>
      </c>
      <c r="M2000" t="s">
        <v>1686</v>
      </c>
      <c r="N2000" s="9">
        <v>44686</v>
      </c>
      <c r="O2000" s="9">
        <v>44693</v>
      </c>
      <c r="P2000" s="9">
        <v>44693</v>
      </c>
      <c r="Q2000" s="9">
        <v>44862</v>
      </c>
      <c r="R2000"/>
      <c r="S2000"/>
      <c r="T2000"/>
      <c r="U2000"/>
    </row>
    <row r="2001" spans="1:21" hidden="1">
      <c r="A2001" s="7" t="s">
        <v>8835</v>
      </c>
      <c r="B2001" s="7" t="s">
        <v>5405</v>
      </c>
      <c r="C2001" s="8" t="s">
        <v>5317</v>
      </c>
      <c r="D2001" t="s">
        <v>164</v>
      </c>
      <c r="E2001" t="s">
        <v>25</v>
      </c>
      <c r="F2001" t="s">
        <v>1835</v>
      </c>
      <c r="G2001" t="s">
        <v>1836</v>
      </c>
      <c r="H2001" s="9">
        <v>44657</v>
      </c>
      <c r="I2001" t="s">
        <v>8634</v>
      </c>
      <c r="J2001" t="s">
        <v>2</v>
      </c>
      <c r="K2001" s="9">
        <v>44726</v>
      </c>
      <c r="L2001" t="s">
        <v>29</v>
      </c>
      <c r="M2001" t="s">
        <v>1686</v>
      </c>
      <c r="N2001" s="9">
        <v>44686</v>
      </c>
      <c r="O2001" s="9">
        <v>44693</v>
      </c>
      <c r="P2001" s="9">
        <v>44693</v>
      </c>
      <c r="Q2001" s="9">
        <v>44810</v>
      </c>
      <c r="R2001"/>
      <c r="S2001"/>
      <c r="T2001"/>
      <c r="U2001"/>
    </row>
    <row r="2002" spans="1:21" hidden="1">
      <c r="A2002" s="7" t="s">
        <v>8830</v>
      </c>
      <c r="B2002" s="7" t="s">
        <v>5405</v>
      </c>
      <c r="C2002" s="8" t="s">
        <v>5317</v>
      </c>
      <c r="D2002" t="s">
        <v>164</v>
      </c>
      <c r="E2002" t="s">
        <v>25</v>
      </c>
      <c r="F2002" t="s">
        <v>41</v>
      </c>
      <c r="G2002" t="s">
        <v>1837</v>
      </c>
      <c r="H2002" s="9">
        <v>44657</v>
      </c>
      <c r="I2002" t="s">
        <v>8634</v>
      </c>
      <c r="J2002" t="s">
        <v>2</v>
      </c>
      <c r="K2002" s="9">
        <v>44726</v>
      </c>
      <c r="L2002" t="s">
        <v>29</v>
      </c>
      <c r="M2002" t="s">
        <v>1686</v>
      </c>
      <c r="N2002" s="9">
        <v>44686</v>
      </c>
      <c r="O2002" s="9">
        <v>44693</v>
      </c>
      <c r="P2002" s="9">
        <v>44693</v>
      </c>
      <c r="Q2002" s="9">
        <v>44862</v>
      </c>
      <c r="R2002"/>
      <c r="S2002"/>
      <c r="T2002"/>
      <c r="U2002"/>
    </row>
    <row r="2003" spans="1:21" hidden="1">
      <c r="A2003" s="7" t="s">
        <v>8763</v>
      </c>
      <c r="B2003" s="7" t="s">
        <v>5405</v>
      </c>
      <c r="C2003" s="8" t="s">
        <v>5317</v>
      </c>
      <c r="D2003" t="s">
        <v>164</v>
      </c>
      <c r="E2003" t="s">
        <v>25</v>
      </c>
      <c r="F2003" t="s">
        <v>280</v>
      </c>
      <c r="G2003" t="s">
        <v>1838</v>
      </c>
      <c r="H2003" s="9">
        <v>44657</v>
      </c>
      <c r="I2003" t="s">
        <v>8634</v>
      </c>
      <c r="J2003" t="s">
        <v>0</v>
      </c>
      <c r="K2003" s="9">
        <v>44858</v>
      </c>
      <c r="L2003" t="s">
        <v>29</v>
      </c>
      <c r="M2003"/>
      <c r="N2003" s="9">
        <v>44686</v>
      </c>
      <c r="O2003" s="9">
        <v>44693</v>
      </c>
      <c r="P2003" s="9">
        <v>44693</v>
      </c>
      <c r="Q2003" s="9">
        <v>44858</v>
      </c>
      <c r="R2003"/>
      <c r="S2003"/>
      <c r="T2003"/>
      <c r="U2003"/>
    </row>
    <row r="2004" spans="1:21" hidden="1">
      <c r="A2004" s="7" t="s">
        <v>8830</v>
      </c>
      <c r="B2004" s="7" t="s">
        <v>5405</v>
      </c>
      <c r="C2004" s="8" t="s">
        <v>5317</v>
      </c>
      <c r="D2004" t="s">
        <v>164</v>
      </c>
      <c r="E2004" t="s">
        <v>25</v>
      </c>
      <c r="F2004" t="s">
        <v>41</v>
      </c>
      <c r="G2004" t="s">
        <v>1839</v>
      </c>
      <c r="H2004" s="9">
        <v>44657</v>
      </c>
      <c r="I2004" t="s">
        <v>8634</v>
      </c>
      <c r="J2004" t="s">
        <v>2</v>
      </c>
      <c r="K2004" s="9">
        <v>44726</v>
      </c>
      <c r="L2004" t="s">
        <v>29</v>
      </c>
      <c r="M2004" t="s">
        <v>1686</v>
      </c>
      <c r="N2004" s="9">
        <v>44686</v>
      </c>
      <c r="O2004" s="9">
        <v>44693</v>
      </c>
      <c r="P2004" s="9">
        <v>44693</v>
      </c>
      <c r="Q2004" s="9">
        <v>44862</v>
      </c>
      <c r="R2004"/>
      <c r="S2004"/>
      <c r="T2004"/>
      <c r="U2004"/>
    </row>
    <row r="2005" spans="1:21" hidden="1">
      <c r="A2005" s="7" t="s">
        <v>8830</v>
      </c>
      <c r="B2005" s="7" t="s">
        <v>5405</v>
      </c>
      <c r="C2005" s="8" t="s">
        <v>5317</v>
      </c>
      <c r="D2005" t="s">
        <v>164</v>
      </c>
      <c r="E2005" t="s">
        <v>25</v>
      </c>
      <c r="F2005" t="s">
        <v>41</v>
      </c>
      <c r="G2005" t="s">
        <v>1840</v>
      </c>
      <c r="H2005" s="9">
        <v>44657</v>
      </c>
      <c r="I2005" t="s">
        <v>8634</v>
      </c>
      <c r="J2005" t="s">
        <v>2</v>
      </c>
      <c r="K2005" s="9">
        <v>44726</v>
      </c>
      <c r="L2005" t="s">
        <v>29</v>
      </c>
      <c r="M2005" t="s">
        <v>1686</v>
      </c>
      <c r="N2005" s="9">
        <v>44686</v>
      </c>
      <c r="O2005" s="9">
        <v>44693</v>
      </c>
      <c r="P2005" s="9">
        <v>44693</v>
      </c>
      <c r="Q2005" s="9">
        <v>44862</v>
      </c>
      <c r="R2005"/>
      <c r="S2005"/>
      <c r="T2005"/>
      <c r="U2005"/>
    </row>
    <row r="2006" spans="1:21" hidden="1">
      <c r="A2006" s="7" t="s">
        <v>8835</v>
      </c>
      <c r="B2006" s="7" t="s">
        <v>5405</v>
      </c>
      <c r="C2006" s="8" t="s">
        <v>5317</v>
      </c>
      <c r="D2006" t="s">
        <v>164</v>
      </c>
      <c r="E2006" t="s">
        <v>25</v>
      </c>
      <c r="F2006" t="s">
        <v>1835</v>
      </c>
      <c r="G2006" t="s">
        <v>1841</v>
      </c>
      <c r="H2006" s="9">
        <v>44657</v>
      </c>
      <c r="I2006" t="s">
        <v>8634</v>
      </c>
      <c r="J2006" t="s">
        <v>2</v>
      </c>
      <c r="K2006" s="9">
        <v>44726</v>
      </c>
      <c r="L2006" t="s">
        <v>29</v>
      </c>
      <c r="M2006" t="s">
        <v>1686</v>
      </c>
      <c r="N2006" s="9">
        <v>44686</v>
      </c>
      <c r="O2006" s="9">
        <v>44693</v>
      </c>
      <c r="P2006" s="9">
        <v>44693</v>
      </c>
      <c r="Q2006" s="9">
        <v>44810</v>
      </c>
      <c r="R2006"/>
      <c r="S2006"/>
      <c r="T2006"/>
      <c r="U2006"/>
    </row>
    <row r="2007" spans="1:21" hidden="1">
      <c r="A2007" s="7" t="s">
        <v>8830</v>
      </c>
      <c r="B2007" s="7" t="s">
        <v>5405</v>
      </c>
      <c r="C2007" s="8" t="s">
        <v>5317</v>
      </c>
      <c r="D2007" t="s">
        <v>164</v>
      </c>
      <c r="E2007" t="s">
        <v>25</v>
      </c>
      <c r="F2007" t="s">
        <v>41</v>
      </c>
      <c r="G2007" t="s">
        <v>1842</v>
      </c>
      <c r="H2007" s="9">
        <v>44657</v>
      </c>
      <c r="I2007" t="s">
        <v>8634</v>
      </c>
      <c r="J2007" t="s">
        <v>2</v>
      </c>
      <c r="K2007" s="9">
        <v>44726</v>
      </c>
      <c r="L2007" t="s">
        <v>29</v>
      </c>
      <c r="M2007" t="s">
        <v>1686</v>
      </c>
      <c r="N2007" s="9">
        <v>44686</v>
      </c>
      <c r="O2007" s="9">
        <v>44693</v>
      </c>
      <c r="P2007" s="9">
        <v>44693</v>
      </c>
      <c r="Q2007" s="9">
        <v>44862</v>
      </c>
      <c r="R2007"/>
      <c r="S2007"/>
      <c r="T2007"/>
      <c r="U2007"/>
    </row>
    <row r="2008" spans="1:21" hidden="1">
      <c r="A2008" s="7" t="s">
        <v>8830</v>
      </c>
      <c r="B2008" s="7" t="s">
        <v>5405</v>
      </c>
      <c r="C2008" s="8" t="s">
        <v>5317</v>
      </c>
      <c r="D2008" t="s">
        <v>164</v>
      </c>
      <c r="E2008" t="s">
        <v>25</v>
      </c>
      <c r="F2008" t="s">
        <v>41</v>
      </c>
      <c r="G2008" t="s">
        <v>1843</v>
      </c>
      <c r="H2008" s="9">
        <v>44657</v>
      </c>
      <c r="I2008" t="s">
        <v>8634</v>
      </c>
      <c r="J2008" t="s">
        <v>2</v>
      </c>
      <c r="K2008" s="9">
        <v>44726</v>
      </c>
      <c r="L2008" t="s">
        <v>29</v>
      </c>
      <c r="M2008" t="s">
        <v>1686</v>
      </c>
      <c r="N2008" s="9">
        <v>44686</v>
      </c>
      <c r="O2008" s="9">
        <v>44693</v>
      </c>
      <c r="P2008" s="9">
        <v>44693</v>
      </c>
      <c r="Q2008" s="9">
        <v>44862</v>
      </c>
      <c r="R2008"/>
      <c r="S2008"/>
      <c r="T2008"/>
      <c r="U2008"/>
    </row>
    <row r="2009" spans="1:21" hidden="1">
      <c r="A2009" s="7" t="s">
        <v>8830</v>
      </c>
      <c r="B2009" s="7" t="s">
        <v>5405</v>
      </c>
      <c r="C2009" s="8" t="s">
        <v>5317</v>
      </c>
      <c r="D2009" t="s">
        <v>164</v>
      </c>
      <c r="E2009" t="s">
        <v>25</v>
      </c>
      <c r="F2009" t="s">
        <v>41</v>
      </c>
      <c r="G2009" t="s">
        <v>1844</v>
      </c>
      <c r="H2009" s="9">
        <v>44657</v>
      </c>
      <c r="I2009" t="s">
        <v>8634</v>
      </c>
      <c r="J2009" t="s">
        <v>2</v>
      </c>
      <c r="K2009" s="9">
        <v>44726</v>
      </c>
      <c r="L2009" t="s">
        <v>29</v>
      </c>
      <c r="M2009" t="s">
        <v>1686</v>
      </c>
      <c r="N2009" s="9">
        <v>44686</v>
      </c>
      <c r="O2009" s="9">
        <v>44693</v>
      </c>
      <c r="P2009" s="9">
        <v>44693</v>
      </c>
      <c r="Q2009" s="9">
        <v>44862</v>
      </c>
      <c r="R2009"/>
      <c r="S2009"/>
      <c r="T2009"/>
      <c r="U2009"/>
    </row>
    <row r="2010" spans="1:21" hidden="1">
      <c r="A2010" s="7" t="s">
        <v>8830</v>
      </c>
      <c r="B2010" s="7" t="s">
        <v>5405</v>
      </c>
      <c r="C2010" s="8" t="s">
        <v>5317</v>
      </c>
      <c r="D2010" t="s">
        <v>164</v>
      </c>
      <c r="E2010" t="s">
        <v>25</v>
      </c>
      <c r="F2010" t="s">
        <v>41</v>
      </c>
      <c r="G2010" t="s">
        <v>1845</v>
      </c>
      <c r="H2010" s="9">
        <v>44657</v>
      </c>
      <c r="I2010" t="s">
        <v>8634</v>
      </c>
      <c r="J2010" t="s">
        <v>2</v>
      </c>
      <c r="K2010" s="9">
        <v>44726</v>
      </c>
      <c r="L2010" t="s">
        <v>29</v>
      </c>
      <c r="M2010" t="s">
        <v>1686</v>
      </c>
      <c r="N2010" s="9">
        <v>44686</v>
      </c>
      <c r="O2010" s="9">
        <v>44693</v>
      </c>
      <c r="P2010" s="9">
        <v>44693</v>
      </c>
      <c r="Q2010" s="9">
        <v>44862</v>
      </c>
      <c r="R2010"/>
      <c r="S2010"/>
      <c r="T2010"/>
      <c r="U2010"/>
    </row>
    <row r="2011" spans="1:21" hidden="1">
      <c r="A2011" s="7" t="s">
        <v>8830</v>
      </c>
      <c r="B2011" s="7" t="s">
        <v>5405</v>
      </c>
      <c r="C2011" s="8" t="s">
        <v>5317</v>
      </c>
      <c r="D2011" t="s">
        <v>164</v>
      </c>
      <c r="E2011" t="s">
        <v>25</v>
      </c>
      <c r="F2011" t="s">
        <v>41</v>
      </c>
      <c r="G2011" t="s">
        <v>1846</v>
      </c>
      <c r="H2011" s="9">
        <v>44657</v>
      </c>
      <c r="I2011" t="s">
        <v>8634</v>
      </c>
      <c r="J2011" t="s">
        <v>2</v>
      </c>
      <c r="K2011" s="9">
        <v>44726</v>
      </c>
      <c r="L2011" t="s">
        <v>29</v>
      </c>
      <c r="M2011" t="s">
        <v>1686</v>
      </c>
      <c r="N2011" s="9">
        <v>44686</v>
      </c>
      <c r="O2011" s="9">
        <v>44693</v>
      </c>
      <c r="P2011" s="9">
        <v>44693</v>
      </c>
      <c r="Q2011" s="9">
        <v>44862</v>
      </c>
      <c r="R2011"/>
      <c r="S2011"/>
      <c r="T2011"/>
      <c r="U2011"/>
    </row>
    <row r="2012" spans="1:21" hidden="1">
      <c r="A2012" s="7" t="s">
        <v>8830</v>
      </c>
      <c r="B2012" s="7" t="s">
        <v>5405</v>
      </c>
      <c r="C2012" s="8" t="s">
        <v>5317</v>
      </c>
      <c r="D2012" t="s">
        <v>164</v>
      </c>
      <c r="E2012" t="s">
        <v>25</v>
      </c>
      <c r="F2012" t="s">
        <v>41</v>
      </c>
      <c r="G2012" t="s">
        <v>1847</v>
      </c>
      <c r="H2012" s="9">
        <v>44657</v>
      </c>
      <c r="I2012" t="s">
        <v>8634</v>
      </c>
      <c r="J2012" t="s">
        <v>2</v>
      </c>
      <c r="K2012" s="9">
        <v>44726</v>
      </c>
      <c r="L2012" t="s">
        <v>29</v>
      </c>
      <c r="M2012" t="s">
        <v>1686</v>
      </c>
      <c r="N2012" s="9">
        <v>44686</v>
      </c>
      <c r="O2012" s="9">
        <v>44693</v>
      </c>
      <c r="P2012" s="9">
        <v>44693</v>
      </c>
      <c r="Q2012" s="9">
        <v>44862</v>
      </c>
      <c r="R2012"/>
      <c r="S2012"/>
      <c r="T2012"/>
      <c r="U2012"/>
    </row>
    <row r="2013" spans="1:21" hidden="1">
      <c r="A2013" s="7" t="s">
        <v>8763</v>
      </c>
      <c r="B2013" s="7" t="s">
        <v>5405</v>
      </c>
      <c r="C2013" s="8" t="s">
        <v>5317</v>
      </c>
      <c r="D2013" t="s">
        <v>164</v>
      </c>
      <c r="E2013" t="s">
        <v>25</v>
      </c>
      <c r="F2013" t="s">
        <v>280</v>
      </c>
      <c r="G2013" t="s">
        <v>1848</v>
      </c>
      <c r="H2013" s="9">
        <v>44657</v>
      </c>
      <c r="I2013" t="s">
        <v>8634</v>
      </c>
      <c r="J2013" t="s">
        <v>0</v>
      </c>
      <c r="K2013" s="9">
        <v>44858</v>
      </c>
      <c r="L2013" t="s">
        <v>29</v>
      </c>
      <c r="M2013"/>
      <c r="N2013" s="9">
        <v>44686</v>
      </c>
      <c r="O2013" s="9">
        <v>44693</v>
      </c>
      <c r="P2013" s="9">
        <v>44693</v>
      </c>
      <c r="Q2013" s="9">
        <v>44858</v>
      </c>
      <c r="R2013"/>
      <c r="S2013"/>
      <c r="T2013"/>
      <c r="U2013"/>
    </row>
    <row r="2014" spans="1:21" hidden="1">
      <c r="A2014" s="7" t="s">
        <v>8763</v>
      </c>
      <c r="B2014" s="7" t="s">
        <v>5405</v>
      </c>
      <c r="C2014" s="8" t="s">
        <v>5317</v>
      </c>
      <c r="D2014" t="s">
        <v>164</v>
      </c>
      <c r="E2014" t="s">
        <v>25</v>
      </c>
      <c r="F2014" t="s">
        <v>280</v>
      </c>
      <c r="G2014" t="s">
        <v>1849</v>
      </c>
      <c r="H2014" s="9">
        <v>44657</v>
      </c>
      <c r="I2014" t="s">
        <v>8634</v>
      </c>
      <c r="J2014" t="s">
        <v>0</v>
      </c>
      <c r="K2014" s="9">
        <v>44858</v>
      </c>
      <c r="L2014" t="s">
        <v>29</v>
      </c>
      <c r="M2014"/>
      <c r="N2014" s="9">
        <v>44686</v>
      </c>
      <c r="O2014" s="9">
        <v>44693</v>
      </c>
      <c r="P2014" s="9">
        <v>44693</v>
      </c>
      <c r="Q2014" s="9">
        <v>44858</v>
      </c>
      <c r="R2014"/>
      <c r="S2014"/>
      <c r="T2014"/>
      <c r="U2014"/>
    </row>
    <row r="2015" spans="1:21" hidden="1">
      <c r="A2015" s="7" t="s">
        <v>8763</v>
      </c>
      <c r="B2015" s="7" t="s">
        <v>5405</v>
      </c>
      <c r="C2015" s="8" t="s">
        <v>5317</v>
      </c>
      <c r="D2015" t="s">
        <v>164</v>
      </c>
      <c r="E2015" t="s">
        <v>25</v>
      </c>
      <c r="F2015" t="s">
        <v>280</v>
      </c>
      <c r="G2015" t="s">
        <v>1576</v>
      </c>
      <c r="H2015" s="9">
        <v>44657</v>
      </c>
      <c r="I2015" t="s">
        <v>8634</v>
      </c>
      <c r="J2015" t="s">
        <v>0</v>
      </c>
      <c r="K2015" s="9">
        <v>44858</v>
      </c>
      <c r="L2015" t="s">
        <v>29</v>
      </c>
      <c r="M2015"/>
      <c r="N2015" s="9">
        <v>44686</v>
      </c>
      <c r="O2015" s="9">
        <v>44693</v>
      </c>
      <c r="P2015" s="9">
        <v>44693</v>
      </c>
      <c r="Q2015" s="9">
        <v>44858</v>
      </c>
      <c r="R2015"/>
      <c r="S2015"/>
      <c r="T2015"/>
      <c r="U2015"/>
    </row>
    <row r="2016" spans="1:21" hidden="1">
      <c r="A2016" s="7" t="s">
        <v>8763</v>
      </c>
      <c r="B2016" s="7" t="s">
        <v>5405</v>
      </c>
      <c r="C2016" s="8" t="s">
        <v>5317</v>
      </c>
      <c r="D2016" t="s">
        <v>164</v>
      </c>
      <c r="E2016" t="s">
        <v>25</v>
      </c>
      <c r="F2016" t="s">
        <v>280</v>
      </c>
      <c r="G2016" t="s">
        <v>1850</v>
      </c>
      <c r="H2016" s="9">
        <v>44657</v>
      </c>
      <c r="I2016" t="s">
        <v>8634</v>
      </c>
      <c r="J2016" t="s">
        <v>0</v>
      </c>
      <c r="K2016" s="9">
        <v>44858</v>
      </c>
      <c r="L2016" t="s">
        <v>29</v>
      </c>
      <c r="M2016"/>
      <c r="N2016" s="9">
        <v>44686</v>
      </c>
      <c r="O2016" s="9">
        <v>44693</v>
      </c>
      <c r="P2016" s="9">
        <v>44693</v>
      </c>
      <c r="Q2016" s="9">
        <v>44858</v>
      </c>
      <c r="R2016"/>
      <c r="S2016"/>
      <c r="T2016"/>
      <c r="U2016"/>
    </row>
    <row r="2017" spans="1:21" hidden="1">
      <c r="A2017" s="7" t="s">
        <v>8763</v>
      </c>
      <c r="B2017" s="7" t="s">
        <v>5405</v>
      </c>
      <c r="C2017" s="8" t="s">
        <v>5317</v>
      </c>
      <c r="D2017" t="s">
        <v>164</v>
      </c>
      <c r="E2017" t="s">
        <v>25</v>
      </c>
      <c r="F2017" t="s">
        <v>280</v>
      </c>
      <c r="G2017" t="s">
        <v>1851</v>
      </c>
      <c r="H2017" s="9">
        <v>44657</v>
      </c>
      <c r="I2017" t="s">
        <v>8634</v>
      </c>
      <c r="J2017" t="s">
        <v>0</v>
      </c>
      <c r="K2017" s="9">
        <v>44858</v>
      </c>
      <c r="L2017" t="s">
        <v>29</v>
      </c>
      <c r="M2017"/>
      <c r="N2017" s="9">
        <v>44686</v>
      </c>
      <c r="O2017" s="9">
        <v>44693</v>
      </c>
      <c r="P2017" s="9">
        <v>44693</v>
      </c>
      <c r="Q2017" s="9">
        <v>44858</v>
      </c>
      <c r="R2017"/>
      <c r="S2017"/>
      <c r="T2017"/>
      <c r="U2017"/>
    </row>
    <row r="2018" spans="1:21" hidden="1">
      <c r="A2018" s="7" t="s">
        <v>8830</v>
      </c>
      <c r="B2018" s="7" t="s">
        <v>5405</v>
      </c>
      <c r="C2018" s="8" t="s">
        <v>5317</v>
      </c>
      <c r="D2018" t="s">
        <v>164</v>
      </c>
      <c r="E2018" t="s">
        <v>25</v>
      </c>
      <c r="F2018" t="s">
        <v>41</v>
      </c>
      <c r="G2018" t="s">
        <v>1852</v>
      </c>
      <c r="H2018" s="9">
        <v>44657</v>
      </c>
      <c r="I2018" t="s">
        <v>8634</v>
      </c>
      <c r="J2018" t="s">
        <v>2</v>
      </c>
      <c r="K2018" s="9">
        <v>44726</v>
      </c>
      <c r="L2018" t="s">
        <v>29</v>
      </c>
      <c r="M2018" t="s">
        <v>1686</v>
      </c>
      <c r="N2018" s="9">
        <v>44686</v>
      </c>
      <c r="O2018" s="9">
        <v>44693</v>
      </c>
      <c r="P2018" s="9">
        <v>44693</v>
      </c>
      <c r="Q2018" s="9">
        <v>44862</v>
      </c>
      <c r="R2018"/>
      <c r="S2018"/>
      <c r="T2018"/>
      <c r="U2018"/>
    </row>
    <row r="2019" spans="1:21" hidden="1">
      <c r="A2019" s="7" t="s">
        <v>8829</v>
      </c>
      <c r="B2019" s="7" t="s">
        <v>5405</v>
      </c>
      <c r="C2019" s="8" t="s">
        <v>5317</v>
      </c>
      <c r="D2019" t="s">
        <v>164</v>
      </c>
      <c r="E2019" t="s">
        <v>25</v>
      </c>
      <c r="F2019" t="s">
        <v>1718</v>
      </c>
      <c r="G2019" t="s">
        <v>1853</v>
      </c>
      <c r="H2019" s="9">
        <v>44657</v>
      </c>
      <c r="I2019" t="s">
        <v>8634</v>
      </c>
      <c r="J2019" t="s">
        <v>2</v>
      </c>
      <c r="K2019" s="9">
        <v>44726</v>
      </c>
      <c r="L2019" t="s">
        <v>29</v>
      </c>
      <c r="M2019" t="s">
        <v>1686</v>
      </c>
      <c r="N2019" s="9">
        <v>44686</v>
      </c>
      <c r="O2019" s="9">
        <v>44693</v>
      </c>
      <c r="P2019" s="9">
        <v>44693</v>
      </c>
      <c r="Q2019" s="9">
        <v>44810</v>
      </c>
      <c r="R2019"/>
      <c r="S2019"/>
      <c r="T2019"/>
      <c r="U2019"/>
    </row>
    <row r="2020" spans="1:21" hidden="1">
      <c r="A2020" s="7" t="s">
        <v>8763</v>
      </c>
      <c r="B2020" s="7" t="s">
        <v>5405</v>
      </c>
      <c r="C2020" s="8" t="s">
        <v>5317</v>
      </c>
      <c r="D2020" t="s">
        <v>164</v>
      </c>
      <c r="E2020" t="s">
        <v>25</v>
      </c>
      <c r="F2020" t="s">
        <v>280</v>
      </c>
      <c r="G2020" t="s">
        <v>1854</v>
      </c>
      <c r="H2020" s="9">
        <v>44657</v>
      </c>
      <c r="I2020" t="s">
        <v>8634</v>
      </c>
      <c r="J2020" t="s">
        <v>163</v>
      </c>
      <c r="K2020" s="9">
        <v>44693</v>
      </c>
      <c r="L2020" t="s">
        <v>29</v>
      </c>
      <c r="M2020"/>
      <c r="N2020" s="9">
        <v>44686</v>
      </c>
      <c r="O2020" s="9">
        <v>44693</v>
      </c>
      <c r="P2020" s="9">
        <v>44693</v>
      </c>
      <c r="Q2020"/>
      <c r="R2020"/>
      <c r="S2020"/>
      <c r="T2020"/>
      <c r="U2020"/>
    </row>
    <row r="2021" spans="1:21" hidden="1">
      <c r="A2021" s="7" t="s">
        <v>8830</v>
      </c>
      <c r="B2021" s="7" t="s">
        <v>5405</v>
      </c>
      <c r="C2021" s="8" t="s">
        <v>5317</v>
      </c>
      <c r="D2021" t="s">
        <v>164</v>
      </c>
      <c r="E2021" t="s">
        <v>25</v>
      </c>
      <c r="F2021" t="s">
        <v>41</v>
      </c>
      <c r="G2021" t="s">
        <v>1855</v>
      </c>
      <c r="H2021" s="9">
        <v>44657</v>
      </c>
      <c r="I2021" t="s">
        <v>8634</v>
      </c>
      <c r="J2021" t="s">
        <v>2</v>
      </c>
      <c r="K2021" s="9">
        <v>44726</v>
      </c>
      <c r="L2021" t="s">
        <v>29</v>
      </c>
      <c r="M2021" t="s">
        <v>1686</v>
      </c>
      <c r="N2021" s="9">
        <v>44686</v>
      </c>
      <c r="O2021" s="9">
        <v>44693</v>
      </c>
      <c r="P2021" s="9">
        <v>44693</v>
      </c>
      <c r="Q2021" s="9">
        <v>44862</v>
      </c>
      <c r="R2021"/>
      <c r="S2021"/>
      <c r="T2021"/>
      <c r="U2021"/>
    </row>
    <row r="2022" spans="1:21" hidden="1">
      <c r="A2022" s="7" t="s">
        <v>8763</v>
      </c>
      <c r="B2022" s="7" t="s">
        <v>5405</v>
      </c>
      <c r="C2022" s="8" t="s">
        <v>5317</v>
      </c>
      <c r="D2022" t="s">
        <v>164</v>
      </c>
      <c r="E2022" t="s">
        <v>25</v>
      </c>
      <c r="F2022" t="s">
        <v>280</v>
      </c>
      <c r="G2022" t="s">
        <v>1856</v>
      </c>
      <c r="H2022" s="9">
        <v>44657</v>
      </c>
      <c r="I2022" t="s">
        <v>8634</v>
      </c>
      <c r="J2022" t="s">
        <v>0</v>
      </c>
      <c r="K2022" s="9">
        <v>44858</v>
      </c>
      <c r="L2022" t="s">
        <v>29</v>
      </c>
      <c r="M2022"/>
      <c r="N2022" s="9">
        <v>44686</v>
      </c>
      <c r="O2022" s="9">
        <v>44693</v>
      </c>
      <c r="P2022" s="9">
        <v>44693</v>
      </c>
      <c r="Q2022" s="9">
        <v>44858</v>
      </c>
      <c r="R2022"/>
      <c r="S2022"/>
      <c r="T2022"/>
      <c r="U2022"/>
    </row>
    <row r="2023" spans="1:21" hidden="1">
      <c r="A2023" s="7" t="s">
        <v>8830</v>
      </c>
      <c r="B2023" s="7" t="s">
        <v>5405</v>
      </c>
      <c r="C2023" s="8" t="s">
        <v>5317</v>
      </c>
      <c r="D2023" t="s">
        <v>164</v>
      </c>
      <c r="E2023" t="s">
        <v>25</v>
      </c>
      <c r="F2023" t="s">
        <v>41</v>
      </c>
      <c r="G2023" t="s">
        <v>1856</v>
      </c>
      <c r="H2023" s="9">
        <v>44657</v>
      </c>
      <c r="I2023" t="s">
        <v>8634</v>
      </c>
      <c r="J2023" t="s">
        <v>2</v>
      </c>
      <c r="K2023" s="9">
        <v>44726</v>
      </c>
      <c r="L2023" t="s">
        <v>29</v>
      </c>
      <c r="M2023" t="s">
        <v>1686</v>
      </c>
      <c r="N2023" s="9">
        <v>44686</v>
      </c>
      <c r="O2023" s="9">
        <v>44693</v>
      </c>
      <c r="P2023" s="9">
        <v>44693</v>
      </c>
      <c r="Q2023" s="9">
        <v>44862</v>
      </c>
      <c r="R2023"/>
      <c r="S2023"/>
      <c r="T2023"/>
      <c r="U2023"/>
    </row>
    <row r="2024" spans="1:21" hidden="1">
      <c r="A2024" s="7" t="s">
        <v>8830</v>
      </c>
      <c r="B2024" s="7" t="s">
        <v>5405</v>
      </c>
      <c r="C2024" s="8" t="s">
        <v>5317</v>
      </c>
      <c r="D2024" t="s">
        <v>164</v>
      </c>
      <c r="E2024" t="s">
        <v>25</v>
      </c>
      <c r="F2024" t="s">
        <v>41</v>
      </c>
      <c r="G2024" t="s">
        <v>1857</v>
      </c>
      <c r="H2024" s="9">
        <v>44657</v>
      </c>
      <c r="I2024" t="s">
        <v>8634</v>
      </c>
      <c r="J2024" t="s">
        <v>2</v>
      </c>
      <c r="K2024" s="9">
        <v>44726</v>
      </c>
      <c r="L2024" t="s">
        <v>29</v>
      </c>
      <c r="M2024" t="s">
        <v>1686</v>
      </c>
      <c r="N2024" s="9">
        <v>44686</v>
      </c>
      <c r="O2024" s="9">
        <v>44693</v>
      </c>
      <c r="P2024" s="9">
        <v>44693</v>
      </c>
      <c r="Q2024" s="9">
        <v>44862</v>
      </c>
      <c r="R2024"/>
      <c r="S2024"/>
      <c r="T2024"/>
      <c r="U2024"/>
    </row>
    <row r="2025" spans="1:21" hidden="1">
      <c r="A2025" s="7" t="s">
        <v>8830</v>
      </c>
      <c r="B2025" s="7" t="s">
        <v>5405</v>
      </c>
      <c r="C2025" s="8" t="s">
        <v>5317</v>
      </c>
      <c r="D2025" t="s">
        <v>164</v>
      </c>
      <c r="E2025" t="s">
        <v>25</v>
      </c>
      <c r="F2025" t="s">
        <v>41</v>
      </c>
      <c r="G2025" t="s">
        <v>1858</v>
      </c>
      <c r="H2025" s="9">
        <v>44657</v>
      </c>
      <c r="I2025" t="s">
        <v>8634</v>
      </c>
      <c r="J2025" t="s">
        <v>2</v>
      </c>
      <c r="K2025" s="9">
        <v>44726</v>
      </c>
      <c r="L2025" t="s">
        <v>29</v>
      </c>
      <c r="M2025" t="s">
        <v>1686</v>
      </c>
      <c r="N2025" s="9">
        <v>44686</v>
      </c>
      <c r="O2025" s="9">
        <v>44693</v>
      </c>
      <c r="P2025" s="9">
        <v>44693</v>
      </c>
      <c r="Q2025" s="9">
        <v>44862</v>
      </c>
      <c r="R2025"/>
      <c r="S2025"/>
      <c r="T2025"/>
      <c r="U2025"/>
    </row>
    <row r="2026" spans="1:21" hidden="1">
      <c r="A2026" s="7" t="s">
        <v>8763</v>
      </c>
      <c r="B2026" s="7" t="s">
        <v>5405</v>
      </c>
      <c r="C2026" s="8" t="s">
        <v>5317</v>
      </c>
      <c r="D2026" t="s">
        <v>164</v>
      </c>
      <c r="E2026" t="s">
        <v>25</v>
      </c>
      <c r="F2026" t="s">
        <v>280</v>
      </c>
      <c r="G2026" t="s">
        <v>1859</v>
      </c>
      <c r="H2026" s="9">
        <v>44657</v>
      </c>
      <c r="I2026" t="s">
        <v>8634</v>
      </c>
      <c r="J2026" t="s">
        <v>0</v>
      </c>
      <c r="K2026" s="9">
        <v>44858</v>
      </c>
      <c r="L2026" t="s">
        <v>29</v>
      </c>
      <c r="M2026"/>
      <c r="N2026" s="9">
        <v>44686</v>
      </c>
      <c r="O2026" s="9">
        <v>44693</v>
      </c>
      <c r="P2026" s="9">
        <v>44693</v>
      </c>
      <c r="Q2026" s="9">
        <v>44858</v>
      </c>
      <c r="R2026"/>
      <c r="S2026"/>
      <c r="T2026"/>
      <c r="U2026"/>
    </row>
    <row r="2027" spans="1:21" hidden="1">
      <c r="A2027" s="7" t="s">
        <v>8763</v>
      </c>
      <c r="B2027" s="7" t="s">
        <v>5405</v>
      </c>
      <c r="C2027" s="8" t="s">
        <v>5317</v>
      </c>
      <c r="D2027" t="s">
        <v>164</v>
      </c>
      <c r="E2027" t="s">
        <v>25</v>
      </c>
      <c r="F2027" t="s">
        <v>280</v>
      </c>
      <c r="G2027" t="s">
        <v>1860</v>
      </c>
      <c r="H2027" s="9">
        <v>44657</v>
      </c>
      <c r="I2027" t="s">
        <v>8634</v>
      </c>
      <c r="J2027" t="s">
        <v>163</v>
      </c>
      <c r="K2027" s="9">
        <v>44693</v>
      </c>
      <c r="L2027" t="s">
        <v>29</v>
      </c>
      <c r="M2027"/>
      <c r="N2027" s="9">
        <v>44686</v>
      </c>
      <c r="O2027" s="9">
        <v>44693</v>
      </c>
      <c r="P2027" s="9">
        <v>44693</v>
      </c>
      <c r="Q2027"/>
      <c r="R2027"/>
      <c r="S2027"/>
      <c r="T2027"/>
      <c r="U2027"/>
    </row>
    <row r="2028" spans="1:21" hidden="1">
      <c r="A2028" s="7" t="s">
        <v>8763</v>
      </c>
      <c r="B2028" s="7" t="s">
        <v>5405</v>
      </c>
      <c r="C2028" s="8" t="s">
        <v>5317</v>
      </c>
      <c r="D2028" t="s">
        <v>164</v>
      </c>
      <c r="E2028" t="s">
        <v>25</v>
      </c>
      <c r="F2028" t="s">
        <v>280</v>
      </c>
      <c r="G2028" t="s">
        <v>1861</v>
      </c>
      <c r="H2028" s="9">
        <v>44657</v>
      </c>
      <c r="I2028" t="s">
        <v>8634</v>
      </c>
      <c r="J2028" t="s">
        <v>0</v>
      </c>
      <c r="K2028" s="9">
        <v>44858</v>
      </c>
      <c r="L2028" t="s">
        <v>29</v>
      </c>
      <c r="M2028"/>
      <c r="N2028" s="9">
        <v>44686</v>
      </c>
      <c r="O2028" s="9">
        <v>44693</v>
      </c>
      <c r="P2028" s="9">
        <v>44693</v>
      </c>
      <c r="Q2028" s="9">
        <v>44858</v>
      </c>
      <c r="R2028"/>
      <c r="S2028"/>
      <c r="T2028"/>
      <c r="U2028"/>
    </row>
    <row r="2029" spans="1:21" hidden="1">
      <c r="A2029" s="7" t="s">
        <v>8742</v>
      </c>
      <c r="B2029" s="7" t="s">
        <v>6943</v>
      </c>
      <c r="C2029" s="8" t="s">
        <v>5317</v>
      </c>
      <c r="D2029" t="s">
        <v>164</v>
      </c>
      <c r="E2029" t="s">
        <v>324</v>
      </c>
      <c r="F2029" t="s">
        <v>75</v>
      </c>
      <c r="G2029" t="s">
        <v>1862</v>
      </c>
      <c r="H2029" s="9">
        <v>44657</v>
      </c>
      <c r="I2029" t="s">
        <v>282</v>
      </c>
      <c r="J2029" t="s">
        <v>2</v>
      </c>
      <c r="K2029" s="9">
        <v>44726</v>
      </c>
      <c r="L2029" t="s">
        <v>29</v>
      </c>
      <c r="M2029"/>
      <c r="N2029" s="9">
        <v>44686</v>
      </c>
      <c r="O2029"/>
      <c r="P2029"/>
      <c r="Q2029" s="9">
        <v>44690</v>
      </c>
      <c r="R2029"/>
      <c r="S2029"/>
      <c r="T2029"/>
      <c r="U2029"/>
    </row>
    <row r="2030" spans="1:21" hidden="1">
      <c r="A2030" s="7" t="s">
        <v>8763</v>
      </c>
      <c r="B2030" s="7" t="s">
        <v>5405</v>
      </c>
      <c r="C2030" s="8" t="s">
        <v>5317</v>
      </c>
      <c r="D2030" t="s">
        <v>164</v>
      </c>
      <c r="E2030" t="s">
        <v>25</v>
      </c>
      <c r="F2030" t="s">
        <v>280</v>
      </c>
      <c r="G2030" t="s">
        <v>1863</v>
      </c>
      <c r="H2030" s="9">
        <v>44657</v>
      </c>
      <c r="I2030" t="s">
        <v>8634</v>
      </c>
      <c r="J2030" t="s">
        <v>163</v>
      </c>
      <c r="K2030" s="9">
        <v>44693</v>
      </c>
      <c r="L2030" t="s">
        <v>29</v>
      </c>
      <c r="M2030"/>
      <c r="N2030" s="9">
        <v>44686</v>
      </c>
      <c r="O2030" s="9">
        <v>44693</v>
      </c>
      <c r="P2030" s="9">
        <v>44693</v>
      </c>
      <c r="Q2030"/>
      <c r="R2030"/>
      <c r="S2030"/>
      <c r="T2030"/>
      <c r="U2030"/>
    </row>
    <row r="2031" spans="1:21" hidden="1">
      <c r="A2031" s="7" t="s">
        <v>8763</v>
      </c>
      <c r="B2031" s="7" t="s">
        <v>5405</v>
      </c>
      <c r="C2031" s="8" t="s">
        <v>5317</v>
      </c>
      <c r="D2031" t="s">
        <v>164</v>
      </c>
      <c r="E2031" t="s">
        <v>25</v>
      </c>
      <c r="F2031" t="s">
        <v>280</v>
      </c>
      <c r="G2031" t="s">
        <v>1605</v>
      </c>
      <c r="H2031" s="9">
        <v>44657</v>
      </c>
      <c r="I2031" t="s">
        <v>8634</v>
      </c>
      <c r="J2031" t="s">
        <v>163</v>
      </c>
      <c r="K2031" s="9">
        <v>44693</v>
      </c>
      <c r="L2031" t="s">
        <v>29</v>
      </c>
      <c r="M2031"/>
      <c r="N2031" s="9">
        <v>44686</v>
      </c>
      <c r="O2031" s="9">
        <v>44693</v>
      </c>
      <c r="P2031" s="9">
        <v>44693</v>
      </c>
      <c r="Q2031"/>
      <c r="R2031"/>
      <c r="S2031"/>
      <c r="T2031"/>
      <c r="U2031"/>
    </row>
    <row r="2032" spans="1:21" hidden="1">
      <c r="A2032" s="7" t="s">
        <v>8833</v>
      </c>
      <c r="B2032" s="7" t="s">
        <v>7735</v>
      </c>
      <c r="C2032" s="8" t="s">
        <v>5317</v>
      </c>
      <c r="D2032" t="s">
        <v>164</v>
      </c>
      <c r="E2032" t="s">
        <v>1790</v>
      </c>
      <c r="F2032" t="s">
        <v>117</v>
      </c>
      <c r="G2032" t="s">
        <v>1864</v>
      </c>
      <c r="H2032" s="9">
        <v>44657</v>
      </c>
      <c r="I2032" t="s">
        <v>297</v>
      </c>
      <c r="J2032" t="s">
        <v>2</v>
      </c>
      <c r="K2032" s="9">
        <v>44726</v>
      </c>
      <c r="L2032" t="s">
        <v>29</v>
      </c>
      <c r="M2032" t="s">
        <v>1686</v>
      </c>
      <c r="N2032" s="9">
        <v>44686</v>
      </c>
      <c r="O2032" s="9">
        <v>44693</v>
      </c>
      <c r="P2032" s="9">
        <v>44693</v>
      </c>
      <c r="Q2032"/>
      <c r="R2032"/>
      <c r="S2032"/>
      <c r="T2032"/>
      <c r="U2032"/>
    </row>
    <row r="2033" spans="1:21" hidden="1">
      <c r="A2033" s="7" t="s">
        <v>8833</v>
      </c>
      <c r="B2033" s="7" t="s">
        <v>7735</v>
      </c>
      <c r="C2033" s="8" t="s">
        <v>5317</v>
      </c>
      <c r="D2033" t="s">
        <v>164</v>
      </c>
      <c r="E2033" t="s">
        <v>1790</v>
      </c>
      <c r="F2033" t="s">
        <v>117</v>
      </c>
      <c r="G2033" t="s">
        <v>1865</v>
      </c>
      <c r="H2033" s="9">
        <v>44657</v>
      </c>
      <c r="I2033" t="s">
        <v>297</v>
      </c>
      <c r="J2033" t="s">
        <v>2</v>
      </c>
      <c r="K2033" s="9">
        <v>44726</v>
      </c>
      <c r="L2033" t="s">
        <v>29</v>
      </c>
      <c r="M2033"/>
      <c r="N2033" s="9">
        <v>44686</v>
      </c>
      <c r="O2033" s="9">
        <v>44693</v>
      </c>
      <c r="P2033" s="9">
        <v>44693</v>
      </c>
      <c r="Q2033"/>
      <c r="R2033"/>
      <c r="S2033"/>
      <c r="T2033"/>
      <c r="U2033"/>
    </row>
    <row r="2034" spans="1:21" hidden="1">
      <c r="A2034" s="7" t="s">
        <v>8763</v>
      </c>
      <c r="B2034" s="7" t="s">
        <v>5405</v>
      </c>
      <c r="C2034" s="8" t="s">
        <v>5317</v>
      </c>
      <c r="D2034" t="s">
        <v>164</v>
      </c>
      <c r="E2034" t="s">
        <v>25</v>
      </c>
      <c r="F2034" t="s">
        <v>280</v>
      </c>
      <c r="G2034" t="s">
        <v>1866</v>
      </c>
      <c r="H2034" s="9">
        <v>44657</v>
      </c>
      <c r="I2034" t="s">
        <v>8634</v>
      </c>
      <c r="J2034" t="s">
        <v>163</v>
      </c>
      <c r="K2034" s="9">
        <v>44693</v>
      </c>
      <c r="L2034" t="s">
        <v>29</v>
      </c>
      <c r="M2034"/>
      <c r="N2034" s="9">
        <v>44686</v>
      </c>
      <c r="O2034" s="9">
        <v>44693</v>
      </c>
      <c r="P2034" s="9">
        <v>44693</v>
      </c>
      <c r="Q2034"/>
      <c r="R2034"/>
      <c r="S2034"/>
      <c r="T2034"/>
      <c r="U2034"/>
    </row>
    <row r="2035" spans="1:21" hidden="1">
      <c r="A2035" s="7" t="s">
        <v>8828</v>
      </c>
      <c r="B2035" s="7" t="s">
        <v>5405</v>
      </c>
      <c r="C2035" s="8" t="s">
        <v>5317</v>
      </c>
      <c r="D2035" t="s">
        <v>164</v>
      </c>
      <c r="E2035" t="s">
        <v>25</v>
      </c>
      <c r="F2035" t="s">
        <v>1687</v>
      </c>
      <c r="G2035" t="s">
        <v>1867</v>
      </c>
      <c r="H2035" s="9">
        <v>44657</v>
      </c>
      <c r="I2035" t="s">
        <v>8634</v>
      </c>
      <c r="J2035" t="s">
        <v>163</v>
      </c>
      <c r="K2035" s="9">
        <v>44693</v>
      </c>
      <c r="L2035" t="s">
        <v>29</v>
      </c>
      <c r="M2035"/>
      <c r="N2035" s="9">
        <v>44686</v>
      </c>
      <c r="O2035" s="9">
        <v>44693</v>
      </c>
      <c r="P2035" s="9">
        <v>44693</v>
      </c>
      <c r="Q2035"/>
      <c r="R2035"/>
      <c r="S2035"/>
      <c r="T2035"/>
      <c r="U2035"/>
    </row>
    <row r="2036" spans="1:21" hidden="1">
      <c r="A2036" s="7" t="s">
        <v>8763</v>
      </c>
      <c r="B2036" s="7" t="s">
        <v>5405</v>
      </c>
      <c r="C2036" s="8" t="s">
        <v>5317</v>
      </c>
      <c r="D2036" t="s">
        <v>164</v>
      </c>
      <c r="E2036" t="s">
        <v>25</v>
      </c>
      <c r="F2036" t="s">
        <v>280</v>
      </c>
      <c r="G2036" t="s">
        <v>1868</v>
      </c>
      <c r="H2036" s="9">
        <v>44657</v>
      </c>
      <c r="I2036" t="s">
        <v>8634</v>
      </c>
      <c r="J2036" t="s">
        <v>163</v>
      </c>
      <c r="K2036" s="9">
        <v>44693</v>
      </c>
      <c r="L2036" t="s">
        <v>29</v>
      </c>
      <c r="M2036"/>
      <c r="N2036" s="9">
        <v>44686</v>
      </c>
      <c r="O2036" s="9">
        <v>44693</v>
      </c>
      <c r="P2036" s="9">
        <v>44693</v>
      </c>
      <c r="Q2036"/>
      <c r="R2036"/>
      <c r="S2036"/>
      <c r="T2036"/>
      <c r="U2036"/>
    </row>
    <row r="2037" spans="1:21" hidden="1">
      <c r="A2037" s="7" t="s">
        <v>8763</v>
      </c>
      <c r="B2037" s="7" t="s">
        <v>5405</v>
      </c>
      <c r="C2037" s="8" t="s">
        <v>5317</v>
      </c>
      <c r="D2037" t="s">
        <v>164</v>
      </c>
      <c r="E2037" t="s">
        <v>25</v>
      </c>
      <c r="F2037" t="s">
        <v>280</v>
      </c>
      <c r="G2037" t="s">
        <v>1869</v>
      </c>
      <c r="H2037" s="9">
        <v>44657</v>
      </c>
      <c r="I2037" t="s">
        <v>8634</v>
      </c>
      <c r="J2037" t="s">
        <v>163</v>
      </c>
      <c r="K2037" s="9">
        <v>44693</v>
      </c>
      <c r="L2037" t="s">
        <v>29</v>
      </c>
      <c r="M2037"/>
      <c r="N2037" s="9">
        <v>44686</v>
      </c>
      <c r="O2037" s="9">
        <v>44693</v>
      </c>
      <c r="P2037" s="9">
        <v>44693</v>
      </c>
      <c r="Q2037"/>
      <c r="R2037"/>
      <c r="S2037"/>
      <c r="T2037"/>
      <c r="U2037"/>
    </row>
    <row r="2038" spans="1:21" hidden="1">
      <c r="A2038" s="7" t="s">
        <v>8763</v>
      </c>
      <c r="B2038" s="7" t="s">
        <v>5405</v>
      </c>
      <c r="C2038" s="8" t="s">
        <v>5317</v>
      </c>
      <c r="D2038" t="s">
        <v>164</v>
      </c>
      <c r="E2038" t="s">
        <v>25</v>
      </c>
      <c r="F2038" t="s">
        <v>280</v>
      </c>
      <c r="G2038" t="s">
        <v>1870</v>
      </c>
      <c r="H2038" s="9">
        <v>44657</v>
      </c>
      <c r="I2038" t="s">
        <v>8634</v>
      </c>
      <c r="J2038" t="s">
        <v>163</v>
      </c>
      <c r="K2038" s="9">
        <v>44693</v>
      </c>
      <c r="L2038" t="s">
        <v>29</v>
      </c>
      <c r="M2038"/>
      <c r="N2038" s="9">
        <v>44686</v>
      </c>
      <c r="O2038" s="9">
        <v>44693</v>
      </c>
      <c r="P2038" s="9">
        <v>44693</v>
      </c>
      <c r="Q2038"/>
      <c r="R2038"/>
      <c r="S2038"/>
      <c r="T2038"/>
      <c r="U2038"/>
    </row>
    <row r="2039" spans="1:21" hidden="1">
      <c r="A2039" s="7" t="s">
        <v>8763</v>
      </c>
      <c r="B2039" s="7" t="s">
        <v>5405</v>
      </c>
      <c r="C2039" s="8" t="s">
        <v>5317</v>
      </c>
      <c r="D2039" t="s">
        <v>164</v>
      </c>
      <c r="E2039" t="s">
        <v>25</v>
      </c>
      <c r="F2039" t="s">
        <v>280</v>
      </c>
      <c r="G2039" t="s">
        <v>1871</v>
      </c>
      <c r="H2039" s="9">
        <v>44657</v>
      </c>
      <c r="I2039" t="s">
        <v>8634</v>
      </c>
      <c r="J2039" t="s">
        <v>163</v>
      </c>
      <c r="K2039" s="9">
        <v>44693</v>
      </c>
      <c r="L2039" t="s">
        <v>29</v>
      </c>
      <c r="M2039"/>
      <c r="N2039" s="9">
        <v>44686</v>
      </c>
      <c r="O2039" s="9">
        <v>44693</v>
      </c>
      <c r="P2039" s="9">
        <v>44693</v>
      </c>
      <c r="Q2039"/>
      <c r="R2039"/>
      <c r="S2039"/>
      <c r="T2039"/>
      <c r="U2039"/>
    </row>
    <row r="2040" spans="1:21" hidden="1">
      <c r="A2040" s="7" t="s">
        <v>8830</v>
      </c>
      <c r="B2040" s="7" t="s">
        <v>5405</v>
      </c>
      <c r="C2040" s="8" t="s">
        <v>5317</v>
      </c>
      <c r="D2040" t="s">
        <v>164</v>
      </c>
      <c r="E2040" t="s">
        <v>25</v>
      </c>
      <c r="F2040" t="s">
        <v>41</v>
      </c>
      <c r="G2040" t="s">
        <v>1872</v>
      </c>
      <c r="H2040" s="9">
        <v>44657</v>
      </c>
      <c r="I2040" t="s">
        <v>8634</v>
      </c>
      <c r="J2040" t="s">
        <v>2</v>
      </c>
      <c r="K2040" s="9">
        <v>44726</v>
      </c>
      <c r="L2040" t="s">
        <v>29</v>
      </c>
      <c r="M2040" t="s">
        <v>1686</v>
      </c>
      <c r="N2040" s="9">
        <v>44686</v>
      </c>
      <c r="O2040" s="9">
        <v>44693</v>
      </c>
      <c r="P2040" s="9">
        <v>44693</v>
      </c>
      <c r="Q2040"/>
      <c r="R2040"/>
      <c r="S2040"/>
      <c r="T2040"/>
      <c r="U2040"/>
    </row>
    <row r="2041" spans="1:21" hidden="1">
      <c r="A2041" s="7" t="s">
        <v>8830</v>
      </c>
      <c r="B2041" s="7" t="s">
        <v>5405</v>
      </c>
      <c r="C2041" s="8" t="s">
        <v>5317</v>
      </c>
      <c r="D2041" t="s">
        <v>164</v>
      </c>
      <c r="E2041" t="s">
        <v>25</v>
      </c>
      <c r="F2041" t="s">
        <v>41</v>
      </c>
      <c r="G2041" t="s">
        <v>1873</v>
      </c>
      <c r="H2041" s="9">
        <v>44657</v>
      </c>
      <c r="I2041" t="s">
        <v>8634</v>
      </c>
      <c r="J2041" t="s">
        <v>2</v>
      </c>
      <c r="K2041" s="9">
        <v>44726</v>
      </c>
      <c r="L2041" t="s">
        <v>29</v>
      </c>
      <c r="M2041" t="s">
        <v>1686</v>
      </c>
      <c r="N2041" s="9">
        <v>44686</v>
      </c>
      <c r="O2041" s="9">
        <v>44693</v>
      </c>
      <c r="P2041" s="9">
        <v>44693</v>
      </c>
      <c r="Q2041"/>
      <c r="R2041"/>
      <c r="S2041"/>
      <c r="T2041"/>
      <c r="U2041"/>
    </row>
    <row r="2042" spans="1:21" hidden="1">
      <c r="A2042" s="7" t="s">
        <v>8830</v>
      </c>
      <c r="B2042" s="7" t="s">
        <v>5405</v>
      </c>
      <c r="C2042" s="8" t="s">
        <v>5317</v>
      </c>
      <c r="D2042" t="s">
        <v>164</v>
      </c>
      <c r="E2042" t="s">
        <v>25</v>
      </c>
      <c r="F2042" t="s">
        <v>41</v>
      </c>
      <c r="G2042" t="s">
        <v>1874</v>
      </c>
      <c r="H2042" s="9">
        <v>44657</v>
      </c>
      <c r="I2042" t="s">
        <v>8634</v>
      </c>
      <c r="J2042" t="s">
        <v>2</v>
      </c>
      <c r="K2042" s="9">
        <v>44726</v>
      </c>
      <c r="L2042" t="s">
        <v>29</v>
      </c>
      <c r="M2042" t="s">
        <v>1686</v>
      </c>
      <c r="N2042" s="9">
        <v>44686</v>
      </c>
      <c r="O2042" s="9">
        <v>44693</v>
      </c>
      <c r="P2042" s="9">
        <v>44693</v>
      </c>
      <c r="Q2042"/>
      <c r="R2042"/>
      <c r="S2042"/>
      <c r="T2042"/>
      <c r="U2042"/>
    </row>
    <row r="2043" spans="1:21" hidden="1">
      <c r="A2043" s="7" t="s">
        <v>8830</v>
      </c>
      <c r="B2043" s="7" t="s">
        <v>5405</v>
      </c>
      <c r="C2043" s="8" t="s">
        <v>5317</v>
      </c>
      <c r="D2043" t="s">
        <v>164</v>
      </c>
      <c r="E2043" t="s">
        <v>25</v>
      </c>
      <c r="F2043" t="s">
        <v>41</v>
      </c>
      <c r="G2043" t="s">
        <v>1875</v>
      </c>
      <c r="H2043" s="9">
        <v>44657</v>
      </c>
      <c r="I2043" t="s">
        <v>8634</v>
      </c>
      <c r="J2043" t="s">
        <v>2</v>
      </c>
      <c r="K2043" s="9">
        <v>44726</v>
      </c>
      <c r="L2043" t="s">
        <v>29</v>
      </c>
      <c r="M2043" t="s">
        <v>1686</v>
      </c>
      <c r="N2043" s="9">
        <v>44686</v>
      </c>
      <c r="O2043" s="9">
        <v>44693</v>
      </c>
      <c r="P2043" s="9">
        <v>44693</v>
      </c>
      <c r="Q2043"/>
      <c r="R2043"/>
      <c r="S2043"/>
      <c r="T2043"/>
      <c r="U2043"/>
    </row>
    <row r="2044" spans="1:21" hidden="1">
      <c r="A2044" s="7" t="s">
        <v>8830</v>
      </c>
      <c r="B2044" s="7" t="s">
        <v>5405</v>
      </c>
      <c r="C2044" s="8" t="s">
        <v>5317</v>
      </c>
      <c r="D2044" t="s">
        <v>164</v>
      </c>
      <c r="E2044" t="s">
        <v>25</v>
      </c>
      <c r="F2044" t="s">
        <v>41</v>
      </c>
      <c r="G2044" t="s">
        <v>1876</v>
      </c>
      <c r="H2044" s="9">
        <v>44657</v>
      </c>
      <c r="I2044" t="s">
        <v>8634</v>
      </c>
      <c r="J2044" t="s">
        <v>2</v>
      </c>
      <c r="K2044" s="9">
        <v>44726</v>
      </c>
      <c r="L2044" t="s">
        <v>29</v>
      </c>
      <c r="M2044" t="s">
        <v>1686</v>
      </c>
      <c r="N2044" s="9">
        <v>44686</v>
      </c>
      <c r="O2044" s="9">
        <v>44693</v>
      </c>
      <c r="P2044" s="9">
        <v>44693</v>
      </c>
      <c r="Q2044"/>
      <c r="R2044"/>
      <c r="S2044"/>
      <c r="T2044"/>
      <c r="U2044"/>
    </row>
    <row r="2045" spans="1:21" hidden="1">
      <c r="A2045" s="7" t="s">
        <v>8830</v>
      </c>
      <c r="B2045" s="7" t="s">
        <v>5405</v>
      </c>
      <c r="C2045" s="8" t="s">
        <v>5317</v>
      </c>
      <c r="D2045" t="s">
        <v>164</v>
      </c>
      <c r="E2045" t="s">
        <v>25</v>
      </c>
      <c r="F2045" t="s">
        <v>41</v>
      </c>
      <c r="G2045" t="s">
        <v>1877</v>
      </c>
      <c r="H2045" s="9">
        <v>44657</v>
      </c>
      <c r="I2045" t="s">
        <v>8634</v>
      </c>
      <c r="J2045" t="s">
        <v>2</v>
      </c>
      <c r="K2045" s="9">
        <v>44726</v>
      </c>
      <c r="L2045" t="s">
        <v>29</v>
      </c>
      <c r="M2045" t="s">
        <v>1686</v>
      </c>
      <c r="N2045" s="9">
        <v>44686</v>
      </c>
      <c r="O2045" s="9">
        <v>44693</v>
      </c>
      <c r="P2045" s="9">
        <v>44693</v>
      </c>
      <c r="Q2045"/>
      <c r="R2045"/>
      <c r="S2045"/>
      <c r="T2045"/>
      <c r="U2045"/>
    </row>
    <row r="2046" spans="1:21" hidden="1">
      <c r="A2046" s="7" t="s">
        <v>8830</v>
      </c>
      <c r="B2046" s="7" t="s">
        <v>5405</v>
      </c>
      <c r="C2046" s="8" t="s">
        <v>5317</v>
      </c>
      <c r="D2046" t="s">
        <v>164</v>
      </c>
      <c r="E2046" t="s">
        <v>25</v>
      </c>
      <c r="F2046" t="s">
        <v>41</v>
      </c>
      <c r="G2046" t="s">
        <v>1878</v>
      </c>
      <c r="H2046" s="9">
        <v>44657</v>
      </c>
      <c r="I2046" t="s">
        <v>8634</v>
      </c>
      <c r="J2046" t="s">
        <v>2</v>
      </c>
      <c r="K2046" s="9">
        <v>44726</v>
      </c>
      <c r="L2046" t="s">
        <v>29</v>
      </c>
      <c r="M2046" t="s">
        <v>1686</v>
      </c>
      <c r="N2046" s="9">
        <v>44686</v>
      </c>
      <c r="O2046" s="9">
        <v>44693</v>
      </c>
      <c r="P2046" s="9">
        <v>44693</v>
      </c>
      <c r="Q2046"/>
      <c r="R2046"/>
      <c r="S2046"/>
      <c r="T2046"/>
      <c r="U2046"/>
    </row>
    <row r="2047" spans="1:21" hidden="1">
      <c r="A2047" s="7" t="s">
        <v>8828</v>
      </c>
      <c r="B2047" s="7" t="s">
        <v>5405</v>
      </c>
      <c r="C2047" s="8" t="s">
        <v>5317</v>
      </c>
      <c r="D2047" t="s">
        <v>164</v>
      </c>
      <c r="E2047" t="s">
        <v>25</v>
      </c>
      <c r="F2047" t="s">
        <v>1687</v>
      </c>
      <c r="G2047" t="s">
        <v>1879</v>
      </c>
      <c r="H2047" s="9">
        <v>44657</v>
      </c>
      <c r="I2047" t="s">
        <v>8634</v>
      </c>
      <c r="J2047" t="s">
        <v>0</v>
      </c>
      <c r="K2047" s="9">
        <v>44839</v>
      </c>
      <c r="L2047" t="s">
        <v>29</v>
      </c>
      <c r="M2047"/>
      <c r="N2047" s="9">
        <v>44686</v>
      </c>
      <c r="O2047" s="9">
        <v>44693</v>
      </c>
      <c r="P2047" s="9">
        <v>44693</v>
      </c>
      <c r="Q2047" s="9">
        <v>44839</v>
      </c>
      <c r="R2047"/>
      <c r="S2047"/>
      <c r="T2047"/>
      <c r="U2047"/>
    </row>
    <row r="2048" spans="1:21" hidden="1">
      <c r="A2048" s="7" t="s">
        <v>8828</v>
      </c>
      <c r="B2048" s="7" t="s">
        <v>5405</v>
      </c>
      <c r="C2048" s="8" t="s">
        <v>5317</v>
      </c>
      <c r="D2048" t="s">
        <v>164</v>
      </c>
      <c r="E2048" t="s">
        <v>25</v>
      </c>
      <c r="F2048" t="s">
        <v>1687</v>
      </c>
      <c r="G2048" t="s">
        <v>1880</v>
      </c>
      <c r="H2048" s="9">
        <v>44657</v>
      </c>
      <c r="I2048" t="s">
        <v>8634</v>
      </c>
      <c r="J2048" t="s">
        <v>0</v>
      </c>
      <c r="K2048" s="9">
        <v>44839</v>
      </c>
      <c r="L2048" t="s">
        <v>29</v>
      </c>
      <c r="M2048"/>
      <c r="N2048" s="9">
        <v>44686</v>
      </c>
      <c r="O2048" s="9">
        <v>44693</v>
      </c>
      <c r="P2048" s="9">
        <v>44693</v>
      </c>
      <c r="Q2048" s="9">
        <v>44839</v>
      </c>
      <c r="R2048"/>
      <c r="S2048"/>
      <c r="T2048"/>
      <c r="U2048"/>
    </row>
    <row r="2049" spans="1:21" hidden="1">
      <c r="A2049" s="7" t="s">
        <v>8830</v>
      </c>
      <c r="B2049" s="7" t="s">
        <v>5405</v>
      </c>
      <c r="C2049" s="8" t="s">
        <v>5317</v>
      </c>
      <c r="D2049" t="s">
        <v>164</v>
      </c>
      <c r="E2049" t="s">
        <v>25</v>
      </c>
      <c r="F2049" t="s">
        <v>41</v>
      </c>
      <c r="G2049" t="s">
        <v>1881</v>
      </c>
      <c r="H2049" s="9">
        <v>44657</v>
      </c>
      <c r="I2049" t="s">
        <v>8634</v>
      </c>
      <c r="J2049" t="s">
        <v>2</v>
      </c>
      <c r="K2049" s="9">
        <v>44726</v>
      </c>
      <c r="L2049" t="s">
        <v>29</v>
      </c>
      <c r="M2049" t="s">
        <v>1686</v>
      </c>
      <c r="N2049" s="9">
        <v>44686</v>
      </c>
      <c r="O2049" s="9">
        <v>44693</v>
      </c>
      <c r="P2049" s="9">
        <v>44693</v>
      </c>
      <c r="Q2049" s="9">
        <v>44862</v>
      </c>
      <c r="R2049"/>
      <c r="S2049"/>
      <c r="T2049"/>
      <c r="U2049"/>
    </row>
    <row r="2050" spans="1:21" hidden="1">
      <c r="A2050" s="7" t="s">
        <v>8763</v>
      </c>
      <c r="B2050" s="7" t="s">
        <v>5405</v>
      </c>
      <c r="C2050" s="8" t="s">
        <v>5317</v>
      </c>
      <c r="D2050" t="s">
        <v>164</v>
      </c>
      <c r="E2050" t="s">
        <v>25</v>
      </c>
      <c r="F2050" t="s">
        <v>280</v>
      </c>
      <c r="G2050" t="s">
        <v>1882</v>
      </c>
      <c r="H2050" s="9">
        <v>44657</v>
      </c>
      <c r="I2050" t="s">
        <v>8634</v>
      </c>
      <c r="J2050" t="s">
        <v>0</v>
      </c>
      <c r="K2050" s="9">
        <v>44858</v>
      </c>
      <c r="L2050" t="s">
        <v>29</v>
      </c>
      <c r="M2050"/>
      <c r="N2050" s="9">
        <v>44686</v>
      </c>
      <c r="O2050" s="9">
        <v>44693</v>
      </c>
      <c r="P2050" s="9">
        <v>44693</v>
      </c>
      <c r="Q2050" s="9">
        <v>44858</v>
      </c>
      <c r="R2050"/>
      <c r="S2050"/>
      <c r="T2050"/>
      <c r="U2050"/>
    </row>
    <row r="2051" spans="1:21" hidden="1">
      <c r="A2051" s="7" t="s">
        <v>8763</v>
      </c>
      <c r="B2051" s="7" t="s">
        <v>5405</v>
      </c>
      <c r="C2051" s="8" t="s">
        <v>5317</v>
      </c>
      <c r="D2051" t="s">
        <v>164</v>
      </c>
      <c r="E2051" t="s">
        <v>25</v>
      </c>
      <c r="F2051" t="s">
        <v>280</v>
      </c>
      <c r="G2051" t="s">
        <v>1883</v>
      </c>
      <c r="H2051" s="9">
        <v>44657</v>
      </c>
      <c r="I2051" t="s">
        <v>8634</v>
      </c>
      <c r="J2051" t="s">
        <v>0</v>
      </c>
      <c r="K2051" s="9">
        <v>44858</v>
      </c>
      <c r="L2051" t="s">
        <v>29</v>
      </c>
      <c r="M2051"/>
      <c r="N2051" s="9">
        <v>44686</v>
      </c>
      <c r="O2051" s="9">
        <v>44693</v>
      </c>
      <c r="P2051" s="9">
        <v>44693</v>
      </c>
      <c r="Q2051" s="9">
        <v>44858</v>
      </c>
      <c r="R2051"/>
      <c r="S2051"/>
      <c r="T2051"/>
      <c r="U2051"/>
    </row>
    <row r="2052" spans="1:21" hidden="1">
      <c r="A2052" s="7" t="s">
        <v>8763</v>
      </c>
      <c r="B2052" s="7" t="s">
        <v>5405</v>
      </c>
      <c r="C2052" s="8" t="s">
        <v>5317</v>
      </c>
      <c r="D2052" t="s">
        <v>164</v>
      </c>
      <c r="E2052" t="s">
        <v>25</v>
      </c>
      <c r="F2052" t="s">
        <v>280</v>
      </c>
      <c r="G2052" t="s">
        <v>1884</v>
      </c>
      <c r="H2052" s="9">
        <v>44657</v>
      </c>
      <c r="I2052" t="s">
        <v>8634</v>
      </c>
      <c r="J2052" t="s">
        <v>0</v>
      </c>
      <c r="K2052" s="9">
        <v>44858</v>
      </c>
      <c r="L2052" t="s">
        <v>29</v>
      </c>
      <c r="M2052"/>
      <c r="N2052" s="9">
        <v>44686</v>
      </c>
      <c r="O2052" s="9">
        <v>44693</v>
      </c>
      <c r="P2052" s="9">
        <v>44693</v>
      </c>
      <c r="Q2052" s="9">
        <v>44858</v>
      </c>
      <c r="R2052"/>
      <c r="S2052"/>
      <c r="T2052"/>
      <c r="U2052"/>
    </row>
    <row r="2053" spans="1:21" hidden="1">
      <c r="A2053" s="7" t="s">
        <v>8828</v>
      </c>
      <c r="B2053" s="7" t="s">
        <v>5405</v>
      </c>
      <c r="C2053" s="8" t="s">
        <v>5317</v>
      </c>
      <c r="D2053" t="s">
        <v>164</v>
      </c>
      <c r="E2053" t="s">
        <v>25</v>
      </c>
      <c r="F2053" t="s">
        <v>1687</v>
      </c>
      <c r="G2053" t="s">
        <v>1885</v>
      </c>
      <c r="H2053" s="9">
        <v>44657</v>
      </c>
      <c r="I2053" t="s">
        <v>8634</v>
      </c>
      <c r="J2053" t="s">
        <v>0</v>
      </c>
      <c r="K2053" s="9">
        <v>44839</v>
      </c>
      <c r="L2053" t="s">
        <v>29</v>
      </c>
      <c r="M2053"/>
      <c r="N2053" s="9">
        <v>44686</v>
      </c>
      <c r="O2053" s="9">
        <v>44693</v>
      </c>
      <c r="P2053" s="9">
        <v>44693</v>
      </c>
      <c r="Q2053" s="9">
        <v>44839</v>
      </c>
      <c r="R2053"/>
      <c r="S2053"/>
      <c r="T2053"/>
      <c r="U2053"/>
    </row>
    <row r="2054" spans="1:21" hidden="1">
      <c r="A2054" s="7" t="s">
        <v>8828</v>
      </c>
      <c r="B2054" s="7" t="s">
        <v>5405</v>
      </c>
      <c r="C2054" s="8" t="s">
        <v>5317</v>
      </c>
      <c r="D2054" t="s">
        <v>164</v>
      </c>
      <c r="E2054" t="s">
        <v>25</v>
      </c>
      <c r="F2054" t="s">
        <v>1687</v>
      </c>
      <c r="G2054" t="s">
        <v>1886</v>
      </c>
      <c r="H2054" s="9">
        <v>44657</v>
      </c>
      <c r="I2054" t="s">
        <v>8634</v>
      </c>
      <c r="J2054" t="s">
        <v>0</v>
      </c>
      <c r="K2054" s="9">
        <v>44839</v>
      </c>
      <c r="L2054" t="s">
        <v>29</v>
      </c>
      <c r="M2054"/>
      <c r="N2054" s="9">
        <v>44686</v>
      </c>
      <c r="O2054" s="9">
        <v>44693</v>
      </c>
      <c r="P2054" s="9">
        <v>44693</v>
      </c>
      <c r="Q2054" s="9">
        <v>44839</v>
      </c>
      <c r="R2054"/>
      <c r="S2054"/>
      <c r="T2054"/>
      <c r="U2054"/>
    </row>
    <row r="2055" spans="1:21" hidden="1">
      <c r="A2055" s="7" t="s">
        <v>8830</v>
      </c>
      <c r="B2055" s="7" t="s">
        <v>5405</v>
      </c>
      <c r="C2055" s="8" t="s">
        <v>5317</v>
      </c>
      <c r="D2055" t="s">
        <v>164</v>
      </c>
      <c r="E2055" t="s">
        <v>25</v>
      </c>
      <c r="F2055" t="s">
        <v>41</v>
      </c>
      <c r="G2055" t="s">
        <v>1887</v>
      </c>
      <c r="H2055" s="9">
        <v>44657</v>
      </c>
      <c r="I2055" t="s">
        <v>8634</v>
      </c>
      <c r="J2055" t="s">
        <v>2</v>
      </c>
      <c r="K2055" s="9">
        <v>44726</v>
      </c>
      <c r="L2055" t="s">
        <v>29</v>
      </c>
      <c r="M2055"/>
      <c r="N2055" s="9">
        <v>44686</v>
      </c>
      <c r="O2055" s="9">
        <v>44693</v>
      </c>
      <c r="P2055" s="9">
        <v>44693</v>
      </c>
      <c r="Q2055"/>
      <c r="R2055"/>
      <c r="S2055"/>
      <c r="T2055"/>
      <c r="U2055"/>
    </row>
    <row r="2056" spans="1:21" hidden="1">
      <c r="A2056" s="7" t="s">
        <v>8836</v>
      </c>
      <c r="B2056" s="7" t="s">
        <v>7786</v>
      </c>
      <c r="C2056" s="8" t="s">
        <v>5317</v>
      </c>
      <c r="D2056" t="s">
        <v>164</v>
      </c>
      <c r="E2056" t="s">
        <v>1888</v>
      </c>
      <c r="F2056" t="s">
        <v>117</v>
      </c>
      <c r="G2056" t="s">
        <v>1889</v>
      </c>
      <c r="H2056" s="9">
        <v>44657</v>
      </c>
      <c r="I2056" t="s">
        <v>275</v>
      </c>
      <c r="J2056" t="s">
        <v>2</v>
      </c>
      <c r="K2056" s="9">
        <v>44726</v>
      </c>
      <c r="L2056" t="s">
        <v>29</v>
      </c>
      <c r="M2056" t="s">
        <v>1686</v>
      </c>
      <c r="N2056" s="9">
        <v>44686</v>
      </c>
      <c r="O2056" s="9">
        <v>44693</v>
      </c>
      <c r="P2056" s="9">
        <v>44693</v>
      </c>
      <c r="Q2056"/>
      <c r="R2056"/>
      <c r="S2056"/>
      <c r="T2056"/>
      <c r="U2056"/>
    </row>
    <row r="2057" spans="1:21" hidden="1">
      <c r="A2057" s="7" t="s">
        <v>8796</v>
      </c>
      <c r="B2057" s="7" t="s">
        <v>6933</v>
      </c>
      <c r="C2057" s="8" t="s">
        <v>8717</v>
      </c>
      <c r="D2057" t="s">
        <v>266</v>
      </c>
      <c r="E2057" t="s">
        <v>993</v>
      </c>
      <c r="F2057" t="s">
        <v>117</v>
      </c>
      <c r="G2057" t="s">
        <v>1890</v>
      </c>
      <c r="H2057"/>
      <c r="I2057"/>
      <c r="J2057" t="s">
        <v>0</v>
      </c>
      <c r="K2057" s="9">
        <v>44664</v>
      </c>
      <c r="L2057"/>
      <c r="M2057"/>
      <c r="N2057"/>
      <c r="O2057"/>
      <c r="P2057"/>
      <c r="Q2057" s="9">
        <v>44664</v>
      </c>
      <c r="R2057"/>
      <c r="S2057"/>
      <c r="T2057"/>
      <c r="U2057"/>
    </row>
    <row r="2058" spans="1:21" hidden="1">
      <c r="A2058" s="7" t="s">
        <v>8796</v>
      </c>
      <c r="B2058" s="7" t="s">
        <v>6933</v>
      </c>
      <c r="C2058" s="8" t="s">
        <v>8717</v>
      </c>
      <c r="D2058" t="s">
        <v>266</v>
      </c>
      <c r="E2058" t="s">
        <v>993</v>
      </c>
      <c r="F2058" t="s">
        <v>117</v>
      </c>
      <c r="G2058" t="s">
        <v>1891</v>
      </c>
      <c r="H2058"/>
      <c r="I2058"/>
      <c r="J2058" t="s">
        <v>0</v>
      </c>
      <c r="K2058" s="9">
        <v>44664</v>
      </c>
      <c r="L2058"/>
      <c r="M2058"/>
      <c r="N2058"/>
      <c r="O2058"/>
      <c r="P2058"/>
      <c r="Q2058" s="9">
        <v>44664</v>
      </c>
      <c r="R2058"/>
      <c r="S2058"/>
      <c r="T2058"/>
      <c r="U2058"/>
    </row>
    <row r="2059" spans="1:21" hidden="1">
      <c r="A2059" s="7" t="s">
        <v>8796</v>
      </c>
      <c r="B2059" s="7" t="s">
        <v>6933</v>
      </c>
      <c r="C2059" s="8" t="s">
        <v>8717</v>
      </c>
      <c r="D2059" t="s">
        <v>266</v>
      </c>
      <c r="E2059" t="s">
        <v>993</v>
      </c>
      <c r="F2059" t="s">
        <v>117</v>
      </c>
      <c r="G2059" t="s">
        <v>1892</v>
      </c>
      <c r="H2059"/>
      <c r="I2059"/>
      <c r="J2059" t="s">
        <v>0</v>
      </c>
      <c r="K2059" s="9">
        <v>44664</v>
      </c>
      <c r="L2059"/>
      <c r="M2059"/>
      <c r="N2059"/>
      <c r="O2059"/>
      <c r="P2059"/>
      <c r="Q2059" s="9">
        <v>44664</v>
      </c>
      <c r="R2059"/>
      <c r="S2059"/>
      <c r="T2059"/>
      <c r="U2059"/>
    </row>
    <row r="2060" spans="1:21" hidden="1">
      <c r="A2060" s="7" t="s">
        <v>8796</v>
      </c>
      <c r="B2060" s="7" t="s">
        <v>6933</v>
      </c>
      <c r="C2060" s="8" t="s">
        <v>8717</v>
      </c>
      <c r="D2060" t="s">
        <v>266</v>
      </c>
      <c r="E2060" t="s">
        <v>993</v>
      </c>
      <c r="F2060" t="s">
        <v>117</v>
      </c>
      <c r="G2060" t="s">
        <v>1893</v>
      </c>
      <c r="H2060"/>
      <c r="I2060"/>
      <c r="J2060" t="s">
        <v>0</v>
      </c>
      <c r="K2060" s="9">
        <v>44664</v>
      </c>
      <c r="L2060"/>
      <c r="M2060"/>
      <c r="N2060"/>
      <c r="O2060"/>
      <c r="P2060"/>
      <c r="Q2060" s="9">
        <v>44664</v>
      </c>
      <c r="R2060"/>
      <c r="S2060"/>
      <c r="T2060"/>
      <c r="U2060"/>
    </row>
    <row r="2061" spans="1:21" hidden="1">
      <c r="A2061" s="7" t="s">
        <v>8806</v>
      </c>
      <c r="B2061" s="7" t="s">
        <v>7593</v>
      </c>
      <c r="C2061" s="8" t="s">
        <v>8717</v>
      </c>
      <c r="D2061" t="s">
        <v>266</v>
      </c>
      <c r="E2061" t="s">
        <v>1034</v>
      </c>
      <c r="F2061" t="s">
        <v>117</v>
      </c>
      <c r="G2061" t="s">
        <v>1894</v>
      </c>
      <c r="H2061"/>
      <c r="I2061"/>
      <c r="J2061" t="s">
        <v>0</v>
      </c>
      <c r="K2061" s="9">
        <v>44872</v>
      </c>
      <c r="L2061"/>
      <c r="M2061"/>
      <c r="N2061"/>
      <c r="O2061"/>
      <c r="P2061"/>
      <c r="Q2061" s="9">
        <v>44872</v>
      </c>
      <c r="R2061"/>
      <c r="S2061"/>
      <c r="T2061"/>
      <c r="U2061"/>
    </row>
    <row r="2062" spans="1:21" hidden="1">
      <c r="A2062" s="7" t="s">
        <v>8806</v>
      </c>
      <c r="B2062" s="7" t="s">
        <v>7593</v>
      </c>
      <c r="C2062" s="8" t="s">
        <v>8717</v>
      </c>
      <c r="D2062" t="s">
        <v>266</v>
      </c>
      <c r="E2062" t="s">
        <v>1034</v>
      </c>
      <c r="F2062" t="s">
        <v>117</v>
      </c>
      <c r="G2062" t="s">
        <v>1895</v>
      </c>
      <c r="H2062"/>
      <c r="I2062"/>
      <c r="J2062" t="s">
        <v>0</v>
      </c>
      <c r="K2062" s="9">
        <v>44872</v>
      </c>
      <c r="L2062"/>
      <c r="M2062"/>
      <c r="N2062"/>
      <c r="O2062"/>
      <c r="P2062"/>
      <c r="Q2062" s="9">
        <v>44872</v>
      </c>
      <c r="R2062"/>
      <c r="S2062"/>
      <c r="T2062"/>
      <c r="U2062"/>
    </row>
    <row r="2063" spans="1:21" hidden="1">
      <c r="A2063" s="7" t="s">
        <v>8806</v>
      </c>
      <c r="B2063" s="7" t="s">
        <v>7593</v>
      </c>
      <c r="C2063" s="8" t="s">
        <v>8717</v>
      </c>
      <c r="D2063" t="s">
        <v>266</v>
      </c>
      <c r="E2063" t="s">
        <v>1034</v>
      </c>
      <c r="F2063" t="s">
        <v>117</v>
      </c>
      <c r="G2063" t="s">
        <v>1896</v>
      </c>
      <c r="H2063"/>
      <c r="I2063"/>
      <c r="J2063" t="s">
        <v>0</v>
      </c>
      <c r="K2063" s="9">
        <v>44872</v>
      </c>
      <c r="L2063"/>
      <c r="M2063"/>
      <c r="N2063"/>
      <c r="O2063"/>
      <c r="P2063"/>
      <c r="Q2063" s="9">
        <v>44872</v>
      </c>
      <c r="R2063"/>
      <c r="S2063"/>
      <c r="T2063"/>
      <c r="U2063"/>
    </row>
    <row r="2064" spans="1:21" hidden="1">
      <c r="A2064" s="7" t="s">
        <v>8806</v>
      </c>
      <c r="B2064" s="7" t="s">
        <v>7593</v>
      </c>
      <c r="C2064" s="8" t="s">
        <v>8717</v>
      </c>
      <c r="D2064" t="s">
        <v>266</v>
      </c>
      <c r="E2064" t="s">
        <v>1034</v>
      </c>
      <c r="F2064" t="s">
        <v>117</v>
      </c>
      <c r="G2064" t="s">
        <v>1897</v>
      </c>
      <c r="H2064"/>
      <c r="I2064"/>
      <c r="J2064" t="s">
        <v>0</v>
      </c>
      <c r="K2064" s="9">
        <v>44872</v>
      </c>
      <c r="L2064"/>
      <c r="M2064"/>
      <c r="N2064"/>
      <c r="O2064"/>
      <c r="P2064"/>
      <c r="Q2064" s="9">
        <v>44872</v>
      </c>
      <c r="R2064"/>
      <c r="S2064"/>
      <c r="T2064"/>
      <c r="U2064"/>
    </row>
    <row r="2065" spans="1:21" hidden="1">
      <c r="A2065" s="7" t="s">
        <v>8806</v>
      </c>
      <c r="B2065" s="7" t="s">
        <v>7593</v>
      </c>
      <c r="C2065" s="8" t="s">
        <v>8717</v>
      </c>
      <c r="D2065" t="s">
        <v>266</v>
      </c>
      <c r="E2065" t="s">
        <v>1034</v>
      </c>
      <c r="F2065" t="s">
        <v>117</v>
      </c>
      <c r="G2065" t="s">
        <v>1898</v>
      </c>
      <c r="H2065"/>
      <c r="I2065"/>
      <c r="J2065" t="s">
        <v>0</v>
      </c>
      <c r="K2065" s="9">
        <v>44872</v>
      </c>
      <c r="L2065"/>
      <c r="M2065"/>
      <c r="N2065"/>
      <c r="O2065"/>
      <c r="P2065"/>
      <c r="Q2065" s="9">
        <v>44872</v>
      </c>
      <c r="R2065" s="9">
        <v>44676</v>
      </c>
      <c r="S2065"/>
      <c r="T2065"/>
      <c r="U2065"/>
    </row>
    <row r="2066" spans="1:21" hidden="1">
      <c r="A2066" s="7" t="s">
        <v>8806</v>
      </c>
      <c r="B2066" s="7" t="s">
        <v>7593</v>
      </c>
      <c r="C2066" s="8" t="s">
        <v>8717</v>
      </c>
      <c r="D2066" t="s">
        <v>266</v>
      </c>
      <c r="E2066" t="s">
        <v>1034</v>
      </c>
      <c r="F2066" t="s">
        <v>117</v>
      </c>
      <c r="G2066" t="s">
        <v>1033</v>
      </c>
      <c r="H2066"/>
      <c r="I2066"/>
      <c r="J2066" t="s">
        <v>0</v>
      </c>
      <c r="K2066" s="9">
        <v>44872</v>
      </c>
      <c r="L2066"/>
      <c r="M2066"/>
      <c r="N2066"/>
      <c r="O2066"/>
      <c r="P2066"/>
      <c r="Q2066" s="9">
        <v>44872</v>
      </c>
      <c r="R2066" s="9">
        <v>44676</v>
      </c>
      <c r="S2066"/>
      <c r="T2066"/>
      <c r="U2066"/>
    </row>
    <row r="2067" spans="1:21" hidden="1">
      <c r="A2067" s="7" t="s">
        <v>8806</v>
      </c>
      <c r="B2067" s="7" t="s">
        <v>7593</v>
      </c>
      <c r="C2067" s="8" t="s">
        <v>8717</v>
      </c>
      <c r="D2067" t="s">
        <v>266</v>
      </c>
      <c r="E2067" t="s">
        <v>1034</v>
      </c>
      <c r="F2067" t="s">
        <v>117</v>
      </c>
      <c r="G2067" t="s">
        <v>1899</v>
      </c>
      <c r="H2067"/>
      <c r="I2067"/>
      <c r="J2067" t="s">
        <v>0</v>
      </c>
      <c r="K2067" s="9">
        <v>44872</v>
      </c>
      <c r="L2067"/>
      <c r="M2067"/>
      <c r="N2067"/>
      <c r="O2067"/>
      <c r="P2067"/>
      <c r="Q2067" s="9">
        <v>44872</v>
      </c>
      <c r="R2067" s="9">
        <v>44676</v>
      </c>
      <c r="S2067"/>
      <c r="T2067"/>
      <c r="U2067"/>
    </row>
    <row r="2068" spans="1:21" hidden="1">
      <c r="A2068" s="7" t="s">
        <v>8806</v>
      </c>
      <c r="B2068" s="7" t="s">
        <v>7593</v>
      </c>
      <c r="C2068" s="8" t="s">
        <v>8717</v>
      </c>
      <c r="D2068" t="s">
        <v>266</v>
      </c>
      <c r="E2068" t="s">
        <v>1034</v>
      </c>
      <c r="F2068" t="s">
        <v>117</v>
      </c>
      <c r="G2068" t="s">
        <v>1900</v>
      </c>
      <c r="H2068"/>
      <c r="I2068"/>
      <c r="J2068" t="s">
        <v>0</v>
      </c>
      <c r="K2068" s="9">
        <v>44872</v>
      </c>
      <c r="L2068"/>
      <c r="M2068"/>
      <c r="N2068"/>
      <c r="O2068"/>
      <c r="P2068"/>
      <c r="Q2068" s="9">
        <v>44872</v>
      </c>
      <c r="R2068" s="9">
        <v>44676</v>
      </c>
      <c r="S2068"/>
      <c r="T2068"/>
      <c r="U2068"/>
    </row>
    <row r="2069" spans="1:21" hidden="1">
      <c r="A2069" s="7" t="s">
        <v>8806</v>
      </c>
      <c r="B2069" s="7" t="s">
        <v>7593</v>
      </c>
      <c r="C2069" s="8" t="s">
        <v>8717</v>
      </c>
      <c r="D2069" t="s">
        <v>266</v>
      </c>
      <c r="E2069" t="s">
        <v>1034</v>
      </c>
      <c r="F2069" t="s">
        <v>117</v>
      </c>
      <c r="G2069" t="s">
        <v>1901</v>
      </c>
      <c r="H2069"/>
      <c r="I2069"/>
      <c r="J2069" t="s">
        <v>0</v>
      </c>
      <c r="K2069" s="9">
        <v>44872</v>
      </c>
      <c r="L2069"/>
      <c r="M2069"/>
      <c r="N2069"/>
      <c r="O2069"/>
      <c r="P2069"/>
      <c r="Q2069" s="9">
        <v>44872</v>
      </c>
      <c r="R2069" s="9">
        <v>44676</v>
      </c>
      <c r="S2069"/>
      <c r="T2069"/>
      <c r="U2069"/>
    </row>
    <row r="2070" spans="1:21" hidden="1">
      <c r="A2070" s="7" t="s">
        <v>8806</v>
      </c>
      <c r="B2070" s="7" t="s">
        <v>7593</v>
      </c>
      <c r="C2070" s="8" t="s">
        <v>8717</v>
      </c>
      <c r="D2070" t="s">
        <v>266</v>
      </c>
      <c r="E2070" t="s">
        <v>1034</v>
      </c>
      <c r="F2070" t="s">
        <v>117</v>
      </c>
      <c r="G2070" t="s">
        <v>1902</v>
      </c>
      <c r="H2070"/>
      <c r="I2070"/>
      <c r="J2070" t="s">
        <v>0</v>
      </c>
      <c r="K2070" s="9">
        <v>44872</v>
      </c>
      <c r="L2070"/>
      <c r="M2070"/>
      <c r="N2070"/>
      <c r="O2070"/>
      <c r="P2070"/>
      <c r="Q2070" s="9">
        <v>44872</v>
      </c>
      <c r="R2070" s="9">
        <v>44676</v>
      </c>
      <c r="S2070"/>
      <c r="T2070"/>
      <c r="U2070"/>
    </row>
    <row r="2071" spans="1:21" hidden="1">
      <c r="A2071" s="7" t="s">
        <v>8806</v>
      </c>
      <c r="B2071" s="7" t="s">
        <v>7593</v>
      </c>
      <c r="C2071" s="8" t="s">
        <v>8717</v>
      </c>
      <c r="D2071" t="s">
        <v>266</v>
      </c>
      <c r="E2071" t="s">
        <v>1034</v>
      </c>
      <c r="F2071" t="s">
        <v>117</v>
      </c>
      <c r="G2071" t="s">
        <v>1903</v>
      </c>
      <c r="H2071"/>
      <c r="I2071"/>
      <c r="J2071" t="s">
        <v>0</v>
      </c>
      <c r="K2071" s="9">
        <v>44872</v>
      </c>
      <c r="L2071"/>
      <c r="M2071"/>
      <c r="N2071"/>
      <c r="O2071"/>
      <c r="P2071"/>
      <c r="Q2071" s="9">
        <v>44872</v>
      </c>
      <c r="R2071" s="9">
        <v>44676</v>
      </c>
      <c r="S2071"/>
      <c r="T2071"/>
      <c r="U2071"/>
    </row>
    <row r="2072" spans="1:21" hidden="1">
      <c r="A2072" s="7" t="s">
        <v>8806</v>
      </c>
      <c r="B2072" s="7" t="s">
        <v>7593</v>
      </c>
      <c r="C2072" s="8" t="s">
        <v>8717</v>
      </c>
      <c r="D2072" t="s">
        <v>266</v>
      </c>
      <c r="E2072" t="s">
        <v>1034</v>
      </c>
      <c r="F2072" t="s">
        <v>117</v>
      </c>
      <c r="G2072" t="s">
        <v>1904</v>
      </c>
      <c r="H2072"/>
      <c r="I2072"/>
      <c r="J2072" t="s">
        <v>0</v>
      </c>
      <c r="K2072" s="9">
        <v>44872</v>
      </c>
      <c r="L2072"/>
      <c r="M2072"/>
      <c r="N2072"/>
      <c r="O2072"/>
      <c r="P2072"/>
      <c r="Q2072" s="9">
        <v>44872</v>
      </c>
      <c r="R2072" s="9">
        <v>44676</v>
      </c>
      <c r="S2072"/>
      <c r="T2072"/>
      <c r="U2072"/>
    </row>
    <row r="2073" spans="1:21" hidden="1">
      <c r="A2073" s="7" t="s">
        <v>8806</v>
      </c>
      <c r="B2073" s="7" t="s">
        <v>7593</v>
      </c>
      <c r="C2073" s="8" t="s">
        <v>8717</v>
      </c>
      <c r="D2073" t="s">
        <v>266</v>
      </c>
      <c r="E2073" t="s">
        <v>1034</v>
      </c>
      <c r="F2073" t="s">
        <v>117</v>
      </c>
      <c r="G2073" t="s">
        <v>1905</v>
      </c>
      <c r="H2073"/>
      <c r="I2073"/>
      <c r="J2073" t="s">
        <v>0</v>
      </c>
      <c r="K2073" s="9">
        <v>44872</v>
      </c>
      <c r="L2073"/>
      <c r="M2073"/>
      <c r="N2073"/>
      <c r="O2073"/>
      <c r="P2073"/>
      <c r="Q2073" s="9">
        <v>44872</v>
      </c>
      <c r="R2073" s="9">
        <v>44676</v>
      </c>
      <c r="S2073"/>
      <c r="T2073"/>
      <c r="U2073"/>
    </row>
    <row r="2074" spans="1:21" hidden="1">
      <c r="A2074" s="7" t="s">
        <v>8771</v>
      </c>
      <c r="B2074" s="7" t="s">
        <v>8351</v>
      </c>
      <c r="C2074" s="8" t="s">
        <v>8717</v>
      </c>
      <c r="D2074" t="s">
        <v>24</v>
      </c>
      <c r="E2074" t="s">
        <v>756</v>
      </c>
      <c r="F2074" t="s">
        <v>491</v>
      </c>
      <c r="G2074" t="s">
        <v>1906</v>
      </c>
      <c r="H2074"/>
      <c r="I2074"/>
      <c r="J2074" t="s">
        <v>0</v>
      </c>
      <c r="K2074" s="9">
        <v>44676</v>
      </c>
      <c r="L2074"/>
      <c r="M2074"/>
      <c r="N2074"/>
      <c r="O2074"/>
      <c r="P2074"/>
      <c r="Q2074" s="9">
        <v>44676</v>
      </c>
      <c r="R2074"/>
      <c r="S2074"/>
      <c r="T2074"/>
      <c r="U2074"/>
    </row>
    <row r="2075" spans="1:21" hidden="1">
      <c r="A2075" s="7" t="s">
        <v>8771</v>
      </c>
      <c r="B2075" s="7" t="s">
        <v>8351</v>
      </c>
      <c r="C2075" s="8" t="s">
        <v>8717</v>
      </c>
      <c r="D2075" t="s">
        <v>24</v>
      </c>
      <c r="E2075" t="s">
        <v>756</v>
      </c>
      <c r="F2075" t="s">
        <v>491</v>
      </c>
      <c r="G2075" t="s">
        <v>1907</v>
      </c>
      <c r="H2075"/>
      <c r="I2075"/>
      <c r="J2075" t="s">
        <v>0</v>
      </c>
      <c r="K2075" s="9">
        <v>44676</v>
      </c>
      <c r="L2075"/>
      <c r="M2075"/>
      <c r="N2075"/>
      <c r="O2075"/>
      <c r="P2075"/>
      <c r="Q2075" s="9">
        <v>44676</v>
      </c>
      <c r="R2075"/>
      <c r="S2075"/>
      <c r="T2075"/>
      <c r="U2075"/>
    </row>
    <row r="2076" spans="1:21" hidden="1">
      <c r="A2076" s="7" t="s">
        <v>8748</v>
      </c>
      <c r="B2076" s="7" t="s">
        <v>7750</v>
      </c>
      <c r="C2076" s="8" t="s">
        <v>8717</v>
      </c>
      <c r="D2076" t="s">
        <v>272</v>
      </c>
      <c r="E2076" t="s">
        <v>409</v>
      </c>
      <c r="F2076" t="s">
        <v>231</v>
      </c>
      <c r="G2076" t="s">
        <v>1909</v>
      </c>
      <c r="H2076"/>
      <c r="I2076"/>
      <c r="J2076" t="s">
        <v>0</v>
      </c>
      <c r="K2076" s="9">
        <v>44881</v>
      </c>
      <c r="L2076"/>
      <c r="M2076"/>
      <c r="N2076"/>
      <c r="O2076"/>
      <c r="P2076"/>
      <c r="Q2076" s="9">
        <v>44881</v>
      </c>
      <c r="R2076"/>
      <c r="S2076"/>
      <c r="T2076"/>
      <c r="U2076"/>
    </row>
    <row r="2077" spans="1:21" hidden="1">
      <c r="A2077" s="7" t="s">
        <v>8748</v>
      </c>
      <c r="B2077" s="7" t="s">
        <v>7750</v>
      </c>
      <c r="C2077" s="8" t="s">
        <v>8717</v>
      </c>
      <c r="D2077" t="s">
        <v>272</v>
      </c>
      <c r="E2077" t="s">
        <v>409</v>
      </c>
      <c r="F2077" t="s">
        <v>231</v>
      </c>
      <c r="G2077" t="s">
        <v>413</v>
      </c>
      <c r="H2077"/>
      <c r="I2077"/>
      <c r="J2077" t="s">
        <v>0</v>
      </c>
      <c r="K2077" s="9">
        <v>44881</v>
      </c>
      <c r="L2077"/>
      <c r="M2077"/>
      <c r="N2077"/>
      <c r="O2077"/>
      <c r="P2077"/>
      <c r="Q2077" s="9">
        <v>44881</v>
      </c>
      <c r="R2077"/>
      <c r="S2077"/>
      <c r="T2077"/>
      <c r="U2077"/>
    </row>
    <row r="2078" spans="1:21" hidden="1">
      <c r="A2078" s="7" t="s">
        <v>8748</v>
      </c>
      <c r="B2078" s="7" t="s">
        <v>7750</v>
      </c>
      <c r="C2078" s="8" t="s">
        <v>8717</v>
      </c>
      <c r="D2078" t="s">
        <v>272</v>
      </c>
      <c r="E2078" t="s">
        <v>409</v>
      </c>
      <c r="F2078" t="s">
        <v>231</v>
      </c>
      <c r="G2078" t="s">
        <v>410</v>
      </c>
      <c r="H2078"/>
      <c r="I2078"/>
      <c r="J2078" t="s">
        <v>0</v>
      </c>
      <c r="K2078" s="9">
        <v>44881</v>
      </c>
      <c r="L2078"/>
      <c r="M2078"/>
      <c r="N2078"/>
      <c r="O2078"/>
      <c r="P2078"/>
      <c r="Q2078" s="9">
        <v>44881</v>
      </c>
      <c r="R2078"/>
      <c r="S2078"/>
      <c r="T2078"/>
      <c r="U2078"/>
    </row>
    <row r="2079" spans="1:21" hidden="1">
      <c r="A2079" s="7" t="s">
        <v>8748</v>
      </c>
      <c r="B2079" s="7" t="s">
        <v>7750</v>
      </c>
      <c r="C2079" s="8" t="s">
        <v>8717</v>
      </c>
      <c r="D2079" t="s">
        <v>272</v>
      </c>
      <c r="E2079" t="s">
        <v>409</v>
      </c>
      <c r="F2079" t="s">
        <v>231</v>
      </c>
      <c r="G2079" t="s">
        <v>412</v>
      </c>
      <c r="H2079"/>
      <c r="I2079"/>
      <c r="J2079" t="s">
        <v>0</v>
      </c>
      <c r="K2079" s="9">
        <v>44881</v>
      </c>
      <c r="L2079"/>
      <c r="M2079"/>
      <c r="N2079"/>
      <c r="O2079"/>
      <c r="P2079"/>
      <c r="Q2079" s="9">
        <v>44881</v>
      </c>
      <c r="R2079"/>
      <c r="S2079"/>
      <c r="T2079"/>
      <c r="U2079"/>
    </row>
    <row r="2080" spans="1:21" hidden="1">
      <c r="A2080" s="7" t="s">
        <v>8748</v>
      </c>
      <c r="B2080" s="7" t="s">
        <v>7750</v>
      </c>
      <c r="C2080" s="8" t="s">
        <v>8717</v>
      </c>
      <c r="D2080" t="s">
        <v>272</v>
      </c>
      <c r="E2080" t="s">
        <v>409</v>
      </c>
      <c r="F2080" t="s">
        <v>231</v>
      </c>
      <c r="G2080" t="s">
        <v>1910</v>
      </c>
      <c r="H2080"/>
      <c r="I2080"/>
      <c r="J2080" t="s">
        <v>0</v>
      </c>
      <c r="K2080" s="9">
        <v>44881</v>
      </c>
      <c r="L2080"/>
      <c r="M2080"/>
      <c r="N2080"/>
      <c r="O2080"/>
      <c r="P2080"/>
      <c r="Q2080" s="9">
        <v>44881</v>
      </c>
      <c r="R2080"/>
      <c r="S2080"/>
      <c r="T2080"/>
      <c r="U2080"/>
    </row>
    <row r="2081" spans="1:21" hidden="1">
      <c r="A2081" s="7" t="s">
        <v>8748</v>
      </c>
      <c r="B2081" s="7" t="s">
        <v>7750</v>
      </c>
      <c r="C2081" s="8" t="s">
        <v>8717</v>
      </c>
      <c r="D2081" t="s">
        <v>272</v>
      </c>
      <c r="E2081" t="s">
        <v>409</v>
      </c>
      <c r="F2081" t="s">
        <v>231</v>
      </c>
      <c r="G2081" t="s">
        <v>1911</v>
      </c>
      <c r="H2081"/>
      <c r="I2081"/>
      <c r="J2081" t="s">
        <v>0</v>
      </c>
      <c r="K2081" s="9">
        <v>44881</v>
      </c>
      <c r="L2081"/>
      <c r="M2081"/>
      <c r="N2081"/>
      <c r="O2081"/>
      <c r="P2081"/>
      <c r="Q2081" s="9">
        <v>44881</v>
      </c>
      <c r="R2081"/>
      <c r="S2081"/>
      <c r="T2081"/>
      <c r="U2081"/>
    </row>
    <row r="2082" spans="1:21" hidden="1">
      <c r="A2082" s="7" t="s">
        <v>8748</v>
      </c>
      <c r="B2082" s="7" t="s">
        <v>7750</v>
      </c>
      <c r="C2082" s="8" t="s">
        <v>8717</v>
      </c>
      <c r="D2082" t="s">
        <v>272</v>
      </c>
      <c r="E2082" t="s">
        <v>409</v>
      </c>
      <c r="F2082" t="s">
        <v>231</v>
      </c>
      <c r="G2082" t="s">
        <v>1912</v>
      </c>
      <c r="H2082"/>
      <c r="I2082"/>
      <c r="J2082" t="s">
        <v>0</v>
      </c>
      <c r="K2082" s="9">
        <v>44881</v>
      </c>
      <c r="L2082"/>
      <c r="M2082"/>
      <c r="N2082"/>
      <c r="O2082"/>
      <c r="P2082"/>
      <c r="Q2082" s="9">
        <v>44881</v>
      </c>
      <c r="R2082"/>
      <c r="S2082"/>
      <c r="T2082"/>
      <c r="U2082"/>
    </row>
    <row r="2083" spans="1:21" hidden="1">
      <c r="A2083" s="7" t="s">
        <v>8748</v>
      </c>
      <c r="B2083" s="7" t="s">
        <v>7750</v>
      </c>
      <c r="C2083" s="8" t="s">
        <v>8717</v>
      </c>
      <c r="D2083" t="s">
        <v>272</v>
      </c>
      <c r="E2083" t="s">
        <v>409</v>
      </c>
      <c r="F2083" t="s">
        <v>231</v>
      </c>
      <c r="G2083" t="s">
        <v>1913</v>
      </c>
      <c r="H2083"/>
      <c r="I2083"/>
      <c r="J2083" t="s">
        <v>0</v>
      </c>
      <c r="K2083" s="9">
        <v>44881</v>
      </c>
      <c r="L2083"/>
      <c r="M2083"/>
      <c r="N2083"/>
      <c r="O2083"/>
      <c r="P2083"/>
      <c r="Q2083" s="9">
        <v>44881</v>
      </c>
      <c r="R2083"/>
      <c r="S2083"/>
      <c r="T2083"/>
      <c r="U2083"/>
    </row>
    <row r="2084" spans="1:21" hidden="1">
      <c r="A2084" s="7" t="s">
        <v>8748</v>
      </c>
      <c r="B2084" s="7" t="s">
        <v>7750</v>
      </c>
      <c r="C2084" s="8" t="s">
        <v>8717</v>
      </c>
      <c r="D2084" t="s">
        <v>272</v>
      </c>
      <c r="E2084" t="s">
        <v>409</v>
      </c>
      <c r="F2084" t="s">
        <v>231</v>
      </c>
      <c r="G2084" t="s">
        <v>1914</v>
      </c>
      <c r="H2084"/>
      <c r="I2084"/>
      <c r="J2084" t="s">
        <v>0</v>
      </c>
      <c r="K2084" s="9">
        <v>44881</v>
      </c>
      <c r="L2084"/>
      <c r="M2084"/>
      <c r="N2084"/>
      <c r="O2084"/>
      <c r="P2084"/>
      <c r="Q2084" s="9">
        <v>44881</v>
      </c>
      <c r="R2084"/>
      <c r="S2084"/>
      <c r="T2084"/>
      <c r="U2084"/>
    </row>
    <row r="2085" spans="1:21" hidden="1">
      <c r="A2085" s="7" t="s">
        <v>8748</v>
      </c>
      <c r="B2085" s="7" t="s">
        <v>7750</v>
      </c>
      <c r="C2085" s="8" t="s">
        <v>8717</v>
      </c>
      <c r="D2085" t="s">
        <v>272</v>
      </c>
      <c r="E2085" t="s">
        <v>409</v>
      </c>
      <c r="F2085" t="s">
        <v>231</v>
      </c>
      <c r="G2085" t="s">
        <v>1915</v>
      </c>
      <c r="H2085"/>
      <c r="I2085"/>
      <c r="J2085" t="s">
        <v>0</v>
      </c>
      <c r="K2085" s="9">
        <v>44881</v>
      </c>
      <c r="L2085"/>
      <c r="M2085"/>
      <c r="N2085"/>
      <c r="O2085"/>
      <c r="P2085"/>
      <c r="Q2085" s="9">
        <v>44881</v>
      </c>
      <c r="R2085"/>
      <c r="S2085"/>
      <c r="T2085"/>
      <c r="U2085"/>
    </row>
    <row r="2086" spans="1:21" hidden="1">
      <c r="A2086" s="7" t="s">
        <v>8723</v>
      </c>
      <c r="B2086" s="7" t="s">
        <v>6719</v>
      </c>
      <c r="C2086" s="8" t="s">
        <v>8717</v>
      </c>
      <c r="D2086" t="s">
        <v>24</v>
      </c>
      <c r="E2086" t="s">
        <v>116</v>
      </c>
      <c r="F2086" t="s">
        <v>117</v>
      </c>
      <c r="G2086" t="s">
        <v>1916</v>
      </c>
      <c r="H2086"/>
      <c r="I2086"/>
      <c r="J2086" t="s">
        <v>0</v>
      </c>
      <c r="K2086" s="9">
        <v>44690</v>
      </c>
      <c r="L2086"/>
      <c r="M2086"/>
      <c r="N2086"/>
      <c r="O2086"/>
      <c r="P2086"/>
      <c r="Q2086" s="9">
        <v>44690</v>
      </c>
      <c r="R2086"/>
      <c r="S2086"/>
      <c r="T2086"/>
      <c r="U2086"/>
    </row>
    <row r="2087" spans="1:21" hidden="1">
      <c r="A2087" s="7" t="s">
        <v>8723</v>
      </c>
      <c r="B2087" s="7" t="s">
        <v>6719</v>
      </c>
      <c r="C2087" s="8" t="s">
        <v>8717</v>
      </c>
      <c r="D2087" t="s">
        <v>24</v>
      </c>
      <c r="E2087" t="s">
        <v>116</v>
      </c>
      <c r="F2087" t="s">
        <v>117</v>
      </c>
      <c r="G2087" t="s">
        <v>1917</v>
      </c>
      <c r="H2087"/>
      <c r="I2087"/>
      <c r="J2087" t="s">
        <v>0</v>
      </c>
      <c r="K2087" s="9">
        <v>44690</v>
      </c>
      <c r="L2087"/>
      <c r="M2087"/>
      <c r="N2087"/>
      <c r="O2087"/>
      <c r="P2087"/>
      <c r="Q2087" s="9">
        <v>44690</v>
      </c>
      <c r="R2087"/>
      <c r="S2087"/>
      <c r="T2087"/>
      <c r="U2087"/>
    </row>
    <row r="2088" spans="1:21" hidden="1">
      <c r="A2088" s="7" t="s">
        <v>8769</v>
      </c>
      <c r="B2088" s="7" t="s">
        <v>6233</v>
      </c>
      <c r="C2088" s="8" t="s">
        <v>8717</v>
      </c>
      <c r="D2088" t="s">
        <v>24</v>
      </c>
      <c r="E2088" t="s">
        <v>752</v>
      </c>
      <c r="F2088" t="s">
        <v>79</v>
      </c>
      <c r="G2088" t="s">
        <v>1918</v>
      </c>
      <c r="H2088"/>
      <c r="I2088"/>
      <c r="J2088" t="s">
        <v>0</v>
      </c>
      <c r="K2088" s="9">
        <v>44691</v>
      </c>
      <c r="L2088"/>
      <c r="M2088"/>
      <c r="N2088"/>
      <c r="O2088"/>
      <c r="P2088"/>
      <c r="Q2088" s="9">
        <v>44691</v>
      </c>
      <c r="R2088"/>
      <c r="S2088"/>
      <c r="T2088"/>
      <c r="U2088"/>
    </row>
    <row r="2089" spans="1:21" hidden="1">
      <c r="A2089" s="7" t="s">
        <v>8769</v>
      </c>
      <c r="B2089" s="7" t="s">
        <v>6233</v>
      </c>
      <c r="C2089" s="8" t="s">
        <v>8717</v>
      </c>
      <c r="D2089" t="s">
        <v>24</v>
      </c>
      <c r="E2089" t="s">
        <v>752</v>
      </c>
      <c r="F2089" t="s">
        <v>79</v>
      </c>
      <c r="G2089" t="s">
        <v>1919</v>
      </c>
      <c r="H2089"/>
      <c r="I2089"/>
      <c r="J2089" t="s">
        <v>0</v>
      </c>
      <c r="K2089" s="9">
        <v>44691</v>
      </c>
      <c r="L2089"/>
      <c r="M2089"/>
      <c r="N2089"/>
      <c r="O2089"/>
      <c r="P2089"/>
      <c r="Q2089" s="9">
        <v>44691</v>
      </c>
      <c r="R2089"/>
      <c r="S2089"/>
      <c r="T2089"/>
      <c r="U2089"/>
    </row>
    <row r="2090" spans="1:21" hidden="1">
      <c r="A2090" s="7" t="s">
        <v>8769</v>
      </c>
      <c r="B2090" s="7" t="s">
        <v>6233</v>
      </c>
      <c r="C2090" s="8" t="s">
        <v>8717</v>
      </c>
      <c r="D2090" t="s">
        <v>24</v>
      </c>
      <c r="E2090" t="s">
        <v>752</v>
      </c>
      <c r="F2090" t="s">
        <v>79</v>
      </c>
      <c r="G2090" t="s">
        <v>1920</v>
      </c>
      <c r="H2090"/>
      <c r="I2090"/>
      <c r="J2090" t="s">
        <v>0</v>
      </c>
      <c r="K2090" s="9">
        <v>44691</v>
      </c>
      <c r="L2090"/>
      <c r="M2090"/>
      <c r="N2090"/>
      <c r="O2090"/>
      <c r="P2090"/>
      <c r="Q2090" s="9">
        <v>44691</v>
      </c>
      <c r="R2090"/>
      <c r="S2090"/>
      <c r="T2090"/>
      <c r="U2090"/>
    </row>
    <row r="2091" spans="1:21" hidden="1">
      <c r="A2091" s="7" t="s">
        <v>8769</v>
      </c>
      <c r="B2091" s="7" t="s">
        <v>6233</v>
      </c>
      <c r="C2091" s="8" t="s">
        <v>8717</v>
      </c>
      <c r="D2091" t="s">
        <v>24</v>
      </c>
      <c r="E2091" t="s">
        <v>752</v>
      </c>
      <c r="F2091" t="s">
        <v>79</v>
      </c>
      <c r="G2091" t="s">
        <v>1921</v>
      </c>
      <c r="H2091"/>
      <c r="I2091"/>
      <c r="J2091" t="s">
        <v>0</v>
      </c>
      <c r="K2091" s="9">
        <v>44691</v>
      </c>
      <c r="L2091"/>
      <c r="M2091"/>
      <c r="N2091"/>
      <c r="O2091"/>
      <c r="P2091"/>
      <c r="Q2091" s="9">
        <v>44691</v>
      </c>
      <c r="R2091"/>
      <c r="S2091"/>
      <c r="T2091"/>
      <c r="U2091"/>
    </row>
    <row r="2092" spans="1:21" hidden="1">
      <c r="A2092" s="7" t="s">
        <v>8769</v>
      </c>
      <c r="B2092" s="7" t="s">
        <v>6233</v>
      </c>
      <c r="C2092" s="8" t="s">
        <v>8717</v>
      </c>
      <c r="D2092" t="s">
        <v>24</v>
      </c>
      <c r="E2092" t="s">
        <v>752</v>
      </c>
      <c r="F2092" t="s">
        <v>79</v>
      </c>
      <c r="G2092" t="s">
        <v>1922</v>
      </c>
      <c r="H2092"/>
      <c r="I2092"/>
      <c r="J2092" t="s">
        <v>0</v>
      </c>
      <c r="K2092" s="9">
        <v>44691</v>
      </c>
      <c r="L2092"/>
      <c r="M2092"/>
      <c r="N2092"/>
      <c r="O2092"/>
      <c r="P2092"/>
      <c r="Q2092" s="9">
        <v>44691</v>
      </c>
      <c r="R2092"/>
      <c r="S2092"/>
      <c r="T2092"/>
      <c r="U2092"/>
    </row>
    <row r="2093" spans="1:21" hidden="1">
      <c r="A2093" s="7" t="s">
        <v>8769</v>
      </c>
      <c r="B2093" s="7" t="s">
        <v>6233</v>
      </c>
      <c r="C2093" s="8" t="s">
        <v>8717</v>
      </c>
      <c r="D2093" t="s">
        <v>24</v>
      </c>
      <c r="E2093" t="s">
        <v>752</v>
      </c>
      <c r="F2093" t="s">
        <v>79</v>
      </c>
      <c r="G2093" t="s">
        <v>1923</v>
      </c>
      <c r="H2093"/>
      <c r="I2093"/>
      <c r="J2093" t="s">
        <v>0</v>
      </c>
      <c r="K2093" s="9">
        <v>44691</v>
      </c>
      <c r="L2093"/>
      <c r="M2093"/>
      <c r="N2093"/>
      <c r="O2093"/>
      <c r="P2093"/>
      <c r="Q2093" s="9">
        <v>44691</v>
      </c>
      <c r="R2093"/>
      <c r="S2093"/>
      <c r="T2093"/>
      <c r="U2093"/>
    </row>
    <row r="2094" spans="1:21" hidden="1">
      <c r="A2094" s="7" t="s">
        <v>8769</v>
      </c>
      <c r="B2094" s="7" t="s">
        <v>6233</v>
      </c>
      <c r="C2094" s="8" t="s">
        <v>8717</v>
      </c>
      <c r="D2094" t="s">
        <v>24</v>
      </c>
      <c r="E2094" t="s">
        <v>752</v>
      </c>
      <c r="F2094" t="s">
        <v>79</v>
      </c>
      <c r="G2094" t="s">
        <v>1924</v>
      </c>
      <c r="H2094"/>
      <c r="I2094"/>
      <c r="J2094" t="s">
        <v>0</v>
      </c>
      <c r="K2094" s="9">
        <v>44691</v>
      </c>
      <c r="L2094"/>
      <c r="M2094"/>
      <c r="N2094"/>
      <c r="O2094"/>
      <c r="P2094"/>
      <c r="Q2094" s="9">
        <v>44691</v>
      </c>
      <c r="R2094"/>
      <c r="S2094"/>
      <c r="T2094"/>
      <c r="U2094"/>
    </row>
    <row r="2095" spans="1:21" hidden="1">
      <c r="A2095" s="7" t="s">
        <v>8769</v>
      </c>
      <c r="B2095" s="7" t="s">
        <v>6233</v>
      </c>
      <c r="C2095" s="8" t="s">
        <v>8717</v>
      </c>
      <c r="D2095" t="s">
        <v>24</v>
      </c>
      <c r="E2095" t="s">
        <v>752</v>
      </c>
      <c r="F2095" t="s">
        <v>79</v>
      </c>
      <c r="G2095" t="s">
        <v>1925</v>
      </c>
      <c r="H2095"/>
      <c r="I2095"/>
      <c r="J2095" t="s">
        <v>0</v>
      </c>
      <c r="K2095" s="9">
        <v>44691</v>
      </c>
      <c r="L2095"/>
      <c r="M2095"/>
      <c r="N2095"/>
      <c r="O2095"/>
      <c r="P2095"/>
      <c r="Q2095" s="9">
        <v>44691</v>
      </c>
      <c r="R2095"/>
      <c r="S2095"/>
      <c r="T2095"/>
      <c r="U2095"/>
    </row>
    <row r="2096" spans="1:21" hidden="1">
      <c r="A2096" s="7" t="s">
        <v>8769</v>
      </c>
      <c r="B2096" s="7" t="s">
        <v>6233</v>
      </c>
      <c r="C2096" s="8" t="s">
        <v>8717</v>
      </c>
      <c r="D2096" t="s">
        <v>24</v>
      </c>
      <c r="E2096" t="s">
        <v>752</v>
      </c>
      <c r="F2096" t="s">
        <v>79</v>
      </c>
      <c r="G2096" t="s">
        <v>1926</v>
      </c>
      <c r="H2096"/>
      <c r="I2096"/>
      <c r="J2096" t="s">
        <v>0</v>
      </c>
      <c r="K2096" s="9">
        <v>44691</v>
      </c>
      <c r="L2096"/>
      <c r="M2096"/>
      <c r="N2096"/>
      <c r="O2096"/>
      <c r="P2096"/>
      <c r="Q2096" s="9">
        <v>44691</v>
      </c>
      <c r="R2096"/>
      <c r="S2096"/>
      <c r="T2096"/>
      <c r="U2096"/>
    </row>
    <row r="2097" spans="1:21" hidden="1">
      <c r="A2097" s="7" t="s">
        <v>8769</v>
      </c>
      <c r="B2097" s="7" t="s">
        <v>6233</v>
      </c>
      <c r="C2097" s="8" t="s">
        <v>8717</v>
      </c>
      <c r="D2097" t="s">
        <v>24</v>
      </c>
      <c r="E2097" t="s">
        <v>752</v>
      </c>
      <c r="F2097" t="s">
        <v>79</v>
      </c>
      <c r="G2097" t="s">
        <v>1927</v>
      </c>
      <c r="H2097"/>
      <c r="I2097"/>
      <c r="J2097" t="s">
        <v>0</v>
      </c>
      <c r="K2097" s="9">
        <v>44691</v>
      </c>
      <c r="L2097"/>
      <c r="M2097"/>
      <c r="N2097"/>
      <c r="O2097"/>
      <c r="P2097"/>
      <c r="Q2097" s="9">
        <v>44691</v>
      </c>
      <c r="R2097"/>
      <c r="S2097"/>
      <c r="T2097"/>
      <c r="U2097"/>
    </row>
    <row r="2098" spans="1:21" hidden="1">
      <c r="A2098" s="7" t="s">
        <v>8781</v>
      </c>
      <c r="B2098" s="7" t="s">
        <v>8313</v>
      </c>
      <c r="C2098" s="8" t="s">
        <v>5318</v>
      </c>
      <c r="D2098" t="s">
        <v>266</v>
      </c>
      <c r="E2098" t="s">
        <v>880</v>
      </c>
      <c r="F2098" t="s">
        <v>231</v>
      </c>
      <c r="G2098" t="s">
        <v>881</v>
      </c>
      <c r="H2098" s="9">
        <v>44693</v>
      </c>
      <c r="I2098" t="s">
        <v>882</v>
      </c>
      <c r="J2098" t="s">
        <v>2</v>
      </c>
      <c r="K2098" s="9">
        <v>44711</v>
      </c>
      <c r="L2098" t="s">
        <v>29</v>
      </c>
      <c r="M2098" t="s">
        <v>1928</v>
      </c>
      <c r="N2098" s="9">
        <v>44706</v>
      </c>
      <c r="O2098"/>
      <c r="P2098"/>
      <c r="Q2098"/>
      <c r="R2098"/>
      <c r="S2098"/>
      <c r="T2098"/>
      <c r="U2098"/>
    </row>
    <row r="2099" spans="1:21" hidden="1">
      <c r="A2099" s="7" t="s">
        <v>8781</v>
      </c>
      <c r="B2099" s="7" t="s">
        <v>8313</v>
      </c>
      <c r="C2099" s="8" t="s">
        <v>5318</v>
      </c>
      <c r="D2099" t="s">
        <v>266</v>
      </c>
      <c r="E2099" t="s">
        <v>880</v>
      </c>
      <c r="F2099" t="s">
        <v>231</v>
      </c>
      <c r="G2099" t="s">
        <v>883</v>
      </c>
      <c r="H2099" s="9">
        <v>44693</v>
      </c>
      <c r="I2099" t="s">
        <v>882</v>
      </c>
      <c r="J2099" t="s">
        <v>2</v>
      </c>
      <c r="K2099" s="9">
        <v>44711</v>
      </c>
      <c r="L2099" t="s">
        <v>29</v>
      </c>
      <c r="M2099" t="s">
        <v>1928</v>
      </c>
      <c r="N2099" s="9">
        <v>44706</v>
      </c>
      <c r="O2099"/>
      <c r="P2099"/>
      <c r="Q2099"/>
      <c r="R2099"/>
      <c r="S2099"/>
      <c r="T2099"/>
      <c r="U2099"/>
    </row>
    <row r="2100" spans="1:21" hidden="1">
      <c r="A2100" s="7" t="s">
        <v>8781</v>
      </c>
      <c r="B2100" s="7" t="s">
        <v>8313</v>
      </c>
      <c r="C2100" s="8" t="s">
        <v>5318</v>
      </c>
      <c r="D2100" t="s">
        <v>266</v>
      </c>
      <c r="E2100" t="s">
        <v>880</v>
      </c>
      <c r="F2100" t="s">
        <v>231</v>
      </c>
      <c r="G2100" t="s">
        <v>884</v>
      </c>
      <c r="H2100" s="9">
        <v>44693</v>
      </c>
      <c r="I2100" t="s">
        <v>882</v>
      </c>
      <c r="J2100" t="s">
        <v>2</v>
      </c>
      <c r="K2100" s="9">
        <v>44711</v>
      </c>
      <c r="L2100" t="s">
        <v>29</v>
      </c>
      <c r="M2100" t="s">
        <v>1928</v>
      </c>
      <c r="N2100" s="9">
        <v>44706</v>
      </c>
      <c r="O2100"/>
      <c r="P2100"/>
      <c r="Q2100"/>
      <c r="R2100"/>
      <c r="S2100"/>
      <c r="T2100"/>
      <c r="U2100"/>
    </row>
    <row r="2101" spans="1:21" hidden="1">
      <c r="A2101" s="7" t="s">
        <v>8782</v>
      </c>
      <c r="B2101" s="7" t="s">
        <v>5530</v>
      </c>
      <c r="C2101" s="8" t="s">
        <v>5318</v>
      </c>
      <c r="D2101" t="s">
        <v>266</v>
      </c>
      <c r="E2101" t="s">
        <v>885</v>
      </c>
      <c r="F2101" t="s">
        <v>75</v>
      </c>
      <c r="G2101" t="s">
        <v>886</v>
      </c>
      <c r="H2101" s="9">
        <v>44693</v>
      </c>
      <c r="I2101" t="s">
        <v>408</v>
      </c>
      <c r="J2101" t="s">
        <v>2</v>
      </c>
      <c r="K2101" s="9">
        <v>44697</v>
      </c>
      <c r="L2101" t="s">
        <v>29</v>
      </c>
      <c r="M2101" t="s">
        <v>1929</v>
      </c>
      <c r="N2101"/>
      <c r="O2101"/>
      <c r="P2101"/>
      <c r="Q2101" s="9">
        <v>44697</v>
      </c>
      <c r="R2101"/>
      <c r="S2101"/>
      <c r="T2101"/>
      <c r="U2101"/>
    </row>
    <row r="2102" spans="1:21" hidden="1">
      <c r="A2102" s="7" t="s">
        <v>8783</v>
      </c>
      <c r="B2102" s="7" t="s">
        <v>5718</v>
      </c>
      <c r="C2102" s="8" t="s">
        <v>5318</v>
      </c>
      <c r="D2102" t="s">
        <v>266</v>
      </c>
      <c r="E2102" t="s">
        <v>887</v>
      </c>
      <c r="F2102" t="s">
        <v>231</v>
      </c>
      <c r="G2102" t="s">
        <v>888</v>
      </c>
      <c r="H2102" s="9">
        <v>44693</v>
      </c>
      <c r="I2102" t="s">
        <v>882</v>
      </c>
      <c r="J2102" t="s">
        <v>2</v>
      </c>
      <c r="K2102" s="9">
        <v>44697</v>
      </c>
      <c r="L2102" t="s">
        <v>29</v>
      </c>
      <c r="M2102" t="s">
        <v>1929</v>
      </c>
      <c r="N2102"/>
      <c r="O2102"/>
      <c r="P2102"/>
      <c r="Q2102"/>
      <c r="R2102"/>
      <c r="S2102"/>
      <c r="T2102"/>
      <c r="U2102"/>
    </row>
    <row r="2103" spans="1:21" hidden="1">
      <c r="A2103" s="7" t="s">
        <v>8782</v>
      </c>
      <c r="B2103" s="7" t="s">
        <v>5530</v>
      </c>
      <c r="C2103" s="8" t="s">
        <v>5318</v>
      </c>
      <c r="D2103" t="s">
        <v>266</v>
      </c>
      <c r="E2103" t="s">
        <v>885</v>
      </c>
      <c r="F2103" t="s">
        <v>75</v>
      </c>
      <c r="G2103" t="s">
        <v>889</v>
      </c>
      <c r="H2103" s="9">
        <v>44693</v>
      </c>
      <c r="I2103" t="s">
        <v>408</v>
      </c>
      <c r="J2103" t="s">
        <v>2</v>
      </c>
      <c r="K2103" s="9">
        <v>44697</v>
      </c>
      <c r="L2103" t="s">
        <v>29</v>
      </c>
      <c r="M2103" t="s">
        <v>1929</v>
      </c>
      <c r="N2103"/>
      <c r="O2103"/>
      <c r="P2103"/>
      <c r="Q2103" s="9">
        <v>44697</v>
      </c>
      <c r="R2103"/>
      <c r="S2103"/>
      <c r="T2103"/>
      <c r="U2103"/>
    </row>
    <row r="2104" spans="1:21" hidden="1">
      <c r="A2104" s="7" t="s">
        <v>8784</v>
      </c>
      <c r="B2104" s="7" t="s">
        <v>7317</v>
      </c>
      <c r="C2104" s="8" t="s">
        <v>5318</v>
      </c>
      <c r="D2104" t="s">
        <v>266</v>
      </c>
      <c r="E2104" t="s">
        <v>890</v>
      </c>
      <c r="F2104" t="s">
        <v>209</v>
      </c>
      <c r="G2104" t="s">
        <v>891</v>
      </c>
      <c r="H2104" s="9">
        <v>44693</v>
      </c>
      <c r="I2104" t="s">
        <v>408</v>
      </c>
      <c r="J2104" t="s">
        <v>2</v>
      </c>
      <c r="K2104" s="9">
        <v>44697</v>
      </c>
      <c r="L2104" t="s">
        <v>29</v>
      </c>
      <c r="M2104" t="s">
        <v>1929</v>
      </c>
      <c r="N2104"/>
      <c r="O2104"/>
      <c r="P2104"/>
      <c r="Q2104"/>
      <c r="R2104"/>
      <c r="S2104"/>
      <c r="T2104"/>
      <c r="U2104"/>
    </row>
    <row r="2105" spans="1:21" hidden="1">
      <c r="A2105" s="7" t="s">
        <v>8785</v>
      </c>
      <c r="B2105" s="7" t="s">
        <v>6820</v>
      </c>
      <c r="C2105" s="8" t="s">
        <v>5318</v>
      </c>
      <c r="D2105" t="s">
        <v>266</v>
      </c>
      <c r="E2105" t="s">
        <v>892</v>
      </c>
      <c r="F2105" t="s">
        <v>117</v>
      </c>
      <c r="G2105" t="s">
        <v>893</v>
      </c>
      <c r="H2105" s="9">
        <v>44693</v>
      </c>
      <c r="I2105" t="s">
        <v>99</v>
      </c>
      <c r="J2105" t="s">
        <v>2</v>
      </c>
      <c r="K2105" s="9">
        <v>44697</v>
      </c>
      <c r="L2105" t="s">
        <v>29</v>
      </c>
      <c r="M2105" t="s">
        <v>1929</v>
      </c>
      <c r="N2105"/>
      <c r="O2105"/>
      <c r="P2105"/>
      <c r="Q2105" s="9">
        <v>44697</v>
      </c>
      <c r="R2105"/>
      <c r="S2105"/>
      <c r="T2105"/>
      <c r="U2105"/>
    </row>
    <row r="2106" spans="1:21" hidden="1">
      <c r="A2106" s="7" t="s">
        <v>8781</v>
      </c>
      <c r="B2106" s="7" t="s">
        <v>8313</v>
      </c>
      <c r="C2106" s="8" t="s">
        <v>5318</v>
      </c>
      <c r="D2106" t="s">
        <v>266</v>
      </c>
      <c r="E2106" t="s">
        <v>880</v>
      </c>
      <c r="F2106" t="s">
        <v>231</v>
      </c>
      <c r="G2106" t="s">
        <v>894</v>
      </c>
      <c r="H2106" s="9">
        <v>44693</v>
      </c>
      <c r="I2106" t="s">
        <v>882</v>
      </c>
      <c r="J2106" t="s">
        <v>2</v>
      </c>
      <c r="K2106" s="9">
        <v>44711</v>
      </c>
      <c r="L2106" t="s">
        <v>29</v>
      </c>
      <c r="M2106" t="s">
        <v>1928</v>
      </c>
      <c r="N2106" s="9">
        <v>44706</v>
      </c>
      <c r="O2106"/>
      <c r="P2106"/>
      <c r="Q2106"/>
      <c r="R2106"/>
      <c r="S2106"/>
      <c r="T2106"/>
      <c r="U2106"/>
    </row>
    <row r="2107" spans="1:21" hidden="1">
      <c r="A2107" s="7" t="s">
        <v>8781</v>
      </c>
      <c r="B2107" s="7" t="s">
        <v>8313</v>
      </c>
      <c r="C2107" s="8" t="s">
        <v>5318</v>
      </c>
      <c r="D2107" t="s">
        <v>266</v>
      </c>
      <c r="E2107" t="s">
        <v>880</v>
      </c>
      <c r="F2107" t="s">
        <v>231</v>
      </c>
      <c r="G2107" t="s">
        <v>895</v>
      </c>
      <c r="H2107" s="9">
        <v>44693</v>
      </c>
      <c r="I2107" t="s">
        <v>882</v>
      </c>
      <c r="J2107" t="s">
        <v>2</v>
      </c>
      <c r="K2107" s="9">
        <v>44711</v>
      </c>
      <c r="L2107" t="s">
        <v>29</v>
      </c>
      <c r="M2107" t="s">
        <v>1928</v>
      </c>
      <c r="N2107" s="9">
        <v>44706</v>
      </c>
      <c r="O2107"/>
      <c r="P2107"/>
      <c r="Q2107"/>
      <c r="R2107"/>
      <c r="S2107"/>
      <c r="T2107"/>
      <c r="U2107"/>
    </row>
    <row r="2108" spans="1:21" hidden="1">
      <c r="A2108" s="7" t="s">
        <v>8781</v>
      </c>
      <c r="B2108" s="7" t="s">
        <v>8313</v>
      </c>
      <c r="C2108" s="8" t="s">
        <v>5318</v>
      </c>
      <c r="D2108" t="s">
        <v>266</v>
      </c>
      <c r="E2108" t="s">
        <v>880</v>
      </c>
      <c r="F2108" t="s">
        <v>231</v>
      </c>
      <c r="G2108" t="s">
        <v>896</v>
      </c>
      <c r="H2108" s="9">
        <v>44693</v>
      </c>
      <c r="I2108" t="s">
        <v>882</v>
      </c>
      <c r="J2108" t="s">
        <v>2</v>
      </c>
      <c r="K2108" s="9">
        <v>44711</v>
      </c>
      <c r="L2108" t="s">
        <v>29</v>
      </c>
      <c r="M2108" t="s">
        <v>1928</v>
      </c>
      <c r="N2108" s="9">
        <v>44706</v>
      </c>
      <c r="O2108"/>
      <c r="P2108"/>
      <c r="Q2108"/>
      <c r="R2108"/>
      <c r="S2108"/>
      <c r="T2108"/>
      <c r="U2108"/>
    </row>
    <row r="2109" spans="1:21" hidden="1">
      <c r="A2109" s="7" t="s">
        <v>8781</v>
      </c>
      <c r="B2109" s="7" t="s">
        <v>8313</v>
      </c>
      <c r="C2109" s="8" t="s">
        <v>5318</v>
      </c>
      <c r="D2109" t="s">
        <v>266</v>
      </c>
      <c r="E2109" t="s">
        <v>880</v>
      </c>
      <c r="F2109" t="s">
        <v>231</v>
      </c>
      <c r="G2109" t="s">
        <v>897</v>
      </c>
      <c r="H2109" s="9">
        <v>44693</v>
      </c>
      <c r="I2109" t="s">
        <v>882</v>
      </c>
      <c r="J2109" t="s">
        <v>2</v>
      </c>
      <c r="K2109" s="9">
        <v>44711</v>
      </c>
      <c r="L2109" t="s">
        <v>29</v>
      </c>
      <c r="M2109" t="s">
        <v>1928</v>
      </c>
      <c r="N2109" s="9">
        <v>44706</v>
      </c>
      <c r="O2109"/>
      <c r="P2109"/>
      <c r="Q2109"/>
      <c r="R2109"/>
      <c r="S2109"/>
      <c r="T2109"/>
      <c r="U2109"/>
    </row>
    <row r="2110" spans="1:21" hidden="1">
      <c r="A2110" s="7" t="s">
        <v>8786</v>
      </c>
      <c r="B2110" s="7" t="s">
        <v>6935</v>
      </c>
      <c r="C2110" s="8" t="s">
        <v>5318</v>
      </c>
      <c r="D2110" t="s">
        <v>266</v>
      </c>
      <c r="E2110" t="s">
        <v>898</v>
      </c>
      <c r="F2110" t="s">
        <v>79</v>
      </c>
      <c r="G2110" t="s">
        <v>899</v>
      </c>
      <c r="H2110" s="9">
        <v>44693</v>
      </c>
      <c r="I2110" t="s">
        <v>85</v>
      </c>
      <c r="J2110" t="s">
        <v>2</v>
      </c>
      <c r="K2110" s="9">
        <v>44697</v>
      </c>
      <c r="L2110" t="s">
        <v>29</v>
      </c>
      <c r="M2110" t="s">
        <v>1929</v>
      </c>
      <c r="N2110"/>
      <c r="O2110"/>
      <c r="P2110"/>
      <c r="Q2110"/>
      <c r="R2110"/>
      <c r="S2110"/>
      <c r="T2110"/>
      <c r="U2110"/>
    </row>
    <row r="2111" spans="1:21" hidden="1">
      <c r="A2111" s="7" t="s">
        <v>8786</v>
      </c>
      <c r="B2111" s="7" t="s">
        <v>6935</v>
      </c>
      <c r="C2111" s="8" t="s">
        <v>5318</v>
      </c>
      <c r="D2111" t="s">
        <v>266</v>
      </c>
      <c r="E2111" t="s">
        <v>898</v>
      </c>
      <c r="F2111" t="s">
        <v>79</v>
      </c>
      <c r="G2111" t="s">
        <v>900</v>
      </c>
      <c r="H2111" s="9">
        <v>44693</v>
      </c>
      <c r="I2111" t="s">
        <v>85</v>
      </c>
      <c r="J2111" t="s">
        <v>2</v>
      </c>
      <c r="K2111" s="9">
        <v>44697</v>
      </c>
      <c r="L2111" t="s">
        <v>29</v>
      </c>
      <c r="M2111" t="s">
        <v>1929</v>
      </c>
      <c r="N2111"/>
      <c r="O2111"/>
      <c r="P2111"/>
      <c r="Q2111"/>
      <c r="R2111"/>
      <c r="S2111"/>
      <c r="T2111"/>
      <c r="U2111"/>
    </row>
    <row r="2112" spans="1:21" hidden="1">
      <c r="A2112" s="7" t="s">
        <v>8787</v>
      </c>
      <c r="B2112" s="7" t="s">
        <v>6679</v>
      </c>
      <c r="C2112" s="8" t="s">
        <v>5318</v>
      </c>
      <c r="D2112" t="s">
        <v>266</v>
      </c>
      <c r="E2112" t="s">
        <v>901</v>
      </c>
      <c r="F2112" t="s">
        <v>433</v>
      </c>
      <c r="G2112" t="s">
        <v>902</v>
      </c>
      <c r="H2112" s="9">
        <v>44693</v>
      </c>
      <c r="I2112" t="s">
        <v>903</v>
      </c>
      <c r="J2112" t="s">
        <v>2</v>
      </c>
      <c r="K2112" s="9">
        <v>44697</v>
      </c>
      <c r="L2112" t="s">
        <v>29</v>
      </c>
      <c r="M2112" t="s">
        <v>1929</v>
      </c>
      <c r="N2112"/>
      <c r="O2112"/>
      <c r="P2112"/>
      <c r="Q2112"/>
      <c r="R2112"/>
      <c r="S2112"/>
      <c r="T2112"/>
      <c r="U2112"/>
    </row>
    <row r="2113" spans="1:21" hidden="1">
      <c r="A2113" s="7" t="s">
        <v>8786</v>
      </c>
      <c r="B2113" s="7" t="s">
        <v>6935</v>
      </c>
      <c r="C2113" s="8" t="s">
        <v>5318</v>
      </c>
      <c r="D2113" t="s">
        <v>266</v>
      </c>
      <c r="E2113" t="s">
        <v>898</v>
      </c>
      <c r="F2113" t="s">
        <v>79</v>
      </c>
      <c r="G2113" t="s">
        <v>904</v>
      </c>
      <c r="H2113" s="9">
        <v>44693</v>
      </c>
      <c r="I2113" t="s">
        <v>85</v>
      </c>
      <c r="J2113" t="s">
        <v>2</v>
      </c>
      <c r="K2113" s="9">
        <v>44697</v>
      </c>
      <c r="L2113" t="s">
        <v>29</v>
      </c>
      <c r="M2113" t="s">
        <v>1929</v>
      </c>
      <c r="N2113"/>
      <c r="O2113"/>
      <c r="P2113"/>
      <c r="Q2113"/>
      <c r="R2113"/>
      <c r="S2113"/>
      <c r="T2113"/>
      <c r="U2113"/>
    </row>
    <row r="2114" spans="1:21" hidden="1">
      <c r="A2114" s="7" t="s">
        <v>8788</v>
      </c>
      <c r="B2114" s="7" t="s">
        <v>7708</v>
      </c>
      <c r="C2114" s="8" t="s">
        <v>5318</v>
      </c>
      <c r="D2114" t="s">
        <v>266</v>
      </c>
      <c r="E2114" t="s">
        <v>905</v>
      </c>
      <c r="F2114" t="s">
        <v>75</v>
      </c>
      <c r="G2114" t="s">
        <v>906</v>
      </c>
      <c r="H2114" s="9">
        <v>44693</v>
      </c>
      <c r="I2114" t="s">
        <v>408</v>
      </c>
      <c r="J2114" t="s">
        <v>2</v>
      </c>
      <c r="K2114" s="9">
        <v>44697</v>
      </c>
      <c r="L2114" t="s">
        <v>29</v>
      </c>
      <c r="M2114" t="s">
        <v>1929</v>
      </c>
      <c r="N2114"/>
      <c r="O2114"/>
      <c r="P2114"/>
      <c r="Q2114"/>
      <c r="R2114"/>
      <c r="S2114"/>
      <c r="T2114"/>
      <c r="U2114"/>
    </row>
    <row r="2115" spans="1:21" hidden="1">
      <c r="A2115" s="7" t="s">
        <v>8784</v>
      </c>
      <c r="B2115" s="7" t="s">
        <v>7317</v>
      </c>
      <c r="C2115" s="8" t="s">
        <v>5318</v>
      </c>
      <c r="D2115" t="s">
        <v>266</v>
      </c>
      <c r="E2115" t="s">
        <v>890</v>
      </c>
      <c r="F2115" t="s">
        <v>209</v>
      </c>
      <c r="G2115" t="s">
        <v>907</v>
      </c>
      <c r="H2115" s="9">
        <v>44693</v>
      </c>
      <c r="I2115" t="s">
        <v>408</v>
      </c>
      <c r="J2115" t="s">
        <v>2</v>
      </c>
      <c r="K2115" s="9">
        <v>44697</v>
      </c>
      <c r="L2115" t="s">
        <v>29</v>
      </c>
      <c r="M2115" t="s">
        <v>1929</v>
      </c>
      <c r="N2115"/>
      <c r="O2115"/>
      <c r="P2115"/>
      <c r="Q2115"/>
      <c r="R2115"/>
      <c r="S2115"/>
      <c r="T2115"/>
      <c r="U2115"/>
    </row>
    <row r="2116" spans="1:21" hidden="1">
      <c r="A2116" s="7" t="s">
        <v>8789</v>
      </c>
      <c r="B2116" s="7" t="s">
        <v>6643</v>
      </c>
      <c r="C2116" s="8" t="s">
        <v>5318</v>
      </c>
      <c r="D2116" t="s">
        <v>266</v>
      </c>
      <c r="E2116" t="s">
        <v>908</v>
      </c>
      <c r="F2116" t="s">
        <v>83</v>
      </c>
      <c r="G2116" t="s">
        <v>909</v>
      </c>
      <c r="H2116" s="9">
        <v>44693</v>
      </c>
      <c r="I2116" t="s">
        <v>408</v>
      </c>
      <c r="J2116" t="s">
        <v>2</v>
      </c>
      <c r="K2116" s="9">
        <v>44697</v>
      </c>
      <c r="L2116" t="s">
        <v>29</v>
      </c>
      <c r="M2116" t="s">
        <v>1929</v>
      </c>
      <c r="N2116"/>
      <c r="O2116"/>
      <c r="P2116"/>
      <c r="Q2116"/>
      <c r="R2116"/>
      <c r="S2116"/>
      <c r="T2116"/>
      <c r="U2116"/>
    </row>
    <row r="2117" spans="1:21" hidden="1">
      <c r="A2117" s="7" t="s">
        <v>8789</v>
      </c>
      <c r="B2117" s="7" t="s">
        <v>6643</v>
      </c>
      <c r="C2117" s="8" t="s">
        <v>5318</v>
      </c>
      <c r="D2117" t="s">
        <v>266</v>
      </c>
      <c r="E2117" t="s">
        <v>908</v>
      </c>
      <c r="F2117" t="s">
        <v>83</v>
      </c>
      <c r="G2117" t="s">
        <v>910</v>
      </c>
      <c r="H2117" s="9">
        <v>44693</v>
      </c>
      <c r="I2117" t="s">
        <v>408</v>
      </c>
      <c r="J2117" t="s">
        <v>2</v>
      </c>
      <c r="K2117" s="9">
        <v>44697</v>
      </c>
      <c r="L2117" t="s">
        <v>29</v>
      </c>
      <c r="M2117" t="s">
        <v>1929</v>
      </c>
      <c r="N2117"/>
      <c r="O2117"/>
      <c r="P2117"/>
      <c r="Q2117"/>
      <c r="R2117"/>
      <c r="S2117"/>
      <c r="T2117"/>
      <c r="U2117"/>
    </row>
    <row r="2118" spans="1:21" hidden="1">
      <c r="A2118" s="7" t="s">
        <v>8789</v>
      </c>
      <c r="B2118" s="7" t="s">
        <v>6643</v>
      </c>
      <c r="C2118" s="8" t="s">
        <v>5318</v>
      </c>
      <c r="D2118" t="s">
        <v>266</v>
      </c>
      <c r="E2118" t="s">
        <v>908</v>
      </c>
      <c r="F2118" t="s">
        <v>83</v>
      </c>
      <c r="G2118" t="s">
        <v>911</v>
      </c>
      <c r="H2118" s="9">
        <v>44693</v>
      </c>
      <c r="I2118" t="s">
        <v>408</v>
      </c>
      <c r="J2118" t="s">
        <v>2</v>
      </c>
      <c r="K2118" s="9">
        <v>44697</v>
      </c>
      <c r="L2118" t="s">
        <v>29</v>
      </c>
      <c r="M2118" t="s">
        <v>1929</v>
      </c>
      <c r="N2118"/>
      <c r="O2118"/>
      <c r="P2118"/>
      <c r="Q2118"/>
      <c r="R2118"/>
      <c r="S2118"/>
      <c r="T2118"/>
      <c r="U2118"/>
    </row>
    <row r="2119" spans="1:21" hidden="1">
      <c r="A2119" s="7" t="s">
        <v>8784</v>
      </c>
      <c r="B2119" s="7" t="s">
        <v>7317</v>
      </c>
      <c r="C2119" s="8" t="s">
        <v>5318</v>
      </c>
      <c r="D2119" t="s">
        <v>266</v>
      </c>
      <c r="E2119" t="s">
        <v>890</v>
      </c>
      <c r="F2119" t="s">
        <v>209</v>
      </c>
      <c r="G2119" t="s">
        <v>912</v>
      </c>
      <c r="H2119" s="9">
        <v>44693</v>
      </c>
      <c r="I2119" t="s">
        <v>408</v>
      </c>
      <c r="J2119" t="s">
        <v>2</v>
      </c>
      <c r="K2119" s="9">
        <v>44697</v>
      </c>
      <c r="L2119" t="s">
        <v>29</v>
      </c>
      <c r="M2119" t="s">
        <v>1929</v>
      </c>
      <c r="N2119"/>
      <c r="O2119"/>
      <c r="P2119"/>
      <c r="Q2119"/>
      <c r="R2119"/>
      <c r="S2119"/>
      <c r="T2119"/>
      <c r="U2119"/>
    </row>
    <row r="2120" spans="1:21" hidden="1">
      <c r="A2120" s="7" t="s">
        <v>8781</v>
      </c>
      <c r="B2120" s="7" t="s">
        <v>8313</v>
      </c>
      <c r="C2120" s="8" t="s">
        <v>5318</v>
      </c>
      <c r="D2120" t="s">
        <v>266</v>
      </c>
      <c r="E2120" t="s">
        <v>880</v>
      </c>
      <c r="F2120" t="s">
        <v>231</v>
      </c>
      <c r="G2120" t="s">
        <v>913</v>
      </c>
      <c r="H2120" s="9">
        <v>44693</v>
      </c>
      <c r="I2120" t="s">
        <v>882</v>
      </c>
      <c r="J2120" t="s">
        <v>2</v>
      </c>
      <c r="K2120" s="9">
        <v>44711</v>
      </c>
      <c r="L2120" t="s">
        <v>29</v>
      </c>
      <c r="M2120" t="s">
        <v>1928</v>
      </c>
      <c r="N2120" s="9">
        <v>44706</v>
      </c>
      <c r="O2120"/>
      <c r="P2120"/>
      <c r="Q2120"/>
      <c r="R2120"/>
      <c r="S2120"/>
      <c r="T2120"/>
      <c r="U2120"/>
    </row>
    <row r="2121" spans="1:21" hidden="1">
      <c r="A2121" s="7" t="s">
        <v>8781</v>
      </c>
      <c r="B2121" s="7" t="s">
        <v>8313</v>
      </c>
      <c r="C2121" s="8" t="s">
        <v>5318</v>
      </c>
      <c r="D2121" t="s">
        <v>266</v>
      </c>
      <c r="E2121" t="s">
        <v>880</v>
      </c>
      <c r="F2121" t="s">
        <v>231</v>
      </c>
      <c r="G2121" t="s">
        <v>914</v>
      </c>
      <c r="H2121" s="9">
        <v>44693</v>
      </c>
      <c r="I2121" t="s">
        <v>882</v>
      </c>
      <c r="J2121" t="s">
        <v>2</v>
      </c>
      <c r="K2121" s="9">
        <v>44711</v>
      </c>
      <c r="L2121" t="s">
        <v>29</v>
      </c>
      <c r="M2121" t="s">
        <v>1928</v>
      </c>
      <c r="N2121" s="9">
        <v>44706</v>
      </c>
      <c r="O2121"/>
      <c r="P2121"/>
      <c r="Q2121"/>
      <c r="R2121"/>
      <c r="S2121"/>
      <c r="T2121"/>
      <c r="U2121"/>
    </row>
    <row r="2122" spans="1:21" hidden="1">
      <c r="A2122" s="7" t="s">
        <v>8790</v>
      </c>
      <c r="B2122" s="7" t="s">
        <v>8296</v>
      </c>
      <c r="C2122" s="8" t="s">
        <v>5318</v>
      </c>
      <c r="D2122" t="s">
        <v>266</v>
      </c>
      <c r="E2122" t="s">
        <v>915</v>
      </c>
      <c r="F2122" t="s">
        <v>117</v>
      </c>
      <c r="G2122" t="s">
        <v>916</v>
      </c>
      <c r="H2122" s="9">
        <v>44693</v>
      </c>
      <c r="I2122" t="s">
        <v>882</v>
      </c>
      <c r="J2122" t="s">
        <v>2</v>
      </c>
      <c r="K2122" s="9">
        <v>44697</v>
      </c>
      <c r="L2122" t="s">
        <v>29</v>
      </c>
      <c r="M2122" t="s">
        <v>1929</v>
      </c>
      <c r="N2122"/>
      <c r="O2122"/>
      <c r="P2122"/>
      <c r="Q2122"/>
      <c r="R2122"/>
      <c r="S2122"/>
      <c r="T2122"/>
      <c r="U2122"/>
    </row>
    <row r="2123" spans="1:21" hidden="1">
      <c r="A2123" s="7" t="s">
        <v>8790</v>
      </c>
      <c r="B2123" s="7" t="s">
        <v>8296</v>
      </c>
      <c r="C2123" s="8" t="s">
        <v>5318</v>
      </c>
      <c r="D2123" t="s">
        <v>266</v>
      </c>
      <c r="E2123" t="s">
        <v>915</v>
      </c>
      <c r="F2123" t="s">
        <v>117</v>
      </c>
      <c r="G2123" t="s">
        <v>917</v>
      </c>
      <c r="H2123" s="9">
        <v>44693</v>
      </c>
      <c r="I2123" t="s">
        <v>882</v>
      </c>
      <c r="J2123" t="s">
        <v>2</v>
      </c>
      <c r="K2123" s="9">
        <v>44697</v>
      </c>
      <c r="L2123" t="s">
        <v>29</v>
      </c>
      <c r="M2123" t="s">
        <v>1929</v>
      </c>
      <c r="N2123"/>
      <c r="O2123"/>
      <c r="P2123"/>
      <c r="Q2123"/>
      <c r="R2123"/>
      <c r="S2123"/>
      <c r="T2123"/>
      <c r="U2123"/>
    </row>
    <row r="2124" spans="1:21" hidden="1">
      <c r="A2124" s="7" t="s">
        <v>8790</v>
      </c>
      <c r="B2124" s="7" t="s">
        <v>8296</v>
      </c>
      <c r="C2124" s="8" t="s">
        <v>5318</v>
      </c>
      <c r="D2124" t="s">
        <v>266</v>
      </c>
      <c r="E2124" t="s">
        <v>915</v>
      </c>
      <c r="F2124" t="s">
        <v>117</v>
      </c>
      <c r="G2124" t="s">
        <v>918</v>
      </c>
      <c r="H2124" s="9">
        <v>44693</v>
      </c>
      <c r="I2124" t="s">
        <v>882</v>
      </c>
      <c r="J2124" t="s">
        <v>2</v>
      </c>
      <c r="K2124" s="9">
        <v>44697</v>
      </c>
      <c r="L2124" t="s">
        <v>29</v>
      </c>
      <c r="M2124" t="s">
        <v>1929</v>
      </c>
      <c r="N2124"/>
      <c r="O2124"/>
      <c r="P2124"/>
      <c r="Q2124"/>
      <c r="R2124"/>
      <c r="S2124"/>
      <c r="T2124"/>
      <c r="U2124"/>
    </row>
    <row r="2125" spans="1:21" hidden="1">
      <c r="A2125" s="7" t="s">
        <v>8790</v>
      </c>
      <c r="B2125" s="7" t="s">
        <v>8296</v>
      </c>
      <c r="C2125" s="8" t="s">
        <v>5318</v>
      </c>
      <c r="D2125" t="s">
        <v>266</v>
      </c>
      <c r="E2125" t="s">
        <v>915</v>
      </c>
      <c r="F2125" t="s">
        <v>117</v>
      </c>
      <c r="G2125" t="s">
        <v>919</v>
      </c>
      <c r="H2125" s="9">
        <v>44693</v>
      </c>
      <c r="I2125" t="s">
        <v>882</v>
      </c>
      <c r="J2125" t="s">
        <v>2</v>
      </c>
      <c r="K2125" s="9">
        <v>44697</v>
      </c>
      <c r="L2125" t="s">
        <v>29</v>
      </c>
      <c r="M2125" t="s">
        <v>1929</v>
      </c>
      <c r="N2125"/>
      <c r="O2125"/>
      <c r="P2125"/>
      <c r="Q2125"/>
      <c r="R2125"/>
      <c r="S2125"/>
      <c r="T2125"/>
      <c r="U2125"/>
    </row>
    <row r="2126" spans="1:21" hidden="1">
      <c r="A2126" s="7" t="s">
        <v>8790</v>
      </c>
      <c r="B2126" s="7" t="s">
        <v>8296</v>
      </c>
      <c r="C2126" s="8" t="s">
        <v>5318</v>
      </c>
      <c r="D2126" t="s">
        <v>266</v>
      </c>
      <c r="E2126" t="s">
        <v>915</v>
      </c>
      <c r="F2126" t="s">
        <v>117</v>
      </c>
      <c r="G2126" t="s">
        <v>920</v>
      </c>
      <c r="H2126" s="9">
        <v>44693</v>
      </c>
      <c r="I2126" t="s">
        <v>882</v>
      </c>
      <c r="J2126" t="s">
        <v>2</v>
      </c>
      <c r="K2126" s="9">
        <v>44697</v>
      </c>
      <c r="L2126" t="s">
        <v>29</v>
      </c>
      <c r="M2126" t="s">
        <v>1929</v>
      </c>
      <c r="N2126"/>
      <c r="O2126"/>
      <c r="P2126"/>
      <c r="Q2126"/>
      <c r="R2126"/>
      <c r="S2126"/>
      <c r="T2126"/>
      <c r="U2126"/>
    </row>
    <row r="2127" spans="1:21" hidden="1">
      <c r="A2127" s="7" t="s">
        <v>8790</v>
      </c>
      <c r="B2127" s="7" t="s">
        <v>8296</v>
      </c>
      <c r="C2127" s="8" t="s">
        <v>5318</v>
      </c>
      <c r="D2127" t="s">
        <v>266</v>
      </c>
      <c r="E2127" t="s">
        <v>915</v>
      </c>
      <c r="F2127" t="s">
        <v>117</v>
      </c>
      <c r="G2127" t="s">
        <v>921</v>
      </c>
      <c r="H2127" s="9">
        <v>44693</v>
      </c>
      <c r="I2127" t="s">
        <v>882</v>
      </c>
      <c r="J2127" t="s">
        <v>2</v>
      </c>
      <c r="K2127" s="9">
        <v>44697</v>
      </c>
      <c r="L2127" t="s">
        <v>29</v>
      </c>
      <c r="M2127" t="s">
        <v>1929</v>
      </c>
      <c r="N2127"/>
      <c r="O2127"/>
      <c r="P2127"/>
      <c r="Q2127"/>
      <c r="R2127"/>
      <c r="S2127"/>
      <c r="T2127"/>
      <c r="U2127"/>
    </row>
    <row r="2128" spans="1:21" hidden="1">
      <c r="A2128" s="7" t="s">
        <v>8790</v>
      </c>
      <c r="B2128" s="7" t="s">
        <v>8296</v>
      </c>
      <c r="C2128" s="8" t="s">
        <v>5318</v>
      </c>
      <c r="D2128" t="s">
        <v>266</v>
      </c>
      <c r="E2128" t="s">
        <v>915</v>
      </c>
      <c r="F2128" t="s">
        <v>117</v>
      </c>
      <c r="G2128" t="s">
        <v>922</v>
      </c>
      <c r="H2128" s="9">
        <v>44693</v>
      </c>
      <c r="I2128" t="s">
        <v>882</v>
      </c>
      <c r="J2128" t="s">
        <v>2</v>
      </c>
      <c r="K2128" s="9">
        <v>44697</v>
      </c>
      <c r="L2128" t="s">
        <v>29</v>
      </c>
      <c r="M2128" t="s">
        <v>1929</v>
      </c>
      <c r="N2128"/>
      <c r="O2128"/>
      <c r="P2128"/>
      <c r="Q2128"/>
      <c r="R2128"/>
      <c r="S2128"/>
      <c r="T2128"/>
      <c r="U2128"/>
    </row>
    <row r="2129" spans="1:21" hidden="1">
      <c r="A2129" s="7" t="s">
        <v>8790</v>
      </c>
      <c r="B2129" s="7" t="s">
        <v>8296</v>
      </c>
      <c r="C2129" s="8" t="s">
        <v>5318</v>
      </c>
      <c r="D2129" t="s">
        <v>266</v>
      </c>
      <c r="E2129" t="s">
        <v>915</v>
      </c>
      <c r="F2129" t="s">
        <v>117</v>
      </c>
      <c r="G2129" t="s">
        <v>923</v>
      </c>
      <c r="H2129" s="9">
        <v>44693</v>
      </c>
      <c r="I2129" t="s">
        <v>882</v>
      </c>
      <c r="J2129" t="s">
        <v>2</v>
      </c>
      <c r="K2129" s="9">
        <v>44697</v>
      </c>
      <c r="L2129" t="s">
        <v>29</v>
      </c>
      <c r="M2129" t="s">
        <v>1929</v>
      </c>
      <c r="N2129"/>
      <c r="O2129"/>
      <c r="P2129"/>
      <c r="Q2129"/>
      <c r="R2129"/>
      <c r="S2129"/>
      <c r="T2129"/>
      <c r="U2129"/>
    </row>
    <row r="2130" spans="1:21" hidden="1">
      <c r="A2130" s="7" t="s">
        <v>8790</v>
      </c>
      <c r="B2130" s="7" t="s">
        <v>8296</v>
      </c>
      <c r="C2130" s="8" t="s">
        <v>5318</v>
      </c>
      <c r="D2130" t="s">
        <v>266</v>
      </c>
      <c r="E2130" t="s">
        <v>915</v>
      </c>
      <c r="F2130" t="s">
        <v>117</v>
      </c>
      <c r="G2130" t="s">
        <v>924</v>
      </c>
      <c r="H2130" s="9">
        <v>44693</v>
      </c>
      <c r="I2130" t="s">
        <v>882</v>
      </c>
      <c r="J2130" t="s">
        <v>2</v>
      </c>
      <c r="K2130" s="9">
        <v>44697</v>
      </c>
      <c r="L2130" t="s">
        <v>29</v>
      </c>
      <c r="M2130" t="s">
        <v>1929</v>
      </c>
      <c r="N2130"/>
      <c r="O2130"/>
      <c r="P2130"/>
      <c r="Q2130"/>
      <c r="R2130"/>
      <c r="S2130"/>
      <c r="T2130"/>
      <c r="U2130"/>
    </row>
    <row r="2131" spans="1:21" hidden="1">
      <c r="A2131" s="7" t="s">
        <v>8790</v>
      </c>
      <c r="B2131" s="7" t="s">
        <v>8296</v>
      </c>
      <c r="C2131" s="8" t="s">
        <v>5318</v>
      </c>
      <c r="D2131" t="s">
        <v>266</v>
      </c>
      <c r="E2131" t="s">
        <v>915</v>
      </c>
      <c r="F2131" t="s">
        <v>117</v>
      </c>
      <c r="G2131" t="s">
        <v>925</v>
      </c>
      <c r="H2131" s="9">
        <v>44693</v>
      </c>
      <c r="I2131" t="s">
        <v>882</v>
      </c>
      <c r="J2131" t="s">
        <v>2</v>
      </c>
      <c r="K2131" s="9">
        <v>44697</v>
      </c>
      <c r="L2131" t="s">
        <v>29</v>
      </c>
      <c r="M2131" t="s">
        <v>1929</v>
      </c>
      <c r="N2131"/>
      <c r="O2131"/>
      <c r="P2131"/>
      <c r="Q2131"/>
      <c r="R2131"/>
      <c r="S2131"/>
      <c r="T2131"/>
      <c r="U2131"/>
    </row>
    <row r="2132" spans="1:21" hidden="1">
      <c r="A2132" s="7" t="s">
        <v>8790</v>
      </c>
      <c r="B2132" s="7" t="s">
        <v>8296</v>
      </c>
      <c r="C2132" s="8" t="s">
        <v>5318</v>
      </c>
      <c r="D2132" t="s">
        <v>266</v>
      </c>
      <c r="E2132" t="s">
        <v>915</v>
      </c>
      <c r="F2132" t="s">
        <v>117</v>
      </c>
      <c r="G2132" t="s">
        <v>926</v>
      </c>
      <c r="H2132" s="9">
        <v>44693</v>
      </c>
      <c r="I2132" t="s">
        <v>882</v>
      </c>
      <c r="J2132" t="s">
        <v>2</v>
      </c>
      <c r="K2132" s="9">
        <v>44697</v>
      </c>
      <c r="L2132" t="s">
        <v>29</v>
      </c>
      <c r="M2132" t="s">
        <v>1929</v>
      </c>
      <c r="N2132"/>
      <c r="O2132"/>
      <c r="P2132"/>
      <c r="Q2132"/>
      <c r="R2132"/>
      <c r="S2132"/>
      <c r="T2132"/>
      <c r="U2132"/>
    </row>
    <row r="2133" spans="1:21" hidden="1">
      <c r="A2133" s="7" t="s">
        <v>8790</v>
      </c>
      <c r="B2133" s="7" t="s">
        <v>8296</v>
      </c>
      <c r="C2133" s="8" t="s">
        <v>5318</v>
      </c>
      <c r="D2133" t="s">
        <v>266</v>
      </c>
      <c r="E2133" t="s">
        <v>915</v>
      </c>
      <c r="F2133" t="s">
        <v>117</v>
      </c>
      <c r="G2133" t="s">
        <v>927</v>
      </c>
      <c r="H2133" s="9">
        <v>44693</v>
      </c>
      <c r="I2133" t="s">
        <v>882</v>
      </c>
      <c r="J2133" t="s">
        <v>2</v>
      </c>
      <c r="K2133" s="9">
        <v>44697</v>
      </c>
      <c r="L2133" t="s">
        <v>29</v>
      </c>
      <c r="M2133" t="s">
        <v>1929</v>
      </c>
      <c r="N2133"/>
      <c r="O2133"/>
      <c r="P2133"/>
      <c r="Q2133"/>
      <c r="R2133"/>
      <c r="S2133"/>
      <c r="T2133"/>
      <c r="U2133"/>
    </row>
    <row r="2134" spans="1:21" hidden="1">
      <c r="A2134" s="7" t="s">
        <v>8790</v>
      </c>
      <c r="B2134" s="7" t="s">
        <v>8296</v>
      </c>
      <c r="C2134" s="8" t="s">
        <v>5318</v>
      </c>
      <c r="D2134" t="s">
        <v>266</v>
      </c>
      <c r="E2134" t="s">
        <v>915</v>
      </c>
      <c r="F2134" t="s">
        <v>117</v>
      </c>
      <c r="G2134" t="s">
        <v>928</v>
      </c>
      <c r="H2134" s="9">
        <v>44693</v>
      </c>
      <c r="I2134" t="s">
        <v>882</v>
      </c>
      <c r="J2134" t="s">
        <v>2</v>
      </c>
      <c r="K2134" s="9">
        <v>44697</v>
      </c>
      <c r="L2134" t="s">
        <v>29</v>
      </c>
      <c r="M2134" t="s">
        <v>1929</v>
      </c>
      <c r="N2134"/>
      <c r="O2134"/>
      <c r="P2134"/>
      <c r="Q2134"/>
      <c r="R2134"/>
      <c r="S2134"/>
      <c r="T2134"/>
      <c r="U2134"/>
    </row>
    <row r="2135" spans="1:21" hidden="1">
      <c r="A2135" s="7" t="s">
        <v>8790</v>
      </c>
      <c r="B2135" s="7" t="s">
        <v>8296</v>
      </c>
      <c r="C2135" s="8" t="s">
        <v>5318</v>
      </c>
      <c r="D2135" t="s">
        <v>266</v>
      </c>
      <c r="E2135" t="s">
        <v>915</v>
      </c>
      <c r="F2135" t="s">
        <v>117</v>
      </c>
      <c r="G2135" t="s">
        <v>929</v>
      </c>
      <c r="H2135" s="9">
        <v>44693</v>
      </c>
      <c r="I2135" t="s">
        <v>882</v>
      </c>
      <c r="J2135" t="s">
        <v>2</v>
      </c>
      <c r="K2135" s="9">
        <v>44697</v>
      </c>
      <c r="L2135" t="s">
        <v>29</v>
      </c>
      <c r="M2135" t="s">
        <v>1929</v>
      </c>
      <c r="N2135"/>
      <c r="O2135"/>
      <c r="P2135"/>
      <c r="Q2135"/>
      <c r="R2135"/>
      <c r="S2135"/>
      <c r="T2135"/>
      <c r="U2135"/>
    </row>
    <row r="2136" spans="1:21" hidden="1">
      <c r="A2136" s="7" t="s">
        <v>8790</v>
      </c>
      <c r="B2136" s="7" t="s">
        <v>8296</v>
      </c>
      <c r="C2136" s="8" t="s">
        <v>5318</v>
      </c>
      <c r="D2136" t="s">
        <v>266</v>
      </c>
      <c r="E2136" t="s">
        <v>915</v>
      </c>
      <c r="F2136" t="s">
        <v>117</v>
      </c>
      <c r="G2136" t="s">
        <v>930</v>
      </c>
      <c r="H2136" s="9">
        <v>44693</v>
      </c>
      <c r="I2136" t="s">
        <v>882</v>
      </c>
      <c r="J2136" t="s">
        <v>2</v>
      </c>
      <c r="K2136" s="9">
        <v>44697</v>
      </c>
      <c r="L2136" t="s">
        <v>29</v>
      </c>
      <c r="M2136" t="s">
        <v>1929</v>
      </c>
      <c r="N2136"/>
      <c r="O2136"/>
      <c r="P2136"/>
      <c r="Q2136"/>
      <c r="R2136"/>
      <c r="S2136"/>
      <c r="T2136"/>
      <c r="U2136"/>
    </row>
    <row r="2137" spans="1:21" hidden="1">
      <c r="A2137" s="7" t="s">
        <v>8790</v>
      </c>
      <c r="B2137" s="7" t="s">
        <v>8296</v>
      </c>
      <c r="C2137" s="8" t="s">
        <v>5318</v>
      </c>
      <c r="D2137" t="s">
        <v>266</v>
      </c>
      <c r="E2137" t="s">
        <v>915</v>
      </c>
      <c r="F2137" t="s">
        <v>117</v>
      </c>
      <c r="G2137" t="s">
        <v>931</v>
      </c>
      <c r="H2137" s="9">
        <v>44693</v>
      </c>
      <c r="I2137" t="s">
        <v>882</v>
      </c>
      <c r="J2137" t="s">
        <v>2</v>
      </c>
      <c r="K2137" s="9">
        <v>44697</v>
      </c>
      <c r="L2137" t="s">
        <v>29</v>
      </c>
      <c r="M2137" t="s">
        <v>1929</v>
      </c>
      <c r="N2137"/>
      <c r="O2137"/>
      <c r="P2137"/>
      <c r="Q2137"/>
      <c r="R2137"/>
      <c r="S2137"/>
      <c r="T2137"/>
      <c r="U2137"/>
    </row>
    <row r="2138" spans="1:21" hidden="1">
      <c r="A2138" s="7" t="s">
        <v>8790</v>
      </c>
      <c r="B2138" s="7" t="s">
        <v>8296</v>
      </c>
      <c r="C2138" s="8" t="s">
        <v>5318</v>
      </c>
      <c r="D2138" t="s">
        <v>266</v>
      </c>
      <c r="E2138" t="s">
        <v>915</v>
      </c>
      <c r="F2138" t="s">
        <v>117</v>
      </c>
      <c r="G2138" t="s">
        <v>932</v>
      </c>
      <c r="H2138" s="9">
        <v>44693</v>
      </c>
      <c r="I2138" t="s">
        <v>882</v>
      </c>
      <c r="J2138" t="s">
        <v>2</v>
      </c>
      <c r="K2138" s="9">
        <v>44697</v>
      </c>
      <c r="L2138" t="s">
        <v>29</v>
      </c>
      <c r="M2138" t="s">
        <v>1929</v>
      </c>
      <c r="N2138"/>
      <c r="O2138"/>
      <c r="P2138"/>
      <c r="Q2138"/>
      <c r="R2138"/>
      <c r="S2138"/>
      <c r="T2138"/>
      <c r="U2138"/>
    </row>
    <row r="2139" spans="1:21" hidden="1">
      <c r="A2139" s="7" t="s">
        <v>8790</v>
      </c>
      <c r="B2139" s="7" t="s">
        <v>8296</v>
      </c>
      <c r="C2139" s="8" t="s">
        <v>5318</v>
      </c>
      <c r="D2139" t="s">
        <v>266</v>
      </c>
      <c r="E2139" t="s">
        <v>915</v>
      </c>
      <c r="F2139" t="s">
        <v>117</v>
      </c>
      <c r="G2139" t="s">
        <v>933</v>
      </c>
      <c r="H2139" s="9">
        <v>44693</v>
      </c>
      <c r="I2139" t="s">
        <v>882</v>
      </c>
      <c r="J2139" t="s">
        <v>2</v>
      </c>
      <c r="K2139" s="9">
        <v>44697</v>
      </c>
      <c r="L2139" t="s">
        <v>29</v>
      </c>
      <c r="M2139" t="s">
        <v>1929</v>
      </c>
      <c r="N2139"/>
      <c r="O2139"/>
      <c r="P2139"/>
      <c r="Q2139"/>
      <c r="R2139"/>
      <c r="S2139"/>
      <c r="T2139"/>
      <c r="U2139"/>
    </row>
    <row r="2140" spans="1:21" hidden="1">
      <c r="A2140" s="7" t="s">
        <v>8790</v>
      </c>
      <c r="B2140" s="7" t="s">
        <v>8296</v>
      </c>
      <c r="C2140" s="8" t="s">
        <v>5318</v>
      </c>
      <c r="D2140" t="s">
        <v>266</v>
      </c>
      <c r="E2140" t="s">
        <v>915</v>
      </c>
      <c r="F2140" t="s">
        <v>117</v>
      </c>
      <c r="G2140" t="s">
        <v>934</v>
      </c>
      <c r="H2140" s="9">
        <v>44693</v>
      </c>
      <c r="I2140" t="s">
        <v>882</v>
      </c>
      <c r="J2140" t="s">
        <v>2</v>
      </c>
      <c r="K2140" s="9">
        <v>44697</v>
      </c>
      <c r="L2140" t="s">
        <v>29</v>
      </c>
      <c r="M2140" t="s">
        <v>1929</v>
      </c>
      <c r="N2140"/>
      <c r="O2140"/>
      <c r="P2140"/>
      <c r="Q2140"/>
      <c r="R2140"/>
      <c r="S2140"/>
      <c r="T2140"/>
      <c r="U2140"/>
    </row>
    <row r="2141" spans="1:21" hidden="1">
      <c r="A2141" s="7" t="s">
        <v>8781</v>
      </c>
      <c r="B2141" s="7" t="s">
        <v>8313</v>
      </c>
      <c r="C2141" s="8" t="s">
        <v>5318</v>
      </c>
      <c r="D2141" t="s">
        <v>266</v>
      </c>
      <c r="E2141" t="s">
        <v>880</v>
      </c>
      <c r="F2141" t="s">
        <v>231</v>
      </c>
      <c r="G2141" t="s">
        <v>935</v>
      </c>
      <c r="H2141" s="9">
        <v>44693</v>
      </c>
      <c r="I2141" t="s">
        <v>882</v>
      </c>
      <c r="J2141" t="s">
        <v>2</v>
      </c>
      <c r="K2141" s="9">
        <v>44711</v>
      </c>
      <c r="L2141" t="s">
        <v>29</v>
      </c>
      <c r="M2141" t="s">
        <v>1928</v>
      </c>
      <c r="N2141" s="9">
        <v>44706</v>
      </c>
      <c r="O2141"/>
      <c r="P2141"/>
      <c r="Q2141"/>
      <c r="R2141"/>
      <c r="S2141"/>
      <c r="T2141"/>
      <c r="U2141"/>
    </row>
    <row r="2142" spans="1:21" hidden="1">
      <c r="A2142" s="7" t="s">
        <v>8781</v>
      </c>
      <c r="B2142" s="7" t="s">
        <v>8313</v>
      </c>
      <c r="C2142" s="8" t="s">
        <v>5318</v>
      </c>
      <c r="D2142" t="s">
        <v>266</v>
      </c>
      <c r="E2142" t="s">
        <v>880</v>
      </c>
      <c r="F2142" t="s">
        <v>231</v>
      </c>
      <c r="G2142" t="s">
        <v>936</v>
      </c>
      <c r="H2142" s="9">
        <v>44693</v>
      </c>
      <c r="I2142" t="s">
        <v>882</v>
      </c>
      <c r="J2142" t="s">
        <v>2</v>
      </c>
      <c r="K2142" s="9">
        <v>44711</v>
      </c>
      <c r="L2142" t="s">
        <v>29</v>
      </c>
      <c r="M2142" t="s">
        <v>1928</v>
      </c>
      <c r="N2142" s="9">
        <v>44706</v>
      </c>
      <c r="O2142"/>
      <c r="P2142"/>
      <c r="Q2142"/>
      <c r="R2142"/>
      <c r="S2142"/>
      <c r="T2142"/>
      <c r="U2142"/>
    </row>
    <row r="2143" spans="1:21" hidden="1">
      <c r="A2143" s="7" t="s">
        <v>8781</v>
      </c>
      <c r="B2143" s="7" t="s">
        <v>8313</v>
      </c>
      <c r="C2143" s="8" t="s">
        <v>5318</v>
      </c>
      <c r="D2143" t="s">
        <v>266</v>
      </c>
      <c r="E2143" t="s">
        <v>880</v>
      </c>
      <c r="F2143" t="s">
        <v>231</v>
      </c>
      <c r="G2143" t="s">
        <v>937</v>
      </c>
      <c r="H2143" s="9">
        <v>44693</v>
      </c>
      <c r="I2143" t="s">
        <v>882</v>
      </c>
      <c r="J2143" t="s">
        <v>2</v>
      </c>
      <c r="K2143" s="9">
        <v>44711</v>
      </c>
      <c r="L2143" t="s">
        <v>29</v>
      </c>
      <c r="M2143" t="s">
        <v>1928</v>
      </c>
      <c r="N2143" s="9">
        <v>44706</v>
      </c>
      <c r="O2143"/>
      <c r="P2143"/>
      <c r="Q2143"/>
      <c r="R2143"/>
      <c r="S2143"/>
      <c r="T2143"/>
      <c r="U2143"/>
    </row>
    <row r="2144" spans="1:21" hidden="1">
      <c r="A2144" s="7" t="s">
        <v>8781</v>
      </c>
      <c r="B2144" s="7" t="s">
        <v>8313</v>
      </c>
      <c r="C2144" s="8" t="s">
        <v>5318</v>
      </c>
      <c r="D2144" t="s">
        <v>266</v>
      </c>
      <c r="E2144" t="s">
        <v>880</v>
      </c>
      <c r="F2144" t="s">
        <v>231</v>
      </c>
      <c r="G2144" t="s">
        <v>938</v>
      </c>
      <c r="H2144" s="9">
        <v>44693</v>
      </c>
      <c r="I2144" t="s">
        <v>882</v>
      </c>
      <c r="J2144" t="s">
        <v>2</v>
      </c>
      <c r="K2144" s="9">
        <v>44711</v>
      </c>
      <c r="L2144" t="s">
        <v>29</v>
      </c>
      <c r="M2144" t="s">
        <v>1928</v>
      </c>
      <c r="N2144" s="9">
        <v>44706</v>
      </c>
      <c r="O2144"/>
      <c r="P2144"/>
      <c r="Q2144"/>
      <c r="R2144"/>
      <c r="S2144"/>
      <c r="T2144"/>
      <c r="U2144"/>
    </row>
    <row r="2145" spans="1:21" hidden="1">
      <c r="A2145" s="7" t="s">
        <v>8781</v>
      </c>
      <c r="B2145" s="7" t="s">
        <v>8313</v>
      </c>
      <c r="C2145" s="8" t="s">
        <v>5318</v>
      </c>
      <c r="D2145" t="s">
        <v>266</v>
      </c>
      <c r="E2145" t="s">
        <v>880</v>
      </c>
      <c r="F2145" t="s">
        <v>231</v>
      </c>
      <c r="G2145" t="s">
        <v>939</v>
      </c>
      <c r="H2145" s="9">
        <v>44693</v>
      </c>
      <c r="I2145" t="s">
        <v>882</v>
      </c>
      <c r="J2145" t="s">
        <v>2</v>
      </c>
      <c r="K2145" s="9">
        <v>44711</v>
      </c>
      <c r="L2145" t="s">
        <v>29</v>
      </c>
      <c r="M2145" t="s">
        <v>1928</v>
      </c>
      <c r="N2145" s="9">
        <v>44706</v>
      </c>
      <c r="O2145"/>
      <c r="P2145"/>
      <c r="Q2145"/>
      <c r="R2145"/>
      <c r="S2145"/>
      <c r="T2145"/>
      <c r="U2145"/>
    </row>
    <row r="2146" spans="1:21" hidden="1">
      <c r="A2146" s="7" t="s">
        <v>8781</v>
      </c>
      <c r="B2146" s="7" t="s">
        <v>8313</v>
      </c>
      <c r="C2146" s="8" t="s">
        <v>5318</v>
      </c>
      <c r="D2146" t="s">
        <v>266</v>
      </c>
      <c r="E2146" t="s">
        <v>880</v>
      </c>
      <c r="F2146" t="s">
        <v>231</v>
      </c>
      <c r="G2146" t="s">
        <v>940</v>
      </c>
      <c r="H2146" s="9">
        <v>44693</v>
      </c>
      <c r="I2146" t="s">
        <v>882</v>
      </c>
      <c r="J2146" t="s">
        <v>2</v>
      </c>
      <c r="K2146" s="9">
        <v>44711</v>
      </c>
      <c r="L2146" t="s">
        <v>29</v>
      </c>
      <c r="M2146" t="s">
        <v>1928</v>
      </c>
      <c r="N2146" s="9">
        <v>44706</v>
      </c>
      <c r="O2146"/>
      <c r="P2146"/>
      <c r="Q2146"/>
      <c r="R2146"/>
      <c r="S2146"/>
      <c r="T2146"/>
      <c r="U2146"/>
    </row>
    <row r="2147" spans="1:21" hidden="1">
      <c r="A2147" s="7" t="s">
        <v>8781</v>
      </c>
      <c r="B2147" s="7" t="s">
        <v>8313</v>
      </c>
      <c r="C2147" s="8" t="s">
        <v>5318</v>
      </c>
      <c r="D2147" t="s">
        <v>266</v>
      </c>
      <c r="E2147" t="s">
        <v>880</v>
      </c>
      <c r="F2147" t="s">
        <v>231</v>
      </c>
      <c r="G2147" t="s">
        <v>941</v>
      </c>
      <c r="H2147" s="9">
        <v>44693</v>
      </c>
      <c r="I2147" t="s">
        <v>882</v>
      </c>
      <c r="J2147" t="s">
        <v>2</v>
      </c>
      <c r="K2147" s="9">
        <v>44711</v>
      </c>
      <c r="L2147" t="s">
        <v>29</v>
      </c>
      <c r="M2147" t="s">
        <v>1928</v>
      </c>
      <c r="N2147" s="9">
        <v>44706</v>
      </c>
      <c r="O2147"/>
      <c r="P2147"/>
      <c r="Q2147"/>
      <c r="R2147"/>
      <c r="S2147"/>
      <c r="T2147"/>
      <c r="U2147"/>
    </row>
    <row r="2148" spans="1:21" hidden="1">
      <c r="A2148" s="7" t="s">
        <v>8781</v>
      </c>
      <c r="B2148" s="7" t="s">
        <v>8313</v>
      </c>
      <c r="C2148" s="8" t="s">
        <v>5318</v>
      </c>
      <c r="D2148" t="s">
        <v>266</v>
      </c>
      <c r="E2148" t="s">
        <v>880</v>
      </c>
      <c r="F2148" t="s">
        <v>231</v>
      </c>
      <c r="G2148" t="s">
        <v>942</v>
      </c>
      <c r="H2148" s="9">
        <v>44693</v>
      </c>
      <c r="I2148" t="s">
        <v>882</v>
      </c>
      <c r="J2148" t="s">
        <v>2</v>
      </c>
      <c r="K2148" s="9">
        <v>44711</v>
      </c>
      <c r="L2148" t="s">
        <v>29</v>
      </c>
      <c r="M2148" t="s">
        <v>1928</v>
      </c>
      <c r="N2148" s="9">
        <v>44706</v>
      </c>
      <c r="O2148"/>
      <c r="P2148"/>
      <c r="Q2148"/>
      <c r="R2148"/>
      <c r="S2148"/>
      <c r="T2148"/>
      <c r="U2148"/>
    </row>
    <row r="2149" spans="1:21" hidden="1">
      <c r="A2149" s="7" t="s">
        <v>8781</v>
      </c>
      <c r="B2149" s="7" t="s">
        <v>8313</v>
      </c>
      <c r="C2149" s="8" t="s">
        <v>5318</v>
      </c>
      <c r="D2149" t="s">
        <v>266</v>
      </c>
      <c r="E2149" t="s">
        <v>880</v>
      </c>
      <c r="F2149" t="s">
        <v>231</v>
      </c>
      <c r="G2149" t="s">
        <v>943</v>
      </c>
      <c r="H2149" s="9">
        <v>44693</v>
      </c>
      <c r="I2149" t="s">
        <v>882</v>
      </c>
      <c r="J2149" t="s">
        <v>2</v>
      </c>
      <c r="K2149" s="9">
        <v>44711</v>
      </c>
      <c r="L2149" t="s">
        <v>29</v>
      </c>
      <c r="M2149" t="s">
        <v>1928</v>
      </c>
      <c r="N2149" s="9">
        <v>44706</v>
      </c>
      <c r="O2149"/>
      <c r="P2149"/>
      <c r="Q2149"/>
      <c r="R2149"/>
      <c r="S2149"/>
      <c r="T2149"/>
      <c r="U2149"/>
    </row>
    <row r="2150" spans="1:21" hidden="1">
      <c r="A2150" s="7" t="s">
        <v>8781</v>
      </c>
      <c r="B2150" s="7" t="s">
        <v>8313</v>
      </c>
      <c r="C2150" s="8" t="s">
        <v>5318</v>
      </c>
      <c r="D2150" t="s">
        <v>266</v>
      </c>
      <c r="E2150" t="s">
        <v>880</v>
      </c>
      <c r="F2150" t="s">
        <v>231</v>
      </c>
      <c r="G2150" t="s">
        <v>944</v>
      </c>
      <c r="H2150" s="9">
        <v>44693</v>
      </c>
      <c r="I2150" t="s">
        <v>882</v>
      </c>
      <c r="J2150" t="s">
        <v>2</v>
      </c>
      <c r="K2150" s="9">
        <v>44711</v>
      </c>
      <c r="L2150" t="s">
        <v>29</v>
      </c>
      <c r="M2150" t="s">
        <v>1928</v>
      </c>
      <c r="N2150" s="9">
        <v>44706</v>
      </c>
      <c r="O2150"/>
      <c r="P2150"/>
      <c r="Q2150"/>
      <c r="R2150"/>
      <c r="S2150"/>
      <c r="T2150"/>
      <c r="U2150"/>
    </row>
    <row r="2151" spans="1:21" hidden="1">
      <c r="A2151" s="7" t="s">
        <v>8781</v>
      </c>
      <c r="B2151" s="7" t="s">
        <v>8313</v>
      </c>
      <c r="C2151" s="8" t="s">
        <v>5318</v>
      </c>
      <c r="D2151" t="s">
        <v>266</v>
      </c>
      <c r="E2151" t="s">
        <v>880</v>
      </c>
      <c r="F2151" t="s">
        <v>231</v>
      </c>
      <c r="G2151" t="s">
        <v>945</v>
      </c>
      <c r="H2151" s="9">
        <v>44693</v>
      </c>
      <c r="I2151" t="s">
        <v>882</v>
      </c>
      <c r="J2151" t="s">
        <v>2</v>
      </c>
      <c r="K2151" s="9">
        <v>44711</v>
      </c>
      <c r="L2151" t="s">
        <v>29</v>
      </c>
      <c r="M2151" t="s">
        <v>1928</v>
      </c>
      <c r="N2151" s="9">
        <v>44706</v>
      </c>
      <c r="O2151"/>
      <c r="P2151"/>
      <c r="Q2151"/>
      <c r="R2151"/>
      <c r="S2151"/>
      <c r="T2151"/>
      <c r="U2151"/>
    </row>
    <row r="2152" spans="1:21" hidden="1">
      <c r="A2152" s="7" t="s">
        <v>8781</v>
      </c>
      <c r="B2152" s="7" t="s">
        <v>8313</v>
      </c>
      <c r="C2152" s="8" t="s">
        <v>5318</v>
      </c>
      <c r="D2152" t="s">
        <v>266</v>
      </c>
      <c r="E2152" t="s">
        <v>880</v>
      </c>
      <c r="F2152" t="s">
        <v>231</v>
      </c>
      <c r="G2152" t="s">
        <v>946</v>
      </c>
      <c r="H2152" s="9">
        <v>44693</v>
      </c>
      <c r="I2152" t="s">
        <v>882</v>
      </c>
      <c r="J2152" t="s">
        <v>2</v>
      </c>
      <c r="K2152" s="9">
        <v>44711</v>
      </c>
      <c r="L2152" t="s">
        <v>29</v>
      </c>
      <c r="M2152" t="s">
        <v>1928</v>
      </c>
      <c r="N2152" s="9">
        <v>44706</v>
      </c>
      <c r="O2152"/>
      <c r="P2152"/>
      <c r="Q2152"/>
      <c r="R2152"/>
      <c r="S2152"/>
      <c r="T2152"/>
      <c r="U2152"/>
    </row>
    <row r="2153" spans="1:21" hidden="1">
      <c r="A2153" s="7" t="s">
        <v>8781</v>
      </c>
      <c r="B2153" s="7" t="s">
        <v>8313</v>
      </c>
      <c r="C2153" s="8" t="s">
        <v>5318</v>
      </c>
      <c r="D2153" t="s">
        <v>266</v>
      </c>
      <c r="E2153" t="s">
        <v>880</v>
      </c>
      <c r="F2153" t="s">
        <v>231</v>
      </c>
      <c r="G2153" t="s">
        <v>947</v>
      </c>
      <c r="H2153" s="9">
        <v>44693</v>
      </c>
      <c r="I2153" t="s">
        <v>882</v>
      </c>
      <c r="J2153" t="s">
        <v>2</v>
      </c>
      <c r="K2153" s="9">
        <v>44711</v>
      </c>
      <c r="L2153" t="s">
        <v>29</v>
      </c>
      <c r="M2153" t="s">
        <v>1928</v>
      </c>
      <c r="N2153" s="9">
        <v>44706</v>
      </c>
      <c r="O2153"/>
      <c r="P2153"/>
      <c r="Q2153"/>
      <c r="R2153"/>
      <c r="S2153"/>
      <c r="T2153"/>
      <c r="U2153"/>
    </row>
    <row r="2154" spans="1:21" hidden="1">
      <c r="A2154" s="7" t="s">
        <v>8781</v>
      </c>
      <c r="B2154" s="7" t="s">
        <v>8313</v>
      </c>
      <c r="C2154" s="8" t="s">
        <v>5318</v>
      </c>
      <c r="D2154" t="s">
        <v>266</v>
      </c>
      <c r="E2154" t="s">
        <v>880</v>
      </c>
      <c r="F2154" t="s">
        <v>231</v>
      </c>
      <c r="G2154" t="s">
        <v>948</v>
      </c>
      <c r="H2154" s="9">
        <v>44693</v>
      </c>
      <c r="I2154" t="s">
        <v>882</v>
      </c>
      <c r="J2154" t="s">
        <v>2</v>
      </c>
      <c r="K2154" s="9">
        <v>44711</v>
      </c>
      <c r="L2154" t="s">
        <v>29</v>
      </c>
      <c r="M2154" t="s">
        <v>1928</v>
      </c>
      <c r="N2154" s="9">
        <v>44706</v>
      </c>
      <c r="O2154"/>
      <c r="P2154"/>
      <c r="Q2154"/>
      <c r="R2154"/>
      <c r="S2154"/>
      <c r="T2154"/>
      <c r="U2154"/>
    </row>
    <row r="2155" spans="1:21" hidden="1">
      <c r="A2155" s="7" t="s">
        <v>8791</v>
      </c>
      <c r="B2155" s="7" t="s">
        <v>5503</v>
      </c>
      <c r="C2155" s="8" t="s">
        <v>5318</v>
      </c>
      <c r="D2155" t="s">
        <v>266</v>
      </c>
      <c r="E2155" t="s">
        <v>949</v>
      </c>
      <c r="F2155" t="s">
        <v>83</v>
      </c>
      <c r="G2155" t="s">
        <v>950</v>
      </c>
      <c r="H2155" s="9">
        <v>44693</v>
      </c>
      <c r="I2155" t="s">
        <v>882</v>
      </c>
      <c r="J2155" t="s">
        <v>2</v>
      </c>
      <c r="K2155" s="9">
        <v>44697</v>
      </c>
      <c r="L2155" t="s">
        <v>29</v>
      </c>
      <c r="M2155" t="s">
        <v>1929</v>
      </c>
      <c r="N2155"/>
      <c r="O2155"/>
      <c r="P2155"/>
      <c r="Q2155"/>
      <c r="R2155"/>
      <c r="S2155"/>
      <c r="T2155"/>
      <c r="U2155"/>
    </row>
    <row r="2156" spans="1:21" hidden="1">
      <c r="A2156" s="7" t="s">
        <v>8791</v>
      </c>
      <c r="B2156" s="7" t="s">
        <v>5503</v>
      </c>
      <c r="C2156" s="8" t="s">
        <v>5318</v>
      </c>
      <c r="D2156" t="s">
        <v>266</v>
      </c>
      <c r="E2156" t="s">
        <v>949</v>
      </c>
      <c r="F2156" t="s">
        <v>83</v>
      </c>
      <c r="G2156" t="s">
        <v>951</v>
      </c>
      <c r="H2156" s="9">
        <v>44693</v>
      </c>
      <c r="I2156" t="s">
        <v>882</v>
      </c>
      <c r="J2156" t="s">
        <v>2</v>
      </c>
      <c r="K2156" s="9">
        <v>44697</v>
      </c>
      <c r="L2156" t="s">
        <v>29</v>
      </c>
      <c r="M2156" t="s">
        <v>1929</v>
      </c>
      <c r="N2156"/>
      <c r="O2156"/>
      <c r="P2156"/>
      <c r="Q2156"/>
      <c r="R2156"/>
      <c r="S2156"/>
      <c r="T2156"/>
      <c r="U2156"/>
    </row>
    <row r="2157" spans="1:21" hidden="1">
      <c r="A2157" s="7" t="s">
        <v>8791</v>
      </c>
      <c r="B2157" s="7" t="s">
        <v>5503</v>
      </c>
      <c r="C2157" s="8" t="s">
        <v>5318</v>
      </c>
      <c r="D2157" t="s">
        <v>266</v>
      </c>
      <c r="E2157" t="s">
        <v>949</v>
      </c>
      <c r="F2157" t="s">
        <v>83</v>
      </c>
      <c r="G2157" t="s">
        <v>952</v>
      </c>
      <c r="H2157" s="9">
        <v>44693</v>
      </c>
      <c r="I2157" t="s">
        <v>882</v>
      </c>
      <c r="J2157" t="s">
        <v>2</v>
      </c>
      <c r="K2157" s="9">
        <v>44697</v>
      </c>
      <c r="L2157" t="s">
        <v>29</v>
      </c>
      <c r="M2157" t="s">
        <v>1929</v>
      </c>
      <c r="N2157"/>
      <c r="O2157"/>
      <c r="P2157"/>
      <c r="Q2157"/>
      <c r="R2157"/>
      <c r="S2157"/>
      <c r="T2157"/>
      <c r="U2157"/>
    </row>
    <row r="2158" spans="1:21" hidden="1">
      <c r="A2158" s="7" t="s">
        <v>8791</v>
      </c>
      <c r="B2158" s="7" t="s">
        <v>5503</v>
      </c>
      <c r="C2158" s="8" t="s">
        <v>5318</v>
      </c>
      <c r="D2158" t="s">
        <v>266</v>
      </c>
      <c r="E2158" t="s">
        <v>949</v>
      </c>
      <c r="F2158" t="s">
        <v>83</v>
      </c>
      <c r="G2158" t="s">
        <v>953</v>
      </c>
      <c r="H2158" s="9">
        <v>44693</v>
      </c>
      <c r="I2158" t="s">
        <v>882</v>
      </c>
      <c r="J2158" t="s">
        <v>2</v>
      </c>
      <c r="K2158" s="9">
        <v>44697</v>
      </c>
      <c r="L2158" t="s">
        <v>29</v>
      </c>
      <c r="M2158" t="s">
        <v>1929</v>
      </c>
      <c r="N2158"/>
      <c r="O2158"/>
      <c r="P2158"/>
      <c r="Q2158"/>
      <c r="R2158"/>
      <c r="S2158"/>
      <c r="T2158"/>
      <c r="U2158"/>
    </row>
    <row r="2159" spans="1:21" hidden="1">
      <c r="A2159" s="7" t="s">
        <v>8791</v>
      </c>
      <c r="B2159" s="7" t="s">
        <v>5503</v>
      </c>
      <c r="C2159" s="8" t="s">
        <v>5318</v>
      </c>
      <c r="D2159" t="s">
        <v>266</v>
      </c>
      <c r="E2159" t="s">
        <v>949</v>
      </c>
      <c r="F2159" t="s">
        <v>83</v>
      </c>
      <c r="G2159" t="s">
        <v>954</v>
      </c>
      <c r="H2159" s="9">
        <v>44693</v>
      </c>
      <c r="I2159" t="s">
        <v>882</v>
      </c>
      <c r="J2159" t="s">
        <v>2</v>
      </c>
      <c r="K2159" s="9">
        <v>44697</v>
      </c>
      <c r="L2159" t="s">
        <v>29</v>
      </c>
      <c r="M2159" t="s">
        <v>1929</v>
      </c>
      <c r="N2159"/>
      <c r="O2159"/>
      <c r="P2159"/>
      <c r="Q2159"/>
      <c r="R2159"/>
      <c r="S2159"/>
      <c r="T2159"/>
      <c r="U2159"/>
    </row>
    <row r="2160" spans="1:21" hidden="1">
      <c r="A2160" s="7" t="s">
        <v>8790</v>
      </c>
      <c r="B2160" s="7" t="s">
        <v>8296</v>
      </c>
      <c r="C2160" s="8" t="s">
        <v>5318</v>
      </c>
      <c r="D2160" t="s">
        <v>266</v>
      </c>
      <c r="E2160" t="s">
        <v>915</v>
      </c>
      <c r="F2160" t="s">
        <v>117</v>
      </c>
      <c r="G2160" t="s">
        <v>955</v>
      </c>
      <c r="H2160" s="9">
        <v>44693</v>
      </c>
      <c r="I2160" t="s">
        <v>882</v>
      </c>
      <c r="J2160" t="s">
        <v>2</v>
      </c>
      <c r="K2160" s="9">
        <v>44697</v>
      </c>
      <c r="L2160" t="s">
        <v>29</v>
      </c>
      <c r="M2160" t="s">
        <v>1929</v>
      </c>
      <c r="N2160"/>
      <c r="O2160"/>
      <c r="P2160"/>
      <c r="Q2160"/>
      <c r="R2160"/>
      <c r="S2160"/>
      <c r="T2160"/>
      <c r="U2160"/>
    </row>
    <row r="2161" spans="1:21" hidden="1">
      <c r="A2161" s="7" t="s">
        <v>8790</v>
      </c>
      <c r="B2161" s="7" t="s">
        <v>8296</v>
      </c>
      <c r="C2161" s="8" t="s">
        <v>5318</v>
      </c>
      <c r="D2161" t="s">
        <v>266</v>
      </c>
      <c r="E2161" t="s">
        <v>915</v>
      </c>
      <c r="F2161" t="s">
        <v>117</v>
      </c>
      <c r="G2161" t="s">
        <v>956</v>
      </c>
      <c r="H2161" s="9">
        <v>44693</v>
      </c>
      <c r="I2161" t="s">
        <v>882</v>
      </c>
      <c r="J2161" t="s">
        <v>2</v>
      </c>
      <c r="K2161" s="9">
        <v>44697</v>
      </c>
      <c r="L2161" t="s">
        <v>29</v>
      </c>
      <c r="M2161" t="s">
        <v>1929</v>
      </c>
      <c r="N2161"/>
      <c r="O2161"/>
      <c r="P2161"/>
      <c r="Q2161"/>
      <c r="R2161"/>
      <c r="S2161"/>
      <c r="T2161"/>
      <c r="U2161"/>
    </row>
    <row r="2162" spans="1:21" hidden="1">
      <c r="A2162" s="7" t="s">
        <v>8790</v>
      </c>
      <c r="B2162" s="7" t="s">
        <v>8296</v>
      </c>
      <c r="C2162" s="8" t="s">
        <v>5318</v>
      </c>
      <c r="D2162" t="s">
        <v>266</v>
      </c>
      <c r="E2162" t="s">
        <v>915</v>
      </c>
      <c r="F2162" t="s">
        <v>117</v>
      </c>
      <c r="G2162" t="s">
        <v>957</v>
      </c>
      <c r="H2162" s="9">
        <v>44693</v>
      </c>
      <c r="I2162" t="s">
        <v>882</v>
      </c>
      <c r="J2162" t="s">
        <v>2</v>
      </c>
      <c r="K2162" s="9">
        <v>44697</v>
      </c>
      <c r="L2162" t="s">
        <v>29</v>
      </c>
      <c r="M2162" t="s">
        <v>1929</v>
      </c>
      <c r="N2162"/>
      <c r="O2162"/>
      <c r="P2162"/>
      <c r="Q2162"/>
      <c r="R2162"/>
      <c r="S2162"/>
      <c r="T2162"/>
      <c r="U2162"/>
    </row>
    <row r="2163" spans="1:21" hidden="1">
      <c r="A2163" s="7" t="s">
        <v>8790</v>
      </c>
      <c r="B2163" s="7" t="s">
        <v>8296</v>
      </c>
      <c r="C2163" s="8" t="s">
        <v>5318</v>
      </c>
      <c r="D2163" t="s">
        <v>266</v>
      </c>
      <c r="E2163" t="s">
        <v>915</v>
      </c>
      <c r="F2163" t="s">
        <v>117</v>
      </c>
      <c r="G2163" t="s">
        <v>958</v>
      </c>
      <c r="H2163" s="9">
        <v>44693</v>
      </c>
      <c r="I2163" t="s">
        <v>882</v>
      </c>
      <c r="J2163" t="s">
        <v>2</v>
      </c>
      <c r="K2163" s="9">
        <v>44697</v>
      </c>
      <c r="L2163" t="s">
        <v>29</v>
      </c>
      <c r="M2163" t="s">
        <v>1929</v>
      </c>
      <c r="N2163"/>
      <c r="O2163"/>
      <c r="P2163"/>
      <c r="Q2163"/>
      <c r="R2163"/>
      <c r="S2163"/>
      <c r="T2163"/>
      <c r="U2163"/>
    </row>
    <row r="2164" spans="1:21" hidden="1">
      <c r="A2164" s="7" t="s">
        <v>8790</v>
      </c>
      <c r="B2164" s="7" t="s">
        <v>8296</v>
      </c>
      <c r="C2164" s="8" t="s">
        <v>5318</v>
      </c>
      <c r="D2164" t="s">
        <v>266</v>
      </c>
      <c r="E2164" t="s">
        <v>915</v>
      </c>
      <c r="F2164" t="s">
        <v>117</v>
      </c>
      <c r="G2164" t="s">
        <v>959</v>
      </c>
      <c r="H2164" s="9">
        <v>44693</v>
      </c>
      <c r="I2164" t="s">
        <v>882</v>
      </c>
      <c r="J2164" t="s">
        <v>2</v>
      </c>
      <c r="K2164" s="9">
        <v>44697</v>
      </c>
      <c r="L2164" t="s">
        <v>29</v>
      </c>
      <c r="M2164" t="s">
        <v>1929</v>
      </c>
      <c r="N2164"/>
      <c r="O2164"/>
      <c r="P2164"/>
      <c r="Q2164"/>
      <c r="R2164"/>
      <c r="S2164"/>
      <c r="T2164"/>
      <c r="U2164"/>
    </row>
    <row r="2165" spans="1:21" hidden="1">
      <c r="A2165" s="7" t="s">
        <v>8790</v>
      </c>
      <c r="B2165" s="7" t="s">
        <v>8296</v>
      </c>
      <c r="C2165" s="8" t="s">
        <v>5318</v>
      </c>
      <c r="D2165" t="s">
        <v>266</v>
      </c>
      <c r="E2165" t="s">
        <v>915</v>
      </c>
      <c r="F2165" t="s">
        <v>117</v>
      </c>
      <c r="G2165" t="s">
        <v>960</v>
      </c>
      <c r="H2165" s="9">
        <v>44693</v>
      </c>
      <c r="I2165" t="s">
        <v>882</v>
      </c>
      <c r="J2165" t="s">
        <v>2</v>
      </c>
      <c r="K2165" s="9">
        <v>44697</v>
      </c>
      <c r="L2165" t="s">
        <v>29</v>
      </c>
      <c r="M2165" t="s">
        <v>1929</v>
      </c>
      <c r="N2165"/>
      <c r="O2165"/>
      <c r="P2165"/>
      <c r="Q2165"/>
      <c r="R2165"/>
      <c r="S2165"/>
      <c r="T2165"/>
      <c r="U2165"/>
    </row>
    <row r="2166" spans="1:21" hidden="1">
      <c r="A2166" s="7" t="s">
        <v>8790</v>
      </c>
      <c r="B2166" s="7" t="s">
        <v>8296</v>
      </c>
      <c r="C2166" s="8" t="s">
        <v>5318</v>
      </c>
      <c r="D2166" t="s">
        <v>266</v>
      </c>
      <c r="E2166" t="s">
        <v>915</v>
      </c>
      <c r="F2166" t="s">
        <v>117</v>
      </c>
      <c r="G2166" t="s">
        <v>961</v>
      </c>
      <c r="H2166" s="9">
        <v>44693</v>
      </c>
      <c r="I2166" t="s">
        <v>882</v>
      </c>
      <c r="J2166" t="s">
        <v>2</v>
      </c>
      <c r="K2166" s="9">
        <v>44697</v>
      </c>
      <c r="L2166" t="s">
        <v>29</v>
      </c>
      <c r="M2166" t="s">
        <v>1929</v>
      </c>
      <c r="N2166"/>
      <c r="O2166"/>
      <c r="P2166"/>
      <c r="Q2166"/>
      <c r="R2166"/>
      <c r="S2166"/>
      <c r="T2166"/>
      <c r="U2166"/>
    </row>
    <row r="2167" spans="1:21" hidden="1">
      <c r="A2167" s="7" t="s">
        <v>8790</v>
      </c>
      <c r="B2167" s="7" t="s">
        <v>8296</v>
      </c>
      <c r="C2167" s="8" t="s">
        <v>5318</v>
      </c>
      <c r="D2167" t="s">
        <v>266</v>
      </c>
      <c r="E2167" t="s">
        <v>915</v>
      </c>
      <c r="F2167" t="s">
        <v>117</v>
      </c>
      <c r="G2167" t="s">
        <v>962</v>
      </c>
      <c r="H2167" s="9">
        <v>44693</v>
      </c>
      <c r="I2167" t="s">
        <v>882</v>
      </c>
      <c r="J2167" t="s">
        <v>2</v>
      </c>
      <c r="K2167" s="9">
        <v>44697</v>
      </c>
      <c r="L2167" t="s">
        <v>29</v>
      </c>
      <c r="M2167" t="s">
        <v>1929</v>
      </c>
      <c r="N2167"/>
      <c r="O2167"/>
      <c r="P2167"/>
      <c r="Q2167"/>
      <c r="R2167"/>
      <c r="S2167"/>
      <c r="T2167"/>
      <c r="U2167"/>
    </row>
    <row r="2168" spans="1:21" hidden="1">
      <c r="A2168" s="7" t="s">
        <v>8789</v>
      </c>
      <c r="B2168" s="7" t="s">
        <v>6643</v>
      </c>
      <c r="C2168" s="8" t="s">
        <v>5318</v>
      </c>
      <c r="D2168" t="s">
        <v>266</v>
      </c>
      <c r="E2168" t="s">
        <v>908</v>
      </c>
      <c r="F2168" t="s">
        <v>83</v>
      </c>
      <c r="G2168" t="s">
        <v>963</v>
      </c>
      <c r="H2168" s="9">
        <v>44693</v>
      </c>
      <c r="I2168" t="s">
        <v>408</v>
      </c>
      <c r="J2168" t="s">
        <v>2</v>
      </c>
      <c r="K2168" s="9">
        <v>44697</v>
      </c>
      <c r="L2168" t="s">
        <v>29</v>
      </c>
      <c r="M2168" t="s">
        <v>1929</v>
      </c>
      <c r="N2168"/>
      <c r="O2168"/>
      <c r="P2168"/>
      <c r="Q2168"/>
      <c r="R2168"/>
      <c r="S2168"/>
      <c r="T2168"/>
      <c r="U2168"/>
    </row>
    <row r="2169" spans="1:21" hidden="1">
      <c r="A2169" s="7" t="s">
        <v>8789</v>
      </c>
      <c r="B2169" s="7" t="s">
        <v>6643</v>
      </c>
      <c r="C2169" s="8" t="s">
        <v>5318</v>
      </c>
      <c r="D2169" t="s">
        <v>266</v>
      </c>
      <c r="E2169" t="s">
        <v>908</v>
      </c>
      <c r="F2169" t="s">
        <v>83</v>
      </c>
      <c r="G2169" t="s">
        <v>964</v>
      </c>
      <c r="H2169" s="9">
        <v>44693</v>
      </c>
      <c r="I2169" t="s">
        <v>408</v>
      </c>
      <c r="J2169" t="s">
        <v>2</v>
      </c>
      <c r="K2169" s="9">
        <v>44697</v>
      </c>
      <c r="L2169" t="s">
        <v>29</v>
      </c>
      <c r="M2169" t="s">
        <v>1929</v>
      </c>
      <c r="N2169"/>
      <c r="O2169"/>
      <c r="P2169"/>
      <c r="Q2169"/>
      <c r="R2169"/>
      <c r="S2169"/>
      <c r="T2169"/>
      <c r="U2169"/>
    </row>
    <row r="2170" spans="1:21" hidden="1">
      <c r="A2170" s="7" t="s">
        <v>8792</v>
      </c>
      <c r="B2170" s="7" t="s">
        <v>7427</v>
      </c>
      <c r="C2170" s="8" t="s">
        <v>5318</v>
      </c>
      <c r="D2170" t="s">
        <v>266</v>
      </c>
      <c r="E2170" t="s">
        <v>965</v>
      </c>
      <c r="F2170" t="s">
        <v>231</v>
      </c>
      <c r="G2170" t="s">
        <v>966</v>
      </c>
      <c r="H2170" s="9">
        <v>44693</v>
      </c>
      <c r="I2170" t="s">
        <v>408</v>
      </c>
      <c r="J2170" t="s">
        <v>2</v>
      </c>
      <c r="K2170" s="9">
        <v>44697</v>
      </c>
      <c r="L2170" t="s">
        <v>29</v>
      </c>
      <c r="M2170" t="s">
        <v>1929</v>
      </c>
      <c r="N2170"/>
      <c r="O2170"/>
      <c r="P2170"/>
      <c r="Q2170"/>
      <c r="R2170"/>
      <c r="S2170"/>
      <c r="T2170"/>
      <c r="U2170"/>
    </row>
    <row r="2171" spans="1:21" hidden="1">
      <c r="A2171" s="7" t="s">
        <v>8790</v>
      </c>
      <c r="B2171" s="7" t="s">
        <v>8296</v>
      </c>
      <c r="C2171" s="8" t="s">
        <v>5318</v>
      </c>
      <c r="D2171" t="s">
        <v>266</v>
      </c>
      <c r="E2171" t="s">
        <v>915</v>
      </c>
      <c r="F2171" t="s">
        <v>117</v>
      </c>
      <c r="G2171" t="s">
        <v>967</v>
      </c>
      <c r="H2171" s="9">
        <v>44693</v>
      </c>
      <c r="I2171" t="s">
        <v>882</v>
      </c>
      <c r="J2171" t="s">
        <v>2</v>
      </c>
      <c r="K2171" s="9">
        <v>44697</v>
      </c>
      <c r="L2171" t="s">
        <v>29</v>
      </c>
      <c r="M2171" t="s">
        <v>1929</v>
      </c>
      <c r="N2171"/>
      <c r="O2171"/>
      <c r="P2171"/>
      <c r="Q2171"/>
      <c r="R2171"/>
      <c r="S2171"/>
      <c r="T2171"/>
      <c r="U2171"/>
    </row>
    <row r="2172" spans="1:21" hidden="1">
      <c r="A2172" s="7" t="s">
        <v>8790</v>
      </c>
      <c r="B2172" s="7" t="s">
        <v>8296</v>
      </c>
      <c r="C2172" s="8" t="s">
        <v>5318</v>
      </c>
      <c r="D2172" t="s">
        <v>266</v>
      </c>
      <c r="E2172" t="s">
        <v>915</v>
      </c>
      <c r="F2172" t="s">
        <v>117</v>
      </c>
      <c r="G2172" t="s">
        <v>968</v>
      </c>
      <c r="H2172" s="9">
        <v>44693</v>
      </c>
      <c r="I2172" t="s">
        <v>882</v>
      </c>
      <c r="J2172" t="s">
        <v>2</v>
      </c>
      <c r="K2172" s="9">
        <v>44697</v>
      </c>
      <c r="L2172" t="s">
        <v>29</v>
      </c>
      <c r="M2172" t="s">
        <v>1929</v>
      </c>
      <c r="N2172"/>
      <c r="O2172"/>
      <c r="P2172"/>
      <c r="Q2172"/>
      <c r="R2172"/>
      <c r="S2172"/>
      <c r="T2172"/>
      <c r="U2172"/>
    </row>
    <row r="2173" spans="1:21" hidden="1">
      <c r="A2173" s="7" t="s">
        <v>8791</v>
      </c>
      <c r="B2173" s="7" t="s">
        <v>5503</v>
      </c>
      <c r="C2173" s="8" t="s">
        <v>5318</v>
      </c>
      <c r="D2173" t="s">
        <v>266</v>
      </c>
      <c r="E2173" t="s">
        <v>949</v>
      </c>
      <c r="F2173" t="s">
        <v>83</v>
      </c>
      <c r="G2173" t="s">
        <v>969</v>
      </c>
      <c r="H2173" s="9">
        <v>44693</v>
      </c>
      <c r="I2173" t="s">
        <v>882</v>
      </c>
      <c r="J2173" t="s">
        <v>2</v>
      </c>
      <c r="K2173" s="9">
        <v>44697</v>
      </c>
      <c r="L2173" t="s">
        <v>29</v>
      </c>
      <c r="M2173" t="s">
        <v>1929</v>
      </c>
      <c r="N2173"/>
      <c r="O2173"/>
      <c r="P2173"/>
      <c r="Q2173"/>
      <c r="R2173"/>
      <c r="S2173"/>
      <c r="T2173"/>
      <c r="U2173"/>
    </row>
    <row r="2174" spans="1:21" hidden="1">
      <c r="A2174" s="7" t="s">
        <v>8790</v>
      </c>
      <c r="B2174" s="7" t="s">
        <v>8296</v>
      </c>
      <c r="C2174" s="8" t="s">
        <v>5318</v>
      </c>
      <c r="D2174" t="s">
        <v>266</v>
      </c>
      <c r="E2174" t="s">
        <v>915</v>
      </c>
      <c r="F2174" t="s">
        <v>117</v>
      </c>
      <c r="G2174" t="s">
        <v>970</v>
      </c>
      <c r="H2174" s="9">
        <v>44693</v>
      </c>
      <c r="I2174" t="s">
        <v>882</v>
      </c>
      <c r="J2174" t="s">
        <v>2</v>
      </c>
      <c r="K2174" s="9">
        <v>44697</v>
      </c>
      <c r="L2174" t="s">
        <v>29</v>
      </c>
      <c r="M2174" t="s">
        <v>1929</v>
      </c>
      <c r="N2174"/>
      <c r="O2174"/>
      <c r="P2174"/>
      <c r="Q2174"/>
      <c r="R2174"/>
      <c r="S2174"/>
      <c r="T2174"/>
      <c r="U2174"/>
    </row>
    <row r="2175" spans="1:21" hidden="1">
      <c r="A2175" s="7" t="s">
        <v>8790</v>
      </c>
      <c r="B2175" s="7" t="s">
        <v>8296</v>
      </c>
      <c r="C2175" s="8" t="s">
        <v>5318</v>
      </c>
      <c r="D2175" t="s">
        <v>266</v>
      </c>
      <c r="E2175" t="s">
        <v>915</v>
      </c>
      <c r="F2175" t="s">
        <v>117</v>
      </c>
      <c r="G2175" t="s">
        <v>971</v>
      </c>
      <c r="H2175" s="9">
        <v>44693</v>
      </c>
      <c r="I2175" t="s">
        <v>882</v>
      </c>
      <c r="J2175" t="s">
        <v>2</v>
      </c>
      <c r="K2175" s="9">
        <v>44697</v>
      </c>
      <c r="L2175" t="s">
        <v>29</v>
      </c>
      <c r="M2175" t="s">
        <v>1929</v>
      </c>
      <c r="N2175"/>
      <c r="O2175"/>
      <c r="P2175"/>
      <c r="Q2175"/>
      <c r="R2175"/>
      <c r="S2175"/>
      <c r="T2175"/>
      <c r="U2175"/>
    </row>
    <row r="2176" spans="1:21" hidden="1">
      <c r="A2176" s="7" t="s">
        <v>8790</v>
      </c>
      <c r="B2176" s="7" t="s">
        <v>8296</v>
      </c>
      <c r="C2176" s="8" t="s">
        <v>5318</v>
      </c>
      <c r="D2176" t="s">
        <v>266</v>
      </c>
      <c r="E2176" t="s">
        <v>915</v>
      </c>
      <c r="F2176" t="s">
        <v>117</v>
      </c>
      <c r="G2176" t="s">
        <v>972</v>
      </c>
      <c r="H2176" s="9">
        <v>44693</v>
      </c>
      <c r="I2176" t="s">
        <v>882</v>
      </c>
      <c r="J2176" t="s">
        <v>2</v>
      </c>
      <c r="K2176" s="9">
        <v>44697</v>
      </c>
      <c r="L2176" t="s">
        <v>29</v>
      </c>
      <c r="M2176" t="s">
        <v>1929</v>
      </c>
      <c r="N2176"/>
      <c r="O2176"/>
      <c r="P2176"/>
      <c r="Q2176"/>
      <c r="R2176"/>
      <c r="S2176"/>
      <c r="T2176"/>
      <c r="U2176"/>
    </row>
    <row r="2177" spans="1:21" hidden="1">
      <c r="A2177" s="7" t="s">
        <v>8790</v>
      </c>
      <c r="B2177" s="7" t="s">
        <v>8296</v>
      </c>
      <c r="C2177" s="8" t="s">
        <v>5318</v>
      </c>
      <c r="D2177" t="s">
        <v>266</v>
      </c>
      <c r="E2177" t="s">
        <v>915</v>
      </c>
      <c r="F2177" t="s">
        <v>117</v>
      </c>
      <c r="G2177" t="s">
        <v>973</v>
      </c>
      <c r="H2177" s="9">
        <v>44693</v>
      </c>
      <c r="I2177" t="s">
        <v>882</v>
      </c>
      <c r="J2177" t="s">
        <v>2</v>
      </c>
      <c r="K2177" s="9">
        <v>44697</v>
      </c>
      <c r="L2177" t="s">
        <v>29</v>
      </c>
      <c r="M2177" t="s">
        <v>1929</v>
      </c>
      <c r="N2177"/>
      <c r="O2177"/>
      <c r="P2177"/>
      <c r="Q2177"/>
      <c r="R2177"/>
      <c r="S2177"/>
      <c r="T2177"/>
      <c r="U2177"/>
    </row>
    <row r="2178" spans="1:21" hidden="1">
      <c r="A2178" s="7" t="s">
        <v>8790</v>
      </c>
      <c r="B2178" s="7" t="s">
        <v>8296</v>
      </c>
      <c r="C2178" s="8" t="s">
        <v>5318</v>
      </c>
      <c r="D2178" t="s">
        <v>266</v>
      </c>
      <c r="E2178" t="s">
        <v>915</v>
      </c>
      <c r="F2178" t="s">
        <v>117</v>
      </c>
      <c r="G2178" t="s">
        <v>974</v>
      </c>
      <c r="H2178" s="9">
        <v>44693</v>
      </c>
      <c r="I2178" t="s">
        <v>882</v>
      </c>
      <c r="J2178" t="s">
        <v>2</v>
      </c>
      <c r="K2178" s="9">
        <v>44697</v>
      </c>
      <c r="L2178" t="s">
        <v>29</v>
      </c>
      <c r="M2178" t="s">
        <v>1929</v>
      </c>
      <c r="N2178"/>
      <c r="O2178"/>
      <c r="P2178"/>
      <c r="Q2178"/>
      <c r="R2178"/>
      <c r="S2178"/>
      <c r="T2178"/>
      <c r="U2178"/>
    </row>
    <row r="2179" spans="1:21" hidden="1">
      <c r="A2179" s="7" t="s">
        <v>8790</v>
      </c>
      <c r="B2179" s="7" t="s">
        <v>8296</v>
      </c>
      <c r="C2179" s="8" t="s">
        <v>5318</v>
      </c>
      <c r="D2179" t="s">
        <v>266</v>
      </c>
      <c r="E2179" t="s">
        <v>915</v>
      </c>
      <c r="F2179" t="s">
        <v>117</v>
      </c>
      <c r="G2179" t="s">
        <v>975</v>
      </c>
      <c r="H2179" s="9">
        <v>44693</v>
      </c>
      <c r="I2179" t="s">
        <v>882</v>
      </c>
      <c r="J2179" t="s">
        <v>2</v>
      </c>
      <c r="K2179" s="9">
        <v>44697</v>
      </c>
      <c r="L2179" t="s">
        <v>29</v>
      </c>
      <c r="M2179" t="s">
        <v>1929</v>
      </c>
      <c r="N2179"/>
      <c r="O2179"/>
      <c r="P2179"/>
      <c r="Q2179"/>
      <c r="R2179"/>
      <c r="S2179"/>
      <c r="T2179"/>
      <c r="U2179"/>
    </row>
    <row r="2180" spans="1:21" hidden="1">
      <c r="A2180" s="7" t="s">
        <v>8790</v>
      </c>
      <c r="B2180" s="7" t="s">
        <v>8296</v>
      </c>
      <c r="C2180" s="8" t="s">
        <v>5318</v>
      </c>
      <c r="D2180" t="s">
        <v>266</v>
      </c>
      <c r="E2180" t="s">
        <v>915</v>
      </c>
      <c r="F2180" t="s">
        <v>117</v>
      </c>
      <c r="G2180" t="s">
        <v>976</v>
      </c>
      <c r="H2180" s="9">
        <v>44693</v>
      </c>
      <c r="I2180" t="s">
        <v>882</v>
      </c>
      <c r="J2180" t="s">
        <v>2</v>
      </c>
      <c r="K2180" s="9">
        <v>44697</v>
      </c>
      <c r="L2180" t="s">
        <v>29</v>
      </c>
      <c r="M2180" t="s">
        <v>1929</v>
      </c>
      <c r="N2180"/>
      <c r="O2180"/>
      <c r="P2180"/>
      <c r="Q2180"/>
      <c r="R2180"/>
      <c r="S2180"/>
      <c r="T2180"/>
      <c r="U2180"/>
    </row>
    <row r="2181" spans="1:21" hidden="1">
      <c r="A2181" s="7" t="s">
        <v>8790</v>
      </c>
      <c r="B2181" s="7" t="s">
        <v>8296</v>
      </c>
      <c r="C2181" s="8" t="s">
        <v>5318</v>
      </c>
      <c r="D2181" t="s">
        <v>266</v>
      </c>
      <c r="E2181" t="s">
        <v>915</v>
      </c>
      <c r="F2181" t="s">
        <v>117</v>
      </c>
      <c r="G2181" t="s">
        <v>977</v>
      </c>
      <c r="H2181" s="9">
        <v>44693</v>
      </c>
      <c r="I2181" t="s">
        <v>882</v>
      </c>
      <c r="J2181" t="s">
        <v>2</v>
      </c>
      <c r="K2181" s="9">
        <v>44697</v>
      </c>
      <c r="L2181" t="s">
        <v>29</v>
      </c>
      <c r="M2181" t="s">
        <v>1929</v>
      </c>
      <c r="N2181"/>
      <c r="O2181"/>
      <c r="P2181"/>
      <c r="Q2181"/>
      <c r="R2181"/>
      <c r="S2181"/>
      <c r="T2181"/>
      <c r="U2181"/>
    </row>
    <row r="2182" spans="1:21" hidden="1">
      <c r="A2182" s="7" t="s">
        <v>8790</v>
      </c>
      <c r="B2182" s="7" t="s">
        <v>8296</v>
      </c>
      <c r="C2182" s="8" t="s">
        <v>5318</v>
      </c>
      <c r="D2182" t="s">
        <v>266</v>
      </c>
      <c r="E2182" t="s">
        <v>915</v>
      </c>
      <c r="F2182" t="s">
        <v>117</v>
      </c>
      <c r="G2182" t="s">
        <v>978</v>
      </c>
      <c r="H2182" s="9">
        <v>44693</v>
      </c>
      <c r="I2182" t="s">
        <v>882</v>
      </c>
      <c r="J2182" t="s">
        <v>2</v>
      </c>
      <c r="K2182" s="9">
        <v>44697</v>
      </c>
      <c r="L2182" t="s">
        <v>29</v>
      </c>
      <c r="M2182" t="s">
        <v>1929</v>
      </c>
      <c r="N2182"/>
      <c r="O2182"/>
      <c r="P2182"/>
      <c r="Q2182"/>
      <c r="R2182"/>
      <c r="S2182"/>
      <c r="T2182"/>
      <c r="U2182"/>
    </row>
    <row r="2183" spans="1:21" hidden="1">
      <c r="A2183" s="7" t="s">
        <v>8793</v>
      </c>
      <c r="B2183" s="7" t="s">
        <v>6938</v>
      </c>
      <c r="C2183" s="8" t="s">
        <v>5318</v>
      </c>
      <c r="D2183" t="s">
        <v>266</v>
      </c>
      <c r="E2183" t="s">
        <v>979</v>
      </c>
      <c r="F2183" t="s">
        <v>231</v>
      </c>
      <c r="G2183" t="s">
        <v>980</v>
      </c>
      <c r="H2183" s="9">
        <v>44693</v>
      </c>
      <c r="I2183" t="s">
        <v>408</v>
      </c>
      <c r="J2183" t="s">
        <v>2</v>
      </c>
      <c r="K2183" s="9">
        <v>44697</v>
      </c>
      <c r="L2183" t="s">
        <v>29</v>
      </c>
      <c r="M2183" t="s">
        <v>1929</v>
      </c>
      <c r="N2183"/>
      <c r="O2183"/>
      <c r="P2183"/>
      <c r="Q2183"/>
      <c r="R2183"/>
      <c r="S2183"/>
      <c r="T2183"/>
      <c r="U2183"/>
    </row>
    <row r="2184" spans="1:21" hidden="1">
      <c r="A2184" s="7" t="s">
        <v>8784</v>
      </c>
      <c r="B2184" s="7" t="s">
        <v>7317</v>
      </c>
      <c r="C2184" s="8" t="s">
        <v>5318</v>
      </c>
      <c r="D2184" t="s">
        <v>266</v>
      </c>
      <c r="E2184" t="s">
        <v>890</v>
      </c>
      <c r="F2184" t="s">
        <v>209</v>
      </c>
      <c r="G2184" t="s">
        <v>981</v>
      </c>
      <c r="H2184" s="9">
        <v>44693</v>
      </c>
      <c r="I2184" t="s">
        <v>408</v>
      </c>
      <c r="J2184" t="s">
        <v>2</v>
      </c>
      <c r="K2184" s="9">
        <v>44697</v>
      </c>
      <c r="L2184" t="s">
        <v>29</v>
      </c>
      <c r="M2184" t="s">
        <v>1929</v>
      </c>
      <c r="N2184"/>
      <c r="O2184"/>
      <c r="P2184"/>
      <c r="Q2184"/>
      <c r="R2184"/>
      <c r="S2184"/>
      <c r="T2184"/>
      <c r="U2184"/>
    </row>
    <row r="2185" spans="1:21" hidden="1">
      <c r="A2185" s="7" t="s">
        <v>8794</v>
      </c>
      <c r="B2185" s="7" t="s">
        <v>8355</v>
      </c>
      <c r="C2185" s="8" t="s">
        <v>5318</v>
      </c>
      <c r="D2185" t="s">
        <v>266</v>
      </c>
      <c r="E2185" t="s">
        <v>982</v>
      </c>
      <c r="F2185" t="s">
        <v>117</v>
      </c>
      <c r="G2185" t="s">
        <v>983</v>
      </c>
      <c r="H2185" s="9">
        <v>44693</v>
      </c>
      <c r="I2185" t="s">
        <v>984</v>
      </c>
      <c r="J2185" t="s">
        <v>2</v>
      </c>
      <c r="K2185" s="9">
        <v>44697</v>
      </c>
      <c r="L2185" t="s">
        <v>29</v>
      </c>
      <c r="M2185" t="s">
        <v>1929</v>
      </c>
      <c r="N2185"/>
      <c r="O2185"/>
      <c r="P2185"/>
      <c r="Q2185"/>
      <c r="R2185"/>
      <c r="S2185"/>
      <c r="T2185"/>
      <c r="U2185"/>
    </row>
    <row r="2186" spans="1:21" hidden="1">
      <c r="A2186" s="7" t="s">
        <v>8794</v>
      </c>
      <c r="B2186" s="7" t="s">
        <v>8355</v>
      </c>
      <c r="C2186" s="8" t="s">
        <v>5318</v>
      </c>
      <c r="D2186" t="s">
        <v>266</v>
      </c>
      <c r="E2186" t="s">
        <v>982</v>
      </c>
      <c r="F2186" t="s">
        <v>117</v>
      </c>
      <c r="G2186" t="s">
        <v>985</v>
      </c>
      <c r="H2186" s="9">
        <v>44693</v>
      </c>
      <c r="I2186" t="s">
        <v>984</v>
      </c>
      <c r="J2186" t="s">
        <v>2</v>
      </c>
      <c r="K2186" s="9">
        <v>44697</v>
      </c>
      <c r="L2186" t="s">
        <v>29</v>
      </c>
      <c r="M2186" t="s">
        <v>1929</v>
      </c>
      <c r="N2186"/>
      <c r="O2186"/>
      <c r="P2186"/>
      <c r="Q2186"/>
      <c r="R2186"/>
      <c r="S2186"/>
      <c r="T2186"/>
      <c r="U2186"/>
    </row>
    <row r="2187" spans="1:21" hidden="1">
      <c r="A2187" s="7" t="s">
        <v>8794</v>
      </c>
      <c r="B2187" s="7" t="s">
        <v>8355</v>
      </c>
      <c r="C2187" s="8" t="s">
        <v>5318</v>
      </c>
      <c r="D2187" t="s">
        <v>266</v>
      </c>
      <c r="E2187" t="s">
        <v>982</v>
      </c>
      <c r="F2187" t="s">
        <v>117</v>
      </c>
      <c r="G2187" t="s">
        <v>986</v>
      </c>
      <c r="H2187" s="9">
        <v>44693</v>
      </c>
      <c r="I2187" t="s">
        <v>984</v>
      </c>
      <c r="J2187" t="s">
        <v>2</v>
      </c>
      <c r="K2187" s="9">
        <v>44697</v>
      </c>
      <c r="L2187" t="s">
        <v>29</v>
      </c>
      <c r="M2187" t="s">
        <v>1929</v>
      </c>
      <c r="N2187"/>
      <c r="O2187"/>
      <c r="P2187"/>
      <c r="Q2187"/>
      <c r="R2187"/>
      <c r="S2187"/>
      <c r="T2187"/>
      <c r="U2187"/>
    </row>
    <row r="2188" spans="1:21" hidden="1">
      <c r="A2188" s="7" t="s">
        <v>8784</v>
      </c>
      <c r="B2188" s="7" t="s">
        <v>7317</v>
      </c>
      <c r="C2188" s="8" t="s">
        <v>5318</v>
      </c>
      <c r="D2188" t="s">
        <v>266</v>
      </c>
      <c r="E2188" t="s">
        <v>890</v>
      </c>
      <c r="F2188" t="s">
        <v>209</v>
      </c>
      <c r="G2188" t="s">
        <v>987</v>
      </c>
      <c r="H2188" s="9">
        <v>44693</v>
      </c>
      <c r="I2188" t="s">
        <v>408</v>
      </c>
      <c r="J2188" t="s">
        <v>2</v>
      </c>
      <c r="K2188" s="9">
        <v>44697</v>
      </c>
      <c r="L2188" t="s">
        <v>29</v>
      </c>
      <c r="M2188" t="s">
        <v>1929</v>
      </c>
      <c r="N2188"/>
      <c r="O2188"/>
      <c r="P2188"/>
      <c r="Q2188"/>
      <c r="R2188"/>
      <c r="S2188"/>
      <c r="T2188"/>
      <c r="U2188"/>
    </row>
    <row r="2189" spans="1:21" hidden="1">
      <c r="A2189" s="7" t="s">
        <v>8789</v>
      </c>
      <c r="B2189" s="7" t="s">
        <v>6643</v>
      </c>
      <c r="C2189" s="8" t="s">
        <v>5318</v>
      </c>
      <c r="D2189" t="s">
        <v>266</v>
      </c>
      <c r="E2189" t="s">
        <v>908</v>
      </c>
      <c r="F2189" t="s">
        <v>83</v>
      </c>
      <c r="G2189" t="s">
        <v>988</v>
      </c>
      <c r="H2189" s="9">
        <v>44693</v>
      </c>
      <c r="I2189" t="s">
        <v>408</v>
      </c>
      <c r="J2189" t="s">
        <v>2</v>
      </c>
      <c r="K2189" s="9">
        <v>44697</v>
      </c>
      <c r="L2189" t="s">
        <v>29</v>
      </c>
      <c r="M2189" t="s">
        <v>1929</v>
      </c>
      <c r="N2189"/>
      <c r="O2189"/>
      <c r="P2189"/>
      <c r="Q2189"/>
      <c r="R2189"/>
      <c r="S2189"/>
      <c r="T2189"/>
      <c r="U2189"/>
    </row>
    <row r="2190" spans="1:21" hidden="1">
      <c r="A2190" s="7" t="s">
        <v>8782</v>
      </c>
      <c r="B2190" s="7" t="s">
        <v>5530</v>
      </c>
      <c r="C2190" s="8" t="s">
        <v>5318</v>
      </c>
      <c r="D2190" t="s">
        <v>266</v>
      </c>
      <c r="E2190" t="s">
        <v>885</v>
      </c>
      <c r="F2190" t="s">
        <v>75</v>
      </c>
      <c r="G2190" t="s">
        <v>989</v>
      </c>
      <c r="H2190" s="9">
        <v>44693</v>
      </c>
      <c r="I2190" t="s">
        <v>408</v>
      </c>
      <c r="J2190" t="s">
        <v>2</v>
      </c>
      <c r="K2190" s="9">
        <v>44697</v>
      </c>
      <c r="L2190" t="s">
        <v>29</v>
      </c>
      <c r="M2190" t="s">
        <v>1929</v>
      </c>
      <c r="N2190"/>
      <c r="O2190"/>
      <c r="P2190"/>
      <c r="Q2190" s="9">
        <v>44697</v>
      </c>
      <c r="R2190"/>
      <c r="S2190"/>
      <c r="T2190"/>
      <c r="U2190"/>
    </row>
    <row r="2191" spans="1:21" hidden="1">
      <c r="A2191" s="7" t="s">
        <v>8795</v>
      </c>
      <c r="B2191" s="7" t="s">
        <v>5590</v>
      </c>
      <c r="C2191" s="8" t="s">
        <v>5318</v>
      </c>
      <c r="D2191" t="s">
        <v>266</v>
      </c>
      <c r="E2191" t="s">
        <v>990</v>
      </c>
      <c r="F2191" t="s">
        <v>111</v>
      </c>
      <c r="G2191" t="s">
        <v>991</v>
      </c>
      <c r="H2191" s="9">
        <v>44693</v>
      </c>
      <c r="I2191" t="s">
        <v>408</v>
      </c>
      <c r="J2191" t="s">
        <v>2</v>
      </c>
      <c r="K2191" s="9">
        <v>44697</v>
      </c>
      <c r="L2191" t="s">
        <v>29</v>
      </c>
      <c r="M2191" t="s">
        <v>1929</v>
      </c>
      <c r="N2191"/>
      <c r="O2191"/>
      <c r="P2191"/>
      <c r="Q2191"/>
      <c r="R2191"/>
      <c r="S2191"/>
      <c r="T2191"/>
      <c r="U2191"/>
    </row>
    <row r="2192" spans="1:21" hidden="1">
      <c r="A2192" s="7" t="s">
        <v>8795</v>
      </c>
      <c r="B2192" s="7" t="s">
        <v>5590</v>
      </c>
      <c r="C2192" s="8" t="s">
        <v>5318</v>
      </c>
      <c r="D2192" t="s">
        <v>266</v>
      </c>
      <c r="E2192" t="s">
        <v>990</v>
      </c>
      <c r="F2192" t="s">
        <v>111</v>
      </c>
      <c r="G2192" t="s">
        <v>992</v>
      </c>
      <c r="H2192" s="9">
        <v>44693</v>
      </c>
      <c r="I2192" t="s">
        <v>408</v>
      </c>
      <c r="J2192" t="s">
        <v>2</v>
      </c>
      <c r="K2192" s="9">
        <v>44697</v>
      </c>
      <c r="L2192" t="s">
        <v>29</v>
      </c>
      <c r="M2192" t="s">
        <v>1929</v>
      </c>
      <c r="N2192"/>
      <c r="O2192"/>
      <c r="P2192"/>
      <c r="Q2192"/>
      <c r="R2192"/>
      <c r="S2192"/>
      <c r="T2192"/>
      <c r="U2192"/>
    </row>
    <row r="2193" spans="1:21" hidden="1">
      <c r="A2193" s="7" t="s">
        <v>8796</v>
      </c>
      <c r="B2193" s="7" t="s">
        <v>6933</v>
      </c>
      <c r="C2193" s="8" t="s">
        <v>5318</v>
      </c>
      <c r="D2193" t="s">
        <v>266</v>
      </c>
      <c r="E2193" t="s">
        <v>993</v>
      </c>
      <c r="F2193" t="s">
        <v>117</v>
      </c>
      <c r="G2193" t="s">
        <v>994</v>
      </c>
      <c r="H2193" s="9">
        <v>44693</v>
      </c>
      <c r="I2193" t="s">
        <v>408</v>
      </c>
      <c r="J2193" t="s">
        <v>2</v>
      </c>
      <c r="K2193" s="9">
        <v>44697</v>
      </c>
      <c r="L2193" t="s">
        <v>29</v>
      </c>
      <c r="M2193" t="s">
        <v>1929</v>
      </c>
      <c r="N2193"/>
      <c r="O2193"/>
      <c r="P2193"/>
      <c r="Q2193"/>
      <c r="R2193"/>
      <c r="S2193"/>
      <c r="T2193"/>
      <c r="U2193"/>
    </row>
    <row r="2194" spans="1:21" hidden="1">
      <c r="A2194" s="7" t="s">
        <v>8796</v>
      </c>
      <c r="B2194" s="7" t="s">
        <v>6933</v>
      </c>
      <c r="C2194" s="8" t="s">
        <v>5318</v>
      </c>
      <c r="D2194" t="s">
        <v>266</v>
      </c>
      <c r="E2194" t="s">
        <v>993</v>
      </c>
      <c r="F2194" t="s">
        <v>117</v>
      </c>
      <c r="G2194" t="s">
        <v>995</v>
      </c>
      <c r="H2194" s="9">
        <v>44693</v>
      </c>
      <c r="I2194" t="s">
        <v>408</v>
      </c>
      <c r="J2194" t="s">
        <v>2</v>
      </c>
      <c r="K2194" s="9">
        <v>44697</v>
      </c>
      <c r="L2194" t="s">
        <v>29</v>
      </c>
      <c r="M2194" t="s">
        <v>1929</v>
      </c>
      <c r="N2194"/>
      <c r="O2194"/>
      <c r="P2194"/>
      <c r="Q2194"/>
      <c r="R2194"/>
      <c r="S2194"/>
      <c r="T2194"/>
      <c r="U2194"/>
    </row>
    <row r="2195" spans="1:21" hidden="1">
      <c r="A2195" s="7" t="s">
        <v>8782</v>
      </c>
      <c r="B2195" s="7" t="s">
        <v>5530</v>
      </c>
      <c r="C2195" s="8" t="s">
        <v>5318</v>
      </c>
      <c r="D2195" t="s">
        <v>266</v>
      </c>
      <c r="E2195" t="s">
        <v>885</v>
      </c>
      <c r="F2195" t="s">
        <v>75</v>
      </c>
      <c r="G2195" t="s">
        <v>996</v>
      </c>
      <c r="H2195" s="9">
        <v>44693</v>
      </c>
      <c r="I2195" t="s">
        <v>408</v>
      </c>
      <c r="J2195" t="s">
        <v>2</v>
      </c>
      <c r="K2195" s="9">
        <v>44697</v>
      </c>
      <c r="L2195" t="s">
        <v>29</v>
      </c>
      <c r="M2195" t="s">
        <v>1929</v>
      </c>
      <c r="N2195"/>
      <c r="O2195"/>
      <c r="P2195"/>
      <c r="Q2195" s="9">
        <v>44697</v>
      </c>
      <c r="R2195"/>
      <c r="S2195"/>
      <c r="T2195"/>
      <c r="U2195"/>
    </row>
    <row r="2196" spans="1:21" hidden="1">
      <c r="A2196" s="7" t="s">
        <v>8782</v>
      </c>
      <c r="B2196" s="7" t="s">
        <v>5530</v>
      </c>
      <c r="C2196" s="8" t="s">
        <v>5318</v>
      </c>
      <c r="D2196" t="s">
        <v>266</v>
      </c>
      <c r="E2196" t="s">
        <v>885</v>
      </c>
      <c r="F2196" t="s">
        <v>75</v>
      </c>
      <c r="G2196" t="s">
        <v>997</v>
      </c>
      <c r="H2196" s="9">
        <v>44693</v>
      </c>
      <c r="I2196" t="s">
        <v>408</v>
      </c>
      <c r="J2196" t="s">
        <v>2</v>
      </c>
      <c r="K2196" s="9">
        <v>44697</v>
      </c>
      <c r="L2196" t="s">
        <v>29</v>
      </c>
      <c r="M2196" t="s">
        <v>1929</v>
      </c>
      <c r="N2196"/>
      <c r="O2196"/>
      <c r="P2196"/>
      <c r="Q2196" s="9">
        <v>44697</v>
      </c>
      <c r="R2196"/>
      <c r="S2196"/>
      <c r="T2196"/>
      <c r="U2196"/>
    </row>
    <row r="2197" spans="1:21" hidden="1">
      <c r="A2197" s="7" t="s">
        <v>8797</v>
      </c>
      <c r="B2197" s="7" t="s">
        <v>7343</v>
      </c>
      <c r="C2197" s="8" t="s">
        <v>5318</v>
      </c>
      <c r="D2197" t="s">
        <v>266</v>
      </c>
      <c r="E2197" t="s">
        <v>998</v>
      </c>
      <c r="F2197" t="s">
        <v>209</v>
      </c>
      <c r="G2197" t="s">
        <v>999</v>
      </c>
      <c r="H2197" s="9">
        <v>44693</v>
      </c>
      <c r="I2197" t="s">
        <v>408</v>
      </c>
      <c r="J2197" t="s">
        <v>2</v>
      </c>
      <c r="K2197" s="9">
        <v>44697</v>
      </c>
      <c r="L2197" t="s">
        <v>29</v>
      </c>
      <c r="M2197" t="s">
        <v>1929</v>
      </c>
      <c r="N2197"/>
      <c r="O2197"/>
      <c r="P2197"/>
      <c r="Q2197"/>
      <c r="R2197"/>
      <c r="S2197"/>
      <c r="T2197"/>
      <c r="U2197"/>
    </row>
    <row r="2198" spans="1:21" hidden="1">
      <c r="A2198" s="7" t="s">
        <v>8792</v>
      </c>
      <c r="B2198" s="7" t="s">
        <v>7427</v>
      </c>
      <c r="C2198" s="8" t="s">
        <v>5318</v>
      </c>
      <c r="D2198" t="s">
        <v>266</v>
      </c>
      <c r="E2198" t="s">
        <v>965</v>
      </c>
      <c r="F2198" t="s">
        <v>231</v>
      </c>
      <c r="G2198" t="s">
        <v>999</v>
      </c>
      <c r="H2198" s="9">
        <v>44693</v>
      </c>
      <c r="I2198" t="s">
        <v>408</v>
      </c>
      <c r="J2198" t="s">
        <v>2</v>
      </c>
      <c r="K2198" s="9">
        <v>44697</v>
      </c>
      <c r="L2198" t="s">
        <v>29</v>
      </c>
      <c r="M2198" t="s">
        <v>1929</v>
      </c>
      <c r="N2198"/>
      <c r="O2198"/>
      <c r="P2198"/>
      <c r="Q2198"/>
      <c r="R2198"/>
      <c r="S2198"/>
      <c r="T2198"/>
      <c r="U2198"/>
    </row>
    <row r="2199" spans="1:21" hidden="1">
      <c r="A2199" s="7" t="s">
        <v>8792</v>
      </c>
      <c r="B2199" s="7" t="s">
        <v>7427</v>
      </c>
      <c r="C2199" s="8" t="s">
        <v>5318</v>
      </c>
      <c r="D2199" t="s">
        <v>266</v>
      </c>
      <c r="E2199" t="s">
        <v>965</v>
      </c>
      <c r="F2199" t="s">
        <v>231</v>
      </c>
      <c r="G2199" t="s">
        <v>1000</v>
      </c>
      <c r="H2199" s="9">
        <v>44693</v>
      </c>
      <c r="I2199" t="s">
        <v>408</v>
      </c>
      <c r="J2199" t="s">
        <v>2</v>
      </c>
      <c r="K2199" s="9">
        <v>44697</v>
      </c>
      <c r="L2199" t="s">
        <v>29</v>
      </c>
      <c r="M2199" t="s">
        <v>1929</v>
      </c>
      <c r="N2199"/>
      <c r="O2199"/>
      <c r="P2199"/>
      <c r="Q2199"/>
      <c r="R2199"/>
      <c r="S2199"/>
      <c r="T2199"/>
      <c r="U2199"/>
    </row>
    <row r="2200" spans="1:21" hidden="1">
      <c r="A2200" s="7" t="s">
        <v>8798</v>
      </c>
      <c r="B2200" s="7" t="s">
        <v>7439</v>
      </c>
      <c r="C2200" s="8" t="s">
        <v>5318</v>
      </c>
      <c r="D2200" t="s">
        <v>266</v>
      </c>
      <c r="E2200" t="s">
        <v>1001</v>
      </c>
      <c r="F2200" t="s">
        <v>117</v>
      </c>
      <c r="G2200" t="s">
        <v>1002</v>
      </c>
      <c r="H2200" s="9">
        <v>44693</v>
      </c>
      <c r="I2200" t="s">
        <v>882</v>
      </c>
      <c r="J2200" t="s">
        <v>2</v>
      </c>
      <c r="K2200" s="9">
        <v>44697</v>
      </c>
      <c r="L2200" t="s">
        <v>29</v>
      </c>
      <c r="M2200" t="s">
        <v>1929</v>
      </c>
      <c r="N2200"/>
      <c r="O2200"/>
      <c r="P2200"/>
      <c r="Q2200"/>
      <c r="R2200"/>
      <c r="S2200"/>
      <c r="T2200"/>
      <c r="U2200"/>
    </row>
    <row r="2201" spans="1:21" hidden="1">
      <c r="A2201" s="7" t="s">
        <v>8798</v>
      </c>
      <c r="B2201" s="7" t="s">
        <v>7439</v>
      </c>
      <c r="C2201" s="8" t="s">
        <v>5318</v>
      </c>
      <c r="D2201" t="s">
        <v>266</v>
      </c>
      <c r="E2201" t="s">
        <v>1001</v>
      </c>
      <c r="F2201" t="s">
        <v>117</v>
      </c>
      <c r="G2201" t="s">
        <v>1003</v>
      </c>
      <c r="H2201" s="9">
        <v>44693</v>
      </c>
      <c r="I2201" t="s">
        <v>882</v>
      </c>
      <c r="J2201" t="s">
        <v>2</v>
      </c>
      <c r="K2201" s="9">
        <v>44697</v>
      </c>
      <c r="L2201" t="s">
        <v>29</v>
      </c>
      <c r="M2201" t="s">
        <v>1929</v>
      </c>
      <c r="N2201"/>
      <c r="O2201"/>
      <c r="P2201"/>
      <c r="Q2201"/>
      <c r="R2201"/>
      <c r="S2201"/>
      <c r="T2201"/>
      <c r="U2201"/>
    </row>
    <row r="2202" spans="1:21" hidden="1">
      <c r="A2202" s="7" t="s">
        <v>8798</v>
      </c>
      <c r="B2202" s="7" t="s">
        <v>7439</v>
      </c>
      <c r="C2202" s="8" t="s">
        <v>5318</v>
      </c>
      <c r="D2202" t="s">
        <v>266</v>
      </c>
      <c r="E2202" t="s">
        <v>1001</v>
      </c>
      <c r="F2202" t="s">
        <v>117</v>
      </c>
      <c r="G2202" t="s">
        <v>1004</v>
      </c>
      <c r="H2202" s="9">
        <v>44693</v>
      </c>
      <c r="I2202" t="s">
        <v>882</v>
      </c>
      <c r="J2202" t="s">
        <v>2</v>
      </c>
      <c r="K2202" s="9">
        <v>44697</v>
      </c>
      <c r="L2202" t="s">
        <v>29</v>
      </c>
      <c r="M2202" t="s">
        <v>1929</v>
      </c>
      <c r="N2202"/>
      <c r="O2202"/>
      <c r="P2202"/>
      <c r="Q2202"/>
      <c r="R2202"/>
      <c r="S2202"/>
      <c r="T2202"/>
      <c r="U2202"/>
    </row>
    <row r="2203" spans="1:21" hidden="1">
      <c r="A2203" s="7" t="s">
        <v>8784</v>
      </c>
      <c r="B2203" s="7" t="s">
        <v>7317</v>
      </c>
      <c r="C2203" s="8" t="s">
        <v>5318</v>
      </c>
      <c r="D2203" t="s">
        <v>266</v>
      </c>
      <c r="E2203" t="s">
        <v>890</v>
      </c>
      <c r="F2203" t="s">
        <v>209</v>
      </c>
      <c r="G2203" t="s">
        <v>1005</v>
      </c>
      <c r="H2203" s="9">
        <v>44693</v>
      </c>
      <c r="I2203" t="s">
        <v>408</v>
      </c>
      <c r="J2203" t="s">
        <v>2</v>
      </c>
      <c r="K2203" s="9">
        <v>44697</v>
      </c>
      <c r="L2203" t="s">
        <v>29</v>
      </c>
      <c r="M2203" t="s">
        <v>1929</v>
      </c>
      <c r="N2203"/>
      <c r="O2203"/>
      <c r="P2203"/>
      <c r="Q2203"/>
      <c r="R2203"/>
      <c r="S2203"/>
      <c r="T2203"/>
      <c r="U2203"/>
    </row>
    <row r="2204" spans="1:21" hidden="1">
      <c r="A2204" s="7" t="s">
        <v>8789</v>
      </c>
      <c r="B2204" s="7" t="s">
        <v>6643</v>
      </c>
      <c r="C2204" s="8" t="s">
        <v>5318</v>
      </c>
      <c r="D2204" t="s">
        <v>266</v>
      </c>
      <c r="E2204" t="s">
        <v>908</v>
      </c>
      <c r="F2204" t="s">
        <v>83</v>
      </c>
      <c r="G2204" t="s">
        <v>1006</v>
      </c>
      <c r="H2204" s="9">
        <v>44693</v>
      </c>
      <c r="I2204" t="s">
        <v>408</v>
      </c>
      <c r="J2204" t="s">
        <v>2</v>
      </c>
      <c r="K2204" s="9">
        <v>44697</v>
      </c>
      <c r="L2204" t="s">
        <v>29</v>
      </c>
      <c r="M2204" t="s">
        <v>1929</v>
      </c>
      <c r="N2204"/>
      <c r="O2204"/>
      <c r="P2204"/>
      <c r="Q2204"/>
      <c r="R2204"/>
      <c r="S2204"/>
      <c r="T2204"/>
      <c r="U2204"/>
    </row>
    <row r="2205" spans="1:21" hidden="1">
      <c r="A2205" s="7" t="s">
        <v>8784</v>
      </c>
      <c r="B2205" s="7" t="s">
        <v>7317</v>
      </c>
      <c r="C2205" s="8" t="s">
        <v>5318</v>
      </c>
      <c r="D2205" t="s">
        <v>266</v>
      </c>
      <c r="E2205" t="s">
        <v>890</v>
      </c>
      <c r="F2205" t="s">
        <v>209</v>
      </c>
      <c r="G2205" t="s">
        <v>1007</v>
      </c>
      <c r="H2205" s="9">
        <v>44693</v>
      </c>
      <c r="I2205" t="s">
        <v>408</v>
      </c>
      <c r="J2205" t="s">
        <v>2</v>
      </c>
      <c r="K2205" s="9">
        <v>44697</v>
      </c>
      <c r="L2205" t="s">
        <v>29</v>
      </c>
      <c r="M2205" t="s">
        <v>1929</v>
      </c>
      <c r="N2205"/>
      <c r="O2205"/>
      <c r="P2205"/>
      <c r="Q2205"/>
      <c r="R2205"/>
      <c r="S2205"/>
      <c r="T2205"/>
      <c r="U2205"/>
    </row>
    <row r="2206" spans="1:21" hidden="1">
      <c r="A2206" s="7" t="s">
        <v>8792</v>
      </c>
      <c r="B2206" s="7" t="s">
        <v>7427</v>
      </c>
      <c r="C2206" s="8" t="s">
        <v>5318</v>
      </c>
      <c r="D2206" t="s">
        <v>266</v>
      </c>
      <c r="E2206" t="s">
        <v>965</v>
      </c>
      <c r="F2206" t="s">
        <v>231</v>
      </c>
      <c r="G2206" t="s">
        <v>1008</v>
      </c>
      <c r="H2206" s="9">
        <v>44693</v>
      </c>
      <c r="I2206" t="s">
        <v>408</v>
      </c>
      <c r="J2206" t="s">
        <v>2</v>
      </c>
      <c r="K2206" s="9">
        <v>44697</v>
      </c>
      <c r="L2206" t="s">
        <v>29</v>
      </c>
      <c r="M2206" t="s">
        <v>1929</v>
      </c>
      <c r="N2206"/>
      <c r="O2206"/>
      <c r="P2206"/>
      <c r="Q2206"/>
      <c r="R2206"/>
      <c r="S2206"/>
      <c r="T2206"/>
      <c r="U2206"/>
    </row>
    <row r="2207" spans="1:21" hidden="1">
      <c r="A2207" s="7" t="s">
        <v>8796</v>
      </c>
      <c r="B2207" s="7" t="s">
        <v>6933</v>
      </c>
      <c r="C2207" s="8" t="s">
        <v>5318</v>
      </c>
      <c r="D2207" t="s">
        <v>266</v>
      </c>
      <c r="E2207" t="s">
        <v>993</v>
      </c>
      <c r="F2207" t="s">
        <v>117</v>
      </c>
      <c r="G2207" t="s">
        <v>1890</v>
      </c>
      <c r="H2207" s="9">
        <v>44693</v>
      </c>
      <c r="I2207" t="s">
        <v>408</v>
      </c>
      <c r="J2207" t="s">
        <v>2</v>
      </c>
      <c r="K2207" s="9">
        <v>44697</v>
      </c>
      <c r="L2207" t="s">
        <v>29</v>
      </c>
      <c r="M2207" t="s">
        <v>1929</v>
      </c>
      <c r="N2207"/>
      <c r="O2207"/>
      <c r="P2207"/>
      <c r="Q2207"/>
      <c r="R2207"/>
      <c r="S2207"/>
      <c r="T2207"/>
      <c r="U2207"/>
    </row>
    <row r="2208" spans="1:21" hidden="1">
      <c r="A2208" s="7" t="s">
        <v>8796</v>
      </c>
      <c r="B2208" s="7" t="s">
        <v>6933</v>
      </c>
      <c r="C2208" s="8" t="s">
        <v>5318</v>
      </c>
      <c r="D2208" t="s">
        <v>266</v>
      </c>
      <c r="E2208" t="s">
        <v>993</v>
      </c>
      <c r="F2208" t="s">
        <v>117</v>
      </c>
      <c r="G2208" t="s">
        <v>1891</v>
      </c>
      <c r="H2208" s="9">
        <v>44693</v>
      </c>
      <c r="I2208" t="s">
        <v>408</v>
      </c>
      <c r="J2208" t="s">
        <v>2</v>
      </c>
      <c r="K2208" s="9">
        <v>44697</v>
      </c>
      <c r="L2208" t="s">
        <v>29</v>
      </c>
      <c r="M2208" t="s">
        <v>1929</v>
      </c>
      <c r="N2208"/>
      <c r="O2208"/>
      <c r="P2208"/>
      <c r="Q2208"/>
      <c r="R2208"/>
      <c r="S2208"/>
      <c r="T2208"/>
      <c r="U2208"/>
    </row>
    <row r="2209" spans="1:21" hidden="1">
      <c r="A2209" s="7" t="s">
        <v>8799</v>
      </c>
      <c r="B2209" s="7" t="s">
        <v>6671</v>
      </c>
      <c r="C2209" s="8" t="s">
        <v>5318</v>
      </c>
      <c r="D2209" t="s">
        <v>266</v>
      </c>
      <c r="E2209" t="s">
        <v>1009</v>
      </c>
      <c r="F2209" t="s">
        <v>117</v>
      </c>
      <c r="G2209" t="s">
        <v>1010</v>
      </c>
      <c r="H2209" s="9">
        <v>44693</v>
      </c>
      <c r="I2209" t="s">
        <v>408</v>
      </c>
      <c r="J2209" t="s">
        <v>2</v>
      </c>
      <c r="K2209" s="9">
        <v>44697</v>
      </c>
      <c r="L2209" t="s">
        <v>29</v>
      </c>
      <c r="M2209" t="s">
        <v>1929</v>
      </c>
      <c r="N2209"/>
      <c r="O2209"/>
      <c r="P2209"/>
      <c r="Q2209"/>
      <c r="R2209"/>
      <c r="S2209"/>
      <c r="T2209"/>
      <c r="U2209"/>
    </row>
    <row r="2210" spans="1:21" hidden="1">
      <c r="A2210" s="7" t="s">
        <v>8800</v>
      </c>
      <c r="B2210" s="7" t="s">
        <v>6671</v>
      </c>
      <c r="C2210" s="8" t="s">
        <v>5318</v>
      </c>
      <c r="D2210" t="s">
        <v>266</v>
      </c>
      <c r="E2210" t="s">
        <v>1009</v>
      </c>
      <c r="F2210" t="s">
        <v>433</v>
      </c>
      <c r="G2210" t="s">
        <v>1010</v>
      </c>
      <c r="H2210" s="9">
        <v>44693</v>
      </c>
      <c r="I2210" t="s">
        <v>408</v>
      </c>
      <c r="J2210" t="s">
        <v>2</v>
      </c>
      <c r="K2210" s="9">
        <v>44697</v>
      </c>
      <c r="L2210" t="s">
        <v>29</v>
      </c>
      <c r="M2210" t="s">
        <v>1929</v>
      </c>
      <c r="N2210"/>
      <c r="O2210"/>
      <c r="P2210"/>
      <c r="Q2210"/>
      <c r="R2210"/>
      <c r="S2210"/>
      <c r="T2210"/>
      <c r="U2210"/>
    </row>
    <row r="2211" spans="1:21" hidden="1">
      <c r="A2211" s="7" t="s">
        <v>8789</v>
      </c>
      <c r="B2211" s="7" t="s">
        <v>6643</v>
      </c>
      <c r="C2211" s="8" t="s">
        <v>5318</v>
      </c>
      <c r="D2211" t="s">
        <v>266</v>
      </c>
      <c r="E2211" t="s">
        <v>908</v>
      </c>
      <c r="F2211" t="s">
        <v>83</v>
      </c>
      <c r="G2211" t="s">
        <v>1011</v>
      </c>
      <c r="H2211" s="9">
        <v>44693</v>
      </c>
      <c r="I2211" t="s">
        <v>408</v>
      </c>
      <c r="J2211" t="s">
        <v>2</v>
      </c>
      <c r="K2211" s="9">
        <v>44697</v>
      </c>
      <c r="L2211" t="s">
        <v>29</v>
      </c>
      <c r="M2211" t="s">
        <v>1929</v>
      </c>
      <c r="N2211"/>
      <c r="O2211"/>
      <c r="P2211"/>
      <c r="Q2211"/>
      <c r="R2211"/>
      <c r="S2211"/>
      <c r="T2211"/>
      <c r="U2211"/>
    </row>
    <row r="2212" spans="1:21" hidden="1">
      <c r="A2212" s="7" t="s">
        <v>8796</v>
      </c>
      <c r="B2212" s="7" t="s">
        <v>6933</v>
      </c>
      <c r="C2212" s="8" t="s">
        <v>5318</v>
      </c>
      <c r="D2212" t="s">
        <v>266</v>
      </c>
      <c r="E2212" t="s">
        <v>993</v>
      </c>
      <c r="F2212" t="s">
        <v>117</v>
      </c>
      <c r="G2212" t="s">
        <v>1893</v>
      </c>
      <c r="H2212" s="9">
        <v>44693</v>
      </c>
      <c r="I2212" t="s">
        <v>408</v>
      </c>
      <c r="J2212" t="s">
        <v>2</v>
      </c>
      <c r="K2212" s="9">
        <v>44697</v>
      </c>
      <c r="L2212" t="s">
        <v>29</v>
      </c>
      <c r="M2212" t="s">
        <v>1929</v>
      </c>
      <c r="N2212"/>
      <c r="O2212"/>
      <c r="P2212"/>
      <c r="Q2212"/>
      <c r="R2212"/>
      <c r="S2212"/>
      <c r="T2212"/>
      <c r="U2212"/>
    </row>
    <row r="2213" spans="1:21" hidden="1">
      <c r="A2213" s="7" t="s">
        <v>8796</v>
      </c>
      <c r="B2213" s="7" t="s">
        <v>6933</v>
      </c>
      <c r="C2213" s="8" t="s">
        <v>5318</v>
      </c>
      <c r="D2213" t="s">
        <v>266</v>
      </c>
      <c r="E2213" t="s">
        <v>993</v>
      </c>
      <c r="F2213" t="s">
        <v>117</v>
      </c>
      <c r="G2213" t="s">
        <v>1892</v>
      </c>
      <c r="H2213" s="9">
        <v>44693</v>
      </c>
      <c r="I2213" t="s">
        <v>408</v>
      </c>
      <c r="J2213" t="s">
        <v>2</v>
      </c>
      <c r="K2213" s="9">
        <v>44697</v>
      </c>
      <c r="L2213" t="s">
        <v>29</v>
      </c>
      <c r="M2213" t="s">
        <v>1929</v>
      </c>
      <c r="N2213"/>
      <c r="O2213"/>
      <c r="P2213"/>
      <c r="Q2213"/>
      <c r="R2213"/>
      <c r="S2213"/>
      <c r="T2213"/>
      <c r="U2213"/>
    </row>
    <row r="2214" spans="1:21" hidden="1">
      <c r="A2214" s="7" t="s">
        <v>8757</v>
      </c>
      <c r="B2214" s="7" t="s">
        <v>5405</v>
      </c>
      <c r="C2214" s="8" t="s">
        <v>5318</v>
      </c>
      <c r="D2214" t="s">
        <v>266</v>
      </c>
      <c r="E2214" t="s">
        <v>25</v>
      </c>
      <c r="F2214" t="s">
        <v>491</v>
      </c>
      <c r="G2214" t="s">
        <v>1012</v>
      </c>
      <c r="H2214" s="9">
        <v>44693</v>
      </c>
      <c r="I2214" t="s">
        <v>8634</v>
      </c>
      <c r="J2214" t="s">
        <v>2</v>
      </c>
      <c r="K2214" s="9">
        <v>44697</v>
      </c>
      <c r="L2214" t="s">
        <v>29</v>
      </c>
      <c r="M2214" t="s">
        <v>1929</v>
      </c>
      <c r="N2214"/>
      <c r="O2214"/>
      <c r="P2214"/>
      <c r="Q2214" s="9">
        <v>44827</v>
      </c>
      <c r="R2214"/>
      <c r="S2214"/>
      <c r="T2214"/>
      <c r="U2214"/>
    </row>
    <row r="2215" spans="1:21" hidden="1">
      <c r="A2215" s="7" t="s">
        <v>8757</v>
      </c>
      <c r="B2215" s="7" t="s">
        <v>5405</v>
      </c>
      <c r="C2215" s="8" t="s">
        <v>5318</v>
      </c>
      <c r="D2215" t="s">
        <v>266</v>
      </c>
      <c r="E2215" t="s">
        <v>25</v>
      </c>
      <c r="F2215" t="s">
        <v>491</v>
      </c>
      <c r="G2215" t="s">
        <v>1013</v>
      </c>
      <c r="H2215" s="9">
        <v>44693</v>
      </c>
      <c r="I2215" t="s">
        <v>8634</v>
      </c>
      <c r="J2215" t="s">
        <v>2</v>
      </c>
      <c r="K2215" s="9">
        <v>44697</v>
      </c>
      <c r="L2215" t="s">
        <v>29</v>
      </c>
      <c r="M2215" t="s">
        <v>1929</v>
      </c>
      <c r="N2215"/>
      <c r="O2215"/>
      <c r="P2215"/>
      <c r="Q2215" s="9">
        <v>44827</v>
      </c>
      <c r="R2215"/>
      <c r="S2215"/>
      <c r="T2215"/>
      <c r="U2215"/>
    </row>
    <row r="2216" spans="1:21" hidden="1">
      <c r="A2216" s="7" t="s">
        <v>8757</v>
      </c>
      <c r="B2216" s="7" t="s">
        <v>5405</v>
      </c>
      <c r="C2216" s="8" t="s">
        <v>5318</v>
      </c>
      <c r="D2216" t="s">
        <v>266</v>
      </c>
      <c r="E2216" t="s">
        <v>25</v>
      </c>
      <c r="F2216" t="s">
        <v>491</v>
      </c>
      <c r="G2216" t="s">
        <v>1014</v>
      </c>
      <c r="H2216" s="9">
        <v>44693</v>
      </c>
      <c r="I2216" t="s">
        <v>8634</v>
      </c>
      <c r="J2216" t="s">
        <v>2</v>
      </c>
      <c r="K2216" s="9">
        <v>44697</v>
      </c>
      <c r="L2216" t="s">
        <v>29</v>
      </c>
      <c r="M2216" t="s">
        <v>1929</v>
      </c>
      <c r="N2216"/>
      <c r="O2216"/>
      <c r="P2216"/>
      <c r="Q2216"/>
      <c r="R2216"/>
      <c r="S2216"/>
      <c r="T2216"/>
      <c r="U2216"/>
    </row>
    <row r="2217" spans="1:21" hidden="1">
      <c r="A2217" s="7" t="s">
        <v>8801</v>
      </c>
      <c r="B2217" s="7" t="s">
        <v>8110</v>
      </c>
      <c r="C2217" s="8" t="s">
        <v>5318</v>
      </c>
      <c r="D2217" t="s">
        <v>266</v>
      </c>
      <c r="E2217" t="s">
        <v>1015</v>
      </c>
      <c r="F2217" t="s">
        <v>117</v>
      </c>
      <c r="G2217" t="s">
        <v>1016</v>
      </c>
      <c r="H2217" s="9">
        <v>44693</v>
      </c>
      <c r="I2217" t="s">
        <v>488</v>
      </c>
      <c r="J2217" t="s">
        <v>2</v>
      </c>
      <c r="K2217" s="9">
        <v>44697</v>
      </c>
      <c r="L2217" t="s">
        <v>29</v>
      </c>
      <c r="M2217" t="s">
        <v>1929</v>
      </c>
      <c r="N2217"/>
      <c r="O2217"/>
      <c r="P2217"/>
      <c r="Q2217"/>
      <c r="R2217"/>
      <c r="S2217"/>
      <c r="T2217"/>
      <c r="U2217"/>
    </row>
    <row r="2218" spans="1:21" hidden="1">
      <c r="A2218" s="7" t="s">
        <v>8801</v>
      </c>
      <c r="B2218" s="7" t="s">
        <v>8110</v>
      </c>
      <c r="C2218" s="8" t="s">
        <v>5318</v>
      </c>
      <c r="D2218" t="s">
        <v>266</v>
      </c>
      <c r="E2218" t="s">
        <v>1015</v>
      </c>
      <c r="F2218" t="s">
        <v>117</v>
      </c>
      <c r="G2218" t="s">
        <v>1017</v>
      </c>
      <c r="H2218" s="9">
        <v>44693</v>
      </c>
      <c r="I2218" t="s">
        <v>488</v>
      </c>
      <c r="J2218" t="s">
        <v>2</v>
      </c>
      <c r="K2218" s="9">
        <v>44697</v>
      </c>
      <c r="L2218" t="s">
        <v>29</v>
      </c>
      <c r="M2218" t="s">
        <v>1929</v>
      </c>
      <c r="N2218"/>
      <c r="O2218"/>
      <c r="P2218"/>
      <c r="Q2218"/>
      <c r="R2218"/>
      <c r="S2218"/>
      <c r="T2218"/>
      <c r="U2218"/>
    </row>
    <row r="2219" spans="1:21" hidden="1">
      <c r="A2219" s="7" t="s">
        <v>8802</v>
      </c>
      <c r="B2219" s="7" t="s">
        <v>7508</v>
      </c>
      <c r="C2219" s="8" t="s">
        <v>5318</v>
      </c>
      <c r="D2219" t="s">
        <v>266</v>
      </c>
      <c r="E2219" t="s">
        <v>1018</v>
      </c>
      <c r="F2219" t="s">
        <v>231</v>
      </c>
      <c r="G2219" t="s">
        <v>1019</v>
      </c>
      <c r="H2219" s="9">
        <v>44693</v>
      </c>
      <c r="I2219" t="s">
        <v>322</v>
      </c>
      <c r="J2219" t="s">
        <v>2</v>
      </c>
      <c r="K2219" s="9">
        <v>44697</v>
      </c>
      <c r="L2219" t="s">
        <v>29</v>
      </c>
      <c r="M2219" t="s">
        <v>1929</v>
      </c>
      <c r="N2219"/>
      <c r="O2219"/>
      <c r="P2219"/>
      <c r="Q2219"/>
      <c r="R2219"/>
      <c r="S2219"/>
      <c r="T2219"/>
      <c r="U2219"/>
    </row>
    <row r="2220" spans="1:21" hidden="1">
      <c r="A2220" s="7" t="s">
        <v>8803</v>
      </c>
      <c r="B2220" s="7" t="s">
        <v>6157</v>
      </c>
      <c r="C2220" s="8" t="s">
        <v>5318</v>
      </c>
      <c r="D2220" t="s">
        <v>266</v>
      </c>
      <c r="E2220" t="s">
        <v>1020</v>
      </c>
      <c r="F2220" t="s">
        <v>83</v>
      </c>
      <c r="G2220" t="s">
        <v>1021</v>
      </c>
      <c r="H2220" s="9">
        <v>44693</v>
      </c>
      <c r="I2220" t="s">
        <v>882</v>
      </c>
      <c r="J2220" t="s">
        <v>2</v>
      </c>
      <c r="K2220" s="9">
        <v>44697</v>
      </c>
      <c r="L2220" t="s">
        <v>29</v>
      </c>
      <c r="M2220" t="s">
        <v>1929</v>
      </c>
      <c r="N2220"/>
      <c r="O2220"/>
      <c r="P2220"/>
      <c r="Q2220"/>
      <c r="R2220"/>
      <c r="S2220"/>
      <c r="T2220"/>
      <c r="U2220"/>
    </row>
    <row r="2221" spans="1:21" hidden="1">
      <c r="A2221" s="7" t="s">
        <v>8803</v>
      </c>
      <c r="B2221" s="7" t="s">
        <v>6157</v>
      </c>
      <c r="C2221" s="8" t="s">
        <v>5318</v>
      </c>
      <c r="D2221" t="s">
        <v>266</v>
      </c>
      <c r="E2221" t="s">
        <v>1020</v>
      </c>
      <c r="F2221" t="s">
        <v>83</v>
      </c>
      <c r="G2221" t="s">
        <v>1022</v>
      </c>
      <c r="H2221" s="9">
        <v>44693</v>
      </c>
      <c r="I2221" t="s">
        <v>882</v>
      </c>
      <c r="J2221" t="s">
        <v>2</v>
      </c>
      <c r="K2221" s="9">
        <v>44697</v>
      </c>
      <c r="L2221" t="s">
        <v>29</v>
      </c>
      <c r="M2221" t="s">
        <v>1929</v>
      </c>
      <c r="N2221"/>
      <c r="O2221"/>
      <c r="P2221"/>
      <c r="Q2221"/>
      <c r="R2221"/>
      <c r="S2221"/>
      <c r="T2221"/>
      <c r="U2221"/>
    </row>
    <row r="2222" spans="1:21" hidden="1">
      <c r="A2222" s="7" t="s">
        <v>8803</v>
      </c>
      <c r="B2222" s="7" t="s">
        <v>6157</v>
      </c>
      <c r="C2222" s="8" t="s">
        <v>5318</v>
      </c>
      <c r="D2222" t="s">
        <v>266</v>
      </c>
      <c r="E2222" t="s">
        <v>1020</v>
      </c>
      <c r="F2222" t="s">
        <v>83</v>
      </c>
      <c r="G2222" t="s">
        <v>1023</v>
      </c>
      <c r="H2222" s="9">
        <v>44693</v>
      </c>
      <c r="I2222" t="s">
        <v>882</v>
      </c>
      <c r="J2222" t="s">
        <v>2</v>
      </c>
      <c r="K2222" s="9">
        <v>44697</v>
      </c>
      <c r="L2222" t="s">
        <v>29</v>
      </c>
      <c r="M2222" t="s">
        <v>1929</v>
      </c>
      <c r="N2222"/>
      <c r="O2222"/>
      <c r="P2222"/>
      <c r="Q2222"/>
      <c r="R2222"/>
      <c r="S2222"/>
      <c r="T2222"/>
      <c r="U2222"/>
    </row>
    <row r="2223" spans="1:21" hidden="1">
      <c r="A2223" s="7" t="s">
        <v>8803</v>
      </c>
      <c r="B2223" s="7" t="s">
        <v>6157</v>
      </c>
      <c r="C2223" s="8" t="s">
        <v>5318</v>
      </c>
      <c r="D2223" t="s">
        <v>266</v>
      </c>
      <c r="E2223" t="s">
        <v>1020</v>
      </c>
      <c r="F2223" t="s">
        <v>83</v>
      </c>
      <c r="G2223" t="s">
        <v>1024</v>
      </c>
      <c r="H2223" s="9">
        <v>44693</v>
      </c>
      <c r="I2223" t="s">
        <v>882</v>
      </c>
      <c r="J2223" t="s">
        <v>2</v>
      </c>
      <c r="K2223" s="9">
        <v>44697</v>
      </c>
      <c r="L2223" t="s">
        <v>29</v>
      </c>
      <c r="M2223" t="s">
        <v>1929</v>
      </c>
      <c r="N2223"/>
      <c r="O2223"/>
      <c r="P2223"/>
      <c r="Q2223"/>
      <c r="R2223"/>
      <c r="S2223"/>
      <c r="T2223"/>
      <c r="U2223"/>
    </row>
    <row r="2224" spans="1:21" hidden="1">
      <c r="A2224" s="7" t="s">
        <v>8803</v>
      </c>
      <c r="B2224" s="7" t="s">
        <v>6157</v>
      </c>
      <c r="C2224" s="8" t="s">
        <v>5318</v>
      </c>
      <c r="D2224" t="s">
        <v>266</v>
      </c>
      <c r="E2224" t="s">
        <v>1020</v>
      </c>
      <c r="F2224" t="s">
        <v>83</v>
      </c>
      <c r="G2224" t="s">
        <v>1025</v>
      </c>
      <c r="H2224" s="9">
        <v>44693</v>
      </c>
      <c r="I2224" t="s">
        <v>882</v>
      </c>
      <c r="J2224" t="s">
        <v>2</v>
      </c>
      <c r="K2224" s="9">
        <v>44697</v>
      </c>
      <c r="L2224" t="s">
        <v>29</v>
      </c>
      <c r="M2224" t="s">
        <v>1929</v>
      </c>
      <c r="N2224"/>
      <c r="O2224"/>
      <c r="P2224"/>
      <c r="Q2224"/>
      <c r="R2224"/>
      <c r="S2224"/>
      <c r="T2224"/>
      <c r="U2224"/>
    </row>
    <row r="2225" spans="1:21" hidden="1">
      <c r="A2225" s="7" t="s">
        <v>8804</v>
      </c>
      <c r="B2225" s="7" t="s">
        <v>7832</v>
      </c>
      <c r="C2225" s="8" t="s">
        <v>5318</v>
      </c>
      <c r="D2225" t="s">
        <v>266</v>
      </c>
      <c r="E2225" t="s">
        <v>1026</v>
      </c>
      <c r="F2225" t="s">
        <v>117</v>
      </c>
      <c r="G2225" t="s">
        <v>1027</v>
      </c>
      <c r="H2225" s="9">
        <v>44693</v>
      </c>
      <c r="I2225" t="s">
        <v>488</v>
      </c>
      <c r="J2225" t="s">
        <v>2</v>
      </c>
      <c r="K2225" s="9">
        <v>44697</v>
      </c>
      <c r="L2225" t="s">
        <v>29</v>
      </c>
      <c r="M2225" t="s">
        <v>1930</v>
      </c>
      <c r="N2225"/>
      <c r="O2225"/>
      <c r="P2225"/>
      <c r="Q2225"/>
      <c r="R2225"/>
      <c r="S2225"/>
      <c r="T2225"/>
      <c r="U2225"/>
    </row>
    <row r="2226" spans="1:21" hidden="1">
      <c r="A2226" s="7" t="s">
        <v>8804</v>
      </c>
      <c r="B2226" s="7" t="s">
        <v>7832</v>
      </c>
      <c r="C2226" s="8" t="s">
        <v>5318</v>
      </c>
      <c r="D2226" t="s">
        <v>266</v>
      </c>
      <c r="E2226" t="s">
        <v>1026</v>
      </c>
      <c r="F2226" t="s">
        <v>117</v>
      </c>
      <c r="G2226" t="s">
        <v>1028</v>
      </c>
      <c r="H2226" s="9">
        <v>44693</v>
      </c>
      <c r="I2226" t="s">
        <v>488</v>
      </c>
      <c r="J2226" t="s">
        <v>2</v>
      </c>
      <c r="K2226" s="9">
        <v>44697</v>
      </c>
      <c r="L2226" t="s">
        <v>29</v>
      </c>
      <c r="M2226" t="s">
        <v>1930</v>
      </c>
      <c r="N2226"/>
      <c r="O2226"/>
      <c r="P2226"/>
      <c r="Q2226"/>
      <c r="R2226"/>
      <c r="S2226"/>
      <c r="T2226"/>
      <c r="U2226"/>
    </row>
    <row r="2227" spans="1:21" hidden="1">
      <c r="A2227" s="7" t="s">
        <v>8804</v>
      </c>
      <c r="B2227" s="7" t="s">
        <v>7832</v>
      </c>
      <c r="C2227" s="8" t="s">
        <v>5318</v>
      </c>
      <c r="D2227" t="s">
        <v>266</v>
      </c>
      <c r="E2227" t="s">
        <v>1026</v>
      </c>
      <c r="F2227" t="s">
        <v>117</v>
      </c>
      <c r="G2227" t="s">
        <v>1029</v>
      </c>
      <c r="H2227" s="9">
        <v>44693</v>
      </c>
      <c r="I2227" t="s">
        <v>488</v>
      </c>
      <c r="J2227" t="s">
        <v>2</v>
      </c>
      <c r="K2227" s="9">
        <v>44697</v>
      </c>
      <c r="L2227" t="s">
        <v>29</v>
      </c>
      <c r="M2227" t="s">
        <v>1930</v>
      </c>
      <c r="N2227"/>
      <c r="O2227"/>
      <c r="P2227"/>
      <c r="Q2227"/>
      <c r="R2227"/>
      <c r="S2227"/>
      <c r="T2227"/>
      <c r="U2227"/>
    </row>
    <row r="2228" spans="1:21" hidden="1">
      <c r="A2228" s="7" t="s">
        <v>8804</v>
      </c>
      <c r="B2228" s="7" t="s">
        <v>7832</v>
      </c>
      <c r="C2228" s="8" t="s">
        <v>5318</v>
      </c>
      <c r="D2228" t="s">
        <v>266</v>
      </c>
      <c r="E2228" t="s">
        <v>1026</v>
      </c>
      <c r="F2228" t="s">
        <v>117</v>
      </c>
      <c r="G2228" t="s">
        <v>1030</v>
      </c>
      <c r="H2228" s="9">
        <v>44693</v>
      </c>
      <c r="I2228" t="s">
        <v>488</v>
      </c>
      <c r="J2228" t="s">
        <v>2</v>
      </c>
      <c r="K2228" s="9">
        <v>44697</v>
      </c>
      <c r="L2228" t="s">
        <v>29</v>
      </c>
      <c r="M2228" t="s">
        <v>1930</v>
      </c>
      <c r="N2228"/>
      <c r="O2228"/>
      <c r="P2228"/>
      <c r="Q2228"/>
      <c r="R2228"/>
      <c r="S2228"/>
      <c r="T2228"/>
      <c r="U2228"/>
    </row>
    <row r="2229" spans="1:21" hidden="1">
      <c r="A2229" s="7" t="s">
        <v>8804</v>
      </c>
      <c r="B2229" s="7" t="s">
        <v>7832</v>
      </c>
      <c r="C2229" s="8" t="s">
        <v>5318</v>
      </c>
      <c r="D2229" t="s">
        <v>266</v>
      </c>
      <c r="E2229" t="s">
        <v>1026</v>
      </c>
      <c r="F2229" t="s">
        <v>117</v>
      </c>
      <c r="G2229" t="s">
        <v>1031</v>
      </c>
      <c r="H2229" s="9">
        <v>44693</v>
      </c>
      <c r="I2229" t="s">
        <v>488</v>
      </c>
      <c r="J2229" t="s">
        <v>2</v>
      </c>
      <c r="K2229" s="9">
        <v>44697</v>
      </c>
      <c r="L2229" t="s">
        <v>29</v>
      </c>
      <c r="M2229" t="s">
        <v>1930</v>
      </c>
      <c r="N2229"/>
      <c r="O2229"/>
      <c r="P2229"/>
      <c r="Q2229"/>
      <c r="R2229"/>
      <c r="S2229"/>
      <c r="T2229"/>
      <c r="U2229"/>
    </row>
    <row r="2230" spans="1:21" hidden="1">
      <c r="A2230" s="7" t="s">
        <v>8805</v>
      </c>
      <c r="B2230" s="7" t="s">
        <v>6936</v>
      </c>
      <c r="C2230" s="8" t="s">
        <v>5318</v>
      </c>
      <c r="D2230" t="s">
        <v>266</v>
      </c>
      <c r="E2230" t="s">
        <v>1032</v>
      </c>
      <c r="F2230" t="s">
        <v>83</v>
      </c>
      <c r="G2230" t="s">
        <v>1033</v>
      </c>
      <c r="H2230" s="9">
        <v>44693</v>
      </c>
      <c r="I2230" t="s">
        <v>984</v>
      </c>
      <c r="J2230" t="s">
        <v>2</v>
      </c>
      <c r="K2230" s="9">
        <v>44697</v>
      </c>
      <c r="L2230" t="s">
        <v>29</v>
      </c>
      <c r="M2230" t="s">
        <v>1929</v>
      </c>
      <c r="N2230"/>
      <c r="O2230"/>
      <c r="P2230"/>
      <c r="Q2230"/>
      <c r="R2230"/>
      <c r="S2230"/>
      <c r="T2230"/>
      <c r="U2230"/>
    </row>
    <row r="2231" spans="1:21" hidden="1">
      <c r="A2231" s="7" t="s">
        <v>8806</v>
      </c>
      <c r="B2231" s="7" t="s">
        <v>7593</v>
      </c>
      <c r="C2231" s="8" t="s">
        <v>5318</v>
      </c>
      <c r="D2231" t="s">
        <v>266</v>
      </c>
      <c r="E2231" t="s">
        <v>1034</v>
      </c>
      <c r="F2231" t="s">
        <v>117</v>
      </c>
      <c r="G2231" t="s">
        <v>1035</v>
      </c>
      <c r="H2231" s="9">
        <v>44693</v>
      </c>
      <c r="I2231" t="s">
        <v>984</v>
      </c>
      <c r="J2231" t="s">
        <v>2</v>
      </c>
      <c r="K2231" s="9">
        <v>44697</v>
      </c>
      <c r="L2231" t="s">
        <v>29</v>
      </c>
      <c r="M2231" t="s">
        <v>1929</v>
      </c>
      <c r="N2231"/>
      <c r="O2231"/>
      <c r="P2231"/>
      <c r="Q2231" s="9">
        <v>44872</v>
      </c>
      <c r="R2231"/>
      <c r="S2231"/>
      <c r="T2231"/>
      <c r="U2231"/>
    </row>
    <row r="2232" spans="1:21" hidden="1">
      <c r="A2232" s="7" t="s">
        <v>8806</v>
      </c>
      <c r="B2232" s="7" t="s">
        <v>7593</v>
      </c>
      <c r="C2232" s="8" t="s">
        <v>5318</v>
      </c>
      <c r="D2232" t="s">
        <v>266</v>
      </c>
      <c r="E2232" t="s">
        <v>1034</v>
      </c>
      <c r="F2232" t="s">
        <v>117</v>
      </c>
      <c r="G2232" t="s">
        <v>1036</v>
      </c>
      <c r="H2232" s="9">
        <v>44693</v>
      </c>
      <c r="I2232" t="s">
        <v>984</v>
      </c>
      <c r="J2232" t="s">
        <v>2</v>
      </c>
      <c r="K2232" s="9">
        <v>44697</v>
      </c>
      <c r="L2232" t="s">
        <v>29</v>
      </c>
      <c r="M2232" t="s">
        <v>1929</v>
      </c>
      <c r="N2232"/>
      <c r="O2232"/>
      <c r="P2232"/>
      <c r="Q2232" s="9">
        <v>44872</v>
      </c>
      <c r="R2232"/>
      <c r="S2232"/>
      <c r="T2232"/>
      <c r="U2232"/>
    </row>
    <row r="2233" spans="1:21" hidden="1">
      <c r="A2233" s="7" t="s">
        <v>8807</v>
      </c>
      <c r="B2233" s="7" t="s">
        <v>6896</v>
      </c>
      <c r="C2233" s="8" t="s">
        <v>5318</v>
      </c>
      <c r="D2233" t="s">
        <v>266</v>
      </c>
      <c r="E2233" t="s">
        <v>1037</v>
      </c>
      <c r="F2233" t="s">
        <v>75</v>
      </c>
      <c r="G2233" t="s">
        <v>1038</v>
      </c>
      <c r="H2233" s="9">
        <v>44693</v>
      </c>
      <c r="I2233" t="s">
        <v>984</v>
      </c>
      <c r="J2233" t="s">
        <v>2</v>
      </c>
      <c r="K2233" s="9">
        <v>44697</v>
      </c>
      <c r="L2233" t="s">
        <v>29</v>
      </c>
      <c r="M2233" t="s">
        <v>1929</v>
      </c>
      <c r="N2233"/>
      <c r="O2233"/>
      <c r="P2233"/>
      <c r="Q2233" s="9">
        <v>44697</v>
      </c>
      <c r="R2233"/>
      <c r="S2233"/>
      <c r="T2233"/>
      <c r="U2233"/>
    </row>
    <row r="2234" spans="1:21" hidden="1">
      <c r="A2234" s="7" t="s">
        <v>8807</v>
      </c>
      <c r="B2234" s="7" t="s">
        <v>6896</v>
      </c>
      <c r="C2234" s="8" t="s">
        <v>5318</v>
      </c>
      <c r="D2234" t="s">
        <v>266</v>
      </c>
      <c r="E2234" t="s">
        <v>1037</v>
      </c>
      <c r="F2234" t="s">
        <v>75</v>
      </c>
      <c r="G2234" t="s">
        <v>1039</v>
      </c>
      <c r="H2234" s="9">
        <v>44693</v>
      </c>
      <c r="I2234" t="s">
        <v>984</v>
      </c>
      <c r="J2234" t="s">
        <v>2</v>
      </c>
      <c r="K2234" s="9">
        <v>44697</v>
      </c>
      <c r="L2234" t="s">
        <v>29</v>
      </c>
      <c r="M2234" t="s">
        <v>1929</v>
      </c>
      <c r="N2234"/>
      <c r="O2234"/>
      <c r="P2234"/>
      <c r="Q2234" s="9">
        <v>44697</v>
      </c>
      <c r="R2234"/>
      <c r="S2234"/>
      <c r="T2234"/>
      <c r="U2234"/>
    </row>
    <row r="2235" spans="1:21" hidden="1">
      <c r="A2235" s="7" t="s">
        <v>8808</v>
      </c>
      <c r="B2235" s="7" t="s">
        <v>7973</v>
      </c>
      <c r="C2235" s="8" t="s">
        <v>5318</v>
      </c>
      <c r="D2235" t="s">
        <v>266</v>
      </c>
      <c r="E2235" t="s">
        <v>1040</v>
      </c>
      <c r="F2235" t="s">
        <v>117</v>
      </c>
      <c r="G2235" t="s">
        <v>1041</v>
      </c>
      <c r="H2235" s="9">
        <v>44693</v>
      </c>
      <c r="I2235" t="s">
        <v>984</v>
      </c>
      <c r="J2235" t="s">
        <v>2</v>
      </c>
      <c r="K2235" s="9">
        <v>44697</v>
      </c>
      <c r="L2235" t="s">
        <v>29</v>
      </c>
      <c r="M2235" t="s">
        <v>1929</v>
      </c>
      <c r="N2235"/>
      <c r="O2235"/>
      <c r="P2235"/>
      <c r="Q2235" s="9">
        <v>44830</v>
      </c>
      <c r="R2235"/>
      <c r="S2235"/>
      <c r="T2235"/>
      <c r="U2235"/>
    </row>
    <row r="2236" spans="1:21" hidden="1">
      <c r="A2236" s="7" t="s">
        <v>8808</v>
      </c>
      <c r="B2236" s="7" t="s">
        <v>7973</v>
      </c>
      <c r="C2236" s="8" t="s">
        <v>5318</v>
      </c>
      <c r="D2236" t="s">
        <v>266</v>
      </c>
      <c r="E2236" t="s">
        <v>1040</v>
      </c>
      <c r="F2236" t="s">
        <v>117</v>
      </c>
      <c r="G2236" t="s">
        <v>1042</v>
      </c>
      <c r="H2236" s="9">
        <v>44693</v>
      </c>
      <c r="I2236" t="s">
        <v>984</v>
      </c>
      <c r="J2236" t="s">
        <v>2</v>
      </c>
      <c r="K2236" s="9">
        <v>44697</v>
      </c>
      <c r="L2236" t="s">
        <v>29</v>
      </c>
      <c r="M2236" t="s">
        <v>1929</v>
      </c>
      <c r="N2236"/>
      <c r="O2236"/>
      <c r="P2236"/>
      <c r="Q2236" s="9">
        <v>44830</v>
      </c>
      <c r="R2236"/>
      <c r="S2236"/>
      <c r="T2236"/>
      <c r="U2236"/>
    </row>
    <row r="2237" spans="1:21" hidden="1">
      <c r="A2237" s="7" t="s">
        <v>8808</v>
      </c>
      <c r="B2237" s="7" t="s">
        <v>7973</v>
      </c>
      <c r="C2237" s="8" t="s">
        <v>5318</v>
      </c>
      <c r="D2237" t="s">
        <v>266</v>
      </c>
      <c r="E2237" t="s">
        <v>1040</v>
      </c>
      <c r="F2237" t="s">
        <v>117</v>
      </c>
      <c r="G2237" t="s">
        <v>1043</v>
      </c>
      <c r="H2237" s="9">
        <v>44693</v>
      </c>
      <c r="I2237" t="s">
        <v>984</v>
      </c>
      <c r="J2237" t="s">
        <v>2</v>
      </c>
      <c r="K2237" s="9">
        <v>44697</v>
      </c>
      <c r="L2237" t="s">
        <v>29</v>
      </c>
      <c r="M2237" t="s">
        <v>1929</v>
      </c>
      <c r="N2237"/>
      <c r="O2237"/>
      <c r="P2237"/>
      <c r="Q2237" s="9">
        <v>44830</v>
      </c>
      <c r="R2237"/>
      <c r="S2237"/>
      <c r="T2237"/>
      <c r="U2237"/>
    </row>
    <row r="2238" spans="1:21" hidden="1">
      <c r="A2238" s="7" t="s">
        <v>8809</v>
      </c>
      <c r="B2238" s="7" t="s">
        <v>7973</v>
      </c>
      <c r="C2238" s="8" t="s">
        <v>5318</v>
      </c>
      <c r="D2238" t="s">
        <v>266</v>
      </c>
      <c r="E2238" t="s">
        <v>1040</v>
      </c>
      <c r="F2238" t="s">
        <v>231</v>
      </c>
      <c r="G2238" t="s">
        <v>1043</v>
      </c>
      <c r="H2238" s="9">
        <v>44693</v>
      </c>
      <c r="I2238" t="s">
        <v>984</v>
      </c>
      <c r="J2238" t="s">
        <v>2</v>
      </c>
      <c r="K2238" s="9">
        <v>44726</v>
      </c>
      <c r="L2238" t="s">
        <v>29</v>
      </c>
      <c r="M2238" t="s">
        <v>1928</v>
      </c>
      <c r="N2238"/>
      <c r="O2238"/>
      <c r="P2238"/>
      <c r="Q2238" s="9">
        <v>44697</v>
      </c>
      <c r="R2238"/>
      <c r="S2238"/>
      <c r="T2238"/>
      <c r="U2238"/>
    </row>
    <row r="2239" spans="1:21" hidden="1">
      <c r="A2239" s="7" t="s">
        <v>8808</v>
      </c>
      <c r="B2239" s="7" t="s">
        <v>7973</v>
      </c>
      <c r="C2239" s="8" t="s">
        <v>5318</v>
      </c>
      <c r="D2239" t="s">
        <v>266</v>
      </c>
      <c r="E2239" t="s">
        <v>1040</v>
      </c>
      <c r="F2239" t="s">
        <v>117</v>
      </c>
      <c r="G2239" t="s">
        <v>1044</v>
      </c>
      <c r="H2239" s="9">
        <v>44693</v>
      </c>
      <c r="I2239" t="s">
        <v>984</v>
      </c>
      <c r="J2239" t="s">
        <v>2</v>
      </c>
      <c r="K2239" s="9">
        <v>44697</v>
      </c>
      <c r="L2239" t="s">
        <v>29</v>
      </c>
      <c r="M2239" t="s">
        <v>1929</v>
      </c>
      <c r="N2239"/>
      <c r="O2239"/>
      <c r="P2239"/>
      <c r="Q2239" s="9">
        <v>44830</v>
      </c>
      <c r="R2239"/>
      <c r="S2239"/>
      <c r="T2239"/>
      <c r="U2239"/>
    </row>
    <row r="2240" spans="1:21" hidden="1">
      <c r="A2240" s="7" t="s">
        <v>8808</v>
      </c>
      <c r="B2240" s="7" t="s">
        <v>7973</v>
      </c>
      <c r="C2240" s="8" t="s">
        <v>5318</v>
      </c>
      <c r="D2240" t="s">
        <v>266</v>
      </c>
      <c r="E2240" t="s">
        <v>1040</v>
      </c>
      <c r="F2240" t="s">
        <v>117</v>
      </c>
      <c r="G2240" t="s">
        <v>1045</v>
      </c>
      <c r="H2240" s="9">
        <v>44693</v>
      </c>
      <c r="I2240" t="s">
        <v>984</v>
      </c>
      <c r="J2240" t="s">
        <v>2</v>
      </c>
      <c r="K2240" s="9">
        <v>44697</v>
      </c>
      <c r="L2240" t="s">
        <v>29</v>
      </c>
      <c r="M2240" t="s">
        <v>1929</v>
      </c>
      <c r="N2240"/>
      <c r="O2240"/>
      <c r="P2240"/>
      <c r="Q2240" s="9">
        <v>44830</v>
      </c>
      <c r="R2240"/>
      <c r="S2240"/>
      <c r="T2240"/>
      <c r="U2240"/>
    </row>
    <row r="2241" spans="1:21" hidden="1">
      <c r="A2241" s="7" t="s">
        <v>8808</v>
      </c>
      <c r="B2241" s="7" t="s">
        <v>7973</v>
      </c>
      <c r="C2241" s="8" t="s">
        <v>5318</v>
      </c>
      <c r="D2241" t="s">
        <v>266</v>
      </c>
      <c r="E2241" t="s">
        <v>1040</v>
      </c>
      <c r="F2241" t="s">
        <v>117</v>
      </c>
      <c r="G2241" t="s">
        <v>1046</v>
      </c>
      <c r="H2241" s="9">
        <v>44693</v>
      </c>
      <c r="I2241" t="s">
        <v>984</v>
      </c>
      <c r="J2241" t="s">
        <v>2</v>
      </c>
      <c r="K2241" s="9">
        <v>44697</v>
      </c>
      <c r="L2241" t="s">
        <v>29</v>
      </c>
      <c r="M2241" t="s">
        <v>1929</v>
      </c>
      <c r="N2241"/>
      <c r="O2241"/>
      <c r="P2241"/>
      <c r="Q2241" s="9">
        <v>44830</v>
      </c>
      <c r="R2241"/>
      <c r="S2241"/>
      <c r="T2241"/>
      <c r="U2241"/>
    </row>
    <row r="2242" spans="1:21" hidden="1">
      <c r="A2242" s="7" t="s">
        <v>8808</v>
      </c>
      <c r="B2242" s="7" t="s">
        <v>7973</v>
      </c>
      <c r="C2242" s="8" t="s">
        <v>5318</v>
      </c>
      <c r="D2242" t="s">
        <v>266</v>
      </c>
      <c r="E2242" t="s">
        <v>1040</v>
      </c>
      <c r="F2242" t="s">
        <v>117</v>
      </c>
      <c r="G2242" t="s">
        <v>1047</v>
      </c>
      <c r="H2242" s="9">
        <v>44693</v>
      </c>
      <c r="I2242" t="s">
        <v>984</v>
      </c>
      <c r="J2242" t="s">
        <v>2</v>
      </c>
      <c r="K2242" s="9">
        <v>44697</v>
      </c>
      <c r="L2242" t="s">
        <v>29</v>
      </c>
      <c r="M2242" t="s">
        <v>1929</v>
      </c>
      <c r="N2242"/>
      <c r="O2242"/>
      <c r="P2242"/>
      <c r="Q2242" s="9">
        <v>44830</v>
      </c>
      <c r="R2242"/>
      <c r="S2242"/>
      <c r="T2242"/>
      <c r="U2242"/>
    </row>
    <row r="2243" spans="1:21" hidden="1">
      <c r="A2243" s="7" t="s">
        <v>8807</v>
      </c>
      <c r="B2243" s="7" t="s">
        <v>6896</v>
      </c>
      <c r="C2243" s="8" t="s">
        <v>5318</v>
      </c>
      <c r="D2243" t="s">
        <v>266</v>
      </c>
      <c r="E2243" t="s">
        <v>1037</v>
      </c>
      <c r="F2243" t="s">
        <v>75</v>
      </c>
      <c r="G2243" t="s">
        <v>1048</v>
      </c>
      <c r="H2243" s="9">
        <v>44693</v>
      </c>
      <c r="I2243" t="s">
        <v>984</v>
      </c>
      <c r="J2243" t="s">
        <v>2</v>
      </c>
      <c r="K2243" s="9">
        <v>44697</v>
      </c>
      <c r="L2243" t="s">
        <v>29</v>
      </c>
      <c r="M2243" t="s">
        <v>1929</v>
      </c>
      <c r="N2243"/>
      <c r="O2243"/>
      <c r="P2243"/>
      <c r="Q2243" s="9">
        <v>44697</v>
      </c>
      <c r="R2243"/>
      <c r="S2243"/>
      <c r="T2243"/>
      <c r="U2243"/>
    </row>
    <row r="2244" spans="1:21" hidden="1">
      <c r="A2244" s="7" t="s">
        <v>8807</v>
      </c>
      <c r="B2244" s="7" t="s">
        <v>6896</v>
      </c>
      <c r="C2244" s="8" t="s">
        <v>5318</v>
      </c>
      <c r="D2244" t="s">
        <v>266</v>
      </c>
      <c r="E2244" t="s">
        <v>1037</v>
      </c>
      <c r="F2244" t="s">
        <v>75</v>
      </c>
      <c r="G2244" t="s">
        <v>1049</v>
      </c>
      <c r="H2244" s="9">
        <v>44693</v>
      </c>
      <c r="I2244" t="s">
        <v>984</v>
      </c>
      <c r="J2244" t="s">
        <v>2</v>
      </c>
      <c r="K2244" s="9">
        <v>44697</v>
      </c>
      <c r="L2244" t="s">
        <v>29</v>
      </c>
      <c r="M2244" t="s">
        <v>1929</v>
      </c>
      <c r="N2244"/>
      <c r="O2244"/>
      <c r="P2244"/>
      <c r="Q2244" s="9">
        <v>44697</v>
      </c>
      <c r="R2244"/>
      <c r="S2244"/>
      <c r="T2244"/>
      <c r="U2244"/>
    </row>
    <row r="2245" spans="1:21" hidden="1">
      <c r="A2245" s="7" t="s">
        <v>8810</v>
      </c>
      <c r="B2245" s="7" t="s">
        <v>6752</v>
      </c>
      <c r="C2245" s="8" t="s">
        <v>5318</v>
      </c>
      <c r="D2245" t="s">
        <v>266</v>
      </c>
      <c r="E2245" t="s">
        <v>1050</v>
      </c>
      <c r="F2245" t="s">
        <v>117</v>
      </c>
      <c r="G2245" t="s">
        <v>1051</v>
      </c>
      <c r="H2245" s="9">
        <v>44693</v>
      </c>
      <c r="I2245" t="s">
        <v>984</v>
      </c>
      <c r="J2245" t="s">
        <v>2</v>
      </c>
      <c r="K2245" s="9">
        <v>44697</v>
      </c>
      <c r="L2245" t="s">
        <v>29</v>
      </c>
      <c r="M2245" t="s">
        <v>1929</v>
      </c>
      <c r="N2245"/>
      <c r="O2245"/>
      <c r="P2245"/>
      <c r="Q2245"/>
      <c r="R2245"/>
      <c r="S2245"/>
      <c r="T2245"/>
      <c r="U2245"/>
    </row>
    <row r="2246" spans="1:21" hidden="1">
      <c r="A2246" s="7" t="s">
        <v>8810</v>
      </c>
      <c r="B2246" s="7" t="s">
        <v>6752</v>
      </c>
      <c r="C2246" s="8" t="s">
        <v>5318</v>
      </c>
      <c r="D2246" t="s">
        <v>266</v>
      </c>
      <c r="E2246" t="s">
        <v>1050</v>
      </c>
      <c r="F2246" t="s">
        <v>117</v>
      </c>
      <c r="G2246" t="s">
        <v>1052</v>
      </c>
      <c r="H2246" s="9">
        <v>44693</v>
      </c>
      <c r="I2246" t="s">
        <v>984</v>
      </c>
      <c r="J2246" t="s">
        <v>2</v>
      </c>
      <c r="K2246" s="9">
        <v>44697</v>
      </c>
      <c r="L2246" t="s">
        <v>29</v>
      </c>
      <c r="M2246" t="s">
        <v>1929</v>
      </c>
      <c r="N2246"/>
      <c r="O2246"/>
      <c r="P2246"/>
      <c r="Q2246"/>
      <c r="R2246"/>
      <c r="S2246"/>
      <c r="T2246"/>
      <c r="U2246"/>
    </row>
    <row r="2247" spans="1:21" hidden="1">
      <c r="A2247" s="7" t="s">
        <v>8811</v>
      </c>
      <c r="B2247" s="7" t="s">
        <v>8293</v>
      </c>
      <c r="C2247" s="8" t="s">
        <v>5318</v>
      </c>
      <c r="D2247" t="s">
        <v>266</v>
      </c>
      <c r="E2247" t="s">
        <v>1053</v>
      </c>
      <c r="F2247" t="s">
        <v>117</v>
      </c>
      <c r="G2247" t="s">
        <v>1054</v>
      </c>
      <c r="H2247" s="9">
        <v>44693</v>
      </c>
      <c r="I2247" t="s">
        <v>322</v>
      </c>
      <c r="J2247" t="s">
        <v>2</v>
      </c>
      <c r="K2247" s="9">
        <v>44697</v>
      </c>
      <c r="L2247" t="s">
        <v>29</v>
      </c>
      <c r="M2247" t="s">
        <v>1929</v>
      </c>
      <c r="N2247"/>
      <c r="O2247"/>
      <c r="P2247"/>
      <c r="Q2247"/>
      <c r="R2247"/>
      <c r="S2247"/>
      <c r="T2247"/>
      <c r="U2247"/>
    </row>
    <row r="2248" spans="1:21" hidden="1">
      <c r="A2248" s="7" t="s">
        <v>8811</v>
      </c>
      <c r="B2248" s="7" t="s">
        <v>8293</v>
      </c>
      <c r="C2248" s="8" t="s">
        <v>5318</v>
      </c>
      <c r="D2248" t="s">
        <v>266</v>
      </c>
      <c r="E2248" t="s">
        <v>1053</v>
      </c>
      <c r="F2248" t="s">
        <v>117</v>
      </c>
      <c r="G2248" t="s">
        <v>1055</v>
      </c>
      <c r="H2248" s="9">
        <v>44693</v>
      </c>
      <c r="I2248" t="s">
        <v>322</v>
      </c>
      <c r="J2248" t="s">
        <v>2</v>
      </c>
      <c r="K2248" s="9">
        <v>44697</v>
      </c>
      <c r="L2248" t="s">
        <v>29</v>
      </c>
      <c r="M2248" t="s">
        <v>1929</v>
      </c>
      <c r="N2248"/>
      <c r="O2248"/>
      <c r="P2248"/>
      <c r="Q2248"/>
      <c r="R2248"/>
      <c r="S2248"/>
      <c r="T2248"/>
      <c r="U2248"/>
    </row>
    <row r="2249" spans="1:21" hidden="1">
      <c r="A2249" s="7" t="s">
        <v>8812</v>
      </c>
      <c r="B2249" s="7" t="s">
        <v>6944</v>
      </c>
      <c r="C2249" s="8" t="s">
        <v>5318</v>
      </c>
      <c r="D2249" t="s">
        <v>266</v>
      </c>
      <c r="E2249" t="s">
        <v>1056</v>
      </c>
      <c r="F2249" t="s">
        <v>231</v>
      </c>
      <c r="G2249" t="s">
        <v>1057</v>
      </c>
      <c r="H2249" s="9">
        <v>44693</v>
      </c>
      <c r="I2249" t="s">
        <v>984</v>
      </c>
      <c r="J2249" t="s">
        <v>2</v>
      </c>
      <c r="K2249" s="9">
        <v>44697</v>
      </c>
      <c r="L2249" t="s">
        <v>29</v>
      </c>
      <c r="M2249" t="s">
        <v>1929</v>
      </c>
      <c r="N2249"/>
      <c r="O2249"/>
      <c r="P2249"/>
      <c r="Q2249" s="9">
        <v>44697</v>
      </c>
      <c r="R2249"/>
      <c r="S2249"/>
      <c r="T2249"/>
      <c r="U2249"/>
    </row>
    <row r="2250" spans="1:21" hidden="1">
      <c r="A2250" s="7" t="s">
        <v>8812</v>
      </c>
      <c r="B2250" s="7" t="s">
        <v>6944</v>
      </c>
      <c r="C2250" s="8" t="s">
        <v>5318</v>
      </c>
      <c r="D2250" t="s">
        <v>266</v>
      </c>
      <c r="E2250" t="s">
        <v>1056</v>
      </c>
      <c r="F2250" t="s">
        <v>231</v>
      </c>
      <c r="G2250" t="s">
        <v>1058</v>
      </c>
      <c r="H2250" s="9">
        <v>44693</v>
      </c>
      <c r="I2250" t="s">
        <v>984</v>
      </c>
      <c r="J2250" t="s">
        <v>2</v>
      </c>
      <c r="K2250" s="9">
        <v>44697</v>
      </c>
      <c r="L2250" t="s">
        <v>29</v>
      </c>
      <c r="M2250" t="s">
        <v>1929</v>
      </c>
      <c r="N2250"/>
      <c r="O2250"/>
      <c r="P2250"/>
      <c r="Q2250" s="9">
        <v>44697</v>
      </c>
      <c r="R2250"/>
      <c r="S2250"/>
      <c r="T2250"/>
      <c r="U2250"/>
    </row>
    <row r="2251" spans="1:21" hidden="1">
      <c r="A2251" s="7" t="s">
        <v>8786</v>
      </c>
      <c r="B2251" s="7" t="s">
        <v>6935</v>
      </c>
      <c r="C2251" s="8" t="s">
        <v>5318</v>
      </c>
      <c r="D2251" t="s">
        <v>266</v>
      </c>
      <c r="E2251" t="s">
        <v>898</v>
      </c>
      <c r="F2251" t="s">
        <v>79</v>
      </c>
      <c r="G2251" t="s">
        <v>1059</v>
      </c>
      <c r="H2251" s="9">
        <v>44693</v>
      </c>
      <c r="I2251" t="s">
        <v>85</v>
      </c>
      <c r="J2251" t="s">
        <v>2</v>
      </c>
      <c r="K2251" s="9">
        <v>44697</v>
      </c>
      <c r="L2251" t="s">
        <v>29</v>
      </c>
      <c r="M2251" t="s">
        <v>1929</v>
      </c>
      <c r="N2251"/>
      <c r="O2251"/>
      <c r="P2251"/>
      <c r="Q2251"/>
      <c r="R2251"/>
      <c r="S2251"/>
      <c r="T2251"/>
      <c r="U2251"/>
    </row>
    <row r="2252" spans="1:21" hidden="1">
      <c r="A2252" s="7" t="s">
        <v>8814</v>
      </c>
      <c r="B2252" s="7" t="s">
        <v>6936</v>
      </c>
      <c r="C2252" s="8" t="s">
        <v>5318</v>
      </c>
      <c r="D2252" t="s">
        <v>266</v>
      </c>
      <c r="E2252" t="s">
        <v>1032</v>
      </c>
      <c r="F2252" t="s">
        <v>280</v>
      </c>
      <c r="G2252" t="s">
        <v>1065</v>
      </c>
      <c r="H2252" s="9">
        <v>44693</v>
      </c>
      <c r="I2252" t="s">
        <v>984</v>
      </c>
      <c r="J2252" t="s">
        <v>2</v>
      </c>
      <c r="K2252" s="9">
        <v>44697</v>
      </c>
      <c r="L2252" t="s">
        <v>29</v>
      </c>
      <c r="M2252" t="s">
        <v>1929</v>
      </c>
      <c r="N2252"/>
      <c r="O2252"/>
      <c r="P2252"/>
      <c r="Q2252"/>
      <c r="R2252"/>
      <c r="S2252"/>
      <c r="T2252"/>
      <c r="U2252"/>
    </row>
    <row r="2253" spans="1:21" hidden="1">
      <c r="A2253" s="7" t="s">
        <v>8805</v>
      </c>
      <c r="B2253" s="7" t="s">
        <v>6936</v>
      </c>
      <c r="C2253" s="8" t="s">
        <v>5318</v>
      </c>
      <c r="D2253" t="s">
        <v>266</v>
      </c>
      <c r="E2253" t="s">
        <v>1032</v>
      </c>
      <c r="F2253" t="s">
        <v>83</v>
      </c>
      <c r="G2253" t="s">
        <v>1067</v>
      </c>
      <c r="H2253" s="9">
        <v>44693</v>
      </c>
      <c r="I2253" t="s">
        <v>984</v>
      </c>
      <c r="J2253" t="s">
        <v>2</v>
      </c>
      <c r="K2253" s="9">
        <v>44697</v>
      </c>
      <c r="L2253" t="s">
        <v>29</v>
      </c>
      <c r="M2253" t="s">
        <v>1929</v>
      </c>
      <c r="N2253"/>
      <c r="O2253"/>
      <c r="P2253"/>
      <c r="Q2253"/>
      <c r="R2253"/>
      <c r="S2253"/>
      <c r="T2253"/>
      <c r="U2253"/>
    </row>
    <row r="2254" spans="1:21" hidden="1">
      <c r="A2254" s="7" t="s">
        <v>8826</v>
      </c>
      <c r="B2254" s="7" t="s">
        <v>5405</v>
      </c>
      <c r="C2254" s="8" t="s">
        <v>5318</v>
      </c>
      <c r="D2254" t="s">
        <v>1655</v>
      </c>
      <c r="E2254" t="s">
        <v>25</v>
      </c>
      <c r="F2254" t="s">
        <v>117</v>
      </c>
      <c r="G2254" t="s">
        <v>1656</v>
      </c>
      <c r="H2254" s="9">
        <v>44693</v>
      </c>
      <c r="I2254" t="s">
        <v>8634</v>
      </c>
      <c r="J2254" t="s">
        <v>2</v>
      </c>
      <c r="K2254" s="9">
        <v>44697</v>
      </c>
      <c r="L2254" t="s">
        <v>29</v>
      </c>
      <c r="M2254" t="s">
        <v>1929</v>
      </c>
      <c r="N2254"/>
      <c r="O2254"/>
      <c r="P2254"/>
      <c r="Q2254"/>
      <c r="R2254"/>
      <c r="S2254"/>
      <c r="T2254"/>
      <c r="U2254"/>
    </row>
    <row r="2255" spans="1:21" hidden="1">
      <c r="A2255" s="7" t="s">
        <v>8826</v>
      </c>
      <c r="B2255" s="7" t="s">
        <v>5405</v>
      </c>
      <c r="C2255" s="8" t="s">
        <v>5318</v>
      </c>
      <c r="D2255" t="s">
        <v>1655</v>
      </c>
      <c r="E2255" t="s">
        <v>25</v>
      </c>
      <c r="F2255" t="s">
        <v>117</v>
      </c>
      <c r="G2255" t="s">
        <v>1657</v>
      </c>
      <c r="H2255" s="9">
        <v>44693</v>
      </c>
      <c r="I2255" t="s">
        <v>8634</v>
      </c>
      <c r="J2255" t="s">
        <v>2</v>
      </c>
      <c r="K2255" s="9">
        <v>44697</v>
      </c>
      <c r="L2255" t="s">
        <v>29</v>
      </c>
      <c r="M2255" t="s">
        <v>1929</v>
      </c>
      <c r="N2255"/>
      <c r="O2255"/>
      <c r="P2255"/>
      <c r="Q2255"/>
      <c r="R2255"/>
      <c r="S2255"/>
      <c r="T2255"/>
      <c r="U2255"/>
    </row>
    <row r="2256" spans="1:21" hidden="1">
      <c r="A2256" s="7" t="s">
        <v>8826</v>
      </c>
      <c r="B2256" s="7" t="s">
        <v>5405</v>
      </c>
      <c r="C2256" s="8" t="s">
        <v>5318</v>
      </c>
      <c r="D2256" t="s">
        <v>1655</v>
      </c>
      <c r="E2256" t="s">
        <v>25</v>
      </c>
      <c r="F2256" t="s">
        <v>117</v>
      </c>
      <c r="G2256" t="s">
        <v>1676</v>
      </c>
      <c r="H2256" s="9">
        <v>44693</v>
      </c>
      <c r="I2256" t="s">
        <v>8634</v>
      </c>
      <c r="J2256" t="s">
        <v>2</v>
      </c>
      <c r="K2256" s="9">
        <v>44697</v>
      </c>
      <c r="L2256" t="s">
        <v>29</v>
      </c>
      <c r="M2256" t="s">
        <v>1930</v>
      </c>
      <c r="N2256"/>
      <c r="O2256"/>
      <c r="P2256"/>
      <c r="Q2256"/>
      <c r="R2256"/>
      <c r="S2256"/>
      <c r="T2256"/>
      <c r="U2256"/>
    </row>
    <row r="2257" spans="1:21" hidden="1">
      <c r="A2257" s="7" t="s">
        <v>8826</v>
      </c>
      <c r="B2257" s="7" t="s">
        <v>5405</v>
      </c>
      <c r="C2257" s="8" t="s">
        <v>5318</v>
      </c>
      <c r="D2257" t="s">
        <v>1655</v>
      </c>
      <c r="E2257" t="s">
        <v>25</v>
      </c>
      <c r="F2257" t="s">
        <v>117</v>
      </c>
      <c r="G2257" t="s">
        <v>1677</v>
      </c>
      <c r="H2257" s="9">
        <v>44693</v>
      </c>
      <c r="I2257" t="s">
        <v>8634</v>
      </c>
      <c r="J2257" t="s">
        <v>2</v>
      </c>
      <c r="K2257" s="9">
        <v>44697</v>
      </c>
      <c r="L2257" t="s">
        <v>29</v>
      </c>
      <c r="M2257" t="s">
        <v>1930</v>
      </c>
      <c r="N2257"/>
      <c r="O2257"/>
      <c r="P2257"/>
      <c r="Q2257"/>
      <c r="R2257"/>
      <c r="S2257"/>
      <c r="T2257"/>
      <c r="U2257"/>
    </row>
    <row r="2258" spans="1:21" hidden="1">
      <c r="A2258" s="7" t="s">
        <v>8826</v>
      </c>
      <c r="B2258" s="7" t="s">
        <v>5405</v>
      </c>
      <c r="C2258" s="8" t="s">
        <v>5318</v>
      </c>
      <c r="D2258" t="s">
        <v>1655</v>
      </c>
      <c r="E2258" t="s">
        <v>25</v>
      </c>
      <c r="F2258" t="s">
        <v>117</v>
      </c>
      <c r="G2258" t="s">
        <v>1678</v>
      </c>
      <c r="H2258" s="9">
        <v>44693</v>
      </c>
      <c r="I2258" t="s">
        <v>8634</v>
      </c>
      <c r="J2258" t="s">
        <v>2</v>
      </c>
      <c r="K2258" s="9">
        <v>44697</v>
      </c>
      <c r="L2258" t="s">
        <v>29</v>
      </c>
      <c r="M2258" t="s">
        <v>1930</v>
      </c>
      <c r="N2258"/>
      <c r="O2258"/>
      <c r="P2258"/>
      <c r="Q2258"/>
      <c r="R2258"/>
      <c r="S2258"/>
      <c r="T2258"/>
      <c r="U2258"/>
    </row>
    <row r="2259" spans="1:21" hidden="1">
      <c r="A2259" s="7" t="s">
        <v>8826</v>
      </c>
      <c r="B2259" s="7" t="s">
        <v>5405</v>
      </c>
      <c r="C2259" s="8" t="s">
        <v>5318</v>
      </c>
      <c r="D2259" t="s">
        <v>1655</v>
      </c>
      <c r="E2259" t="s">
        <v>25</v>
      </c>
      <c r="F2259" t="s">
        <v>117</v>
      </c>
      <c r="G2259" t="s">
        <v>1679</v>
      </c>
      <c r="H2259" s="9">
        <v>44693</v>
      </c>
      <c r="I2259" t="s">
        <v>8634</v>
      </c>
      <c r="J2259" t="s">
        <v>2</v>
      </c>
      <c r="K2259" s="9">
        <v>44697</v>
      </c>
      <c r="L2259" t="s">
        <v>29</v>
      </c>
      <c r="M2259" t="s">
        <v>1930</v>
      </c>
      <c r="N2259"/>
      <c r="O2259"/>
      <c r="P2259"/>
      <c r="Q2259"/>
      <c r="R2259"/>
      <c r="S2259"/>
      <c r="T2259"/>
      <c r="U2259"/>
    </row>
    <row r="2260" spans="1:21" hidden="1">
      <c r="A2260" s="7" t="s">
        <v>8826</v>
      </c>
      <c r="B2260" s="7" t="s">
        <v>5405</v>
      </c>
      <c r="C2260" s="8" t="s">
        <v>5318</v>
      </c>
      <c r="D2260" t="s">
        <v>1655</v>
      </c>
      <c r="E2260" t="s">
        <v>25</v>
      </c>
      <c r="F2260" t="s">
        <v>117</v>
      </c>
      <c r="G2260" t="s">
        <v>1680</v>
      </c>
      <c r="H2260" s="9">
        <v>44693</v>
      </c>
      <c r="I2260" t="s">
        <v>8634</v>
      </c>
      <c r="J2260" t="s">
        <v>2</v>
      </c>
      <c r="K2260" s="9">
        <v>44697</v>
      </c>
      <c r="L2260" t="s">
        <v>29</v>
      </c>
      <c r="M2260" t="s">
        <v>1930</v>
      </c>
      <c r="N2260"/>
      <c r="O2260"/>
      <c r="P2260"/>
      <c r="Q2260"/>
      <c r="R2260"/>
      <c r="S2260"/>
      <c r="T2260"/>
      <c r="U2260"/>
    </row>
    <row r="2261" spans="1:21" hidden="1">
      <c r="A2261" s="7" t="s">
        <v>8826</v>
      </c>
      <c r="B2261" s="7" t="s">
        <v>5405</v>
      </c>
      <c r="C2261" s="8" t="s">
        <v>5318</v>
      </c>
      <c r="D2261" t="s">
        <v>1655</v>
      </c>
      <c r="E2261" t="s">
        <v>25</v>
      </c>
      <c r="F2261" t="s">
        <v>117</v>
      </c>
      <c r="G2261" t="s">
        <v>1681</v>
      </c>
      <c r="H2261" s="9">
        <v>44693</v>
      </c>
      <c r="I2261" t="s">
        <v>8634</v>
      </c>
      <c r="J2261" t="s">
        <v>2</v>
      </c>
      <c r="K2261" s="9">
        <v>44697</v>
      </c>
      <c r="L2261" t="s">
        <v>29</v>
      </c>
      <c r="M2261" t="s">
        <v>1930</v>
      </c>
      <c r="N2261"/>
      <c r="O2261"/>
      <c r="P2261"/>
      <c r="Q2261"/>
      <c r="R2261"/>
      <c r="S2261"/>
      <c r="T2261"/>
      <c r="U2261"/>
    </row>
    <row r="2262" spans="1:21" hidden="1">
      <c r="A2262" s="7" t="s">
        <v>8826</v>
      </c>
      <c r="B2262" s="7" t="s">
        <v>5405</v>
      </c>
      <c r="C2262" s="8" t="s">
        <v>5318</v>
      </c>
      <c r="D2262" t="s">
        <v>1655</v>
      </c>
      <c r="E2262" t="s">
        <v>25</v>
      </c>
      <c r="F2262" t="s">
        <v>117</v>
      </c>
      <c r="G2262" t="s">
        <v>1682</v>
      </c>
      <c r="H2262" s="9">
        <v>44693</v>
      </c>
      <c r="I2262" t="s">
        <v>8634</v>
      </c>
      <c r="J2262" t="s">
        <v>2</v>
      </c>
      <c r="K2262" s="9">
        <v>44697</v>
      </c>
      <c r="L2262" t="s">
        <v>29</v>
      </c>
      <c r="M2262" t="s">
        <v>1930</v>
      </c>
      <c r="N2262"/>
      <c r="O2262"/>
      <c r="P2262"/>
      <c r="Q2262"/>
      <c r="R2262"/>
      <c r="S2262"/>
      <c r="T2262"/>
      <c r="U2262"/>
    </row>
    <row r="2263" spans="1:21" hidden="1">
      <c r="A2263" s="7" t="s">
        <v>8826</v>
      </c>
      <c r="B2263" s="7" t="s">
        <v>5405</v>
      </c>
      <c r="C2263" s="8" t="s">
        <v>5318</v>
      </c>
      <c r="D2263" t="s">
        <v>1655</v>
      </c>
      <c r="E2263" t="s">
        <v>25</v>
      </c>
      <c r="F2263" t="s">
        <v>117</v>
      </c>
      <c r="G2263" t="s">
        <v>1683</v>
      </c>
      <c r="H2263" s="9">
        <v>44693</v>
      </c>
      <c r="I2263" t="s">
        <v>8634</v>
      </c>
      <c r="J2263" t="s">
        <v>2</v>
      </c>
      <c r="K2263" s="9">
        <v>44697</v>
      </c>
      <c r="L2263" t="s">
        <v>29</v>
      </c>
      <c r="M2263" t="s">
        <v>1930</v>
      </c>
      <c r="N2263"/>
      <c r="O2263"/>
      <c r="P2263"/>
      <c r="Q2263"/>
      <c r="R2263"/>
      <c r="S2263"/>
      <c r="T2263"/>
      <c r="U2263"/>
    </row>
    <row r="2264" spans="1:21" hidden="1">
      <c r="A2264" s="7" t="s">
        <v>8826</v>
      </c>
      <c r="B2264" s="7" t="s">
        <v>5405</v>
      </c>
      <c r="C2264" s="8" t="s">
        <v>5318</v>
      </c>
      <c r="D2264" t="s">
        <v>1655</v>
      </c>
      <c r="E2264" t="s">
        <v>25</v>
      </c>
      <c r="F2264" t="s">
        <v>117</v>
      </c>
      <c r="G2264" t="s">
        <v>1684</v>
      </c>
      <c r="H2264" s="9">
        <v>44693</v>
      </c>
      <c r="I2264" t="s">
        <v>8634</v>
      </c>
      <c r="J2264" t="s">
        <v>2</v>
      </c>
      <c r="K2264" s="9">
        <v>44697</v>
      </c>
      <c r="L2264" t="s">
        <v>29</v>
      </c>
      <c r="M2264" t="s">
        <v>1930</v>
      </c>
      <c r="N2264"/>
      <c r="O2264"/>
      <c r="P2264"/>
      <c r="Q2264" s="9">
        <v>44827</v>
      </c>
      <c r="R2264"/>
      <c r="S2264"/>
      <c r="T2264"/>
      <c r="U2264"/>
    </row>
    <row r="2265" spans="1:21" hidden="1">
      <c r="A2265" s="7" t="s">
        <v>8826</v>
      </c>
      <c r="B2265" s="7" t="s">
        <v>5405</v>
      </c>
      <c r="C2265" s="8" t="s">
        <v>5318</v>
      </c>
      <c r="D2265" t="s">
        <v>1655</v>
      </c>
      <c r="E2265" t="s">
        <v>25</v>
      </c>
      <c r="F2265" t="s">
        <v>117</v>
      </c>
      <c r="G2265" t="s">
        <v>1685</v>
      </c>
      <c r="H2265" s="9">
        <v>44693</v>
      </c>
      <c r="I2265" t="s">
        <v>8634</v>
      </c>
      <c r="J2265" t="s">
        <v>2</v>
      </c>
      <c r="K2265" s="9">
        <v>44697</v>
      </c>
      <c r="L2265" t="s">
        <v>29</v>
      </c>
      <c r="M2265" t="s">
        <v>1930</v>
      </c>
      <c r="N2265"/>
      <c r="O2265"/>
      <c r="P2265"/>
      <c r="Q2265"/>
      <c r="R2265"/>
      <c r="S2265"/>
      <c r="T2265"/>
      <c r="U2265"/>
    </row>
    <row r="2266" spans="1:21" hidden="1">
      <c r="A2266" s="7" t="s">
        <v>8740</v>
      </c>
      <c r="B2266" s="7" t="s">
        <v>6627</v>
      </c>
      <c r="C2266" s="8" t="s">
        <v>5318</v>
      </c>
      <c r="D2266" t="s">
        <v>164</v>
      </c>
      <c r="E2266" t="s">
        <v>304</v>
      </c>
      <c r="F2266" t="s">
        <v>117</v>
      </c>
      <c r="G2266" t="s">
        <v>1931</v>
      </c>
      <c r="H2266" s="9">
        <v>44693</v>
      </c>
      <c r="I2266" t="s">
        <v>306</v>
      </c>
      <c r="J2266" t="s">
        <v>2</v>
      </c>
      <c r="K2266" s="9">
        <v>44726</v>
      </c>
      <c r="L2266" t="s">
        <v>29</v>
      </c>
      <c r="M2266" t="s">
        <v>1686</v>
      </c>
      <c r="N2266" s="9">
        <v>44706</v>
      </c>
      <c r="O2266" s="9">
        <v>44714</v>
      </c>
      <c r="P2266"/>
      <c r="Q2266"/>
      <c r="R2266"/>
      <c r="S2266"/>
      <c r="T2266"/>
      <c r="U2266"/>
    </row>
    <row r="2267" spans="1:21" hidden="1">
      <c r="A2267" s="7" t="s">
        <v>8740</v>
      </c>
      <c r="B2267" s="7" t="s">
        <v>6627</v>
      </c>
      <c r="C2267" s="8" t="s">
        <v>5318</v>
      </c>
      <c r="D2267" t="s">
        <v>164</v>
      </c>
      <c r="E2267" t="s">
        <v>304</v>
      </c>
      <c r="F2267" t="s">
        <v>117</v>
      </c>
      <c r="G2267" t="s">
        <v>1932</v>
      </c>
      <c r="H2267" s="9">
        <v>44693</v>
      </c>
      <c r="I2267" t="s">
        <v>306</v>
      </c>
      <c r="J2267" t="s">
        <v>2</v>
      </c>
      <c r="K2267" s="9">
        <v>44726</v>
      </c>
      <c r="L2267" t="s">
        <v>29</v>
      </c>
      <c r="M2267" t="s">
        <v>1686</v>
      </c>
      <c r="N2267" s="9">
        <v>44706</v>
      </c>
      <c r="O2267" s="9">
        <v>44714</v>
      </c>
      <c r="P2267"/>
      <c r="Q2267"/>
      <c r="R2267"/>
      <c r="S2267"/>
      <c r="T2267"/>
      <c r="U2267"/>
    </row>
    <row r="2268" spans="1:21" hidden="1">
      <c r="A2268" s="7" t="s">
        <v>8837</v>
      </c>
      <c r="B2268" s="7" t="s">
        <v>8357</v>
      </c>
      <c r="C2268" s="8" t="s">
        <v>5318</v>
      </c>
      <c r="D2268" t="s">
        <v>164</v>
      </c>
      <c r="E2268" t="s">
        <v>1933</v>
      </c>
      <c r="F2268" t="s">
        <v>231</v>
      </c>
      <c r="G2268" t="s">
        <v>1934</v>
      </c>
      <c r="H2268" s="9">
        <v>44693</v>
      </c>
      <c r="I2268" t="s">
        <v>195</v>
      </c>
      <c r="J2268" t="s">
        <v>0</v>
      </c>
      <c r="K2268" s="9">
        <v>44715</v>
      </c>
      <c r="L2268" t="s">
        <v>29</v>
      </c>
      <c r="M2268"/>
      <c r="N2268" s="9">
        <v>44706</v>
      </c>
      <c r="O2268" s="9">
        <v>44714</v>
      </c>
      <c r="P2268"/>
      <c r="Q2268" s="9">
        <v>44715</v>
      </c>
      <c r="R2268"/>
      <c r="S2268"/>
      <c r="T2268"/>
      <c r="U2268"/>
    </row>
    <row r="2269" spans="1:21" hidden="1">
      <c r="A2269" s="7" t="s">
        <v>8837</v>
      </c>
      <c r="B2269" s="7" t="s">
        <v>8357</v>
      </c>
      <c r="C2269" s="8" t="s">
        <v>5318</v>
      </c>
      <c r="D2269" t="s">
        <v>164</v>
      </c>
      <c r="E2269" t="s">
        <v>1933</v>
      </c>
      <c r="F2269" t="s">
        <v>231</v>
      </c>
      <c r="G2269" t="s">
        <v>1935</v>
      </c>
      <c r="H2269" s="9">
        <v>44693</v>
      </c>
      <c r="I2269" t="s">
        <v>195</v>
      </c>
      <c r="J2269" t="s">
        <v>0</v>
      </c>
      <c r="K2269" s="9">
        <v>44715</v>
      </c>
      <c r="L2269" t="s">
        <v>29</v>
      </c>
      <c r="M2269"/>
      <c r="N2269" s="9">
        <v>44706</v>
      </c>
      <c r="O2269" s="9">
        <v>44714</v>
      </c>
      <c r="P2269"/>
      <c r="Q2269" s="9">
        <v>44715</v>
      </c>
      <c r="R2269"/>
      <c r="S2269"/>
      <c r="T2269"/>
      <c r="U2269"/>
    </row>
    <row r="2270" spans="1:21" hidden="1">
      <c r="A2270" s="7" t="s">
        <v>8838</v>
      </c>
      <c r="B2270" s="7" t="s">
        <v>8357</v>
      </c>
      <c r="C2270" s="8" t="s">
        <v>5318</v>
      </c>
      <c r="D2270" t="s">
        <v>164</v>
      </c>
      <c r="E2270" t="s">
        <v>1933</v>
      </c>
      <c r="F2270" t="s">
        <v>117</v>
      </c>
      <c r="G2270" t="s">
        <v>1936</v>
      </c>
      <c r="H2270" s="9">
        <v>44693</v>
      </c>
      <c r="I2270" t="s">
        <v>195</v>
      </c>
      <c r="J2270" t="s">
        <v>2</v>
      </c>
      <c r="K2270" s="9">
        <v>44726</v>
      </c>
      <c r="L2270" t="s">
        <v>29</v>
      </c>
      <c r="M2270" t="s">
        <v>1686</v>
      </c>
      <c r="N2270" s="9">
        <v>44706</v>
      </c>
      <c r="O2270" s="9">
        <v>44714</v>
      </c>
      <c r="P2270"/>
      <c r="Q2270"/>
      <c r="R2270"/>
      <c r="S2270"/>
      <c r="T2270"/>
      <c r="U2270"/>
    </row>
    <row r="2271" spans="1:21" hidden="1">
      <c r="A2271" s="7" t="s">
        <v>8838</v>
      </c>
      <c r="B2271" s="7" t="s">
        <v>8357</v>
      </c>
      <c r="C2271" s="8" t="s">
        <v>5318</v>
      </c>
      <c r="D2271" t="s">
        <v>164</v>
      </c>
      <c r="E2271" t="s">
        <v>1933</v>
      </c>
      <c r="F2271" t="s">
        <v>117</v>
      </c>
      <c r="G2271" t="s">
        <v>1937</v>
      </c>
      <c r="H2271" s="9">
        <v>44693</v>
      </c>
      <c r="I2271" t="s">
        <v>195</v>
      </c>
      <c r="J2271" t="s">
        <v>2</v>
      </c>
      <c r="K2271" s="9">
        <v>44726</v>
      </c>
      <c r="L2271" t="s">
        <v>29</v>
      </c>
      <c r="M2271" t="s">
        <v>1686</v>
      </c>
      <c r="N2271" s="9">
        <v>44706</v>
      </c>
      <c r="O2271" s="9">
        <v>44714</v>
      </c>
      <c r="P2271"/>
      <c r="Q2271"/>
      <c r="R2271"/>
      <c r="S2271"/>
      <c r="T2271"/>
      <c r="U2271"/>
    </row>
    <row r="2272" spans="1:21" hidden="1">
      <c r="A2272" s="7" t="s">
        <v>8839</v>
      </c>
      <c r="B2272" s="7" t="s">
        <v>8357</v>
      </c>
      <c r="C2272" s="8" t="s">
        <v>5318</v>
      </c>
      <c r="D2272" t="s">
        <v>164</v>
      </c>
      <c r="E2272" t="s">
        <v>1933</v>
      </c>
      <c r="F2272" t="s">
        <v>75</v>
      </c>
      <c r="G2272" t="s">
        <v>1938</v>
      </c>
      <c r="H2272" s="9">
        <v>44693</v>
      </c>
      <c r="I2272" t="s">
        <v>195</v>
      </c>
      <c r="J2272" t="s">
        <v>163</v>
      </c>
      <c r="K2272" s="9">
        <v>44727</v>
      </c>
      <c r="L2272" t="s">
        <v>29</v>
      </c>
      <c r="M2272"/>
      <c r="N2272" s="9">
        <v>44706</v>
      </c>
      <c r="O2272" s="9">
        <v>44714</v>
      </c>
      <c r="P2272" s="9">
        <v>44727</v>
      </c>
      <c r="Q2272"/>
      <c r="R2272"/>
      <c r="S2272"/>
      <c r="T2272"/>
      <c r="U2272"/>
    </row>
    <row r="2273" spans="1:21" hidden="1">
      <c r="A2273" s="7" t="s">
        <v>8838</v>
      </c>
      <c r="B2273" s="7" t="s">
        <v>8357</v>
      </c>
      <c r="C2273" s="8" t="s">
        <v>5318</v>
      </c>
      <c r="D2273" t="s">
        <v>164</v>
      </c>
      <c r="E2273" t="s">
        <v>1933</v>
      </c>
      <c r="F2273" t="s">
        <v>117</v>
      </c>
      <c r="G2273" t="s">
        <v>1939</v>
      </c>
      <c r="H2273" s="9">
        <v>44693</v>
      </c>
      <c r="I2273" t="s">
        <v>195</v>
      </c>
      <c r="J2273" t="s">
        <v>2</v>
      </c>
      <c r="K2273" s="9">
        <v>44726</v>
      </c>
      <c r="L2273" t="s">
        <v>29</v>
      </c>
      <c r="M2273"/>
      <c r="N2273" s="9">
        <v>44706</v>
      </c>
      <c r="O2273" s="9">
        <v>44714</v>
      </c>
      <c r="P2273"/>
      <c r="Q2273"/>
      <c r="R2273"/>
      <c r="S2273"/>
      <c r="T2273"/>
      <c r="U2273"/>
    </row>
    <row r="2274" spans="1:21" hidden="1">
      <c r="A2274" s="7" t="s">
        <v>8838</v>
      </c>
      <c r="B2274" s="7" t="s">
        <v>8357</v>
      </c>
      <c r="C2274" s="8" t="s">
        <v>5318</v>
      </c>
      <c r="D2274" t="s">
        <v>164</v>
      </c>
      <c r="E2274" t="s">
        <v>1933</v>
      </c>
      <c r="F2274" t="s">
        <v>117</v>
      </c>
      <c r="G2274" t="s">
        <v>1940</v>
      </c>
      <c r="H2274" s="9">
        <v>44693</v>
      </c>
      <c r="I2274" t="s">
        <v>195</v>
      </c>
      <c r="J2274" t="s">
        <v>2</v>
      </c>
      <c r="K2274" s="9">
        <v>44726</v>
      </c>
      <c r="L2274" t="s">
        <v>29</v>
      </c>
      <c r="M2274" t="s">
        <v>1686</v>
      </c>
      <c r="N2274" s="9">
        <v>44706</v>
      </c>
      <c r="O2274" s="9">
        <v>44714</v>
      </c>
      <c r="P2274"/>
      <c r="Q2274"/>
      <c r="R2274"/>
      <c r="S2274"/>
      <c r="T2274"/>
      <c r="U2274"/>
    </row>
    <row r="2275" spans="1:21" hidden="1">
      <c r="A2275" s="7" t="s">
        <v>8828</v>
      </c>
      <c r="B2275" s="7" t="s">
        <v>5405</v>
      </c>
      <c r="C2275" s="8" t="s">
        <v>5318</v>
      </c>
      <c r="D2275" t="s">
        <v>164</v>
      </c>
      <c r="E2275" t="s">
        <v>25</v>
      </c>
      <c r="F2275" t="s">
        <v>1687</v>
      </c>
      <c r="G2275" t="s">
        <v>1941</v>
      </c>
      <c r="H2275" s="9">
        <v>44693</v>
      </c>
      <c r="I2275" t="s">
        <v>8634</v>
      </c>
      <c r="J2275" t="s">
        <v>276</v>
      </c>
      <c r="K2275" s="9">
        <v>44711.6272453704</v>
      </c>
      <c r="L2275" t="s">
        <v>29</v>
      </c>
      <c r="M2275"/>
      <c r="N2275" s="9">
        <v>44706</v>
      </c>
      <c r="O2275"/>
      <c r="P2275"/>
      <c r="Q2275"/>
      <c r="R2275" s="9">
        <v>44711.597974536999</v>
      </c>
      <c r="S2275"/>
      <c r="T2275"/>
      <c r="U2275"/>
    </row>
    <row r="2276" spans="1:21" hidden="1">
      <c r="A2276" s="7" t="s">
        <v>8828</v>
      </c>
      <c r="B2276" s="7" t="s">
        <v>5405</v>
      </c>
      <c r="C2276" s="8" t="s">
        <v>5318</v>
      </c>
      <c r="D2276" t="s">
        <v>164</v>
      </c>
      <c r="E2276" t="s">
        <v>25</v>
      </c>
      <c r="F2276" t="s">
        <v>1687</v>
      </c>
      <c r="G2276" t="s">
        <v>1942</v>
      </c>
      <c r="H2276" s="9">
        <v>44693</v>
      </c>
      <c r="I2276" t="s">
        <v>8634</v>
      </c>
      <c r="J2276" t="s">
        <v>276</v>
      </c>
      <c r="K2276" s="9">
        <v>44711.6272453704</v>
      </c>
      <c r="L2276" t="s">
        <v>29</v>
      </c>
      <c r="M2276"/>
      <c r="N2276" s="9">
        <v>44706</v>
      </c>
      <c r="O2276"/>
      <c r="P2276"/>
      <c r="Q2276"/>
      <c r="R2276" s="9">
        <v>44711.597974536999</v>
      </c>
      <c r="S2276"/>
      <c r="T2276"/>
      <c r="U2276"/>
    </row>
    <row r="2277" spans="1:21" hidden="1">
      <c r="A2277" s="7" t="s">
        <v>8828</v>
      </c>
      <c r="B2277" s="7" t="s">
        <v>5405</v>
      </c>
      <c r="C2277" s="8" t="s">
        <v>5318</v>
      </c>
      <c r="D2277" t="s">
        <v>164</v>
      </c>
      <c r="E2277" t="s">
        <v>25</v>
      </c>
      <c r="F2277" t="s">
        <v>1687</v>
      </c>
      <c r="G2277" t="s">
        <v>1943</v>
      </c>
      <c r="H2277" s="9">
        <v>44693</v>
      </c>
      <c r="I2277" t="s">
        <v>8634</v>
      </c>
      <c r="J2277" t="s">
        <v>276</v>
      </c>
      <c r="K2277" s="9">
        <v>44711.6272453704</v>
      </c>
      <c r="L2277" t="s">
        <v>29</v>
      </c>
      <c r="M2277"/>
      <c r="N2277" s="9">
        <v>44706</v>
      </c>
      <c r="O2277"/>
      <c r="P2277"/>
      <c r="Q2277"/>
      <c r="R2277" s="9">
        <v>44711.597974536999</v>
      </c>
      <c r="S2277"/>
      <c r="T2277"/>
      <c r="U2277"/>
    </row>
    <row r="2278" spans="1:21" hidden="1">
      <c r="A2278" s="7" t="s">
        <v>8828</v>
      </c>
      <c r="B2278" s="7" t="s">
        <v>5405</v>
      </c>
      <c r="C2278" s="8" t="s">
        <v>5318</v>
      </c>
      <c r="D2278" t="s">
        <v>164</v>
      </c>
      <c r="E2278" t="s">
        <v>25</v>
      </c>
      <c r="F2278" t="s">
        <v>1687</v>
      </c>
      <c r="G2278" t="s">
        <v>1944</v>
      </c>
      <c r="H2278" s="9">
        <v>44693</v>
      </c>
      <c r="I2278" t="s">
        <v>8634</v>
      </c>
      <c r="J2278" t="s">
        <v>276</v>
      </c>
      <c r="K2278" s="9">
        <v>44711.6272453704</v>
      </c>
      <c r="L2278" t="s">
        <v>29</v>
      </c>
      <c r="M2278"/>
      <c r="N2278" s="9">
        <v>44706</v>
      </c>
      <c r="O2278"/>
      <c r="P2278"/>
      <c r="Q2278"/>
      <c r="R2278" s="9">
        <v>44711.597974536999</v>
      </c>
      <c r="S2278"/>
      <c r="T2278"/>
      <c r="U2278"/>
    </row>
    <row r="2279" spans="1:21" hidden="1">
      <c r="A2279" s="7" t="s">
        <v>8812</v>
      </c>
      <c r="B2279" s="7" t="s">
        <v>6944</v>
      </c>
      <c r="C2279" s="8" t="s">
        <v>8717</v>
      </c>
      <c r="D2279" t="s">
        <v>266</v>
      </c>
      <c r="E2279" t="s">
        <v>1056</v>
      </c>
      <c r="F2279" t="s">
        <v>231</v>
      </c>
      <c r="G2279" t="s">
        <v>1945</v>
      </c>
      <c r="H2279"/>
      <c r="I2279"/>
      <c r="J2279" t="s">
        <v>0</v>
      </c>
      <c r="K2279" s="9">
        <v>44697</v>
      </c>
      <c r="L2279"/>
      <c r="M2279"/>
      <c r="N2279"/>
      <c r="O2279"/>
      <c r="P2279"/>
      <c r="Q2279" s="9">
        <v>44697</v>
      </c>
      <c r="R2279"/>
      <c r="S2279"/>
      <c r="T2279"/>
      <c r="U2279"/>
    </row>
    <row r="2280" spans="1:21" hidden="1">
      <c r="A2280" s="7" t="s">
        <v>8812</v>
      </c>
      <c r="B2280" s="7" t="s">
        <v>6944</v>
      </c>
      <c r="C2280" s="8" t="s">
        <v>8717</v>
      </c>
      <c r="D2280" t="s">
        <v>266</v>
      </c>
      <c r="E2280" t="s">
        <v>1056</v>
      </c>
      <c r="F2280" t="s">
        <v>231</v>
      </c>
      <c r="G2280" t="s">
        <v>1946</v>
      </c>
      <c r="H2280"/>
      <c r="I2280"/>
      <c r="J2280" t="s">
        <v>0</v>
      </c>
      <c r="K2280" s="9">
        <v>44697</v>
      </c>
      <c r="L2280"/>
      <c r="M2280"/>
      <c r="N2280"/>
      <c r="O2280"/>
      <c r="P2280"/>
      <c r="Q2280" s="9">
        <v>44697</v>
      </c>
      <c r="R2280"/>
      <c r="S2280"/>
      <c r="T2280"/>
      <c r="U2280"/>
    </row>
    <row r="2281" spans="1:21" hidden="1">
      <c r="A2281" s="7" t="s">
        <v>8812</v>
      </c>
      <c r="B2281" s="7" t="s">
        <v>6944</v>
      </c>
      <c r="C2281" s="8" t="s">
        <v>8717</v>
      </c>
      <c r="D2281" t="s">
        <v>266</v>
      </c>
      <c r="E2281" t="s">
        <v>1056</v>
      </c>
      <c r="F2281" t="s">
        <v>231</v>
      </c>
      <c r="G2281" t="s">
        <v>1947</v>
      </c>
      <c r="H2281"/>
      <c r="I2281"/>
      <c r="J2281" t="s">
        <v>0</v>
      </c>
      <c r="K2281" s="9">
        <v>44697</v>
      </c>
      <c r="L2281"/>
      <c r="M2281"/>
      <c r="N2281"/>
      <c r="O2281"/>
      <c r="P2281"/>
      <c r="Q2281" s="9">
        <v>44697</v>
      </c>
      <c r="R2281"/>
      <c r="S2281"/>
      <c r="T2281"/>
      <c r="U2281"/>
    </row>
    <row r="2282" spans="1:21" hidden="1">
      <c r="A2282" s="7" t="s">
        <v>8812</v>
      </c>
      <c r="B2282" s="7" t="s">
        <v>6944</v>
      </c>
      <c r="C2282" s="8" t="s">
        <v>8717</v>
      </c>
      <c r="D2282" t="s">
        <v>266</v>
      </c>
      <c r="E2282" t="s">
        <v>1056</v>
      </c>
      <c r="F2282" t="s">
        <v>231</v>
      </c>
      <c r="G2282" t="s">
        <v>1948</v>
      </c>
      <c r="H2282"/>
      <c r="I2282"/>
      <c r="J2282" t="s">
        <v>0</v>
      </c>
      <c r="K2282" s="9">
        <v>44697</v>
      </c>
      <c r="L2282"/>
      <c r="M2282"/>
      <c r="N2282"/>
      <c r="O2282"/>
      <c r="P2282"/>
      <c r="Q2282" s="9">
        <v>44697</v>
      </c>
      <c r="R2282"/>
      <c r="S2282"/>
      <c r="T2282"/>
      <c r="U2282"/>
    </row>
    <row r="2283" spans="1:21" hidden="1">
      <c r="A2283" s="7" t="s">
        <v>8767</v>
      </c>
      <c r="B2283" s="7" t="s">
        <v>5768</v>
      </c>
      <c r="C2283" s="8" t="s">
        <v>8717</v>
      </c>
      <c r="D2283" t="s">
        <v>24</v>
      </c>
      <c r="E2283" t="s">
        <v>746</v>
      </c>
      <c r="F2283" t="s">
        <v>747</v>
      </c>
      <c r="G2283" t="s">
        <v>1949</v>
      </c>
      <c r="H2283"/>
      <c r="I2283"/>
      <c r="J2283" t="s">
        <v>0</v>
      </c>
      <c r="K2283" s="9">
        <v>44712</v>
      </c>
      <c r="L2283"/>
      <c r="M2283"/>
      <c r="N2283"/>
      <c r="O2283"/>
      <c r="P2283"/>
      <c r="Q2283" s="9">
        <v>44712</v>
      </c>
      <c r="R2283"/>
      <c r="S2283"/>
      <c r="T2283"/>
      <c r="U2283"/>
    </row>
    <row r="2284" spans="1:21" hidden="1">
      <c r="A2284" s="7" t="s">
        <v>8767</v>
      </c>
      <c r="B2284" s="7" t="s">
        <v>5768</v>
      </c>
      <c r="C2284" s="8" t="s">
        <v>8717</v>
      </c>
      <c r="D2284" t="s">
        <v>24</v>
      </c>
      <c r="E2284" t="s">
        <v>746</v>
      </c>
      <c r="F2284" t="s">
        <v>747</v>
      </c>
      <c r="G2284" t="s">
        <v>1950</v>
      </c>
      <c r="H2284"/>
      <c r="I2284"/>
      <c r="J2284" t="s">
        <v>0</v>
      </c>
      <c r="K2284" s="9">
        <v>44712</v>
      </c>
      <c r="L2284"/>
      <c r="M2284"/>
      <c r="N2284"/>
      <c r="O2284"/>
      <c r="P2284"/>
      <c r="Q2284" s="9">
        <v>44712</v>
      </c>
      <c r="R2284"/>
      <c r="S2284"/>
      <c r="T2284"/>
      <c r="U2284"/>
    </row>
    <row r="2285" spans="1:21" hidden="1">
      <c r="A2285" s="7" t="s">
        <v>8767</v>
      </c>
      <c r="B2285" s="7" t="s">
        <v>5768</v>
      </c>
      <c r="C2285" s="8" t="s">
        <v>8717</v>
      </c>
      <c r="D2285" t="s">
        <v>24</v>
      </c>
      <c r="E2285" t="s">
        <v>746</v>
      </c>
      <c r="F2285" t="s">
        <v>747</v>
      </c>
      <c r="G2285" t="s">
        <v>1951</v>
      </c>
      <c r="H2285"/>
      <c r="I2285"/>
      <c r="J2285" t="s">
        <v>0</v>
      </c>
      <c r="K2285" s="9">
        <v>44712</v>
      </c>
      <c r="L2285"/>
      <c r="M2285"/>
      <c r="N2285"/>
      <c r="O2285"/>
      <c r="P2285"/>
      <c r="Q2285" s="9">
        <v>44712</v>
      </c>
      <c r="R2285"/>
      <c r="S2285"/>
      <c r="T2285"/>
      <c r="U2285"/>
    </row>
    <row r="2286" spans="1:21" hidden="1">
      <c r="A2286" s="7" t="s">
        <v>8767</v>
      </c>
      <c r="B2286" s="7" t="s">
        <v>5768</v>
      </c>
      <c r="C2286" s="8" t="s">
        <v>8717</v>
      </c>
      <c r="D2286" t="s">
        <v>24</v>
      </c>
      <c r="E2286" t="s">
        <v>746</v>
      </c>
      <c r="F2286" t="s">
        <v>747</v>
      </c>
      <c r="G2286" t="s">
        <v>1952</v>
      </c>
      <c r="H2286"/>
      <c r="I2286"/>
      <c r="J2286" t="s">
        <v>0</v>
      </c>
      <c r="K2286" s="9">
        <v>44712</v>
      </c>
      <c r="L2286"/>
      <c r="M2286"/>
      <c r="N2286"/>
      <c r="O2286"/>
      <c r="P2286"/>
      <c r="Q2286" s="9">
        <v>44712</v>
      </c>
      <c r="R2286"/>
      <c r="S2286"/>
      <c r="T2286"/>
      <c r="U2286"/>
    </row>
    <row r="2287" spans="1:21" hidden="1">
      <c r="A2287" s="7" t="s">
        <v>8746</v>
      </c>
      <c r="B2287" s="7" t="s">
        <v>7556</v>
      </c>
      <c r="C2287" s="8" t="s">
        <v>8717</v>
      </c>
      <c r="D2287" t="s">
        <v>272</v>
      </c>
      <c r="E2287" t="s">
        <v>406</v>
      </c>
      <c r="F2287" t="s">
        <v>117</v>
      </c>
      <c r="G2287" t="s">
        <v>1953</v>
      </c>
      <c r="H2287"/>
      <c r="I2287"/>
      <c r="J2287" t="s">
        <v>276</v>
      </c>
      <c r="K2287" s="9">
        <v>44781.587037037003</v>
      </c>
      <c r="L2287"/>
      <c r="M2287"/>
      <c r="N2287"/>
      <c r="O2287"/>
      <c r="P2287"/>
      <c r="Q2287" s="9">
        <v>44712</v>
      </c>
      <c r="R2287" s="9">
        <v>44781.583460648202</v>
      </c>
      <c r="S2287"/>
      <c r="T2287"/>
      <c r="U2287"/>
    </row>
    <row r="2288" spans="1:21" hidden="1">
      <c r="A2288" s="7" t="s">
        <v>8724</v>
      </c>
      <c r="B2288" s="7" t="s">
        <v>7240</v>
      </c>
      <c r="C2288" s="8" t="s">
        <v>5319</v>
      </c>
      <c r="D2288" t="s">
        <v>272</v>
      </c>
      <c r="E2288" t="s">
        <v>165</v>
      </c>
      <c r="F2288" t="s">
        <v>117</v>
      </c>
      <c r="G2288" t="s">
        <v>1954</v>
      </c>
      <c r="H2288" s="9">
        <v>44733</v>
      </c>
      <c r="I2288" t="s">
        <v>167</v>
      </c>
      <c r="J2288" t="s">
        <v>5330</v>
      </c>
      <c r="K2288" s="9">
        <v>44834</v>
      </c>
      <c r="L2288" t="s">
        <v>29</v>
      </c>
      <c r="M2288"/>
      <c r="N2288" s="9">
        <v>44778</v>
      </c>
      <c r="O2288" s="9">
        <v>44834</v>
      </c>
      <c r="P2288"/>
      <c r="Q2288"/>
      <c r="R2288"/>
      <c r="S2288"/>
      <c r="T2288"/>
      <c r="U2288"/>
    </row>
    <row r="2289" spans="1:21" hidden="1">
      <c r="A2289" s="7" t="s">
        <v>8724</v>
      </c>
      <c r="B2289" s="7" t="s">
        <v>7240</v>
      </c>
      <c r="C2289" s="8" t="s">
        <v>5319</v>
      </c>
      <c r="D2289" t="s">
        <v>272</v>
      </c>
      <c r="E2289" t="s">
        <v>165</v>
      </c>
      <c r="F2289" t="s">
        <v>117</v>
      </c>
      <c r="G2289" t="s">
        <v>1956</v>
      </c>
      <c r="H2289" s="9">
        <v>44733</v>
      </c>
      <c r="I2289" t="s">
        <v>167</v>
      </c>
      <c r="J2289" t="s">
        <v>5330</v>
      </c>
      <c r="K2289" s="9">
        <v>44834</v>
      </c>
      <c r="L2289" t="s">
        <v>29</v>
      </c>
      <c r="M2289"/>
      <c r="N2289" s="9">
        <v>44778</v>
      </c>
      <c r="O2289" s="9">
        <v>44834</v>
      </c>
      <c r="P2289"/>
      <c r="Q2289"/>
      <c r="R2289"/>
      <c r="S2289"/>
      <c r="T2289"/>
      <c r="U2289"/>
    </row>
    <row r="2290" spans="1:21" hidden="1">
      <c r="A2290" s="7" t="s">
        <v>8840</v>
      </c>
      <c r="B2290" s="7" t="s">
        <v>7494</v>
      </c>
      <c r="C2290" s="8" t="s">
        <v>5319</v>
      </c>
      <c r="D2290" t="s">
        <v>272</v>
      </c>
      <c r="E2290" t="s">
        <v>1957</v>
      </c>
      <c r="F2290" t="s">
        <v>75</v>
      </c>
      <c r="G2290" t="s">
        <v>1958</v>
      </c>
      <c r="H2290" s="9">
        <v>44733</v>
      </c>
      <c r="I2290" t="s">
        <v>509</v>
      </c>
      <c r="J2290" t="s">
        <v>0</v>
      </c>
      <c r="K2290" s="9">
        <v>44844</v>
      </c>
      <c r="L2290" t="s">
        <v>29</v>
      </c>
      <c r="M2290"/>
      <c r="N2290" s="9">
        <v>44778</v>
      </c>
      <c r="O2290" s="9">
        <v>44834</v>
      </c>
      <c r="P2290"/>
      <c r="Q2290" s="9">
        <v>44844</v>
      </c>
      <c r="R2290"/>
      <c r="S2290"/>
      <c r="T2290"/>
      <c r="U2290"/>
    </row>
    <row r="2291" spans="1:21" hidden="1">
      <c r="A2291" s="7" t="s">
        <v>8840</v>
      </c>
      <c r="B2291" s="7" t="s">
        <v>7494</v>
      </c>
      <c r="C2291" s="8" t="s">
        <v>5319</v>
      </c>
      <c r="D2291" t="s">
        <v>272</v>
      </c>
      <c r="E2291" t="s">
        <v>1957</v>
      </c>
      <c r="F2291" t="s">
        <v>75</v>
      </c>
      <c r="G2291" t="s">
        <v>1959</v>
      </c>
      <c r="H2291" s="9">
        <v>44733</v>
      </c>
      <c r="I2291" t="s">
        <v>509</v>
      </c>
      <c r="J2291" t="s">
        <v>0</v>
      </c>
      <c r="K2291" s="9">
        <v>44844</v>
      </c>
      <c r="L2291" t="s">
        <v>29</v>
      </c>
      <c r="M2291"/>
      <c r="N2291" s="9">
        <v>44778</v>
      </c>
      <c r="O2291" s="9">
        <v>44834</v>
      </c>
      <c r="P2291"/>
      <c r="Q2291" s="9">
        <v>44844</v>
      </c>
      <c r="R2291"/>
      <c r="S2291"/>
      <c r="T2291"/>
      <c r="U2291"/>
    </row>
    <row r="2292" spans="1:21" hidden="1">
      <c r="A2292" s="7" t="s">
        <v>8840</v>
      </c>
      <c r="B2292" s="7" t="s">
        <v>7494</v>
      </c>
      <c r="C2292" s="8" t="s">
        <v>5319</v>
      </c>
      <c r="D2292" t="s">
        <v>272</v>
      </c>
      <c r="E2292" t="s">
        <v>1957</v>
      </c>
      <c r="F2292" t="s">
        <v>75</v>
      </c>
      <c r="G2292" t="s">
        <v>1960</v>
      </c>
      <c r="H2292" s="9">
        <v>44733</v>
      </c>
      <c r="I2292" t="s">
        <v>509</v>
      </c>
      <c r="J2292" t="s">
        <v>0</v>
      </c>
      <c r="K2292" s="9">
        <v>44844</v>
      </c>
      <c r="L2292" t="s">
        <v>29</v>
      </c>
      <c r="M2292"/>
      <c r="N2292" s="9">
        <v>44778</v>
      </c>
      <c r="O2292" s="9">
        <v>44834</v>
      </c>
      <c r="P2292"/>
      <c r="Q2292" s="9">
        <v>44844</v>
      </c>
      <c r="R2292"/>
      <c r="S2292"/>
      <c r="T2292"/>
      <c r="U2292"/>
    </row>
    <row r="2293" spans="1:21" hidden="1">
      <c r="A2293" s="7" t="s">
        <v>8840</v>
      </c>
      <c r="B2293" s="7" t="s">
        <v>7494</v>
      </c>
      <c r="C2293" s="8" t="s">
        <v>5319</v>
      </c>
      <c r="D2293" t="s">
        <v>272</v>
      </c>
      <c r="E2293" t="s">
        <v>1957</v>
      </c>
      <c r="F2293" t="s">
        <v>75</v>
      </c>
      <c r="G2293" t="s">
        <v>1961</v>
      </c>
      <c r="H2293" s="9">
        <v>44733</v>
      </c>
      <c r="I2293" t="s">
        <v>509</v>
      </c>
      <c r="J2293" t="s">
        <v>0</v>
      </c>
      <c r="K2293" s="9">
        <v>44844</v>
      </c>
      <c r="L2293" t="s">
        <v>29</v>
      </c>
      <c r="M2293"/>
      <c r="N2293" s="9">
        <v>44778</v>
      </c>
      <c r="O2293" s="9">
        <v>44834</v>
      </c>
      <c r="P2293"/>
      <c r="Q2293" s="9">
        <v>44844</v>
      </c>
      <c r="R2293"/>
      <c r="S2293"/>
      <c r="T2293"/>
      <c r="U2293"/>
    </row>
    <row r="2294" spans="1:21" hidden="1">
      <c r="A2294" s="7" t="s">
        <v>8816</v>
      </c>
      <c r="B2294" s="7" t="s">
        <v>7729</v>
      </c>
      <c r="C2294" s="8" t="s">
        <v>5319</v>
      </c>
      <c r="D2294" t="s">
        <v>272</v>
      </c>
      <c r="E2294" t="s">
        <v>1072</v>
      </c>
      <c r="F2294" t="s">
        <v>117</v>
      </c>
      <c r="G2294" t="s">
        <v>1962</v>
      </c>
      <c r="H2294" s="9">
        <v>44733</v>
      </c>
      <c r="I2294" t="s">
        <v>1070</v>
      </c>
      <c r="J2294" t="s">
        <v>5330</v>
      </c>
      <c r="K2294" s="9">
        <v>44834</v>
      </c>
      <c r="L2294" t="s">
        <v>29</v>
      </c>
      <c r="M2294"/>
      <c r="N2294" s="9">
        <v>44778</v>
      </c>
      <c r="O2294" s="9">
        <v>44834</v>
      </c>
      <c r="P2294"/>
      <c r="Q2294"/>
      <c r="R2294"/>
      <c r="S2294"/>
      <c r="T2294"/>
      <c r="U2294"/>
    </row>
    <row r="2295" spans="1:21" hidden="1">
      <c r="A2295" s="7" t="s">
        <v>8816</v>
      </c>
      <c r="B2295" s="7" t="s">
        <v>7729</v>
      </c>
      <c r="C2295" s="8" t="s">
        <v>5319</v>
      </c>
      <c r="D2295" t="s">
        <v>272</v>
      </c>
      <c r="E2295" t="s">
        <v>1072</v>
      </c>
      <c r="F2295" t="s">
        <v>117</v>
      </c>
      <c r="G2295" t="s">
        <v>1963</v>
      </c>
      <c r="H2295" s="9">
        <v>44733</v>
      </c>
      <c r="I2295" t="s">
        <v>1070</v>
      </c>
      <c r="J2295" t="s">
        <v>5330</v>
      </c>
      <c r="K2295" s="9">
        <v>44834</v>
      </c>
      <c r="L2295" t="s">
        <v>29</v>
      </c>
      <c r="M2295"/>
      <c r="N2295" s="9">
        <v>44778</v>
      </c>
      <c r="O2295" s="9">
        <v>44834</v>
      </c>
      <c r="P2295"/>
      <c r="Q2295"/>
      <c r="R2295"/>
      <c r="S2295"/>
      <c r="T2295"/>
      <c r="U2295"/>
    </row>
    <row r="2296" spans="1:21" hidden="1">
      <c r="A2296" s="7" t="s">
        <v>8816</v>
      </c>
      <c r="B2296" s="7" t="s">
        <v>7729</v>
      </c>
      <c r="C2296" s="8" t="s">
        <v>5319</v>
      </c>
      <c r="D2296" t="s">
        <v>272</v>
      </c>
      <c r="E2296" t="s">
        <v>1072</v>
      </c>
      <c r="F2296" t="s">
        <v>117</v>
      </c>
      <c r="G2296" t="s">
        <v>1964</v>
      </c>
      <c r="H2296" s="9">
        <v>44733</v>
      </c>
      <c r="I2296" t="s">
        <v>1070</v>
      </c>
      <c r="J2296" t="s">
        <v>5330</v>
      </c>
      <c r="K2296" s="9">
        <v>44834</v>
      </c>
      <c r="L2296" t="s">
        <v>29</v>
      </c>
      <c r="M2296"/>
      <c r="N2296" s="9">
        <v>44778</v>
      </c>
      <c r="O2296" s="9">
        <v>44834</v>
      </c>
      <c r="P2296"/>
      <c r="Q2296"/>
      <c r="R2296"/>
      <c r="S2296"/>
      <c r="T2296"/>
      <c r="U2296"/>
    </row>
    <row r="2297" spans="1:21" hidden="1">
      <c r="A2297" s="7" t="s">
        <v>8816</v>
      </c>
      <c r="B2297" s="7" t="s">
        <v>7729</v>
      </c>
      <c r="C2297" s="8" t="s">
        <v>5319</v>
      </c>
      <c r="D2297" t="s">
        <v>272</v>
      </c>
      <c r="E2297" t="s">
        <v>1072</v>
      </c>
      <c r="F2297" t="s">
        <v>117</v>
      </c>
      <c r="G2297" t="s">
        <v>1965</v>
      </c>
      <c r="H2297" s="9">
        <v>44733</v>
      </c>
      <c r="I2297" t="s">
        <v>1070</v>
      </c>
      <c r="J2297" t="s">
        <v>5330</v>
      </c>
      <c r="K2297" s="9">
        <v>44834</v>
      </c>
      <c r="L2297" t="s">
        <v>29</v>
      </c>
      <c r="M2297"/>
      <c r="N2297" s="9">
        <v>44778</v>
      </c>
      <c r="O2297" s="9">
        <v>44834</v>
      </c>
      <c r="P2297"/>
      <c r="Q2297"/>
      <c r="R2297"/>
      <c r="S2297"/>
      <c r="T2297"/>
      <c r="U2297"/>
    </row>
    <row r="2298" spans="1:21" hidden="1">
      <c r="A2298" s="7" t="s">
        <v>8816</v>
      </c>
      <c r="B2298" s="7" t="s">
        <v>7729</v>
      </c>
      <c r="C2298" s="8" t="s">
        <v>5319</v>
      </c>
      <c r="D2298" t="s">
        <v>272</v>
      </c>
      <c r="E2298" t="s">
        <v>1072</v>
      </c>
      <c r="F2298" t="s">
        <v>117</v>
      </c>
      <c r="G2298" t="s">
        <v>1966</v>
      </c>
      <c r="H2298" s="9">
        <v>44733</v>
      </c>
      <c r="I2298" t="s">
        <v>1070</v>
      </c>
      <c r="J2298" t="s">
        <v>5330</v>
      </c>
      <c r="K2298" s="9">
        <v>44834</v>
      </c>
      <c r="L2298" t="s">
        <v>29</v>
      </c>
      <c r="M2298"/>
      <c r="N2298" s="9">
        <v>44778</v>
      </c>
      <c r="O2298" s="9">
        <v>44834</v>
      </c>
      <c r="P2298"/>
      <c r="Q2298"/>
      <c r="R2298"/>
      <c r="S2298"/>
      <c r="T2298"/>
      <c r="U2298"/>
    </row>
    <row r="2299" spans="1:21" hidden="1">
      <c r="A2299" s="7" t="s">
        <v>8816</v>
      </c>
      <c r="B2299" s="7" t="s">
        <v>7729</v>
      </c>
      <c r="C2299" s="8" t="s">
        <v>5319</v>
      </c>
      <c r="D2299" t="s">
        <v>272</v>
      </c>
      <c r="E2299" t="s">
        <v>1072</v>
      </c>
      <c r="F2299" t="s">
        <v>117</v>
      </c>
      <c r="G2299" t="s">
        <v>1967</v>
      </c>
      <c r="H2299" s="9">
        <v>44733</v>
      </c>
      <c r="I2299" t="s">
        <v>1070</v>
      </c>
      <c r="J2299" t="s">
        <v>5330</v>
      </c>
      <c r="K2299" s="9">
        <v>44834</v>
      </c>
      <c r="L2299" t="s">
        <v>29</v>
      </c>
      <c r="M2299"/>
      <c r="N2299" s="9">
        <v>44778</v>
      </c>
      <c r="O2299" s="9">
        <v>44834</v>
      </c>
      <c r="P2299"/>
      <c r="Q2299"/>
      <c r="R2299"/>
      <c r="S2299"/>
      <c r="T2299"/>
      <c r="U2299"/>
    </row>
    <row r="2300" spans="1:21" hidden="1">
      <c r="A2300" s="7" t="s">
        <v>8816</v>
      </c>
      <c r="B2300" s="7" t="s">
        <v>7729</v>
      </c>
      <c r="C2300" s="8" t="s">
        <v>5319</v>
      </c>
      <c r="D2300" t="s">
        <v>272</v>
      </c>
      <c r="E2300" t="s">
        <v>1072</v>
      </c>
      <c r="F2300" t="s">
        <v>117</v>
      </c>
      <c r="G2300" t="s">
        <v>1968</v>
      </c>
      <c r="H2300" s="9">
        <v>44733</v>
      </c>
      <c r="I2300" t="s">
        <v>1070</v>
      </c>
      <c r="J2300" t="s">
        <v>5330</v>
      </c>
      <c r="K2300" s="9">
        <v>44834</v>
      </c>
      <c r="L2300" t="s">
        <v>29</v>
      </c>
      <c r="M2300"/>
      <c r="N2300" s="9">
        <v>44778</v>
      </c>
      <c r="O2300" s="9">
        <v>44834</v>
      </c>
      <c r="P2300"/>
      <c r="Q2300"/>
      <c r="R2300"/>
      <c r="S2300"/>
      <c r="T2300"/>
      <c r="U2300"/>
    </row>
    <row r="2301" spans="1:21" hidden="1">
      <c r="A2301" s="7" t="s">
        <v>8816</v>
      </c>
      <c r="B2301" s="7" t="s">
        <v>7729</v>
      </c>
      <c r="C2301" s="8" t="s">
        <v>5319</v>
      </c>
      <c r="D2301" t="s">
        <v>272</v>
      </c>
      <c r="E2301" t="s">
        <v>1072</v>
      </c>
      <c r="F2301" t="s">
        <v>117</v>
      </c>
      <c r="G2301" t="s">
        <v>1969</v>
      </c>
      <c r="H2301" s="9">
        <v>44733</v>
      </c>
      <c r="I2301" t="s">
        <v>1070</v>
      </c>
      <c r="J2301" t="s">
        <v>5330</v>
      </c>
      <c r="K2301" s="9">
        <v>44834</v>
      </c>
      <c r="L2301" t="s">
        <v>29</v>
      </c>
      <c r="M2301"/>
      <c r="N2301" s="9">
        <v>44778</v>
      </c>
      <c r="O2301" s="9">
        <v>44834</v>
      </c>
      <c r="P2301"/>
      <c r="Q2301"/>
      <c r="R2301"/>
      <c r="S2301"/>
      <c r="T2301"/>
      <c r="U2301"/>
    </row>
    <row r="2302" spans="1:21" hidden="1">
      <c r="A2302" s="7" t="s">
        <v>8816</v>
      </c>
      <c r="B2302" s="7" t="s">
        <v>7729</v>
      </c>
      <c r="C2302" s="8" t="s">
        <v>5319</v>
      </c>
      <c r="D2302" t="s">
        <v>272</v>
      </c>
      <c r="E2302" t="s">
        <v>1072</v>
      </c>
      <c r="F2302" t="s">
        <v>117</v>
      </c>
      <c r="G2302" t="s">
        <v>1970</v>
      </c>
      <c r="H2302" s="9">
        <v>44733</v>
      </c>
      <c r="I2302" t="s">
        <v>1070</v>
      </c>
      <c r="J2302" t="s">
        <v>5330</v>
      </c>
      <c r="K2302" s="9">
        <v>44834</v>
      </c>
      <c r="L2302" t="s">
        <v>29</v>
      </c>
      <c r="M2302"/>
      <c r="N2302" s="9">
        <v>44778</v>
      </c>
      <c r="O2302" s="9">
        <v>44834</v>
      </c>
      <c r="P2302"/>
      <c r="Q2302"/>
      <c r="R2302"/>
      <c r="S2302"/>
      <c r="T2302"/>
      <c r="U2302"/>
    </row>
    <row r="2303" spans="1:21" hidden="1">
      <c r="A2303" s="7" t="s">
        <v>8816</v>
      </c>
      <c r="B2303" s="7" t="s">
        <v>7729</v>
      </c>
      <c r="C2303" s="8" t="s">
        <v>5319</v>
      </c>
      <c r="D2303" t="s">
        <v>272</v>
      </c>
      <c r="E2303" t="s">
        <v>1072</v>
      </c>
      <c r="F2303" t="s">
        <v>117</v>
      </c>
      <c r="G2303" t="s">
        <v>1971</v>
      </c>
      <c r="H2303" s="9">
        <v>44733</v>
      </c>
      <c r="I2303" t="s">
        <v>1070</v>
      </c>
      <c r="J2303" t="s">
        <v>5330</v>
      </c>
      <c r="K2303" s="9">
        <v>44834</v>
      </c>
      <c r="L2303" t="s">
        <v>29</v>
      </c>
      <c r="M2303"/>
      <c r="N2303" s="9">
        <v>44778</v>
      </c>
      <c r="O2303" s="9">
        <v>44834</v>
      </c>
      <c r="P2303"/>
      <c r="Q2303"/>
      <c r="R2303"/>
      <c r="S2303"/>
      <c r="T2303"/>
      <c r="U2303"/>
    </row>
    <row r="2304" spans="1:21" hidden="1">
      <c r="A2304" s="7" t="s">
        <v>8816</v>
      </c>
      <c r="B2304" s="7" t="s">
        <v>7729</v>
      </c>
      <c r="C2304" s="8" t="s">
        <v>5319</v>
      </c>
      <c r="D2304" t="s">
        <v>272</v>
      </c>
      <c r="E2304" t="s">
        <v>1072</v>
      </c>
      <c r="F2304" t="s">
        <v>117</v>
      </c>
      <c r="G2304" t="s">
        <v>1972</v>
      </c>
      <c r="H2304" s="9">
        <v>44733</v>
      </c>
      <c r="I2304" t="s">
        <v>1070</v>
      </c>
      <c r="J2304" t="s">
        <v>5330</v>
      </c>
      <c r="K2304" s="9">
        <v>44834</v>
      </c>
      <c r="L2304" t="s">
        <v>29</v>
      </c>
      <c r="M2304"/>
      <c r="N2304" s="9">
        <v>44778</v>
      </c>
      <c r="O2304" s="9">
        <v>44834</v>
      </c>
      <c r="P2304"/>
      <c r="Q2304"/>
      <c r="R2304"/>
      <c r="S2304"/>
      <c r="T2304"/>
      <c r="U2304"/>
    </row>
    <row r="2305" spans="1:21" hidden="1">
      <c r="A2305" s="7" t="s">
        <v>8816</v>
      </c>
      <c r="B2305" s="7" t="s">
        <v>7729</v>
      </c>
      <c r="C2305" s="8" t="s">
        <v>5319</v>
      </c>
      <c r="D2305" t="s">
        <v>272</v>
      </c>
      <c r="E2305" t="s">
        <v>1072</v>
      </c>
      <c r="F2305" t="s">
        <v>117</v>
      </c>
      <c r="G2305" t="s">
        <v>1973</v>
      </c>
      <c r="H2305" s="9">
        <v>44733</v>
      </c>
      <c r="I2305" t="s">
        <v>1070</v>
      </c>
      <c r="J2305" t="s">
        <v>5330</v>
      </c>
      <c r="K2305" s="9">
        <v>44834</v>
      </c>
      <c r="L2305" t="s">
        <v>29</v>
      </c>
      <c r="M2305"/>
      <c r="N2305" s="9">
        <v>44778</v>
      </c>
      <c r="O2305" s="9">
        <v>44834</v>
      </c>
      <c r="P2305"/>
      <c r="Q2305"/>
      <c r="R2305"/>
      <c r="S2305"/>
      <c r="T2305"/>
      <c r="U2305"/>
    </row>
    <row r="2306" spans="1:21" hidden="1">
      <c r="A2306" s="7" t="s">
        <v>8816</v>
      </c>
      <c r="B2306" s="7" t="s">
        <v>7729</v>
      </c>
      <c r="C2306" s="8" t="s">
        <v>5319</v>
      </c>
      <c r="D2306" t="s">
        <v>272</v>
      </c>
      <c r="E2306" t="s">
        <v>1072</v>
      </c>
      <c r="F2306" t="s">
        <v>117</v>
      </c>
      <c r="G2306" t="s">
        <v>1974</v>
      </c>
      <c r="H2306" s="9">
        <v>44733</v>
      </c>
      <c r="I2306" t="s">
        <v>1070</v>
      </c>
      <c r="J2306" t="s">
        <v>5330</v>
      </c>
      <c r="K2306" s="9">
        <v>44834</v>
      </c>
      <c r="L2306" t="s">
        <v>29</v>
      </c>
      <c r="M2306"/>
      <c r="N2306" s="9">
        <v>44778</v>
      </c>
      <c r="O2306" s="9">
        <v>44834</v>
      </c>
      <c r="P2306"/>
      <c r="Q2306"/>
      <c r="R2306"/>
      <c r="S2306"/>
      <c r="T2306"/>
      <c r="U2306"/>
    </row>
    <row r="2307" spans="1:21" hidden="1">
      <c r="A2307" s="7" t="s">
        <v>8816</v>
      </c>
      <c r="B2307" s="7" t="s">
        <v>7729</v>
      </c>
      <c r="C2307" s="8" t="s">
        <v>5319</v>
      </c>
      <c r="D2307" t="s">
        <v>272</v>
      </c>
      <c r="E2307" t="s">
        <v>1072</v>
      </c>
      <c r="F2307" t="s">
        <v>117</v>
      </c>
      <c r="G2307" t="s">
        <v>1975</v>
      </c>
      <c r="H2307" s="9">
        <v>44733</v>
      </c>
      <c r="I2307" t="s">
        <v>1070</v>
      </c>
      <c r="J2307" t="s">
        <v>5330</v>
      </c>
      <c r="K2307" s="9">
        <v>44834</v>
      </c>
      <c r="L2307" t="s">
        <v>29</v>
      </c>
      <c r="M2307"/>
      <c r="N2307" s="9">
        <v>44778</v>
      </c>
      <c r="O2307" s="9">
        <v>44834</v>
      </c>
      <c r="P2307"/>
      <c r="Q2307"/>
      <c r="R2307"/>
      <c r="S2307"/>
      <c r="T2307"/>
      <c r="U2307"/>
    </row>
    <row r="2308" spans="1:21" hidden="1">
      <c r="A2308" s="7" t="s">
        <v>8816</v>
      </c>
      <c r="B2308" s="7" t="s">
        <v>7729</v>
      </c>
      <c r="C2308" s="8" t="s">
        <v>5319</v>
      </c>
      <c r="D2308" t="s">
        <v>272</v>
      </c>
      <c r="E2308" t="s">
        <v>1072</v>
      </c>
      <c r="F2308" t="s">
        <v>117</v>
      </c>
      <c r="G2308" t="s">
        <v>1976</v>
      </c>
      <c r="H2308" s="9">
        <v>44733</v>
      </c>
      <c r="I2308" t="s">
        <v>1070</v>
      </c>
      <c r="J2308" t="s">
        <v>5330</v>
      </c>
      <c r="K2308" s="9">
        <v>44834</v>
      </c>
      <c r="L2308" t="s">
        <v>29</v>
      </c>
      <c r="M2308"/>
      <c r="N2308" s="9">
        <v>44778</v>
      </c>
      <c r="O2308" s="9">
        <v>44834</v>
      </c>
      <c r="P2308"/>
      <c r="Q2308"/>
      <c r="R2308"/>
      <c r="S2308"/>
      <c r="T2308"/>
      <c r="U2308"/>
    </row>
    <row r="2309" spans="1:21" hidden="1">
      <c r="A2309" s="7" t="s">
        <v>8816</v>
      </c>
      <c r="B2309" s="7" t="s">
        <v>7729</v>
      </c>
      <c r="C2309" s="8" t="s">
        <v>5319</v>
      </c>
      <c r="D2309" t="s">
        <v>272</v>
      </c>
      <c r="E2309" t="s">
        <v>1072</v>
      </c>
      <c r="F2309" t="s">
        <v>117</v>
      </c>
      <c r="G2309" t="s">
        <v>1977</v>
      </c>
      <c r="H2309" s="9">
        <v>44733</v>
      </c>
      <c r="I2309" t="s">
        <v>1070</v>
      </c>
      <c r="J2309" t="s">
        <v>5330</v>
      </c>
      <c r="K2309" s="9">
        <v>44834</v>
      </c>
      <c r="L2309" t="s">
        <v>29</v>
      </c>
      <c r="M2309"/>
      <c r="N2309" s="9">
        <v>44778</v>
      </c>
      <c r="O2309" s="9">
        <v>44834</v>
      </c>
      <c r="P2309"/>
      <c r="Q2309"/>
      <c r="R2309"/>
      <c r="S2309"/>
      <c r="T2309"/>
      <c r="U2309"/>
    </row>
    <row r="2310" spans="1:21" hidden="1">
      <c r="A2310" s="7" t="s">
        <v>8816</v>
      </c>
      <c r="B2310" s="7" t="s">
        <v>7729</v>
      </c>
      <c r="C2310" s="8" t="s">
        <v>5319</v>
      </c>
      <c r="D2310" t="s">
        <v>272</v>
      </c>
      <c r="E2310" t="s">
        <v>1072</v>
      </c>
      <c r="F2310" t="s">
        <v>117</v>
      </c>
      <c r="G2310" t="s">
        <v>1978</v>
      </c>
      <c r="H2310" s="9">
        <v>44733</v>
      </c>
      <c r="I2310" t="s">
        <v>1070</v>
      </c>
      <c r="J2310" t="s">
        <v>5330</v>
      </c>
      <c r="K2310" s="9">
        <v>44834</v>
      </c>
      <c r="L2310" t="s">
        <v>29</v>
      </c>
      <c r="M2310"/>
      <c r="N2310" s="9">
        <v>44778</v>
      </c>
      <c r="O2310" s="9">
        <v>44834</v>
      </c>
      <c r="P2310"/>
      <c r="Q2310"/>
      <c r="R2310"/>
      <c r="S2310"/>
      <c r="T2310"/>
      <c r="U2310"/>
    </row>
    <row r="2311" spans="1:21" hidden="1">
      <c r="A2311" s="7" t="s">
        <v>8816</v>
      </c>
      <c r="B2311" s="7" t="s">
        <v>7729</v>
      </c>
      <c r="C2311" s="8" t="s">
        <v>5319</v>
      </c>
      <c r="D2311" t="s">
        <v>272</v>
      </c>
      <c r="E2311" t="s">
        <v>1072</v>
      </c>
      <c r="F2311" t="s">
        <v>117</v>
      </c>
      <c r="G2311" t="s">
        <v>1979</v>
      </c>
      <c r="H2311" s="9">
        <v>44733</v>
      </c>
      <c r="I2311" t="s">
        <v>1070</v>
      </c>
      <c r="J2311" t="s">
        <v>5330</v>
      </c>
      <c r="K2311" s="9">
        <v>44834</v>
      </c>
      <c r="L2311" t="s">
        <v>29</v>
      </c>
      <c r="M2311"/>
      <c r="N2311" s="9">
        <v>44778</v>
      </c>
      <c r="O2311" s="9">
        <v>44834</v>
      </c>
      <c r="P2311"/>
      <c r="Q2311"/>
      <c r="R2311"/>
      <c r="S2311"/>
      <c r="T2311"/>
      <c r="U2311"/>
    </row>
    <row r="2312" spans="1:21" hidden="1">
      <c r="A2312" s="7" t="s">
        <v>8816</v>
      </c>
      <c r="B2312" s="7" t="s">
        <v>7729</v>
      </c>
      <c r="C2312" s="8" t="s">
        <v>5319</v>
      </c>
      <c r="D2312" t="s">
        <v>272</v>
      </c>
      <c r="E2312" t="s">
        <v>1072</v>
      </c>
      <c r="F2312" t="s">
        <v>117</v>
      </c>
      <c r="G2312" t="s">
        <v>1980</v>
      </c>
      <c r="H2312" s="9">
        <v>44733</v>
      </c>
      <c r="I2312" t="s">
        <v>1070</v>
      </c>
      <c r="J2312" t="s">
        <v>5330</v>
      </c>
      <c r="K2312" s="9">
        <v>44834</v>
      </c>
      <c r="L2312" t="s">
        <v>29</v>
      </c>
      <c r="M2312"/>
      <c r="N2312" s="9">
        <v>44778</v>
      </c>
      <c r="O2312" s="9">
        <v>44834</v>
      </c>
      <c r="P2312"/>
      <c r="Q2312"/>
      <c r="R2312"/>
      <c r="S2312"/>
      <c r="T2312"/>
      <c r="U2312"/>
    </row>
    <row r="2313" spans="1:21" hidden="1">
      <c r="A2313" s="7" t="s">
        <v>8816</v>
      </c>
      <c r="B2313" s="7" t="s">
        <v>7729</v>
      </c>
      <c r="C2313" s="8" t="s">
        <v>5319</v>
      </c>
      <c r="D2313" t="s">
        <v>272</v>
      </c>
      <c r="E2313" t="s">
        <v>1072</v>
      </c>
      <c r="F2313" t="s">
        <v>117</v>
      </c>
      <c r="G2313" t="s">
        <v>1981</v>
      </c>
      <c r="H2313" s="9">
        <v>44733</v>
      </c>
      <c r="I2313" t="s">
        <v>1070</v>
      </c>
      <c r="J2313" t="s">
        <v>5330</v>
      </c>
      <c r="K2313" s="9">
        <v>44834</v>
      </c>
      <c r="L2313" t="s">
        <v>29</v>
      </c>
      <c r="M2313"/>
      <c r="N2313" s="9">
        <v>44778</v>
      </c>
      <c r="O2313" s="9">
        <v>44834</v>
      </c>
      <c r="P2313"/>
      <c r="Q2313"/>
      <c r="R2313"/>
      <c r="S2313"/>
      <c r="T2313"/>
      <c r="U2313"/>
    </row>
    <row r="2314" spans="1:21" hidden="1">
      <c r="A2314" s="7" t="s">
        <v>8816</v>
      </c>
      <c r="B2314" s="7" t="s">
        <v>7729</v>
      </c>
      <c r="C2314" s="8" t="s">
        <v>5319</v>
      </c>
      <c r="D2314" t="s">
        <v>272</v>
      </c>
      <c r="E2314" t="s">
        <v>1072</v>
      </c>
      <c r="F2314" t="s">
        <v>117</v>
      </c>
      <c r="G2314" t="s">
        <v>1982</v>
      </c>
      <c r="H2314" s="9">
        <v>44733</v>
      </c>
      <c r="I2314" t="s">
        <v>1070</v>
      </c>
      <c r="J2314" t="s">
        <v>5330</v>
      </c>
      <c r="K2314" s="9">
        <v>44834</v>
      </c>
      <c r="L2314" t="s">
        <v>29</v>
      </c>
      <c r="M2314"/>
      <c r="N2314" s="9">
        <v>44778</v>
      </c>
      <c r="O2314" s="9">
        <v>44834</v>
      </c>
      <c r="P2314"/>
      <c r="Q2314"/>
      <c r="R2314"/>
      <c r="S2314"/>
      <c r="T2314"/>
      <c r="U2314"/>
    </row>
    <row r="2315" spans="1:21" hidden="1">
      <c r="A2315" s="7" t="s">
        <v>8816</v>
      </c>
      <c r="B2315" s="7" t="s">
        <v>7729</v>
      </c>
      <c r="C2315" s="8" t="s">
        <v>5319</v>
      </c>
      <c r="D2315" t="s">
        <v>272</v>
      </c>
      <c r="E2315" t="s">
        <v>1072</v>
      </c>
      <c r="F2315" t="s">
        <v>117</v>
      </c>
      <c r="G2315" t="s">
        <v>1983</v>
      </c>
      <c r="H2315" s="9">
        <v>44733</v>
      </c>
      <c r="I2315" t="s">
        <v>1070</v>
      </c>
      <c r="J2315" t="s">
        <v>5330</v>
      </c>
      <c r="K2315" s="9">
        <v>44834</v>
      </c>
      <c r="L2315" t="s">
        <v>29</v>
      </c>
      <c r="M2315"/>
      <c r="N2315" s="9">
        <v>44778</v>
      </c>
      <c r="O2315" s="9">
        <v>44834</v>
      </c>
      <c r="P2315"/>
      <c r="Q2315"/>
      <c r="R2315"/>
      <c r="S2315"/>
      <c r="T2315"/>
      <c r="U2315"/>
    </row>
    <row r="2316" spans="1:21" hidden="1">
      <c r="A2316" s="7" t="s">
        <v>8816</v>
      </c>
      <c r="B2316" s="7" t="s">
        <v>7729</v>
      </c>
      <c r="C2316" s="8" t="s">
        <v>5319</v>
      </c>
      <c r="D2316" t="s">
        <v>272</v>
      </c>
      <c r="E2316" t="s">
        <v>1072</v>
      </c>
      <c r="F2316" t="s">
        <v>117</v>
      </c>
      <c r="G2316" t="s">
        <v>1984</v>
      </c>
      <c r="H2316" s="9">
        <v>44733</v>
      </c>
      <c r="I2316" t="s">
        <v>1070</v>
      </c>
      <c r="J2316" t="s">
        <v>5330</v>
      </c>
      <c r="K2316" s="9">
        <v>44834</v>
      </c>
      <c r="L2316" t="s">
        <v>29</v>
      </c>
      <c r="M2316"/>
      <c r="N2316" s="9">
        <v>44778</v>
      </c>
      <c r="O2316" s="9">
        <v>44834</v>
      </c>
      <c r="P2316"/>
      <c r="Q2316"/>
      <c r="R2316"/>
      <c r="S2316"/>
      <c r="T2316"/>
      <c r="U2316"/>
    </row>
    <row r="2317" spans="1:21" hidden="1">
      <c r="A2317" s="7" t="s">
        <v>8816</v>
      </c>
      <c r="B2317" s="7" t="s">
        <v>7729</v>
      </c>
      <c r="C2317" s="8" t="s">
        <v>5319</v>
      </c>
      <c r="D2317" t="s">
        <v>272</v>
      </c>
      <c r="E2317" t="s">
        <v>1072</v>
      </c>
      <c r="F2317" t="s">
        <v>117</v>
      </c>
      <c r="G2317" t="s">
        <v>1985</v>
      </c>
      <c r="H2317" s="9">
        <v>44733</v>
      </c>
      <c r="I2317" t="s">
        <v>1070</v>
      </c>
      <c r="J2317" t="s">
        <v>5330</v>
      </c>
      <c r="K2317" s="9">
        <v>44834</v>
      </c>
      <c r="L2317" t="s">
        <v>29</v>
      </c>
      <c r="M2317"/>
      <c r="N2317" s="9">
        <v>44778</v>
      </c>
      <c r="O2317" s="9">
        <v>44834</v>
      </c>
      <c r="P2317"/>
      <c r="Q2317"/>
      <c r="R2317"/>
      <c r="S2317"/>
      <c r="T2317"/>
      <c r="U2317"/>
    </row>
    <row r="2318" spans="1:21" hidden="1">
      <c r="A2318" s="7" t="s">
        <v>8816</v>
      </c>
      <c r="B2318" s="7" t="s">
        <v>7729</v>
      </c>
      <c r="C2318" s="8" t="s">
        <v>5319</v>
      </c>
      <c r="D2318" t="s">
        <v>272</v>
      </c>
      <c r="E2318" t="s">
        <v>1072</v>
      </c>
      <c r="F2318" t="s">
        <v>117</v>
      </c>
      <c r="G2318" t="s">
        <v>1986</v>
      </c>
      <c r="H2318" s="9">
        <v>44733</v>
      </c>
      <c r="I2318" t="s">
        <v>1070</v>
      </c>
      <c r="J2318" t="s">
        <v>5330</v>
      </c>
      <c r="K2318" s="9">
        <v>44834</v>
      </c>
      <c r="L2318" t="s">
        <v>29</v>
      </c>
      <c r="M2318"/>
      <c r="N2318" s="9">
        <v>44778</v>
      </c>
      <c r="O2318" s="9">
        <v>44834</v>
      </c>
      <c r="P2318"/>
      <c r="Q2318"/>
      <c r="R2318"/>
      <c r="S2318"/>
      <c r="T2318"/>
      <c r="U2318"/>
    </row>
    <row r="2319" spans="1:21" hidden="1">
      <c r="A2319" s="7" t="s">
        <v>8816</v>
      </c>
      <c r="B2319" s="7" t="s">
        <v>7729</v>
      </c>
      <c r="C2319" s="8" t="s">
        <v>5319</v>
      </c>
      <c r="D2319" t="s">
        <v>272</v>
      </c>
      <c r="E2319" t="s">
        <v>1072</v>
      </c>
      <c r="F2319" t="s">
        <v>117</v>
      </c>
      <c r="G2319" t="s">
        <v>1987</v>
      </c>
      <c r="H2319" s="9">
        <v>44733</v>
      </c>
      <c r="I2319" t="s">
        <v>1070</v>
      </c>
      <c r="J2319" t="s">
        <v>5330</v>
      </c>
      <c r="K2319" s="9">
        <v>44834</v>
      </c>
      <c r="L2319" t="s">
        <v>29</v>
      </c>
      <c r="M2319"/>
      <c r="N2319" s="9">
        <v>44778</v>
      </c>
      <c r="O2319" s="9">
        <v>44834</v>
      </c>
      <c r="P2319"/>
      <c r="Q2319"/>
      <c r="R2319"/>
      <c r="S2319"/>
      <c r="T2319"/>
      <c r="U2319"/>
    </row>
    <row r="2320" spans="1:21" hidden="1">
      <c r="A2320" s="7" t="s">
        <v>8816</v>
      </c>
      <c r="B2320" s="7" t="s">
        <v>7729</v>
      </c>
      <c r="C2320" s="8" t="s">
        <v>5319</v>
      </c>
      <c r="D2320" t="s">
        <v>272</v>
      </c>
      <c r="E2320" t="s">
        <v>1072</v>
      </c>
      <c r="F2320" t="s">
        <v>117</v>
      </c>
      <c r="G2320" t="s">
        <v>1988</v>
      </c>
      <c r="H2320" s="9">
        <v>44733</v>
      </c>
      <c r="I2320" t="s">
        <v>1070</v>
      </c>
      <c r="J2320" t="s">
        <v>5330</v>
      </c>
      <c r="K2320" s="9">
        <v>44834</v>
      </c>
      <c r="L2320" t="s">
        <v>29</v>
      </c>
      <c r="M2320"/>
      <c r="N2320" s="9">
        <v>44778</v>
      </c>
      <c r="O2320" s="9">
        <v>44834</v>
      </c>
      <c r="P2320"/>
      <c r="Q2320"/>
      <c r="R2320"/>
      <c r="S2320"/>
      <c r="T2320"/>
      <c r="U2320"/>
    </row>
    <row r="2321" spans="1:21" hidden="1">
      <c r="A2321" s="7" t="s">
        <v>8816</v>
      </c>
      <c r="B2321" s="7" t="s">
        <v>7729</v>
      </c>
      <c r="C2321" s="8" t="s">
        <v>5319</v>
      </c>
      <c r="D2321" t="s">
        <v>272</v>
      </c>
      <c r="E2321" t="s">
        <v>1072</v>
      </c>
      <c r="F2321" t="s">
        <v>117</v>
      </c>
      <c r="G2321" t="s">
        <v>1989</v>
      </c>
      <c r="H2321" s="9">
        <v>44733</v>
      </c>
      <c r="I2321" t="s">
        <v>1070</v>
      </c>
      <c r="J2321" t="s">
        <v>5330</v>
      </c>
      <c r="K2321" s="9">
        <v>44834</v>
      </c>
      <c r="L2321" t="s">
        <v>29</v>
      </c>
      <c r="M2321"/>
      <c r="N2321" s="9">
        <v>44778</v>
      </c>
      <c r="O2321" s="9">
        <v>44834</v>
      </c>
      <c r="P2321"/>
      <c r="Q2321"/>
      <c r="R2321"/>
      <c r="S2321"/>
      <c r="T2321"/>
      <c r="U2321"/>
    </row>
    <row r="2322" spans="1:21" hidden="1">
      <c r="A2322" s="7" t="s">
        <v>8816</v>
      </c>
      <c r="B2322" s="7" t="s">
        <v>7729</v>
      </c>
      <c r="C2322" s="8" t="s">
        <v>5319</v>
      </c>
      <c r="D2322" t="s">
        <v>272</v>
      </c>
      <c r="E2322" t="s">
        <v>1072</v>
      </c>
      <c r="F2322" t="s">
        <v>117</v>
      </c>
      <c r="G2322" t="s">
        <v>1990</v>
      </c>
      <c r="H2322" s="9">
        <v>44733</v>
      </c>
      <c r="I2322" t="s">
        <v>1070</v>
      </c>
      <c r="J2322" t="s">
        <v>5330</v>
      </c>
      <c r="K2322" s="9">
        <v>44834</v>
      </c>
      <c r="L2322" t="s">
        <v>29</v>
      </c>
      <c r="M2322"/>
      <c r="N2322" s="9">
        <v>44778</v>
      </c>
      <c r="O2322" s="9">
        <v>44834</v>
      </c>
      <c r="P2322"/>
      <c r="Q2322"/>
      <c r="R2322"/>
      <c r="S2322"/>
      <c r="T2322"/>
      <c r="U2322"/>
    </row>
    <row r="2323" spans="1:21" hidden="1">
      <c r="A2323" s="7" t="s">
        <v>8816</v>
      </c>
      <c r="B2323" s="7" t="s">
        <v>7729</v>
      </c>
      <c r="C2323" s="8" t="s">
        <v>5319</v>
      </c>
      <c r="D2323" t="s">
        <v>272</v>
      </c>
      <c r="E2323" t="s">
        <v>1072</v>
      </c>
      <c r="F2323" t="s">
        <v>117</v>
      </c>
      <c r="G2323" t="s">
        <v>1991</v>
      </c>
      <c r="H2323" s="9">
        <v>44733</v>
      </c>
      <c r="I2323" t="s">
        <v>1070</v>
      </c>
      <c r="J2323" t="s">
        <v>5330</v>
      </c>
      <c r="K2323" s="9">
        <v>44834</v>
      </c>
      <c r="L2323" t="s">
        <v>29</v>
      </c>
      <c r="M2323"/>
      <c r="N2323" s="9">
        <v>44778</v>
      </c>
      <c r="O2323" s="9">
        <v>44834</v>
      </c>
      <c r="P2323"/>
      <c r="Q2323"/>
      <c r="R2323"/>
      <c r="S2323"/>
      <c r="T2323"/>
      <c r="U2323"/>
    </row>
    <row r="2324" spans="1:21" hidden="1">
      <c r="A2324" s="7" t="s">
        <v>8816</v>
      </c>
      <c r="B2324" s="7" t="s">
        <v>7729</v>
      </c>
      <c r="C2324" s="8" t="s">
        <v>5319</v>
      </c>
      <c r="D2324" t="s">
        <v>272</v>
      </c>
      <c r="E2324" t="s">
        <v>1072</v>
      </c>
      <c r="F2324" t="s">
        <v>117</v>
      </c>
      <c r="G2324" t="s">
        <v>1992</v>
      </c>
      <c r="H2324" s="9">
        <v>44733</v>
      </c>
      <c r="I2324" t="s">
        <v>1070</v>
      </c>
      <c r="J2324" t="s">
        <v>5330</v>
      </c>
      <c r="K2324" s="9">
        <v>44834</v>
      </c>
      <c r="L2324" t="s">
        <v>29</v>
      </c>
      <c r="M2324"/>
      <c r="N2324" s="9">
        <v>44778</v>
      </c>
      <c r="O2324" s="9">
        <v>44834</v>
      </c>
      <c r="P2324"/>
      <c r="Q2324"/>
      <c r="R2324"/>
      <c r="S2324"/>
      <c r="T2324"/>
      <c r="U2324"/>
    </row>
    <row r="2325" spans="1:21" hidden="1">
      <c r="A2325" s="7" t="s">
        <v>8816</v>
      </c>
      <c r="B2325" s="7" t="s">
        <v>7729</v>
      </c>
      <c r="C2325" s="8" t="s">
        <v>5319</v>
      </c>
      <c r="D2325" t="s">
        <v>272</v>
      </c>
      <c r="E2325" t="s">
        <v>1072</v>
      </c>
      <c r="F2325" t="s">
        <v>117</v>
      </c>
      <c r="G2325" t="s">
        <v>1993</v>
      </c>
      <c r="H2325" s="9">
        <v>44733</v>
      </c>
      <c r="I2325" t="s">
        <v>1070</v>
      </c>
      <c r="J2325" t="s">
        <v>5330</v>
      </c>
      <c r="K2325" s="9">
        <v>44834</v>
      </c>
      <c r="L2325" t="s">
        <v>29</v>
      </c>
      <c r="M2325"/>
      <c r="N2325" s="9">
        <v>44778</v>
      </c>
      <c r="O2325" s="9">
        <v>44834</v>
      </c>
      <c r="P2325"/>
      <c r="Q2325"/>
      <c r="R2325"/>
      <c r="S2325"/>
      <c r="T2325"/>
      <c r="U2325"/>
    </row>
    <row r="2326" spans="1:21" hidden="1">
      <c r="A2326" s="7" t="s">
        <v>8816</v>
      </c>
      <c r="B2326" s="7" t="s">
        <v>7729</v>
      </c>
      <c r="C2326" s="8" t="s">
        <v>5319</v>
      </c>
      <c r="D2326" t="s">
        <v>272</v>
      </c>
      <c r="E2326" t="s">
        <v>1072</v>
      </c>
      <c r="F2326" t="s">
        <v>117</v>
      </c>
      <c r="G2326" t="s">
        <v>1994</v>
      </c>
      <c r="H2326" s="9">
        <v>44733</v>
      </c>
      <c r="I2326" t="s">
        <v>1070</v>
      </c>
      <c r="J2326" t="s">
        <v>5330</v>
      </c>
      <c r="K2326" s="9">
        <v>44834</v>
      </c>
      <c r="L2326" t="s">
        <v>29</v>
      </c>
      <c r="M2326"/>
      <c r="N2326" s="9">
        <v>44778</v>
      </c>
      <c r="O2326" s="9">
        <v>44834</v>
      </c>
      <c r="P2326"/>
      <c r="Q2326"/>
      <c r="R2326"/>
      <c r="S2326"/>
      <c r="T2326"/>
      <c r="U2326"/>
    </row>
    <row r="2327" spans="1:21" hidden="1">
      <c r="A2327" s="7" t="s">
        <v>8816</v>
      </c>
      <c r="B2327" s="7" t="s">
        <v>7729</v>
      </c>
      <c r="C2327" s="8" t="s">
        <v>5319</v>
      </c>
      <c r="D2327" t="s">
        <v>272</v>
      </c>
      <c r="E2327" t="s">
        <v>1072</v>
      </c>
      <c r="F2327" t="s">
        <v>117</v>
      </c>
      <c r="G2327" t="s">
        <v>1995</v>
      </c>
      <c r="H2327" s="9">
        <v>44733</v>
      </c>
      <c r="I2327" t="s">
        <v>1070</v>
      </c>
      <c r="J2327" t="s">
        <v>5330</v>
      </c>
      <c r="K2327" s="9">
        <v>44834</v>
      </c>
      <c r="L2327" t="s">
        <v>29</v>
      </c>
      <c r="M2327"/>
      <c r="N2327" s="9">
        <v>44778</v>
      </c>
      <c r="O2327" s="9">
        <v>44834</v>
      </c>
      <c r="P2327"/>
      <c r="Q2327"/>
      <c r="R2327"/>
      <c r="S2327"/>
      <c r="T2327"/>
      <c r="U2327"/>
    </row>
    <row r="2328" spans="1:21" hidden="1">
      <c r="A2328" s="7" t="s">
        <v>8816</v>
      </c>
      <c r="B2328" s="7" t="s">
        <v>7729</v>
      </c>
      <c r="C2328" s="8" t="s">
        <v>5319</v>
      </c>
      <c r="D2328" t="s">
        <v>272</v>
      </c>
      <c r="E2328" t="s">
        <v>1072</v>
      </c>
      <c r="F2328" t="s">
        <v>117</v>
      </c>
      <c r="G2328" t="s">
        <v>1996</v>
      </c>
      <c r="H2328" s="9">
        <v>44733</v>
      </c>
      <c r="I2328" t="s">
        <v>1070</v>
      </c>
      <c r="J2328" t="s">
        <v>5330</v>
      </c>
      <c r="K2328" s="9">
        <v>44834</v>
      </c>
      <c r="L2328" t="s">
        <v>29</v>
      </c>
      <c r="M2328"/>
      <c r="N2328" s="9">
        <v>44778</v>
      </c>
      <c r="O2328" s="9">
        <v>44834</v>
      </c>
      <c r="P2328"/>
      <c r="Q2328"/>
      <c r="R2328"/>
      <c r="S2328"/>
      <c r="T2328"/>
      <c r="U2328"/>
    </row>
    <row r="2329" spans="1:21" hidden="1">
      <c r="A2329" s="7" t="s">
        <v>8816</v>
      </c>
      <c r="B2329" s="7" t="s">
        <v>7729</v>
      </c>
      <c r="C2329" s="8" t="s">
        <v>5319</v>
      </c>
      <c r="D2329" t="s">
        <v>272</v>
      </c>
      <c r="E2329" t="s">
        <v>1072</v>
      </c>
      <c r="F2329" t="s">
        <v>117</v>
      </c>
      <c r="G2329" t="s">
        <v>1997</v>
      </c>
      <c r="H2329" s="9">
        <v>44733</v>
      </c>
      <c r="I2329" t="s">
        <v>1070</v>
      </c>
      <c r="J2329" t="s">
        <v>5330</v>
      </c>
      <c r="K2329" s="9">
        <v>44834</v>
      </c>
      <c r="L2329" t="s">
        <v>29</v>
      </c>
      <c r="M2329"/>
      <c r="N2329" s="9">
        <v>44778</v>
      </c>
      <c r="O2329" s="9">
        <v>44834</v>
      </c>
      <c r="P2329"/>
      <c r="Q2329"/>
      <c r="R2329"/>
      <c r="S2329"/>
      <c r="T2329"/>
      <c r="U2329"/>
    </row>
    <row r="2330" spans="1:21" hidden="1">
      <c r="A2330" s="7" t="s">
        <v>8816</v>
      </c>
      <c r="B2330" s="7" t="s">
        <v>7729</v>
      </c>
      <c r="C2330" s="8" t="s">
        <v>5319</v>
      </c>
      <c r="D2330" t="s">
        <v>272</v>
      </c>
      <c r="E2330" t="s">
        <v>1072</v>
      </c>
      <c r="F2330" t="s">
        <v>117</v>
      </c>
      <c r="G2330" t="s">
        <v>1998</v>
      </c>
      <c r="H2330" s="9">
        <v>44733</v>
      </c>
      <c r="I2330" t="s">
        <v>1070</v>
      </c>
      <c r="J2330" t="s">
        <v>5330</v>
      </c>
      <c r="K2330" s="9">
        <v>44834</v>
      </c>
      <c r="L2330" t="s">
        <v>29</v>
      </c>
      <c r="M2330"/>
      <c r="N2330" s="9">
        <v>44778</v>
      </c>
      <c r="O2330" s="9">
        <v>44834</v>
      </c>
      <c r="P2330"/>
      <c r="Q2330"/>
      <c r="R2330"/>
      <c r="S2330"/>
      <c r="T2330"/>
      <c r="U2330"/>
    </row>
    <row r="2331" spans="1:21" hidden="1">
      <c r="A2331" s="7" t="s">
        <v>8816</v>
      </c>
      <c r="B2331" s="7" t="s">
        <v>7729</v>
      </c>
      <c r="C2331" s="8" t="s">
        <v>5319</v>
      </c>
      <c r="D2331" t="s">
        <v>272</v>
      </c>
      <c r="E2331" t="s">
        <v>1072</v>
      </c>
      <c r="F2331" t="s">
        <v>117</v>
      </c>
      <c r="G2331" t="s">
        <v>1999</v>
      </c>
      <c r="H2331" s="9">
        <v>44733</v>
      </c>
      <c r="I2331" t="s">
        <v>1070</v>
      </c>
      <c r="J2331" t="s">
        <v>5330</v>
      </c>
      <c r="K2331" s="9">
        <v>44834</v>
      </c>
      <c r="L2331" t="s">
        <v>29</v>
      </c>
      <c r="M2331"/>
      <c r="N2331" s="9">
        <v>44778</v>
      </c>
      <c r="O2331" s="9">
        <v>44834</v>
      </c>
      <c r="P2331"/>
      <c r="Q2331"/>
      <c r="R2331"/>
      <c r="S2331"/>
      <c r="T2331"/>
      <c r="U2331"/>
    </row>
    <row r="2332" spans="1:21" hidden="1">
      <c r="A2332" s="7" t="s">
        <v>8816</v>
      </c>
      <c r="B2332" s="7" t="s">
        <v>7729</v>
      </c>
      <c r="C2332" s="8" t="s">
        <v>5319</v>
      </c>
      <c r="D2332" t="s">
        <v>272</v>
      </c>
      <c r="E2332" t="s">
        <v>1072</v>
      </c>
      <c r="F2332" t="s">
        <v>117</v>
      </c>
      <c r="G2332" t="s">
        <v>2000</v>
      </c>
      <c r="H2332" s="9">
        <v>44733</v>
      </c>
      <c r="I2332" t="s">
        <v>1070</v>
      </c>
      <c r="J2332" t="s">
        <v>5330</v>
      </c>
      <c r="K2332" s="9">
        <v>44834</v>
      </c>
      <c r="L2332" t="s">
        <v>29</v>
      </c>
      <c r="M2332"/>
      <c r="N2332" s="9">
        <v>44778</v>
      </c>
      <c r="O2332" s="9">
        <v>44834</v>
      </c>
      <c r="P2332"/>
      <c r="Q2332"/>
      <c r="R2332"/>
      <c r="S2332"/>
      <c r="T2332"/>
      <c r="U2332"/>
    </row>
    <row r="2333" spans="1:21" hidden="1">
      <c r="A2333" s="7" t="s">
        <v>8816</v>
      </c>
      <c r="B2333" s="7" t="s">
        <v>7729</v>
      </c>
      <c r="C2333" s="8" t="s">
        <v>5319</v>
      </c>
      <c r="D2333" t="s">
        <v>272</v>
      </c>
      <c r="E2333" t="s">
        <v>1072</v>
      </c>
      <c r="F2333" t="s">
        <v>117</v>
      </c>
      <c r="G2333" t="s">
        <v>2001</v>
      </c>
      <c r="H2333" s="9">
        <v>44733</v>
      </c>
      <c r="I2333" t="s">
        <v>1070</v>
      </c>
      <c r="J2333" t="s">
        <v>5330</v>
      </c>
      <c r="K2333" s="9">
        <v>44834</v>
      </c>
      <c r="L2333" t="s">
        <v>29</v>
      </c>
      <c r="M2333"/>
      <c r="N2333" s="9">
        <v>44778</v>
      </c>
      <c r="O2333" s="9">
        <v>44834</v>
      </c>
      <c r="P2333"/>
      <c r="Q2333"/>
      <c r="R2333"/>
      <c r="S2333"/>
      <c r="T2333"/>
      <c r="U2333"/>
    </row>
    <row r="2334" spans="1:21" hidden="1">
      <c r="A2334" s="7" t="s">
        <v>8816</v>
      </c>
      <c r="B2334" s="7" t="s">
        <v>7729</v>
      </c>
      <c r="C2334" s="8" t="s">
        <v>5319</v>
      </c>
      <c r="D2334" t="s">
        <v>272</v>
      </c>
      <c r="E2334" t="s">
        <v>1072</v>
      </c>
      <c r="F2334" t="s">
        <v>117</v>
      </c>
      <c r="G2334" t="s">
        <v>2002</v>
      </c>
      <c r="H2334" s="9">
        <v>44733</v>
      </c>
      <c r="I2334" t="s">
        <v>1070</v>
      </c>
      <c r="J2334" t="s">
        <v>5330</v>
      </c>
      <c r="K2334" s="9">
        <v>44834</v>
      </c>
      <c r="L2334" t="s">
        <v>29</v>
      </c>
      <c r="M2334"/>
      <c r="N2334" s="9">
        <v>44778</v>
      </c>
      <c r="O2334" s="9">
        <v>44834</v>
      </c>
      <c r="P2334"/>
      <c r="Q2334"/>
      <c r="R2334"/>
      <c r="S2334"/>
      <c r="T2334"/>
      <c r="U2334"/>
    </row>
    <row r="2335" spans="1:21" hidden="1">
      <c r="A2335" s="7" t="s">
        <v>8816</v>
      </c>
      <c r="B2335" s="7" t="s">
        <v>7729</v>
      </c>
      <c r="C2335" s="8" t="s">
        <v>5319</v>
      </c>
      <c r="D2335" t="s">
        <v>272</v>
      </c>
      <c r="E2335" t="s">
        <v>1072</v>
      </c>
      <c r="F2335" t="s">
        <v>117</v>
      </c>
      <c r="G2335" t="s">
        <v>2003</v>
      </c>
      <c r="H2335" s="9">
        <v>44733</v>
      </c>
      <c r="I2335" t="s">
        <v>1070</v>
      </c>
      <c r="J2335" t="s">
        <v>5330</v>
      </c>
      <c r="K2335" s="9">
        <v>44834</v>
      </c>
      <c r="L2335" t="s">
        <v>29</v>
      </c>
      <c r="M2335"/>
      <c r="N2335" s="9">
        <v>44778</v>
      </c>
      <c r="O2335" s="9">
        <v>44834</v>
      </c>
      <c r="P2335"/>
      <c r="Q2335"/>
      <c r="R2335"/>
      <c r="S2335"/>
      <c r="T2335"/>
      <c r="U2335"/>
    </row>
    <row r="2336" spans="1:21" hidden="1">
      <c r="A2336" s="7" t="s">
        <v>8816</v>
      </c>
      <c r="B2336" s="7" t="s">
        <v>7729</v>
      </c>
      <c r="C2336" s="8" t="s">
        <v>5319</v>
      </c>
      <c r="D2336" t="s">
        <v>272</v>
      </c>
      <c r="E2336" t="s">
        <v>1072</v>
      </c>
      <c r="F2336" t="s">
        <v>117</v>
      </c>
      <c r="G2336" t="s">
        <v>2004</v>
      </c>
      <c r="H2336" s="9">
        <v>44733</v>
      </c>
      <c r="I2336" t="s">
        <v>1070</v>
      </c>
      <c r="J2336" t="s">
        <v>5330</v>
      </c>
      <c r="K2336" s="9">
        <v>44834</v>
      </c>
      <c r="L2336" t="s">
        <v>29</v>
      </c>
      <c r="M2336"/>
      <c r="N2336" s="9">
        <v>44778</v>
      </c>
      <c r="O2336" s="9">
        <v>44834</v>
      </c>
      <c r="P2336"/>
      <c r="Q2336"/>
      <c r="R2336"/>
      <c r="S2336"/>
      <c r="T2336"/>
      <c r="U2336"/>
    </row>
    <row r="2337" spans="1:21" hidden="1">
      <c r="A2337" s="7" t="s">
        <v>8816</v>
      </c>
      <c r="B2337" s="7" t="s">
        <v>7729</v>
      </c>
      <c r="C2337" s="8" t="s">
        <v>5319</v>
      </c>
      <c r="D2337" t="s">
        <v>272</v>
      </c>
      <c r="E2337" t="s">
        <v>1072</v>
      </c>
      <c r="F2337" t="s">
        <v>117</v>
      </c>
      <c r="G2337" t="s">
        <v>2005</v>
      </c>
      <c r="H2337" s="9">
        <v>44733</v>
      </c>
      <c r="I2337" t="s">
        <v>1070</v>
      </c>
      <c r="J2337" t="s">
        <v>5330</v>
      </c>
      <c r="K2337" s="9">
        <v>44834</v>
      </c>
      <c r="L2337" t="s">
        <v>29</v>
      </c>
      <c r="M2337"/>
      <c r="N2337" s="9">
        <v>44778</v>
      </c>
      <c r="O2337" s="9">
        <v>44834</v>
      </c>
      <c r="P2337"/>
      <c r="Q2337"/>
      <c r="R2337"/>
      <c r="S2337"/>
      <c r="T2337"/>
      <c r="U2337"/>
    </row>
    <row r="2338" spans="1:21" hidden="1">
      <c r="A2338" s="7" t="s">
        <v>8816</v>
      </c>
      <c r="B2338" s="7" t="s">
        <v>7729</v>
      </c>
      <c r="C2338" s="8" t="s">
        <v>5319</v>
      </c>
      <c r="D2338" t="s">
        <v>272</v>
      </c>
      <c r="E2338" t="s">
        <v>1072</v>
      </c>
      <c r="F2338" t="s">
        <v>117</v>
      </c>
      <c r="G2338" t="s">
        <v>2006</v>
      </c>
      <c r="H2338" s="9">
        <v>44733</v>
      </c>
      <c r="I2338" t="s">
        <v>1070</v>
      </c>
      <c r="J2338" t="s">
        <v>5330</v>
      </c>
      <c r="K2338" s="9">
        <v>44834</v>
      </c>
      <c r="L2338" t="s">
        <v>29</v>
      </c>
      <c r="M2338"/>
      <c r="N2338" s="9">
        <v>44778</v>
      </c>
      <c r="O2338" s="9">
        <v>44834</v>
      </c>
      <c r="P2338"/>
      <c r="Q2338"/>
      <c r="R2338"/>
      <c r="S2338"/>
      <c r="T2338"/>
      <c r="U2338"/>
    </row>
    <row r="2339" spans="1:21" hidden="1">
      <c r="A2339" s="7" t="s">
        <v>8816</v>
      </c>
      <c r="B2339" s="7" t="s">
        <v>7729</v>
      </c>
      <c r="C2339" s="8" t="s">
        <v>5319</v>
      </c>
      <c r="D2339" t="s">
        <v>272</v>
      </c>
      <c r="E2339" t="s">
        <v>1072</v>
      </c>
      <c r="F2339" t="s">
        <v>117</v>
      </c>
      <c r="G2339" t="s">
        <v>2007</v>
      </c>
      <c r="H2339" s="9">
        <v>44733</v>
      </c>
      <c r="I2339" t="s">
        <v>1070</v>
      </c>
      <c r="J2339" t="s">
        <v>5330</v>
      </c>
      <c r="K2339" s="9">
        <v>44834</v>
      </c>
      <c r="L2339" t="s">
        <v>29</v>
      </c>
      <c r="M2339"/>
      <c r="N2339" s="9">
        <v>44778</v>
      </c>
      <c r="O2339" s="9">
        <v>44834</v>
      </c>
      <c r="P2339"/>
      <c r="Q2339"/>
      <c r="R2339"/>
      <c r="S2339"/>
      <c r="T2339"/>
      <c r="U2339"/>
    </row>
    <row r="2340" spans="1:21" hidden="1">
      <c r="A2340" s="7" t="s">
        <v>8816</v>
      </c>
      <c r="B2340" s="7" t="s">
        <v>7729</v>
      </c>
      <c r="C2340" s="8" t="s">
        <v>5319</v>
      </c>
      <c r="D2340" t="s">
        <v>272</v>
      </c>
      <c r="E2340" t="s">
        <v>1072</v>
      </c>
      <c r="F2340" t="s">
        <v>117</v>
      </c>
      <c r="G2340" t="s">
        <v>2008</v>
      </c>
      <c r="H2340" s="9">
        <v>44733</v>
      </c>
      <c r="I2340" t="s">
        <v>1070</v>
      </c>
      <c r="J2340" t="s">
        <v>5330</v>
      </c>
      <c r="K2340" s="9">
        <v>44834</v>
      </c>
      <c r="L2340" t="s">
        <v>29</v>
      </c>
      <c r="M2340"/>
      <c r="N2340" s="9">
        <v>44778</v>
      </c>
      <c r="O2340" s="9">
        <v>44834</v>
      </c>
      <c r="P2340"/>
      <c r="Q2340"/>
      <c r="R2340"/>
      <c r="S2340"/>
      <c r="T2340"/>
      <c r="U2340"/>
    </row>
    <row r="2341" spans="1:21" hidden="1">
      <c r="A2341" s="7" t="s">
        <v>8816</v>
      </c>
      <c r="B2341" s="7" t="s">
        <v>7729</v>
      </c>
      <c r="C2341" s="8" t="s">
        <v>5319</v>
      </c>
      <c r="D2341" t="s">
        <v>272</v>
      </c>
      <c r="E2341" t="s">
        <v>1072</v>
      </c>
      <c r="F2341" t="s">
        <v>117</v>
      </c>
      <c r="G2341" t="s">
        <v>2009</v>
      </c>
      <c r="H2341" s="9">
        <v>44733</v>
      </c>
      <c r="I2341" t="s">
        <v>1070</v>
      </c>
      <c r="J2341" t="s">
        <v>5330</v>
      </c>
      <c r="K2341" s="9">
        <v>44834</v>
      </c>
      <c r="L2341" t="s">
        <v>29</v>
      </c>
      <c r="M2341"/>
      <c r="N2341" s="9">
        <v>44778</v>
      </c>
      <c r="O2341" s="9">
        <v>44834</v>
      </c>
      <c r="P2341"/>
      <c r="Q2341"/>
      <c r="R2341"/>
      <c r="S2341"/>
      <c r="T2341"/>
      <c r="U2341"/>
    </row>
    <row r="2342" spans="1:21" hidden="1">
      <c r="A2342" s="7" t="s">
        <v>8816</v>
      </c>
      <c r="B2342" s="7" t="s">
        <v>7729</v>
      </c>
      <c r="C2342" s="8" t="s">
        <v>5319</v>
      </c>
      <c r="D2342" t="s">
        <v>272</v>
      </c>
      <c r="E2342" t="s">
        <v>1072</v>
      </c>
      <c r="F2342" t="s">
        <v>117</v>
      </c>
      <c r="G2342" t="s">
        <v>2010</v>
      </c>
      <c r="H2342" s="9">
        <v>44733</v>
      </c>
      <c r="I2342" t="s">
        <v>1070</v>
      </c>
      <c r="J2342" t="s">
        <v>5330</v>
      </c>
      <c r="K2342" s="9">
        <v>44834</v>
      </c>
      <c r="L2342" t="s">
        <v>29</v>
      </c>
      <c r="M2342"/>
      <c r="N2342" s="9">
        <v>44778</v>
      </c>
      <c r="O2342" s="9">
        <v>44834</v>
      </c>
      <c r="P2342"/>
      <c r="Q2342"/>
      <c r="R2342"/>
      <c r="S2342"/>
      <c r="T2342"/>
      <c r="U2342"/>
    </row>
    <row r="2343" spans="1:21" hidden="1">
      <c r="A2343" s="7" t="s">
        <v>8816</v>
      </c>
      <c r="B2343" s="7" t="s">
        <v>7729</v>
      </c>
      <c r="C2343" s="8" t="s">
        <v>5319</v>
      </c>
      <c r="D2343" t="s">
        <v>272</v>
      </c>
      <c r="E2343" t="s">
        <v>1072</v>
      </c>
      <c r="F2343" t="s">
        <v>117</v>
      </c>
      <c r="G2343" t="s">
        <v>2011</v>
      </c>
      <c r="H2343" s="9">
        <v>44733</v>
      </c>
      <c r="I2343" t="s">
        <v>1070</v>
      </c>
      <c r="J2343" t="s">
        <v>5330</v>
      </c>
      <c r="K2343" s="9">
        <v>44834</v>
      </c>
      <c r="L2343" t="s">
        <v>29</v>
      </c>
      <c r="M2343"/>
      <c r="N2343" s="9">
        <v>44778</v>
      </c>
      <c r="O2343" s="9">
        <v>44834</v>
      </c>
      <c r="P2343"/>
      <c r="Q2343"/>
      <c r="R2343"/>
      <c r="S2343"/>
      <c r="T2343"/>
      <c r="U2343"/>
    </row>
    <row r="2344" spans="1:21" hidden="1">
      <c r="A2344" s="7" t="s">
        <v>8816</v>
      </c>
      <c r="B2344" s="7" t="s">
        <v>7729</v>
      </c>
      <c r="C2344" s="8" t="s">
        <v>5319</v>
      </c>
      <c r="D2344" t="s">
        <v>272</v>
      </c>
      <c r="E2344" t="s">
        <v>1072</v>
      </c>
      <c r="F2344" t="s">
        <v>117</v>
      </c>
      <c r="G2344" t="s">
        <v>2012</v>
      </c>
      <c r="H2344" s="9">
        <v>44733</v>
      </c>
      <c r="I2344" t="s">
        <v>1070</v>
      </c>
      <c r="J2344" t="s">
        <v>5330</v>
      </c>
      <c r="K2344" s="9">
        <v>44834</v>
      </c>
      <c r="L2344" t="s">
        <v>29</v>
      </c>
      <c r="M2344"/>
      <c r="N2344" s="9">
        <v>44778</v>
      </c>
      <c r="O2344" s="9">
        <v>44834</v>
      </c>
      <c r="P2344"/>
      <c r="Q2344"/>
      <c r="R2344"/>
      <c r="S2344"/>
      <c r="T2344"/>
      <c r="U2344"/>
    </row>
    <row r="2345" spans="1:21" hidden="1">
      <c r="A2345" s="7" t="s">
        <v>8816</v>
      </c>
      <c r="B2345" s="7" t="s">
        <v>7729</v>
      </c>
      <c r="C2345" s="8" t="s">
        <v>5319</v>
      </c>
      <c r="D2345" t="s">
        <v>272</v>
      </c>
      <c r="E2345" t="s">
        <v>1072</v>
      </c>
      <c r="F2345" t="s">
        <v>117</v>
      </c>
      <c r="G2345" t="s">
        <v>2013</v>
      </c>
      <c r="H2345" s="9">
        <v>44733</v>
      </c>
      <c r="I2345" t="s">
        <v>1070</v>
      </c>
      <c r="J2345" t="s">
        <v>5330</v>
      </c>
      <c r="K2345" s="9">
        <v>44834</v>
      </c>
      <c r="L2345" t="s">
        <v>29</v>
      </c>
      <c r="M2345"/>
      <c r="N2345" s="9">
        <v>44778</v>
      </c>
      <c r="O2345" s="9">
        <v>44834</v>
      </c>
      <c r="P2345"/>
      <c r="Q2345"/>
      <c r="R2345"/>
      <c r="S2345"/>
      <c r="T2345"/>
      <c r="U2345"/>
    </row>
    <row r="2346" spans="1:21" hidden="1">
      <c r="A2346" s="7" t="s">
        <v>8816</v>
      </c>
      <c r="B2346" s="7" t="s">
        <v>7729</v>
      </c>
      <c r="C2346" s="8" t="s">
        <v>5319</v>
      </c>
      <c r="D2346" t="s">
        <v>272</v>
      </c>
      <c r="E2346" t="s">
        <v>1072</v>
      </c>
      <c r="F2346" t="s">
        <v>117</v>
      </c>
      <c r="G2346" t="s">
        <v>2014</v>
      </c>
      <c r="H2346" s="9">
        <v>44733</v>
      </c>
      <c r="I2346" t="s">
        <v>1070</v>
      </c>
      <c r="J2346" t="s">
        <v>5330</v>
      </c>
      <c r="K2346" s="9">
        <v>44834</v>
      </c>
      <c r="L2346" t="s">
        <v>29</v>
      </c>
      <c r="M2346"/>
      <c r="N2346" s="9">
        <v>44778</v>
      </c>
      <c r="O2346" s="9">
        <v>44834</v>
      </c>
      <c r="P2346"/>
      <c r="Q2346"/>
      <c r="R2346"/>
      <c r="S2346"/>
      <c r="T2346"/>
      <c r="U2346"/>
    </row>
    <row r="2347" spans="1:21" hidden="1">
      <c r="A2347" s="7" t="s">
        <v>8816</v>
      </c>
      <c r="B2347" s="7" t="s">
        <v>7729</v>
      </c>
      <c r="C2347" s="8" t="s">
        <v>5319</v>
      </c>
      <c r="D2347" t="s">
        <v>272</v>
      </c>
      <c r="E2347" t="s">
        <v>1072</v>
      </c>
      <c r="F2347" t="s">
        <v>117</v>
      </c>
      <c r="G2347" t="s">
        <v>2015</v>
      </c>
      <c r="H2347" s="9">
        <v>44733</v>
      </c>
      <c r="I2347" t="s">
        <v>1070</v>
      </c>
      <c r="J2347" t="s">
        <v>5330</v>
      </c>
      <c r="K2347" s="9">
        <v>44834</v>
      </c>
      <c r="L2347" t="s">
        <v>29</v>
      </c>
      <c r="M2347"/>
      <c r="N2347" s="9">
        <v>44778</v>
      </c>
      <c r="O2347" s="9">
        <v>44834</v>
      </c>
      <c r="P2347"/>
      <c r="Q2347"/>
      <c r="R2347"/>
      <c r="S2347"/>
      <c r="T2347"/>
      <c r="U2347"/>
    </row>
    <row r="2348" spans="1:21" hidden="1">
      <c r="A2348" s="7" t="s">
        <v>8816</v>
      </c>
      <c r="B2348" s="7" t="s">
        <v>7729</v>
      </c>
      <c r="C2348" s="8" t="s">
        <v>5319</v>
      </c>
      <c r="D2348" t="s">
        <v>272</v>
      </c>
      <c r="E2348" t="s">
        <v>1072</v>
      </c>
      <c r="F2348" t="s">
        <v>117</v>
      </c>
      <c r="G2348" t="s">
        <v>2016</v>
      </c>
      <c r="H2348" s="9">
        <v>44733</v>
      </c>
      <c r="I2348" t="s">
        <v>1070</v>
      </c>
      <c r="J2348" t="s">
        <v>5330</v>
      </c>
      <c r="K2348" s="9">
        <v>44834</v>
      </c>
      <c r="L2348" t="s">
        <v>29</v>
      </c>
      <c r="M2348"/>
      <c r="N2348" s="9">
        <v>44778</v>
      </c>
      <c r="O2348" s="9">
        <v>44834</v>
      </c>
      <c r="P2348"/>
      <c r="Q2348"/>
      <c r="R2348"/>
      <c r="S2348"/>
      <c r="T2348"/>
      <c r="U2348"/>
    </row>
    <row r="2349" spans="1:21" hidden="1">
      <c r="A2349" s="7" t="s">
        <v>8816</v>
      </c>
      <c r="B2349" s="7" t="s">
        <v>7729</v>
      </c>
      <c r="C2349" s="8" t="s">
        <v>5319</v>
      </c>
      <c r="D2349" t="s">
        <v>272</v>
      </c>
      <c r="E2349" t="s">
        <v>1072</v>
      </c>
      <c r="F2349" t="s">
        <v>117</v>
      </c>
      <c r="G2349" t="s">
        <v>2017</v>
      </c>
      <c r="H2349" s="9">
        <v>44733</v>
      </c>
      <c r="I2349" t="s">
        <v>1070</v>
      </c>
      <c r="J2349" t="s">
        <v>5330</v>
      </c>
      <c r="K2349" s="9">
        <v>44834</v>
      </c>
      <c r="L2349" t="s">
        <v>29</v>
      </c>
      <c r="M2349"/>
      <c r="N2349" s="9">
        <v>44778</v>
      </c>
      <c r="O2349" s="9">
        <v>44834</v>
      </c>
      <c r="P2349"/>
      <c r="Q2349"/>
      <c r="R2349"/>
      <c r="S2349"/>
      <c r="T2349"/>
      <c r="U2349"/>
    </row>
    <row r="2350" spans="1:21" hidden="1">
      <c r="A2350" s="7" t="s">
        <v>8816</v>
      </c>
      <c r="B2350" s="7" t="s">
        <v>7729</v>
      </c>
      <c r="C2350" s="8" t="s">
        <v>5319</v>
      </c>
      <c r="D2350" t="s">
        <v>272</v>
      </c>
      <c r="E2350" t="s">
        <v>1072</v>
      </c>
      <c r="F2350" t="s">
        <v>117</v>
      </c>
      <c r="G2350" t="s">
        <v>2018</v>
      </c>
      <c r="H2350" s="9">
        <v>44733</v>
      </c>
      <c r="I2350" t="s">
        <v>1070</v>
      </c>
      <c r="J2350" t="s">
        <v>5330</v>
      </c>
      <c r="K2350" s="9">
        <v>44834</v>
      </c>
      <c r="L2350" t="s">
        <v>29</v>
      </c>
      <c r="M2350"/>
      <c r="N2350" s="9">
        <v>44778</v>
      </c>
      <c r="O2350" s="9">
        <v>44834</v>
      </c>
      <c r="P2350"/>
      <c r="Q2350"/>
      <c r="R2350"/>
      <c r="S2350"/>
      <c r="T2350"/>
      <c r="U2350"/>
    </row>
    <row r="2351" spans="1:21" hidden="1">
      <c r="A2351" s="7" t="s">
        <v>8816</v>
      </c>
      <c r="B2351" s="7" t="s">
        <v>7729</v>
      </c>
      <c r="C2351" s="8" t="s">
        <v>5319</v>
      </c>
      <c r="D2351" t="s">
        <v>272</v>
      </c>
      <c r="E2351" t="s">
        <v>1072</v>
      </c>
      <c r="F2351" t="s">
        <v>117</v>
      </c>
      <c r="G2351" t="s">
        <v>2019</v>
      </c>
      <c r="H2351" s="9">
        <v>44733</v>
      </c>
      <c r="I2351" t="s">
        <v>1070</v>
      </c>
      <c r="J2351" t="s">
        <v>5330</v>
      </c>
      <c r="K2351" s="9">
        <v>44834</v>
      </c>
      <c r="L2351" t="s">
        <v>29</v>
      </c>
      <c r="M2351"/>
      <c r="N2351" s="9">
        <v>44778</v>
      </c>
      <c r="O2351" s="9">
        <v>44834</v>
      </c>
      <c r="P2351"/>
      <c r="Q2351"/>
      <c r="R2351"/>
      <c r="S2351"/>
      <c r="T2351"/>
      <c r="U2351"/>
    </row>
    <row r="2352" spans="1:21" hidden="1">
      <c r="A2352" s="7" t="s">
        <v>8816</v>
      </c>
      <c r="B2352" s="7" t="s">
        <v>7729</v>
      </c>
      <c r="C2352" s="8" t="s">
        <v>5319</v>
      </c>
      <c r="D2352" t="s">
        <v>272</v>
      </c>
      <c r="E2352" t="s">
        <v>1072</v>
      </c>
      <c r="F2352" t="s">
        <v>117</v>
      </c>
      <c r="G2352" t="s">
        <v>2020</v>
      </c>
      <c r="H2352" s="9">
        <v>44733</v>
      </c>
      <c r="I2352" t="s">
        <v>1070</v>
      </c>
      <c r="J2352" t="s">
        <v>5330</v>
      </c>
      <c r="K2352" s="9">
        <v>44834</v>
      </c>
      <c r="L2352" t="s">
        <v>29</v>
      </c>
      <c r="M2352"/>
      <c r="N2352" s="9">
        <v>44778</v>
      </c>
      <c r="O2352" s="9">
        <v>44834</v>
      </c>
      <c r="P2352"/>
      <c r="Q2352"/>
      <c r="R2352"/>
      <c r="S2352"/>
      <c r="T2352"/>
      <c r="U2352"/>
    </row>
    <row r="2353" spans="1:21" hidden="1">
      <c r="A2353" s="7" t="s">
        <v>8816</v>
      </c>
      <c r="B2353" s="7" t="s">
        <v>7729</v>
      </c>
      <c r="C2353" s="8" t="s">
        <v>5319</v>
      </c>
      <c r="D2353" t="s">
        <v>272</v>
      </c>
      <c r="E2353" t="s">
        <v>1072</v>
      </c>
      <c r="F2353" t="s">
        <v>117</v>
      </c>
      <c r="G2353" t="s">
        <v>2021</v>
      </c>
      <c r="H2353" s="9">
        <v>44733</v>
      </c>
      <c r="I2353" t="s">
        <v>1070</v>
      </c>
      <c r="J2353" t="s">
        <v>5330</v>
      </c>
      <c r="K2353" s="9">
        <v>44834</v>
      </c>
      <c r="L2353" t="s">
        <v>29</v>
      </c>
      <c r="M2353"/>
      <c r="N2353" s="9">
        <v>44778</v>
      </c>
      <c r="O2353" s="9">
        <v>44834</v>
      </c>
      <c r="P2353"/>
      <c r="Q2353"/>
      <c r="R2353"/>
      <c r="S2353"/>
      <c r="T2353"/>
      <c r="U2353"/>
    </row>
    <row r="2354" spans="1:21" hidden="1">
      <c r="A2354" s="7" t="s">
        <v>8816</v>
      </c>
      <c r="B2354" s="7" t="s">
        <v>7729</v>
      </c>
      <c r="C2354" s="8" t="s">
        <v>5319</v>
      </c>
      <c r="D2354" t="s">
        <v>272</v>
      </c>
      <c r="E2354" t="s">
        <v>1072</v>
      </c>
      <c r="F2354" t="s">
        <v>117</v>
      </c>
      <c r="G2354" t="s">
        <v>2022</v>
      </c>
      <c r="H2354" s="9">
        <v>44733</v>
      </c>
      <c r="I2354" t="s">
        <v>1070</v>
      </c>
      <c r="J2354" t="s">
        <v>5330</v>
      </c>
      <c r="K2354" s="9">
        <v>44834</v>
      </c>
      <c r="L2354" t="s">
        <v>29</v>
      </c>
      <c r="M2354"/>
      <c r="N2354" s="9">
        <v>44778</v>
      </c>
      <c r="O2354" s="9">
        <v>44834</v>
      </c>
      <c r="P2354"/>
      <c r="Q2354"/>
      <c r="R2354"/>
      <c r="S2354"/>
      <c r="T2354"/>
      <c r="U2354"/>
    </row>
    <row r="2355" spans="1:21" hidden="1">
      <c r="A2355" s="7" t="s">
        <v>8816</v>
      </c>
      <c r="B2355" s="7" t="s">
        <v>7729</v>
      </c>
      <c r="C2355" s="8" t="s">
        <v>5319</v>
      </c>
      <c r="D2355" t="s">
        <v>272</v>
      </c>
      <c r="E2355" t="s">
        <v>1072</v>
      </c>
      <c r="F2355" t="s">
        <v>117</v>
      </c>
      <c r="G2355" t="s">
        <v>2023</v>
      </c>
      <c r="H2355" s="9">
        <v>44733</v>
      </c>
      <c r="I2355" t="s">
        <v>1070</v>
      </c>
      <c r="J2355" t="s">
        <v>5330</v>
      </c>
      <c r="K2355" s="9">
        <v>44834</v>
      </c>
      <c r="L2355" t="s">
        <v>29</v>
      </c>
      <c r="M2355"/>
      <c r="N2355" s="9">
        <v>44778</v>
      </c>
      <c r="O2355" s="9">
        <v>44834</v>
      </c>
      <c r="P2355"/>
      <c r="Q2355"/>
      <c r="R2355"/>
      <c r="S2355"/>
      <c r="T2355"/>
      <c r="U2355"/>
    </row>
    <row r="2356" spans="1:21" hidden="1">
      <c r="A2356" s="7" t="s">
        <v>8816</v>
      </c>
      <c r="B2356" s="7" t="s">
        <v>7729</v>
      </c>
      <c r="C2356" s="8" t="s">
        <v>5319</v>
      </c>
      <c r="D2356" t="s">
        <v>272</v>
      </c>
      <c r="E2356" t="s">
        <v>1072</v>
      </c>
      <c r="F2356" t="s">
        <v>117</v>
      </c>
      <c r="G2356" t="s">
        <v>2024</v>
      </c>
      <c r="H2356" s="9">
        <v>44733</v>
      </c>
      <c r="I2356" t="s">
        <v>1070</v>
      </c>
      <c r="J2356" t="s">
        <v>5330</v>
      </c>
      <c r="K2356" s="9">
        <v>44834</v>
      </c>
      <c r="L2356" t="s">
        <v>29</v>
      </c>
      <c r="M2356"/>
      <c r="N2356" s="9">
        <v>44778</v>
      </c>
      <c r="O2356" s="9">
        <v>44834</v>
      </c>
      <c r="P2356"/>
      <c r="Q2356"/>
      <c r="R2356"/>
      <c r="S2356"/>
      <c r="T2356"/>
      <c r="U2356"/>
    </row>
    <row r="2357" spans="1:21" hidden="1">
      <c r="A2357" s="7" t="s">
        <v>8816</v>
      </c>
      <c r="B2357" s="7" t="s">
        <v>7729</v>
      </c>
      <c r="C2357" s="8" t="s">
        <v>5319</v>
      </c>
      <c r="D2357" t="s">
        <v>272</v>
      </c>
      <c r="E2357" t="s">
        <v>1072</v>
      </c>
      <c r="F2357" t="s">
        <v>117</v>
      </c>
      <c r="G2357" t="s">
        <v>2025</v>
      </c>
      <c r="H2357" s="9">
        <v>44733</v>
      </c>
      <c r="I2357" t="s">
        <v>1070</v>
      </c>
      <c r="J2357" t="s">
        <v>5330</v>
      </c>
      <c r="K2357" s="9">
        <v>44834</v>
      </c>
      <c r="L2357" t="s">
        <v>29</v>
      </c>
      <c r="M2357"/>
      <c r="N2357" s="9">
        <v>44778</v>
      </c>
      <c r="O2357" s="9">
        <v>44834</v>
      </c>
      <c r="P2357"/>
      <c r="Q2357"/>
      <c r="R2357"/>
      <c r="S2357"/>
      <c r="T2357"/>
      <c r="U2357"/>
    </row>
    <row r="2358" spans="1:21" hidden="1">
      <c r="A2358" s="7" t="s">
        <v>8816</v>
      </c>
      <c r="B2358" s="7" t="s">
        <v>7729</v>
      </c>
      <c r="C2358" s="8" t="s">
        <v>5319</v>
      </c>
      <c r="D2358" t="s">
        <v>272</v>
      </c>
      <c r="E2358" t="s">
        <v>1072</v>
      </c>
      <c r="F2358" t="s">
        <v>117</v>
      </c>
      <c r="G2358" t="s">
        <v>2026</v>
      </c>
      <c r="H2358" s="9">
        <v>44733</v>
      </c>
      <c r="I2358" t="s">
        <v>1070</v>
      </c>
      <c r="J2358" t="s">
        <v>5330</v>
      </c>
      <c r="K2358" s="9">
        <v>44834</v>
      </c>
      <c r="L2358" t="s">
        <v>29</v>
      </c>
      <c r="M2358"/>
      <c r="N2358" s="9">
        <v>44778</v>
      </c>
      <c r="O2358" s="9">
        <v>44834</v>
      </c>
      <c r="P2358"/>
      <c r="Q2358"/>
      <c r="R2358"/>
      <c r="S2358"/>
      <c r="T2358"/>
      <c r="U2358"/>
    </row>
    <row r="2359" spans="1:21" hidden="1">
      <c r="A2359" s="7" t="s">
        <v>8816</v>
      </c>
      <c r="B2359" s="7" t="s">
        <v>7729</v>
      </c>
      <c r="C2359" s="8" t="s">
        <v>5319</v>
      </c>
      <c r="D2359" t="s">
        <v>272</v>
      </c>
      <c r="E2359" t="s">
        <v>1072</v>
      </c>
      <c r="F2359" t="s">
        <v>117</v>
      </c>
      <c r="G2359" t="s">
        <v>2027</v>
      </c>
      <c r="H2359" s="9">
        <v>44733</v>
      </c>
      <c r="I2359" t="s">
        <v>1070</v>
      </c>
      <c r="J2359" t="s">
        <v>5330</v>
      </c>
      <c r="K2359" s="9">
        <v>44834</v>
      </c>
      <c r="L2359" t="s">
        <v>29</v>
      </c>
      <c r="M2359"/>
      <c r="N2359" s="9">
        <v>44778</v>
      </c>
      <c r="O2359" s="9">
        <v>44834</v>
      </c>
      <c r="P2359"/>
      <c r="Q2359"/>
      <c r="R2359"/>
      <c r="S2359"/>
      <c r="T2359"/>
      <c r="U2359"/>
    </row>
    <row r="2360" spans="1:21" hidden="1">
      <c r="A2360" s="7" t="s">
        <v>8816</v>
      </c>
      <c r="B2360" s="7" t="s">
        <v>7729</v>
      </c>
      <c r="C2360" s="8" t="s">
        <v>5319</v>
      </c>
      <c r="D2360" t="s">
        <v>272</v>
      </c>
      <c r="E2360" t="s">
        <v>1072</v>
      </c>
      <c r="F2360" t="s">
        <v>117</v>
      </c>
      <c r="G2360" t="s">
        <v>2028</v>
      </c>
      <c r="H2360" s="9">
        <v>44733</v>
      </c>
      <c r="I2360" t="s">
        <v>1070</v>
      </c>
      <c r="J2360" t="s">
        <v>5330</v>
      </c>
      <c r="K2360" s="9">
        <v>44834</v>
      </c>
      <c r="L2360" t="s">
        <v>29</v>
      </c>
      <c r="M2360"/>
      <c r="N2360" s="9">
        <v>44778</v>
      </c>
      <c r="O2360" s="9">
        <v>44834</v>
      </c>
      <c r="P2360"/>
      <c r="Q2360"/>
      <c r="R2360"/>
      <c r="S2360"/>
      <c r="T2360"/>
      <c r="U2360"/>
    </row>
    <row r="2361" spans="1:21" hidden="1">
      <c r="A2361" s="7" t="s">
        <v>8816</v>
      </c>
      <c r="B2361" s="7" t="s">
        <v>7729</v>
      </c>
      <c r="C2361" s="8" t="s">
        <v>5319</v>
      </c>
      <c r="D2361" t="s">
        <v>272</v>
      </c>
      <c r="E2361" t="s">
        <v>1072</v>
      </c>
      <c r="F2361" t="s">
        <v>117</v>
      </c>
      <c r="G2361" t="s">
        <v>2029</v>
      </c>
      <c r="H2361" s="9">
        <v>44733</v>
      </c>
      <c r="I2361" t="s">
        <v>1070</v>
      </c>
      <c r="J2361" t="s">
        <v>5330</v>
      </c>
      <c r="K2361" s="9">
        <v>44834</v>
      </c>
      <c r="L2361" t="s">
        <v>29</v>
      </c>
      <c r="M2361"/>
      <c r="N2361" s="9">
        <v>44778</v>
      </c>
      <c r="O2361" s="9">
        <v>44834</v>
      </c>
      <c r="P2361"/>
      <c r="Q2361"/>
      <c r="R2361"/>
      <c r="S2361"/>
      <c r="T2361"/>
      <c r="U2361"/>
    </row>
    <row r="2362" spans="1:21" hidden="1">
      <c r="A2362" s="7" t="s">
        <v>8816</v>
      </c>
      <c r="B2362" s="7" t="s">
        <v>7729</v>
      </c>
      <c r="C2362" s="8" t="s">
        <v>5319</v>
      </c>
      <c r="D2362" t="s">
        <v>272</v>
      </c>
      <c r="E2362" t="s">
        <v>1072</v>
      </c>
      <c r="F2362" t="s">
        <v>117</v>
      </c>
      <c r="G2362" t="s">
        <v>2030</v>
      </c>
      <c r="H2362" s="9">
        <v>44733</v>
      </c>
      <c r="I2362" t="s">
        <v>1070</v>
      </c>
      <c r="J2362" t="s">
        <v>5330</v>
      </c>
      <c r="K2362" s="9">
        <v>44834</v>
      </c>
      <c r="L2362" t="s">
        <v>29</v>
      </c>
      <c r="M2362"/>
      <c r="N2362" s="9">
        <v>44778</v>
      </c>
      <c r="O2362" s="9">
        <v>44834</v>
      </c>
      <c r="P2362"/>
      <c r="Q2362"/>
      <c r="R2362"/>
      <c r="S2362"/>
      <c r="T2362"/>
      <c r="U2362"/>
    </row>
    <row r="2363" spans="1:21" hidden="1">
      <c r="A2363" s="7" t="s">
        <v>8816</v>
      </c>
      <c r="B2363" s="7" t="s">
        <v>7729</v>
      </c>
      <c r="C2363" s="8" t="s">
        <v>5319</v>
      </c>
      <c r="D2363" t="s">
        <v>272</v>
      </c>
      <c r="E2363" t="s">
        <v>1072</v>
      </c>
      <c r="F2363" t="s">
        <v>117</v>
      </c>
      <c r="G2363" t="s">
        <v>2031</v>
      </c>
      <c r="H2363" s="9">
        <v>44733</v>
      </c>
      <c r="I2363" t="s">
        <v>1070</v>
      </c>
      <c r="J2363" t="s">
        <v>5330</v>
      </c>
      <c r="K2363" s="9">
        <v>44834</v>
      </c>
      <c r="L2363" t="s">
        <v>29</v>
      </c>
      <c r="M2363"/>
      <c r="N2363" s="9">
        <v>44778</v>
      </c>
      <c r="O2363" s="9">
        <v>44834</v>
      </c>
      <c r="P2363"/>
      <c r="Q2363"/>
      <c r="R2363"/>
      <c r="S2363"/>
      <c r="T2363"/>
      <c r="U2363"/>
    </row>
    <row r="2364" spans="1:21" hidden="1">
      <c r="A2364" s="7" t="s">
        <v>8816</v>
      </c>
      <c r="B2364" s="7" t="s">
        <v>7729</v>
      </c>
      <c r="C2364" s="8" t="s">
        <v>5319</v>
      </c>
      <c r="D2364" t="s">
        <v>272</v>
      </c>
      <c r="E2364" t="s">
        <v>1072</v>
      </c>
      <c r="F2364" t="s">
        <v>117</v>
      </c>
      <c r="G2364" t="s">
        <v>2032</v>
      </c>
      <c r="H2364" s="9">
        <v>44733</v>
      </c>
      <c r="I2364" t="s">
        <v>1070</v>
      </c>
      <c r="J2364" t="s">
        <v>5330</v>
      </c>
      <c r="K2364" s="9">
        <v>44834</v>
      </c>
      <c r="L2364" t="s">
        <v>29</v>
      </c>
      <c r="M2364"/>
      <c r="N2364" s="9">
        <v>44778</v>
      </c>
      <c r="O2364" s="9">
        <v>44834</v>
      </c>
      <c r="P2364"/>
      <c r="Q2364"/>
      <c r="R2364"/>
      <c r="S2364"/>
      <c r="T2364"/>
      <c r="U2364"/>
    </row>
    <row r="2365" spans="1:21" hidden="1">
      <c r="A2365" s="7" t="s">
        <v>8816</v>
      </c>
      <c r="B2365" s="7" t="s">
        <v>7729</v>
      </c>
      <c r="C2365" s="8" t="s">
        <v>5319</v>
      </c>
      <c r="D2365" t="s">
        <v>272</v>
      </c>
      <c r="E2365" t="s">
        <v>1072</v>
      </c>
      <c r="F2365" t="s">
        <v>117</v>
      </c>
      <c r="G2365" t="s">
        <v>2033</v>
      </c>
      <c r="H2365" s="9">
        <v>44733</v>
      </c>
      <c r="I2365" t="s">
        <v>1070</v>
      </c>
      <c r="J2365" t="s">
        <v>5330</v>
      </c>
      <c r="K2365" s="9">
        <v>44834</v>
      </c>
      <c r="L2365" t="s">
        <v>29</v>
      </c>
      <c r="M2365"/>
      <c r="N2365" s="9">
        <v>44778</v>
      </c>
      <c r="O2365" s="9">
        <v>44834</v>
      </c>
      <c r="P2365"/>
      <c r="Q2365"/>
      <c r="R2365"/>
      <c r="S2365"/>
      <c r="T2365"/>
      <c r="U2365"/>
    </row>
    <row r="2366" spans="1:21" hidden="1">
      <c r="A2366" s="7" t="s">
        <v>8816</v>
      </c>
      <c r="B2366" s="7" t="s">
        <v>7729</v>
      </c>
      <c r="C2366" s="8" t="s">
        <v>5319</v>
      </c>
      <c r="D2366" t="s">
        <v>272</v>
      </c>
      <c r="E2366" t="s">
        <v>1072</v>
      </c>
      <c r="F2366" t="s">
        <v>117</v>
      </c>
      <c r="G2366" t="s">
        <v>2034</v>
      </c>
      <c r="H2366" s="9">
        <v>44733</v>
      </c>
      <c r="I2366" t="s">
        <v>1070</v>
      </c>
      <c r="J2366" t="s">
        <v>5330</v>
      </c>
      <c r="K2366" s="9">
        <v>44834</v>
      </c>
      <c r="L2366" t="s">
        <v>29</v>
      </c>
      <c r="M2366"/>
      <c r="N2366" s="9">
        <v>44778</v>
      </c>
      <c r="O2366" s="9">
        <v>44834</v>
      </c>
      <c r="P2366"/>
      <c r="Q2366"/>
      <c r="R2366"/>
      <c r="S2366"/>
      <c r="T2366"/>
      <c r="U2366"/>
    </row>
    <row r="2367" spans="1:21" hidden="1">
      <c r="A2367" s="7" t="s">
        <v>8816</v>
      </c>
      <c r="B2367" s="7" t="s">
        <v>7729</v>
      </c>
      <c r="C2367" s="8" t="s">
        <v>5319</v>
      </c>
      <c r="D2367" t="s">
        <v>272</v>
      </c>
      <c r="E2367" t="s">
        <v>1072</v>
      </c>
      <c r="F2367" t="s">
        <v>117</v>
      </c>
      <c r="G2367" t="s">
        <v>2035</v>
      </c>
      <c r="H2367" s="9">
        <v>44733</v>
      </c>
      <c r="I2367" t="s">
        <v>1070</v>
      </c>
      <c r="J2367" t="s">
        <v>5330</v>
      </c>
      <c r="K2367" s="9">
        <v>44834</v>
      </c>
      <c r="L2367" t="s">
        <v>29</v>
      </c>
      <c r="M2367"/>
      <c r="N2367" s="9">
        <v>44778</v>
      </c>
      <c r="O2367" s="9">
        <v>44834</v>
      </c>
      <c r="P2367"/>
      <c r="Q2367"/>
      <c r="R2367"/>
      <c r="S2367"/>
      <c r="T2367"/>
      <c r="U2367"/>
    </row>
    <row r="2368" spans="1:21" hidden="1">
      <c r="A2368" s="7" t="s">
        <v>8816</v>
      </c>
      <c r="B2368" s="7" t="s">
        <v>7729</v>
      </c>
      <c r="C2368" s="8" t="s">
        <v>5319</v>
      </c>
      <c r="D2368" t="s">
        <v>272</v>
      </c>
      <c r="E2368" t="s">
        <v>1072</v>
      </c>
      <c r="F2368" t="s">
        <v>117</v>
      </c>
      <c r="G2368" t="s">
        <v>2036</v>
      </c>
      <c r="H2368" s="9">
        <v>44733</v>
      </c>
      <c r="I2368" t="s">
        <v>1070</v>
      </c>
      <c r="J2368" t="s">
        <v>5330</v>
      </c>
      <c r="K2368" s="9">
        <v>44834</v>
      </c>
      <c r="L2368" t="s">
        <v>29</v>
      </c>
      <c r="M2368"/>
      <c r="N2368" s="9">
        <v>44778</v>
      </c>
      <c r="O2368" s="9">
        <v>44834</v>
      </c>
      <c r="P2368"/>
      <c r="Q2368"/>
      <c r="R2368"/>
      <c r="S2368"/>
      <c r="T2368"/>
      <c r="U2368"/>
    </row>
    <row r="2369" spans="1:21" hidden="1">
      <c r="A2369" s="7" t="s">
        <v>8816</v>
      </c>
      <c r="B2369" s="7" t="s">
        <v>7729</v>
      </c>
      <c r="C2369" s="8" t="s">
        <v>5319</v>
      </c>
      <c r="D2369" t="s">
        <v>272</v>
      </c>
      <c r="E2369" t="s">
        <v>1072</v>
      </c>
      <c r="F2369" t="s">
        <v>117</v>
      </c>
      <c r="G2369" t="s">
        <v>2037</v>
      </c>
      <c r="H2369" s="9">
        <v>44733</v>
      </c>
      <c r="I2369" t="s">
        <v>1070</v>
      </c>
      <c r="J2369" t="s">
        <v>5330</v>
      </c>
      <c r="K2369" s="9">
        <v>44834</v>
      </c>
      <c r="L2369" t="s">
        <v>29</v>
      </c>
      <c r="M2369"/>
      <c r="N2369" s="9">
        <v>44778</v>
      </c>
      <c r="O2369" s="9">
        <v>44834</v>
      </c>
      <c r="P2369"/>
      <c r="Q2369"/>
      <c r="R2369"/>
      <c r="S2369"/>
      <c r="T2369"/>
      <c r="U2369"/>
    </row>
    <row r="2370" spans="1:21" hidden="1">
      <c r="A2370" s="7" t="s">
        <v>8816</v>
      </c>
      <c r="B2370" s="7" t="s">
        <v>7729</v>
      </c>
      <c r="C2370" s="8" t="s">
        <v>5319</v>
      </c>
      <c r="D2370" t="s">
        <v>272</v>
      </c>
      <c r="E2370" t="s">
        <v>1072</v>
      </c>
      <c r="F2370" t="s">
        <v>117</v>
      </c>
      <c r="G2370" t="s">
        <v>2038</v>
      </c>
      <c r="H2370" s="9">
        <v>44733</v>
      </c>
      <c r="I2370" t="s">
        <v>1070</v>
      </c>
      <c r="J2370" t="s">
        <v>5330</v>
      </c>
      <c r="K2370" s="9">
        <v>44834</v>
      </c>
      <c r="L2370" t="s">
        <v>29</v>
      </c>
      <c r="M2370"/>
      <c r="N2370" s="9">
        <v>44778</v>
      </c>
      <c r="O2370" s="9">
        <v>44834</v>
      </c>
      <c r="P2370"/>
      <c r="Q2370"/>
      <c r="R2370"/>
      <c r="S2370"/>
      <c r="T2370"/>
      <c r="U2370"/>
    </row>
    <row r="2371" spans="1:21" hidden="1">
      <c r="A2371" s="7" t="s">
        <v>8816</v>
      </c>
      <c r="B2371" s="7" t="s">
        <v>7729</v>
      </c>
      <c r="C2371" s="8" t="s">
        <v>5319</v>
      </c>
      <c r="D2371" t="s">
        <v>272</v>
      </c>
      <c r="E2371" t="s">
        <v>1072</v>
      </c>
      <c r="F2371" t="s">
        <v>117</v>
      </c>
      <c r="G2371" t="s">
        <v>2039</v>
      </c>
      <c r="H2371" s="9">
        <v>44733</v>
      </c>
      <c r="I2371" t="s">
        <v>1070</v>
      </c>
      <c r="J2371" t="s">
        <v>5330</v>
      </c>
      <c r="K2371" s="9">
        <v>44834</v>
      </c>
      <c r="L2371" t="s">
        <v>29</v>
      </c>
      <c r="M2371"/>
      <c r="N2371" s="9">
        <v>44778</v>
      </c>
      <c r="O2371" s="9">
        <v>44834</v>
      </c>
      <c r="P2371"/>
      <c r="Q2371"/>
      <c r="R2371"/>
      <c r="S2371"/>
      <c r="T2371"/>
      <c r="U2371"/>
    </row>
    <row r="2372" spans="1:21" hidden="1">
      <c r="A2372" s="7" t="s">
        <v>8816</v>
      </c>
      <c r="B2372" s="7" t="s">
        <v>7729</v>
      </c>
      <c r="C2372" s="8" t="s">
        <v>5319</v>
      </c>
      <c r="D2372" t="s">
        <v>272</v>
      </c>
      <c r="E2372" t="s">
        <v>1072</v>
      </c>
      <c r="F2372" t="s">
        <v>117</v>
      </c>
      <c r="G2372" t="s">
        <v>2040</v>
      </c>
      <c r="H2372" s="9">
        <v>44733</v>
      </c>
      <c r="I2372" t="s">
        <v>1070</v>
      </c>
      <c r="J2372" t="s">
        <v>5330</v>
      </c>
      <c r="K2372" s="9">
        <v>44834</v>
      </c>
      <c r="L2372" t="s">
        <v>29</v>
      </c>
      <c r="M2372"/>
      <c r="N2372" s="9">
        <v>44778</v>
      </c>
      <c r="O2372" s="9">
        <v>44834</v>
      </c>
      <c r="P2372"/>
      <c r="Q2372"/>
      <c r="R2372"/>
      <c r="S2372"/>
      <c r="T2372"/>
      <c r="U2372"/>
    </row>
    <row r="2373" spans="1:21" hidden="1">
      <c r="A2373" s="7" t="s">
        <v>8816</v>
      </c>
      <c r="B2373" s="7" t="s">
        <v>7729</v>
      </c>
      <c r="C2373" s="8" t="s">
        <v>5319</v>
      </c>
      <c r="D2373" t="s">
        <v>272</v>
      </c>
      <c r="E2373" t="s">
        <v>1072</v>
      </c>
      <c r="F2373" t="s">
        <v>117</v>
      </c>
      <c r="G2373" t="s">
        <v>2041</v>
      </c>
      <c r="H2373" s="9">
        <v>44733</v>
      </c>
      <c r="I2373" t="s">
        <v>1070</v>
      </c>
      <c r="J2373" t="s">
        <v>5330</v>
      </c>
      <c r="K2373" s="9">
        <v>44834</v>
      </c>
      <c r="L2373" t="s">
        <v>29</v>
      </c>
      <c r="M2373"/>
      <c r="N2373" s="9">
        <v>44778</v>
      </c>
      <c r="O2373" s="9">
        <v>44834</v>
      </c>
      <c r="P2373"/>
      <c r="Q2373"/>
      <c r="R2373"/>
      <c r="S2373"/>
      <c r="T2373"/>
      <c r="U2373"/>
    </row>
    <row r="2374" spans="1:21" hidden="1">
      <c r="A2374" s="7" t="s">
        <v>8816</v>
      </c>
      <c r="B2374" s="7" t="s">
        <v>7729</v>
      </c>
      <c r="C2374" s="8" t="s">
        <v>5319</v>
      </c>
      <c r="D2374" t="s">
        <v>272</v>
      </c>
      <c r="E2374" t="s">
        <v>1072</v>
      </c>
      <c r="F2374" t="s">
        <v>117</v>
      </c>
      <c r="G2374" t="s">
        <v>2042</v>
      </c>
      <c r="H2374" s="9">
        <v>44733</v>
      </c>
      <c r="I2374" t="s">
        <v>1070</v>
      </c>
      <c r="J2374" t="s">
        <v>5330</v>
      </c>
      <c r="K2374" s="9">
        <v>44834</v>
      </c>
      <c r="L2374" t="s">
        <v>29</v>
      </c>
      <c r="M2374"/>
      <c r="N2374" s="9">
        <v>44778</v>
      </c>
      <c r="O2374" s="9">
        <v>44834</v>
      </c>
      <c r="P2374"/>
      <c r="Q2374"/>
      <c r="R2374"/>
      <c r="S2374"/>
      <c r="T2374"/>
      <c r="U2374"/>
    </row>
    <row r="2375" spans="1:21" hidden="1">
      <c r="A2375" s="7" t="s">
        <v>8816</v>
      </c>
      <c r="B2375" s="7" t="s">
        <v>7729</v>
      </c>
      <c r="C2375" s="8" t="s">
        <v>5319</v>
      </c>
      <c r="D2375" t="s">
        <v>272</v>
      </c>
      <c r="E2375" t="s">
        <v>1072</v>
      </c>
      <c r="F2375" t="s">
        <v>117</v>
      </c>
      <c r="G2375" t="s">
        <v>2043</v>
      </c>
      <c r="H2375" s="9">
        <v>44733</v>
      </c>
      <c r="I2375" t="s">
        <v>1070</v>
      </c>
      <c r="J2375" t="s">
        <v>5330</v>
      </c>
      <c r="K2375" s="9">
        <v>44834</v>
      </c>
      <c r="L2375" t="s">
        <v>29</v>
      </c>
      <c r="M2375"/>
      <c r="N2375" s="9">
        <v>44778</v>
      </c>
      <c r="O2375" s="9">
        <v>44834</v>
      </c>
      <c r="P2375"/>
      <c r="Q2375"/>
      <c r="R2375"/>
      <c r="S2375"/>
      <c r="T2375"/>
      <c r="U2375"/>
    </row>
    <row r="2376" spans="1:21" hidden="1">
      <c r="A2376" s="7" t="s">
        <v>8816</v>
      </c>
      <c r="B2376" s="7" t="s">
        <v>7729</v>
      </c>
      <c r="C2376" s="8" t="s">
        <v>5319</v>
      </c>
      <c r="D2376" t="s">
        <v>272</v>
      </c>
      <c r="E2376" t="s">
        <v>1072</v>
      </c>
      <c r="F2376" t="s">
        <v>117</v>
      </c>
      <c r="G2376" t="s">
        <v>2044</v>
      </c>
      <c r="H2376" s="9">
        <v>44733</v>
      </c>
      <c r="I2376" t="s">
        <v>1070</v>
      </c>
      <c r="J2376" t="s">
        <v>5330</v>
      </c>
      <c r="K2376" s="9">
        <v>44834</v>
      </c>
      <c r="L2376" t="s">
        <v>29</v>
      </c>
      <c r="M2376"/>
      <c r="N2376" s="9">
        <v>44778</v>
      </c>
      <c r="O2376" s="9">
        <v>44834</v>
      </c>
      <c r="P2376"/>
      <c r="Q2376"/>
      <c r="R2376"/>
      <c r="S2376"/>
      <c r="T2376"/>
      <c r="U2376"/>
    </row>
    <row r="2377" spans="1:21" hidden="1">
      <c r="A2377" s="7" t="s">
        <v>8816</v>
      </c>
      <c r="B2377" s="7" t="s">
        <v>7729</v>
      </c>
      <c r="C2377" s="8" t="s">
        <v>5319</v>
      </c>
      <c r="D2377" t="s">
        <v>272</v>
      </c>
      <c r="E2377" t="s">
        <v>1072</v>
      </c>
      <c r="F2377" t="s">
        <v>117</v>
      </c>
      <c r="G2377" t="s">
        <v>2045</v>
      </c>
      <c r="H2377" s="9">
        <v>44733</v>
      </c>
      <c r="I2377" t="s">
        <v>1070</v>
      </c>
      <c r="J2377" t="s">
        <v>5330</v>
      </c>
      <c r="K2377" s="9">
        <v>44834</v>
      </c>
      <c r="L2377" t="s">
        <v>29</v>
      </c>
      <c r="M2377"/>
      <c r="N2377" s="9">
        <v>44778</v>
      </c>
      <c r="O2377" s="9">
        <v>44834</v>
      </c>
      <c r="P2377"/>
      <c r="Q2377"/>
      <c r="R2377"/>
      <c r="S2377"/>
      <c r="T2377"/>
      <c r="U2377"/>
    </row>
    <row r="2378" spans="1:21" hidden="1">
      <c r="A2378" s="7" t="s">
        <v>8816</v>
      </c>
      <c r="B2378" s="7" t="s">
        <v>7729</v>
      </c>
      <c r="C2378" s="8" t="s">
        <v>5319</v>
      </c>
      <c r="D2378" t="s">
        <v>272</v>
      </c>
      <c r="E2378" t="s">
        <v>1072</v>
      </c>
      <c r="F2378" t="s">
        <v>117</v>
      </c>
      <c r="G2378" t="s">
        <v>2046</v>
      </c>
      <c r="H2378" s="9">
        <v>44733</v>
      </c>
      <c r="I2378" t="s">
        <v>1070</v>
      </c>
      <c r="J2378" t="s">
        <v>5330</v>
      </c>
      <c r="K2378" s="9">
        <v>44834</v>
      </c>
      <c r="L2378" t="s">
        <v>29</v>
      </c>
      <c r="M2378"/>
      <c r="N2378" s="9">
        <v>44778</v>
      </c>
      <c r="O2378" s="9">
        <v>44834</v>
      </c>
      <c r="P2378"/>
      <c r="Q2378"/>
      <c r="R2378"/>
      <c r="S2378"/>
      <c r="T2378"/>
      <c r="U2378"/>
    </row>
    <row r="2379" spans="1:21" hidden="1">
      <c r="A2379" s="7" t="s">
        <v>8816</v>
      </c>
      <c r="B2379" s="7" t="s">
        <v>7729</v>
      </c>
      <c r="C2379" s="8" t="s">
        <v>5319</v>
      </c>
      <c r="D2379" t="s">
        <v>272</v>
      </c>
      <c r="E2379" t="s">
        <v>1072</v>
      </c>
      <c r="F2379" t="s">
        <v>117</v>
      </c>
      <c r="G2379" t="s">
        <v>2047</v>
      </c>
      <c r="H2379" s="9">
        <v>44733</v>
      </c>
      <c r="I2379" t="s">
        <v>1070</v>
      </c>
      <c r="J2379" t="s">
        <v>5330</v>
      </c>
      <c r="K2379" s="9">
        <v>44834</v>
      </c>
      <c r="L2379" t="s">
        <v>29</v>
      </c>
      <c r="M2379"/>
      <c r="N2379" s="9">
        <v>44778</v>
      </c>
      <c r="O2379" s="9">
        <v>44834</v>
      </c>
      <c r="P2379"/>
      <c r="Q2379"/>
      <c r="R2379"/>
      <c r="S2379"/>
      <c r="T2379"/>
      <c r="U2379"/>
    </row>
    <row r="2380" spans="1:21" hidden="1">
      <c r="A2380" s="7" t="s">
        <v>8816</v>
      </c>
      <c r="B2380" s="7" t="s">
        <v>7729</v>
      </c>
      <c r="C2380" s="8" t="s">
        <v>5319</v>
      </c>
      <c r="D2380" t="s">
        <v>272</v>
      </c>
      <c r="E2380" t="s">
        <v>1072</v>
      </c>
      <c r="F2380" t="s">
        <v>117</v>
      </c>
      <c r="G2380" t="s">
        <v>2048</v>
      </c>
      <c r="H2380" s="9">
        <v>44733</v>
      </c>
      <c r="I2380" t="s">
        <v>1070</v>
      </c>
      <c r="J2380" t="s">
        <v>5330</v>
      </c>
      <c r="K2380" s="9">
        <v>44834</v>
      </c>
      <c r="L2380" t="s">
        <v>29</v>
      </c>
      <c r="M2380"/>
      <c r="N2380" s="9">
        <v>44778</v>
      </c>
      <c r="O2380" s="9">
        <v>44834</v>
      </c>
      <c r="P2380"/>
      <c r="Q2380"/>
      <c r="R2380"/>
      <c r="S2380"/>
      <c r="T2380"/>
      <c r="U2380"/>
    </row>
    <row r="2381" spans="1:21" hidden="1">
      <c r="A2381" s="7" t="s">
        <v>8816</v>
      </c>
      <c r="B2381" s="7" t="s">
        <v>7729</v>
      </c>
      <c r="C2381" s="8" t="s">
        <v>5319</v>
      </c>
      <c r="D2381" t="s">
        <v>272</v>
      </c>
      <c r="E2381" t="s">
        <v>1072</v>
      </c>
      <c r="F2381" t="s">
        <v>117</v>
      </c>
      <c r="G2381" t="s">
        <v>2049</v>
      </c>
      <c r="H2381" s="9">
        <v>44733</v>
      </c>
      <c r="I2381" t="s">
        <v>1070</v>
      </c>
      <c r="J2381" t="s">
        <v>5330</v>
      </c>
      <c r="K2381" s="9">
        <v>44834</v>
      </c>
      <c r="L2381" t="s">
        <v>29</v>
      </c>
      <c r="M2381"/>
      <c r="N2381" s="9">
        <v>44778</v>
      </c>
      <c r="O2381" s="9">
        <v>44834</v>
      </c>
      <c r="P2381"/>
      <c r="Q2381"/>
      <c r="R2381"/>
      <c r="S2381"/>
      <c r="T2381"/>
      <c r="U2381"/>
    </row>
    <row r="2382" spans="1:21" hidden="1">
      <c r="A2382" s="7" t="s">
        <v>8816</v>
      </c>
      <c r="B2382" s="7" t="s">
        <v>7729</v>
      </c>
      <c r="C2382" s="8" t="s">
        <v>5319</v>
      </c>
      <c r="D2382" t="s">
        <v>272</v>
      </c>
      <c r="E2382" t="s">
        <v>1072</v>
      </c>
      <c r="F2382" t="s">
        <v>117</v>
      </c>
      <c r="G2382" t="s">
        <v>2050</v>
      </c>
      <c r="H2382" s="9">
        <v>44733</v>
      </c>
      <c r="I2382" t="s">
        <v>1070</v>
      </c>
      <c r="J2382" t="s">
        <v>5330</v>
      </c>
      <c r="K2382" s="9">
        <v>44834</v>
      </c>
      <c r="L2382" t="s">
        <v>29</v>
      </c>
      <c r="M2382"/>
      <c r="N2382" s="9">
        <v>44778</v>
      </c>
      <c r="O2382" s="9">
        <v>44834</v>
      </c>
      <c r="P2382"/>
      <c r="Q2382"/>
      <c r="R2382"/>
      <c r="S2382"/>
      <c r="T2382"/>
      <c r="U2382"/>
    </row>
    <row r="2383" spans="1:21" hidden="1">
      <c r="A2383" s="7" t="s">
        <v>8816</v>
      </c>
      <c r="B2383" s="7" t="s">
        <v>7729</v>
      </c>
      <c r="C2383" s="8" t="s">
        <v>5319</v>
      </c>
      <c r="D2383" t="s">
        <v>272</v>
      </c>
      <c r="E2383" t="s">
        <v>1072</v>
      </c>
      <c r="F2383" t="s">
        <v>117</v>
      </c>
      <c r="G2383" t="s">
        <v>2051</v>
      </c>
      <c r="H2383" s="9">
        <v>44733</v>
      </c>
      <c r="I2383" t="s">
        <v>1070</v>
      </c>
      <c r="J2383" t="s">
        <v>5330</v>
      </c>
      <c r="K2383" s="9">
        <v>44834</v>
      </c>
      <c r="L2383" t="s">
        <v>29</v>
      </c>
      <c r="M2383"/>
      <c r="N2383" s="9">
        <v>44778</v>
      </c>
      <c r="O2383" s="9">
        <v>44834</v>
      </c>
      <c r="P2383"/>
      <c r="Q2383"/>
      <c r="R2383"/>
      <c r="S2383"/>
      <c r="T2383"/>
      <c r="U2383"/>
    </row>
    <row r="2384" spans="1:21" hidden="1">
      <c r="A2384" s="7" t="s">
        <v>8816</v>
      </c>
      <c r="B2384" s="7" t="s">
        <v>7729</v>
      </c>
      <c r="C2384" s="8" t="s">
        <v>5319</v>
      </c>
      <c r="D2384" t="s">
        <v>272</v>
      </c>
      <c r="E2384" t="s">
        <v>1072</v>
      </c>
      <c r="F2384" t="s">
        <v>117</v>
      </c>
      <c r="G2384" t="s">
        <v>2052</v>
      </c>
      <c r="H2384" s="9">
        <v>44733</v>
      </c>
      <c r="I2384" t="s">
        <v>1070</v>
      </c>
      <c r="J2384" t="s">
        <v>5330</v>
      </c>
      <c r="K2384" s="9">
        <v>44834</v>
      </c>
      <c r="L2384" t="s">
        <v>29</v>
      </c>
      <c r="M2384"/>
      <c r="N2384" s="9">
        <v>44778</v>
      </c>
      <c r="O2384" s="9">
        <v>44834</v>
      </c>
      <c r="P2384"/>
      <c r="Q2384"/>
      <c r="R2384"/>
      <c r="S2384"/>
      <c r="T2384"/>
      <c r="U2384"/>
    </row>
    <row r="2385" spans="1:21" hidden="1">
      <c r="A2385" s="7" t="s">
        <v>8816</v>
      </c>
      <c r="B2385" s="7" t="s">
        <v>7729</v>
      </c>
      <c r="C2385" s="8" t="s">
        <v>5319</v>
      </c>
      <c r="D2385" t="s">
        <v>272</v>
      </c>
      <c r="E2385" t="s">
        <v>1072</v>
      </c>
      <c r="F2385" t="s">
        <v>117</v>
      </c>
      <c r="G2385" t="s">
        <v>2053</v>
      </c>
      <c r="H2385" s="9">
        <v>44733</v>
      </c>
      <c r="I2385" t="s">
        <v>1070</v>
      </c>
      <c r="J2385" t="s">
        <v>5330</v>
      </c>
      <c r="K2385" s="9">
        <v>44834</v>
      </c>
      <c r="L2385" t="s">
        <v>29</v>
      </c>
      <c r="M2385"/>
      <c r="N2385" s="9">
        <v>44778</v>
      </c>
      <c r="O2385" s="9">
        <v>44834</v>
      </c>
      <c r="P2385"/>
      <c r="Q2385"/>
      <c r="R2385"/>
      <c r="S2385"/>
      <c r="T2385"/>
      <c r="U2385"/>
    </row>
    <row r="2386" spans="1:21" hidden="1">
      <c r="A2386" s="7" t="s">
        <v>8816</v>
      </c>
      <c r="B2386" s="7" t="s">
        <v>7729</v>
      </c>
      <c r="C2386" s="8" t="s">
        <v>5319</v>
      </c>
      <c r="D2386" t="s">
        <v>272</v>
      </c>
      <c r="E2386" t="s">
        <v>1072</v>
      </c>
      <c r="F2386" t="s">
        <v>117</v>
      </c>
      <c r="G2386" t="s">
        <v>2054</v>
      </c>
      <c r="H2386" s="9">
        <v>44733</v>
      </c>
      <c r="I2386" t="s">
        <v>1070</v>
      </c>
      <c r="J2386" t="s">
        <v>5330</v>
      </c>
      <c r="K2386" s="9">
        <v>44834</v>
      </c>
      <c r="L2386" t="s">
        <v>29</v>
      </c>
      <c r="M2386"/>
      <c r="N2386" s="9">
        <v>44778</v>
      </c>
      <c r="O2386" s="9">
        <v>44834</v>
      </c>
      <c r="P2386"/>
      <c r="Q2386"/>
      <c r="R2386"/>
      <c r="S2386"/>
      <c r="T2386"/>
      <c r="U2386"/>
    </row>
    <row r="2387" spans="1:21" hidden="1">
      <c r="A2387" s="7" t="s">
        <v>8816</v>
      </c>
      <c r="B2387" s="7" t="s">
        <v>7729</v>
      </c>
      <c r="C2387" s="8" t="s">
        <v>5319</v>
      </c>
      <c r="D2387" t="s">
        <v>272</v>
      </c>
      <c r="E2387" t="s">
        <v>1072</v>
      </c>
      <c r="F2387" t="s">
        <v>117</v>
      </c>
      <c r="G2387" t="s">
        <v>2055</v>
      </c>
      <c r="H2387" s="9">
        <v>44733</v>
      </c>
      <c r="I2387" t="s">
        <v>1070</v>
      </c>
      <c r="J2387" t="s">
        <v>5330</v>
      </c>
      <c r="K2387" s="9">
        <v>44834</v>
      </c>
      <c r="L2387" t="s">
        <v>29</v>
      </c>
      <c r="M2387"/>
      <c r="N2387" s="9">
        <v>44778</v>
      </c>
      <c r="O2387" s="9">
        <v>44834</v>
      </c>
      <c r="P2387"/>
      <c r="Q2387"/>
      <c r="R2387"/>
      <c r="S2387"/>
      <c r="T2387"/>
      <c r="U2387"/>
    </row>
    <row r="2388" spans="1:21" hidden="1">
      <c r="A2388" s="7" t="s">
        <v>8816</v>
      </c>
      <c r="B2388" s="7" t="s">
        <v>7729</v>
      </c>
      <c r="C2388" s="8" t="s">
        <v>5319</v>
      </c>
      <c r="D2388" t="s">
        <v>272</v>
      </c>
      <c r="E2388" t="s">
        <v>1072</v>
      </c>
      <c r="F2388" t="s">
        <v>117</v>
      </c>
      <c r="G2388" t="s">
        <v>2056</v>
      </c>
      <c r="H2388" s="9">
        <v>44733</v>
      </c>
      <c r="I2388" t="s">
        <v>1070</v>
      </c>
      <c r="J2388" t="s">
        <v>5330</v>
      </c>
      <c r="K2388" s="9">
        <v>44834</v>
      </c>
      <c r="L2388" t="s">
        <v>29</v>
      </c>
      <c r="M2388"/>
      <c r="N2388" s="9">
        <v>44778</v>
      </c>
      <c r="O2388" s="9">
        <v>44834</v>
      </c>
      <c r="P2388"/>
      <c r="Q2388"/>
      <c r="R2388"/>
      <c r="S2388"/>
      <c r="T2388"/>
      <c r="U2388"/>
    </row>
    <row r="2389" spans="1:21" hidden="1">
      <c r="A2389" s="7" t="s">
        <v>8816</v>
      </c>
      <c r="B2389" s="7" t="s">
        <v>7729</v>
      </c>
      <c r="C2389" s="8" t="s">
        <v>5319</v>
      </c>
      <c r="D2389" t="s">
        <v>272</v>
      </c>
      <c r="E2389" t="s">
        <v>1072</v>
      </c>
      <c r="F2389" t="s">
        <v>117</v>
      </c>
      <c r="G2389" t="s">
        <v>2057</v>
      </c>
      <c r="H2389" s="9">
        <v>44733</v>
      </c>
      <c r="I2389" t="s">
        <v>1070</v>
      </c>
      <c r="J2389" t="s">
        <v>5330</v>
      </c>
      <c r="K2389" s="9">
        <v>44834</v>
      </c>
      <c r="L2389" t="s">
        <v>29</v>
      </c>
      <c r="M2389"/>
      <c r="N2389" s="9">
        <v>44778</v>
      </c>
      <c r="O2389" s="9">
        <v>44834</v>
      </c>
      <c r="P2389"/>
      <c r="Q2389"/>
      <c r="R2389"/>
      <c r="S2389"/>
      <c r="T2389"/>
      <c r="U2389"/>
    </row>
    <row r="2390" spans="1:21" hidden="1">
      <c r="A2390" s="7" t="s">
        <v>8816</v>
      </c>
      <c r="B2390" s="7" t="s">
        <v>7729</v>
      </c>
      <c r="C2390" s="8" t="s">
        <v>5319</v>
      </c>
      <c r="D2390" t="s">
        <v>272</v>
      </c>
      <c r="E2390" t="s">
        <v>1072</v>
      </c>
      <c r="F2390" t="s">
        <v>117</v>
      </c>
      <c r="G2390" t="s">
        <v>2058</v>
      </c>
      <c r="H2390" s="9">
        <v>44733</v>
      </c>
      <c r="I2390" t="s">
        <v>1070</v>
      </c>
      <c r="J2390" t="s">
        <v>5330</v>
      </c>
      <c r="K2390" s="9">
        <v>44834</v>
      </c>
      <c r="L2390" t="s">
        <v>29</v>
      </c>
      <c r="M2390"/>
      <c r="N2390" s="9">
        <v>44778</v>
      </c>
      <c r="O2390" s="9">
        <v>44834</v>
      </c>
      <c r="P2390"/>
      <c r="Q2390"/>
      <c r="R2390"/>
      <c r="S2390"/>
      <c r="T2390"/>
      <c r="U2390"/>
    </row>
    <row r="2391" spans="1:21" hidden="1">
      <c r="A2391" s="7" t="s">
        <v>8816</v>
      </c>
      <c r="B2391" s="7" t="s">
        <v>7729</v>
      </c>
      <c r="C2391" s="8" t="s">
        <v>5319</v>
      </c>
      <c r="D2391" t="s">
        <v>272</v>
      </c>
      <c r="E2391" t="s">
        <v>1072</v>
      </c>
      <c r="F2391" t="s">
        <v>117</v>
      </c>
      <c r="G2391" t="s">
        <v>2059</v>
      </c>
      <c r="H2391" s="9">
        <v>44733</v>
      </c>
      <c r="I2391" t="s">
        <v>1070</v>
      </c>
      <c r="J2391" t="s">
        <v>5330</v>
      </c>
      <c r="K2391" s="9">
        <v>44834</v>
      </c>
      <c r="L2391" t="s">
        <v>29</v>
      </c>
      <c r="M2391"/>
      <c r="N2391" s="9">
        <v>44778</v>
      </c>
      <c r="O2391" s="9">
        <v>44834</v>
      </c>
      <c r="P2391"/>
      <c r="Q2391"/>
      <c r="R2391"/>
      <c r="S2391"/>
      <c r="T2391"/>
      <c r="U2391"/>
    </row>
    <row r="2392" spans="1:21" hidden="1">
      <c r="A2392" s="7" t="s">
        <v>8816</v>
      </c>
      <c r="B2392" s="7" t="s">
        <v>7729</v>
      </c>
      <c r="C2392" s="8" t="s">
        <v>5319</v>
      </c>
      <c r="D2392" t="s">
        <v>272</v>
      </c>
      <c r="E2392" t="s">
        <v>1072</v>
      </c>
      <c r="F2392" t="s">
        <v>117</v>
      </c>
      <c r="G2392" t="s">
        <v>2060</v>
      </c>
      <c r="H2392" s="9">
        <v>44733</v>
      </c>
      <c r="I2392" t="s">
        <v>1070</v>
      </c>
      <c r="J2392" t="s">
        <v>5330</v>
      </c>
      <c r="K2392" s="9">
        <v>44834</v>
      </c>
      <c r="L2392" t="s">
        <v>29</v>
      </c>
      <c r="M2392"/>
      <c r="N2392" s="9">
        <v>44778</v>
      </c>
      <c r="O2392" s="9">
        <v>44834</v>
      </c>
      <c r="P2392"/>
      <c r="Q2392"/>
      <c r="R2392"/>
      <c r="S2392"/>
      <c r="T2392"/>
      <c r="U2392"/>
    </row>
    <row r="2393" spans="1:21" hidden="1">
      <c r="A2393" s="7" t="s">
        <v>8816</v>
      </c>
      <c r="B2393" s="7" t="s">
        <v>7729</v>
      </c>
      <c r="C2393" s="8" t="s">
        <v>5319</v>
      </c>
      <c r="D2393" t="s">
        <v>272</v>
      </c>
      <c r="E2393" t="s">
        <v>1072</v>
      </c>
      <c r="F2393" t="s">
        <v>117</v>
      </c>
      <c r="G2393" t="s">
        <v>2061</v>
      </c>
      <c r="H2393" s="9">
        <v>44733</v>
      </c>
      <c r="I2393" t="s">
        <v>1070</v>
      </c>
      <c r="J2393" t="s">
        <v>5330</v>
      </c>
      <c r="K2393" s="9">
        <v>44834</v>
      </c>
      <c r="L2393" t="s">
        <v>29</v>
      </c>
      <c r="M2393"/>
      <c r="N2393" s="9">
        <v>44778</v>
      </c>
      <c r="O2393" s="9">
        <v>44834</v>
      </c>
      <c r="P2393"/>
      <c r="Q2393"/>
      <c r="R2393"/>
      <c r="S2393"/>
      <c r="T2393"/>
      <c r="U2393"/>
    </row>
    <row r="2394" spans="1:21" hidden="1">
      <c r="A2394" s="7" t="s">
        <v>8816</v>
      </c>
      <c r="B2394" s="7" t="s">
        <v>7729</v>
      </c>
      <c r="C2394" s="8" t="s">
        <v>5319</v>
      </c>
      <c r="D2394" t="s">
        <v>272</v>
      </c>
      <c r="E2394" t="s">
        <v>1072</v>
      </c>
      <c r="F2394" t="s">
        <v>117</v>
      </c>
      <c r="G2394" t="s">
        <v>2062</v>
      </c>
      <c r="H2394" s="9">
        <v>44733</v>
      </c>
      <c r="I2394" t="s">
        <v>1070</v>
      </c>
      <c r="J2394" t="s">
        <v>5330</v>
      </c>
      <c r="K2394" s="9">
        <v>44834</v>
      </c>
      <c r="L2394" t="s">
        <v>29</v>
      </c>
      <c r="M2394"/>
      <c r="N2394" s="9">
        <v>44778</v>
      </c>
      <c r="O2394" s="9">
        <v>44834</v>
      </c>
      <c r="P2394"/>
      <c r="Q2394"/>
      <c r="R2394"/>
      <c r="S2394"/>
      <c r="T2394"/>
      <c r="U2394"/>
    </row>
    <row r="2395" spans="1:21" hidden="1">
      <c r="A2395" s="7" t="s">
        <v>8816</v>
      </c>
      <c r="B2395" s="7" t="s">
        <v>7729</v>
      </c>
      <c r="C2395" s="8" t="s">
        <v>5319</v>
      </c>
      <c r="D2395" t="s">
        <v>272</v>
      </c>
      <c r="E2395" t="s">
        <v>1072</v>
      </c>
      <c r="F2395" t="s">
        <v>117</v>
      </c>
      <c r="G2395" t="s">
        <v>2063</v>
      </c>
      <c r="H2395" s="9">
        <v>44733</v>
      </c>
      <c r="I2395" t="s">
        <v>1070</v>
      </c>
      <c r="J2395" t="s">
        <v>5330</v>
      </c>
      <c r="K2395" s="9">
        <v>44834</v>
      </c>
      <c r="L2395" t="s">
        <v>29</v>
      </c>
      <c r="M2395"/>
      <c r="N2395" s="9">
        <v>44778</v>
      </c>
      <c r="O2395" s="9">
        <v>44834</v>
      </c>
      <c r="P2395"/>
      <c r="Q2395"/>
      <c r="R2395"/>
      <c r="S2395"/>
      <c r="T2395"/>
      <c r="U2395"/>
    </row>
    <row r="2396" spans="1:21" hidden="1">
      <c r="A2396" s="7" t="s">
        <v>8816</v>
      </c>
      <c r="B2396" s="7" t="s">
        <v>7729</v>
      </c>
      <c r="C2396" s="8" t="s">
        <v>5319</v>
      </c>
      <c r="D2396" t="s">
        <v>272</v>
      </c>
      <c r="E2396" t="s">
        <v>1072</v>
      </c>
      <c r="F2396" t="s">
        <v>117</v>
      </c>
      <c r="G2396" t="s">
        <v>2064</v>
      </c>
      <c r="H2396" s="9">
        <v>44733</v>
      </c>
      <c r="I2396" t="s">
        <v>1070</v>
      </c>
      <c r="J2396" t="s">
        <v>5330</v>
      </c>
      <c r="K2396" s="9">
        <v>44834</v>
      </c>
      <c r="L2396" t="s">
        <v>29</v>
      </c>
      <c r="M2396"/>
      <c r="N2396" s="9">
        <v>44778</v>
      </c>
      <c r="O2396" s="9">
        <v>44834</v>
      </c>
      <c r="P2396"/>
      <c r="Q2396"/>
      <c r="R2396"/>
      <c r="S2396"/>
      <c r="T2396"/>
      <c r="U2396"/>
    </row>
    <row r="2397" spans="1:21" hidden="1">
      <c r="A2397" s="7" t="s">
        <v>8816</v>
      </c>
      <c r="B2397" s="7" t="s">
        <v>7729</v>
      </c>
      <c r="C2397" s="8" t="s">
        <v>5319</v>
      </c>
      <c r="D2397" t="s">
        <v>272</v>
      </c>
      <c r="E2397" t="s">
        <v>1072</v>
      </c>
      <c r="F2397" t="s">
        <v>117</v>
      </c>
      <c r="G2397" t="s">
        <v>2065</v>
      </c>
      <c r="H2397" s="9">
        <v>44733</v>
      </c>
      <c r="I2397" t="s">
        <v>1070</v>
      </c>
      <c r="J2397" t="s">
        <v>5330</v>
      </c>
      <c r="K2397" s="9">
        <v>44834</v>
      </c>
      <c r="L2397" t="s">
        <v>29</v>
      </c>
      <c r="M2397"/>
      <c r="N2397" s="9">
        <v>44778</v>
      </c>
      <c r="O2397" s="9">
        <v>44834</v>
      </c>
      <c r="P2397"/>
      <c r="Q2397"/>
      <c r="R2397"/>
      <c r="S2397"/>
      <c r="T2397"/>
      <c r="U2397"/>
    </row>
    <row r="2398" spans="1:21" hidden="1">
      <c r="A2398" s="7" t="s">
        <v>8816</v>
      </c>
      <c r="B2398" s="7" t="s">
        <v>7729</v>
      </c>
      <c r="C2398" s="8" t="s">
        <v>5319</v>
      </c>
      <c r="D2398" t="s">
        <v>272</v>
      </c>
      <c r="E2398" t="s">
        <v>1072</v>
      </c>
      <c r="F2398" t="s">
        <v>117</v>
      </c>
      <c r="G2398" t="s">
        <v>2066</v>
      </c>
      <c r="H2398" s="9">
        <v>44733</v>
      </c>
      <c r="I2398" t="s">
        <v>1070</v>
      </c>
      <c r="J2398" t="s">
        <v>5330</v>
      </c>
      <c r="K2398" s="9">
        <v>44834</v>
      </c>
      <c r="L2398" t="s">
        <v>29</v>
      </c>
      <c r="M2398"/>
      <c r="N2398" s="9">
        <v>44778</v>
      </c>
      <c r="O2398" s="9">
        <v>44834</v>
      </c>
      <c r="P2398"/>
      <c r="Q2398"/>
      <c r="R2398"/>
      <c r="S2398"/>
      <c r="T2398"/>
      <c r="U2398"/>
    </row>
    <row r="2399" spans="1:21" hidden="1">
      <c r="A2399" s="7" t="s">
        <v>8816</v>
      </c>
      <c r="B2399" s="7" t="s">
        <v>7729</v>
      </c>
      <c r="C2399" s="8" t="s">
        <v>5319</v>
      </c>
      <c r="D2399" t="s">
        <v>272</v>
      </c>
      <c r="E2399" t="s">
        <v>1072</v>
      </c>
      <c r="F2399" t="s">
        <v>117</v>
      </c>
      <c r="G2399" t="s">
        <v>2067</v>
      </c>
      <c r="H2399" s="9">
        <v>44733</v>
      </c>
      <c r="I2399" t="s">
        <v>1070</v>
      </c>
      <c r="J2399" t="s">
        <v>5330</v>
      </c>
      <c r="K2399" s="9">
        <v>44834</v>
      </c>
      <c r="L2399" t="s">
        <v>29</v>
      </c>
      <c r="M2399"/>
      <c r="N2399" s="9">
        <v>44778</v>
      </c>
      <c r="O2399" s="9">
        <v>44834</v>
      </c>
      <c r="P2399"/>
      <c r="Q2399"/>
      <c r="R2399"/>
      <c r="S2399"/>
      <c r="T2399"/>
      <c r="U2399"/>
    </row>
    <row r="2400" spans="1:21" hidden="1">
      <c r="A2400" s="7" t="s">
        <v>8816</v>
      </c>
      <c r="B2400" s="7" t="s">
        <v>7729</v>
      </c>
      <c r="C2400" s="8" t="s">
        <v>5319</v>
      </c>
      <c r="D2400" t="s">
        <v>272</v>
      </c>
      <c r="E2400" t="s">
        <v>1072</v>
      </c>
      <c r="F2400" t="s">
        <v>117</v>
      </c>
      <c r="G2400" t="s">
        <v>2068</v>
      </c>
      <c r="H2400" s="9">
        <v>44733</v>
      </c>
      <c r="I2400" t="s">
        <v>1070</v>
      </c>
      <c r="J2400" t="s">
        <v>5330</v>
      </c>
      <c r="K2400" s="9">
        <v>44834</v>
      </c>
      <c r="L2400" t="s">
        <v>29</v>
      </c>
      <c r="M2400"/>
      <c r="N2400" s="9">
        <v>44778</v>
      </c>
      <c r="O2400" s="9">
        <v>44834</v>
      </c>
      <c r="P2400"/>
      <c r="Q2400"/>
      <c r="R2400"/>
      <c r="S2400"/>
      <c r="T2400"/>
      <c r="U2400"/>
    </row>
    <row r="2401" spans="1:21" hidden="1">
      <c r="A2401" s="7" t="s">
        <v>8816</v>
      </c>
      <c r="B2401" s="7" t="s">
        <v>7729</v>
      </c>
      <c r="C2401" s="8" t="s">
        <v>5319</v>
      </c>
      <c r="D2401" t="s">
        <v>272</v>
      </c>
      <c r="E2401" t="s">
        <v>1072</v>
      </c>
      <c r="F2401" t="s">
        <v>117</v>
      </c>
      <c r="G2401" t="s">
        <v>2069</v>
      </c>
      <c r="H2401" s="9">
        <v>44733</v>
      </c>
      <c r="I2401" t="s">
        <v>1070</v>
      </c>
      <c r="J2401" t="s">
        <v>5330</v>
      </c>
      <c r="K2401" s="9">
        <v>44834</v>
      </c>
      <c r="L2401" t="s">
        <v>29</v>
      </c>
      <c r="M2401"/>
      <c r="N2401" s="9">
        <v>44778</v>
      </c>
      <c r="O2401" s="9">
        <v>44834</v>
      </c>
      <c r="P2401"/>
      <c r="Q2401"/>
      <c r="R2401"/>
      <c r="S2401"/>
      <c r="T2401"/>
      <c r="U2401"/>
    </row>
    <row r="2402" spans="1:21" hidden="1">
      <c r="A2402" s="7" t="s">
        <v>8816</v>
      </c>
      <c r="B2402" s="7" t="s">
        <v>7729</v>
      </c>
      <c r="C2402" s="8" t="s">
        <v>5319</v>
      </c>
      <c r="D2402" t="s">
        <v>272</v>
      </c>
      <c r="E2402" t="s">
        <v>1072</v>
      </c>
      <c r="F2402" t="s">
        <v>117</v>
      </c>
      <c r="G2402" t="s">
        <v>2070</v>
      </c>
      <c r="H2402" s="9">
        <v>44733</v>
      </c>
      <c r="I2402" t="s">
        <v>1070</v>
      </c>
      <c r="J2402" t="s">
        <v>5330</v>
      </c>
      <c r="K2402" s="9">
        <v>44834</v>
      </c>
      <c r="L2402" t="s">
        <v>29</v>
      </c>
      <c r="M2402"/>
      <c r="N2402" s="9">
        <v>44778</v>
      </c>
      <c r="O2402" s="9">
        <v>44834</v>
      </c>
      <c r="P2402"/>
      <c r="Q2402"/>
      <c r="R2402"/>
      <c r="S2402"/>
      <c r="T2402"/>
      <c r="U2402"/>
    </row>
    <row r="2403" spans="1:21" hidden="1">
      <c r="A2403" s="7" t="s">
        <v>8816</v>
      </c>
      <c r="B2403" s="7" t="s">
        <v>7729</v>
      </c>
      <c r="C2403" s="8" t="s">
        <v>5319</v>
      </c>
      <c r="D2403" t="s">
        <v>272</v>
      </c>
      <c r="E2403" t="s">
        <v>1072</v>
      </c>
      <c r="F2403" t="s">
        <v>117</v>
      </c>
      <c r="G2403" t="s">
        <v>2071</v>
      </c>
      <c r="H2403" s="9">
        <v>44733</v>
      </c>
      <c r="I2403" t="s">
        <v>1070</v>
      </c>
      <c r="J2403" t="s">
        <v>5330</v>
      </c>
      <c r="K2403" s="9">
        <v>44834</v>
      </c>
      <c r="L2403" t="s">
        <v>29</v>
      </c>
      <c r="M2403"/>
      <c r="N2403" s="9">
        <v>44778</v>
      </c>
      <c r="O2403" s="9">
        <v>44834</v>
      </c>
      <c r="P2403"/>
      <c r="Q2403"/>
      <c r="R2403"/>
      <c r="S2403"/>
      <c r="T2403"/>
      <c r="U2403"/>
    </row>
    <row r="2404" spans="1:21" hidden="1">
      <c r="A2404" s="7" t="s">
        <v>8816</v>
      </c>
      <c r="B2404" s="7" t="s">
        <v>7729</v>
      </c>
      <c r="C2404" s="8" t="s">
        <v>5319</v>
      </c>
      <c r="D2404" t="s">
        <v>272</v>
      </c>
      <c r="E2404" t="s">
        <v>1072</v>
      </c>
      <c r="F2404" t="s">
        <v>117</v>
      </c>
      <c r="G2404" t="s">
        <v>2072</v>
      </c>
      <c r="H2404" s="9">
        <v>44733</v>
      </c>
      <c r="I2404" t="s">
        <v>1070</v>
      </c>
      <c r="J2404" t="s">
        <v>5330</v>
      </c>
      <c r="K2404" s="9">
        <v>44834</v>
      </c>
      <c r="L2404" t="s">
        <v>29</v>
      </c>
      <c r="M2404"/>
      <c r="N2404" s="9">
        <v>44778</v>
      </c>
      <c r="O2404" s="9">
        <v>44834</v>
      </c>
      <c r="P2404"/>
      <c r="Q2404"/>
      <c r="R2404"/>
      <c r="S2404"/>
      <c r="T2404"/>
      <c r="U2404"/>
    </row>
    <row r="2405" spans="1:21" hidden="1">
      <c r="A2405" s="7" t="s">
        <v>8816</v>
      </c>
      <c r="B2405" s="7" t="s">
        <v>7729</v>
      </c>
      <c r="C2405" s="8" t="s">
        <v>5319</v>
      </c>
      <c r="D2405" t="s">
        <v>272</v>
      </c>
      <c r="E2405" t="s">
        <v>1072</v>
      </c>
      <c r="F2405" t="s">
        <v>117</v>
      </c>
      <c r="G2405" t="s">
        <v>2073</v>
      </c>
      <c r="H2405" s="9">
        <v>44733</v>
      </c>
      <c r="I2405" t="s">
        <v>1070</v>
      </c>
      <c r="J2405" t="s">
        <v>5330</v>
      </c>
      <c r="K2405" s="9">
        <v>44834</v>
      </c>
      <c r="L2405" t="s">
        <v>29</v>
      </c>
      <c r="M2405"/>
      <c r="N2405" s="9">
        <v>44778</v>
      </c>
      <c r="O2405" s="9">
        <v>44834</v>
      </c>
      <c r="P2405"/>
      <c r="Q2405"/>
      <c r="R2405"/>
      <c r="S2405"/>
      <c r="T2405"/>
      <c r="U2405"/>
    </row>
    <row r="2406" spans="1:21" hidden="1">
      <c r="A2406" s="7" t="s">
        <v>8816</v>
      </c>
      <c r="B2406" s="7" t="s">
        <v>7729</v>
      </c>
      <c r="C2406" s="8" t="s">
        <v>5319</v>
      </c>
      <c r="D2406" t="s">
        <v>272</v>
      </c>
      <c r="E2406" t="s">
        <v>1072</v>
      </c>
      <c r="F2406" t="s">
        <v>117</v>
      </c>
      <c r="G2406" t="s">
        <v>2074</v>
      </c>
      <c r="H2406" s="9">
        <v>44733</v>
      </c>
      <c r="I2406" t="s">
        <v>1070</v>
      </c>
      <c r="J2406" t="s">
        <v>5330</v>
      </c>
      <c r="K2406" s="9">
        <v>44834</v>
      </c>
      <c r="L2406" t="s">
        <v>29</v>
      </c>
      <c r="M2406"/>
      <c r="N2406" s="9">
        <v>44778</v>
      </c>
      <c r="O2406" s="9">
        <v>44834</v>
      </c>
      <c r="P2406"/>
      <c r="Q2406"/>
      <c r="R2406"/>
      <c r="S2406"/>
      <c r="T2406"/>
      <c r="U2406"/>
    </row>
    <row r="2407" spans="1:21" hidden="1">
      <c r="A2407" s="7" t="s">
        <v>8816</v>
      </c>
      <c r="B2407" s="7" t="s">
        <v>7729</v>
      </c>
      <c r="C2407" s="8" t="s">
        <v>5319</v>
      </c>
      <c r="D2407" t="s">
        <v>272</v>
      </c>
      <c r="E2407" t="s">
        <v>1072</v>
      </c>
      <c r="F2407" t="s">
        <v>117</v>
      </c>
      <c r="G2407" t="s">
        <v>2075</v>
      </c>
      <c r="H2407" s="9">
        <v>44733</v>
      </c>
      <c r="I2407" t="s">
        <v>1070</v>
      </c>
      <c r="J2407" t="s">
        <v>5330</v>
      </c>
      <c r="K2407" s="9">
        <v>44834</v>
      </c>
      <c r="L2407" t="s">
        <v>29</v>
      </c>
      <c r="M2407"/>
      <c r="N2407" s="9">
        <v>44778</v>
      </c>
      <c r="O2407" s="9">
        <v>44834</v>
      </c>
      <c r="P2407"/>
      <c r="Q2407"/>
      <c r="R2407"/>
      <c r="S2407"/>
      <c r="T2407"/>
      <c r="U2407"/>
    </row>
    <row r="2408" spans="1:21" hidden="1">
      <c r="A2408" s="7" t="s">
        <v>8816</v>
      </c>
      <c r="B2408" s="7" t="s">
        <v>7729</v>
      </c>
      <c r="C2408" s="8" t="s">
        <v>5319</v>
      </c>
      <c r="D2408" t="s">
        <v>272</v>
      </c>
      <c r="E2408" t="s">
        <v>1072</v>
      </c>
      <c r="F2408" t="s">
        <v>117</v>
      </c>
      <c r="G2408" t="s">
        <v>2076</v>
      </c>
      <c r="H2408" s="9">
        <v>44733</v>
      </c>
      <c r="I2408" t="s">
        <v>1070</v>
      </c>
      <c r="J2408" t="s">
        <v>5330</v>
      </c>
      <c r="K2408" s="9">
        <v>44834</v>
      </c>
      <c r="L2408" t="s">
        <v>29</v>
      </c>
      <c r="M2408"/>
      <c r="N2408" s="9">
        <v>44778</v>
      </c>
      <c r="O2408" s="9">
        <v>44834</v>
      </c>
      <c r="P2408"/>
      <c r="Q2408"/>
      <c r="R2408"/>
      <c r="S2408"/>
      <c r="T2408"/>
      <c r="U2408"/>
    </row>
    <row r="2409" spans="1:21" hidden="1">
      <c r="A2409" s="7" t="s">
        <v>8816</v>
      </c>
      <c r="B2409" s="7" t="s">
        <v>7729</v>
      </c>
      <c r="C2409" s="8" t="s">
        <v>5319</v>
      </c>
      <c r="D2409" t="s">
        <v>272</v>
      </c>
      <c r="E2409" t="s">
        <v>1072</v>
      </c>
      <c r="F2409" t="s">
        <v>117</v>
      </c>
      <c r="G2409" t="s">
        <v>2077</v>
      </c>
      <c r="H2409" s="9">
        <v>44733</v>
      </c>
      <c r="I2409" t="s">
        <v>1070</v>
      </c>
      <c r="J2409" t="s">
        <v>5330</v>
      </c>
      <c r="K2409" s="9">
        <v>44834</v>
      </c>
      <c r="L2409" t="s">
        <v>29</v>
      </c>
      <c r="M2409"/>
      <c r="N2409" s="9">
        <v>44778</v>
      </c>
      <c r="O2409" s="9">
        <v>44834</v>
      </c>
      <c r="P2409"/>
      <c r="Q2409"/>
      <c r="R2409"/>
      <c r="S2409"/>
      <c r="T2409"/>
      <c r="U2409"/>
    </row>
    <row r="2410" spans="1:21" hidden="1">
      <c r="A2410" s="7" t="s">
        <v>8816</v>
      </c>
      <c r="B2410" s="7" t="s">
        <v>7729</v>
      </c>
      <c r="C2410" s="8" t="s">
        <v>5319</v>
      </c>
      <c r="D2410" t="s">
        <v>272</v>
      </c>
      <c r="E2410" t="s">
        <v>1072</v>
      </c>
      <c r="F2410" t="s">
        <v>117</v>
      </c>
      <c r="G2410" t="s">
        <v>2078</v>
      </c>
      <c r="H2410" s="9">
        <v>44733</v>
      </c>
      <c r="I2410" t="s">
        <v>1070</v>
      </c>
      <c r="J2410" t="s">
        <v>5330</v>
      </c>
      <c r="K2410" s="9">
        <v>44834</v>
      </c>
      <c r="L2410" t="s">
        <v>29</v>
      </c>
      <c r="M2410"/>
      <c r="N2410" s="9">
        <v>44778</v>
      </c>
      <c r="O2410" s="9">
        <v>44834</v>
      </c>
      <c r="P2410"/>
      <c r="Q2410"/>
      <c r="R2410"/>
      <c r="S2410"/>
      <c r="T2410"/>
      <c r="U2410"/>
    </row>
    <row r="2411" spans="1:21" hidden="1">
      <c r="A2411" s="7" t="s">
        <v>8816</v>
      </c>
      <c r="B2411" s="7" t="s">
        <v>7729</v>
      </c>
      <c r="C2411" s="8" t="s">
        <v>5319</v>
      </c>
      <c r="D2411" t="s">
        <v>272</v>
      </c>
      <c r="E2411" t="s">
        <v>1072</v>
      </c>
      <c r="F2411" t="s">
        <v>117</v>
      </c>
      <c r="G2411" t="s">
        <v>2079</v>
      </c>
      <c r="H2411" s="9">
        <v>44733</v>
      </c>
      <c r="I2411" t="s">
        <v>1070</v>
      </c>
      <c r="J2411" t="s">
        <v>5330</v>
      </c>
      <c r="K2411" s="9">
        <v>44834</v>
      </c>
      <c r="L2411" t="s">
        <v>29</v>
      </c>
      <c r="M2411"/>
      <c r="N2411" s="9">
        <v>44778</v>
      </c>
      <c r="O2411" s="9">
        <v>44834</v>
      </c>
      <c r="P2411"/>
      <c r="Q2411"/>
      <c r="R2411"/>
      <c r="S2411"/>
      <c r="T2411"/>
      <c r="U2411"/>
    </row>
    <row r="2412" spans="1:21" hidden="1">
      <c r="A2412" s="7" t="s">
        <v>8816</v>
      </c>
      <c r="B2412" s="7" t="s">
        <v>7729</v>
      </c>
      <c r="C2412" s="8" t="s">
        <v>5319</v>
      </c>
      <c r="D2412" t="s">
        <v>272</v>
      </c>
      <c r="E2412" t="s">
        <v>1072</v>
      </c>
      <c r="F2412" t="s">
        <v>117</v>
      </c>
      <c r="G2412" t="s">
        <v>2080</v>
      </c>
      <c r="H2412" s="9">
        <v>44733</v>
      </c>
      <c r="I2412" t="s">
        <v>1070</v>
      </c>
      <c r="J2412" t="s">
        <v>5330</v>
      </c>
      <c r="K2412" s="9">
        <v>44834</v>
      </c>
      <c r="L2412" t="s">
        <v>29</v>
      </c>
      <c r="M2412"/>
      <c r="N2412" s="9">
        <v>44778</v>
      </c>
      <c r="O2412" s="9">
        <v>44834</v>
      </c>
      <c r="P2412"/>
      <c r="Q2412"/>
      <c r="R2412"/>
      <c r="S2412"/>
      <c r="T2412"/>
      <c r="U2412"/>
    </row>
    <row r="2413" spans="1:21" hidden="1">
      <c r="A2413" s="7" t="s">
        <v>8816</v>
      </c>
      <c r="B2413" s="7" t="s">
        <v>7729</v>
      </c>
      <c r="C2413" s="8" t="s">
        <v>5319</v>
      </c>
      <c r="D2413" t="s">
        <v>272</v>
      </c>
      <c r="E2413" t="s">
        <v>1072</v>
      </c>
      <c r="F2413" t="s">
        <v>117</v>
      </c>
      <c r="G2413" t="s">
        <v>2081</v>
      </c>
      <c r="H2413" s="9">
        <v>44733</v>
      </c>
      <c r="I2413" t="s">
        <v>1070</v>
      </c>
      <c r="J2413" t="s">
        <v>5330</v>
      </c>
      <c r="K2413" s="9">
        <v>44834</v>
      </c>
      <c r="L2413" t="s">
        <v>29</v>
      </c>
      <c r="M2413"/>
      <c r="N2413" s="9">
        <v>44778</v>
      </c>
      <c r="O2413" s="9">
        <v>44834</v>
      </c>
      <c r="P2413"/>
      <c r="Q2413"/>
      <c r="R2413"/>
      <c r="S2413"/>
      <c r="T2413"/>
      <c r="U2413"/>
    </row>
    <row r="2414" spans="1:21" hidden="1">
      <c r="A2414" s="7" t="s">
        <v>8816</v>
      </c>
      <c r="B2414" s="7" t="s">
        <v>7729</v>
      </c>
      <c r="C2414" s="8" t="s">
        <v>5319</v>
      </c>
      <c r="D2414" t="s">
        <v>272</v>
      </c>
      <c r="E2414" t="s">
        <v>1072</v>
      </c>
      <c r="F2414" t="s">
        <v>117</v>
      </c>
      <c r="G2414" t="s">
        <v>2082</v>
      </c>
      <c r="H2414" s="9">
        <v>44733</v>
      </c>
      <c r="I2414" t="s">
        <v>1070</v>
      </c>
      <c r="J2414" t="s">
        <v>5330</v>
      </c>
      <c r="K2414" s="9">
        <v>44834</v>
      </c>
      <c r="L2414" t="s">
        <v>29</v>
      </c>
      <c r="M2414"/>
      <c r="N2414" s="9">
        <v>44778</v>
      </c>
      <c r="O2414" s="9">
        <v>44834</v>
      </c>
      <c r="P2414"/>
      <c r="Q2414"/>
      <c r="R2414"/>
      <c r="S2414"/>
      <c r="T2414"/>
      <c r="U2414"/>
    </row>
    <row r="2415" spans="1:21" hidden="1">
      <c r="A2415" s="7" t="s">
        <v>8816</v>
      </c>
      <c r="B2415" s="7" t="s">
        <v>7729</v>
      </c>
      <c r="C2415" s="8" t="s">
        <v>5319</v>
      </c>
      <c r="D2415" t="s">
        <v>272</v>
      </c>
      <c r="E2415" t="s">
        <v>1072</v>
      </c>
      <c r="F2415" t="s">
        <v>117</v>
      </c>
      <c r="G2415" t="s">
        <v>2083</v>
      </c>
      <c r="H2415" s="9">
        <v>44733</v>
      </c>
      <c r="I2415" t="s">
        <v>1070</v>
      </c>
      <c r="J2415" t="s">
        <v>5330</v>
      </c>
      <c r="K2415" s="9">
        <v>44834</v>
      </c>
      <c r="L2415" t="s">
        <v>29</v>
      </c>
      <c r="M2415"/>
      <c r="N2415" s="9">
        <v>44778</v>
      </c>
      <c r="O2415" s="9">
        <v>44834</v>
      </c>
      <c r="P2415"/>
      <c r="Q2415"/>
      <c r="R2415"/>
      <c r="S2415"/>
      <c r="T2415"/>
      <c r="U2415"/>
    </row>
    <row r="2416" spans="1:21" hidden="1">
      <c r="A2416" s="7" t="s">
        <v>8816</v>
      </c>
      <c r="B2416" s="7" t="s">
        <v>7729</v>
      </c>
      <c r="C2416" s="8" t="s">
        <v>5319</v>
      </c>
      <c r="D2416" t="s">
        <v>272</v>
      </c>
      <c r="E2416" t="s">
        <v>1072</v>
      </c>
      <c r="F2416" t="s">
        <v>117</v>
      </c>
      <c r="G2416" t="s">
        <v>2084</v>
      </c>
      <c r="H2416" s="9">
        <v>44733</v>
      </c>
      <c r="I2416" t="s">
        <v>1070</v>
      </c>
      <c r="J2416" t="s">
        <v>5330</v>
      </c>
      <c r="K2416" s="9">
        <v>44834</v>
      </c>
      <c r="L2416" t="s">
        <v>29</v>
      </c>
      <c r="M2416"/>
      <c r="N2416" s="9">
        <v>44778</v>
      </c>
      <c r="O2416" s="9">
        <v>44834</v>
      </c>
      <c r="P2416"/>
      <c r="Q2416"/>
      <c r="R2416"/>
      <c r="S2416"/>
      <c r="T2416"/>
      <c r="U2416"/>
    </row>
    <row r="2417" spans="1:21" hidden="1">
      <c r="A2417" s="7" t="s">
        <v>8816</v>
      </c>
      <c r="B2417" s="7" t="s">
        <v>7729</v>
      </c>
      <c r="C2417" s="8" t="s">
        <v>5319</v>
      </c>
      <c r="D2417" t="s">
        <v>272</v>
      </c>
      <c r="E2417" t="s">
        <v>1072</v>
      </c>
      <c r="F2417" t="s">
        <v>117</v>
      </c>
      <c r="G2417" t="s">
        <v>2085</v>
      </c>
      <c r="H2417" s="9">
        <v>44733</v>
      </c>
      <c r="I2417" t="s">
        <v>1070</v>
      </c>
      <c r="J2417" t="s">
        <v>5330</v>
      </c>
      <c r="K2417" s="9">
        <v>44834</v>
      </c>
      <c r="L2417" t="s">
        <v>29</v>
      </c>
      <c r="M2417"/>
      <c r="N2417" s="9">
        <v>44778</v>
      </c>
      <c r="O2417" s="9">
        <v>44834</v>
      </c>
      <c r="P2417"/>
      <c r="Q2417"/>
      <c r="R2417"/>
      <c r="S2417"/>
      <c r="T2417"/>
      <c r="U2417"/>
    </row>
    <row r="2418" spans="1:21" hidden="1">
      <c r="A2418" s="7" t="s">
        <v>8816</v>
      </c>
      <c r="B2418" s="7" t="s">
        <v>7729</v>
      </c>
      <c r="C2418" s="8" t="s">
        <v>5319</v>
      </c>
      <c r="D2418" t="s">
        <v>272</v>
      </c>
      <c r="E2418" t="s">
        <v>1072</v>
      </c>
      <c r="F2418" t="s">
        <v>117</v>
      </c>
      <c r="G2418" t="s">
        <v>2086</v>
      </c>
      <c r="H2418" s="9">
        <v>44733</v>
      </c>
      <c r="I2418" t="s">
        <v>1070</v>
      </c>
      <c r="J2418" t="s">
        <v>5330</v>
      </c>
      <c r="K2418" s="9">
        <v>44834</v>
      </c>
      <c r="L2418" t="s">
        <v>29</v>
      </c>
      <c r="M2418"/>
      <c r="N2418" s="9">
        <v>44778</v>
      </c>
      <c r="O2418" s="9">
        <v>44834</v>
      </c>
      <c r="P2418"/>
      <c r="Q2418"/>
      <c r="R2418"/>
      <c r="S2418"/>
      <c r="T2418"/>
      <c r="U2418"/>
    </row>
    <row r="2419" spans="1:21" hidden="1">
      <c r="A2419" s="7" t="s">
        <v>8816</v>
      </c>
      <c r="B2419" s="7" t="s">
        <v>7729</v>
      </c>
      <c r="C2419" s="8" t="s">
        <v>5319</v>
      </c>
      <c r="D2419" t="s">
        <v>272</v>
      </c>
      <c r="E2419" t="s">
        <v>1072</v>
      </c>
      <c r="F2419" t="s">
        <v>117</v>
      </c>
      <c r="G2419" t="s">
        <v>2087</v>
      </c>
      <c r="H2419" s="9">
        <v>44733</v>
      </c>
      <c r="I2419" t="s">
        <v>1070</v>
      </c>
      <c r="J2419" t="s">
        <v>5330</v>
      </c>
      <c r="K2419" s="9">
        <v>44834</v>
      </c>
      <c r="L2419" t="s">
        <v>29</v>
      </c>
      <c r="M2419"/>
      <c r="N2419" s="9">
        <v>44778</v>
      </c>
      <c r="O2419" s="9">
        <v>44834</v>
      </c>
      <c r="P2419"/>
      <c r="Q2419"/>
      <c r="R2419"/>
      <c r="S2419"/>
      <c r="T2419"/>
      <c r="U2419"/>
    </row>
    <row r="2420" spans="1:21" hidden="1">
      <c r="A2420" s="7" t="s">
        <v>8816</v>
      </c>
      <c r="B2420" s="7" t="s">
        <v>7729</v>
      </c>
      <c r="C2420" s="8" t="s">
        <v>5319</v>
      </c>
      <c r="D2420" t="s">
        <v>272</v>
      </c>
      <c r="E2420" t="s">
        <v>1072</v>
      </c>
      <c r="F2420" t="s">
        <v>117</v>
      </c>
      <c r="G2420" t="s">
        <v>2088</v>
      </c>
      <c r="H2420" s="9">
        <v>44733</v>
      </c>
      <c r="I2420" t="s">
        <v>1070</v>
      </c>
      <c r="J2420" t="s">
        <v>5330</v>
      </c>
      <c r="K2420" s="9">
        <v>44834</v>
      </c>
      <c r="L2420" t="s">
        <v>29</v>
      </c>
      <c r="M2420"/>
      <c r="N2420" s="9">
        <v>44778</v>
      </c>
      <c r="O2420" s="9">
        <v>44834</v>
      </c>
      <c r="P2420"/>
      <c r="Q2420"/>
      <c r="R2420"/>
      <c r="S2420"/>
      <c r="T2420"/>
      <c r="U2420"/>
    </row>
    <row r="2421" spans="1:21" hidden="1">
      <c r="A2421" s="7" t="s">
        <v>8816</v>
      </c>
      <c r="B2421" s="7" t="s">
        <v>7729</v>
      </c>
      <c r="C2421" s="8" t="s">
        <v>5319</v>
      </c>
      <c r="D2421" t="s">
        <v>272</v>
      </c>
      <c r="E2421" t="s">
        <v>1072</v>
      </c>
      <c r="F2421" t="s">
        <v>117</v>
      </c>
      <c r="G2421" t="s">
        <v>2089</v>
      </c>
      <c r="H2421" s="9">
        <v>44733</v>
      </c>
      <c r="I2421" t="s">
        <v>1070</v>
      </c>
      <c r="J2421" t="s">
        <v>5330</v>
      </c>
      <c r="K2421" s="9">
        <v>44834</v>
      </c>
      <c r="L2421" t="s">
        <v>29</v>
      </c>
      <c r="M2421"/>
      <c r="N2421" s="9">
        <v>44778</v>
      </c>
      <c r="O2421" s="9">
        <v>44834</v>
      </c>
      <c r="P2421"/>
      <c r="Q2421"/>
      <c r="R2421"/>
      <c r="S2421"/>
      <c r="T2421"/>
      <c r="U2421"/>
    </row>
    <row r="2422" spans="1:21" hidden="1">
      <c r="A2422" s="7" t="s">
        <v>8816</v>
      </c>
      <c r="B2422" s="7" t="s">
        <v>7729</v>
      </c>
      <c r="C2422" s="8" t="s">
        <v>5319</v>
      </c>
      <c r="D2422" t="s">
        <v>272</v>
      </c>
      <c r="E2422" t="s">
        <v>1072</v>
      </c>
      <c r="F2422" t="s">
        <v>117</v>
      </c>
      <c r="G2422" t="s">
        <v>2090</v>
      </c>
      <c r="H2422" s="9">
        <v>44733</v>
      </c>
      <c r="I2422" t="s">
        <v>1070</v>
      </c>
      <c r="J2422" t="s">
        <v>5330</v>
      </c>
      <c r="K2422" s="9">
        <v>44834</v>
      </c>
      <c r="L2422" t="s">
        <v>29</v>
      </c>
      <c r="M2422"/>
      <c r="N2422" s="9">
        <v>44778</v>
      </c>
      <c r="O2422" s="9">
        <v>44834</v>
      </c>
      <c r="P2422"/>
      <c r="Q2422"/>
      <c r="R2422"/>
      <c r="S2422"/>
      <c r="T2422"/>
      <c r="U2422"/>
    </row>
    <row r="2423" spans="1:21" hidden="1">
      <c r="A2423" s="7" t="s">
        <v>8816</v>
      </c>
      <c r="B2423" s="7" t="s">
        <v>7729</v>
      </c>
      <c r="C2423" s="8" t="s">
        <v>5319</v>
      </c>
      <c r="D2423" t="s">
        <v>272</v>
      </c>
      <c r="E2423" t="s">
        <v>1072</v>
      </c>
      <c r="F2423" t="s">
        <v>117</v>
      </c>
      <c r="G2423" t="s">
        <v>2091</v>
      </c>
      <c r="H2423" s="9">
        <v>44733</v>
      </c>
      <c r="I2423" t="s">
        <v>1070</v>
      </c>
      <c r="J2423" t="s">
        <v>5330</v>
      </c>
      <c r="K2423" s="9">
        <v>44834</v>
      </c>
      <c r="L2423" t="s">
        <v>29</v>
      </c>
      <c r="M2423"/>
      <c r="N2423" s="9">
        <v>44778</v>
      </c>
      <c r="O2423" s="9">
        <v>44834</v>
      </c>
      <c r="P2423"/>
      <c r="Q2423"/>
      <c r="R2423"/>
      <c r="S2423"/>
      <c r="T2423"/>
      <c r="U2423"/>
    </row>
    <row r="2424" spans="1:21" hidden="1">
      <c r="A2424" s="7" t="s">
        <v>8816</v>
      </c>
      <c r="B2424" s="7" t="s">
        <v>7729</v>
      </c>
      <c r="C2424" s="8" t="s">
        <v>5319</v>
      </c>
      <c r="D2424" t="s">
        <v>272</v>
      </c>
      <c r="E2424" t="s">
        <v>1072</v>
      </c>
      <c r="F2424" t="s">
        <v>117</v>
      </c>
      <c r="G2424" t="s">
        <v>2092</v>
      </c>
      <c r="H2424" s="9">
        <v>44733</v>
      </c>
      <c r="I2424" t="s">
        <v>1070</v>
      </c>
      <c r="J2424" t="s">
        <v>5330</v>
      </c>
      <c r="K2424" s="9">
        <v>44834</v>
      </c>
      <c r="L2424" t="s">
        <v>29</v>
      </c>
      <c r="M2424"/>
      <c r="N2424" s="9">
        <v>44778</v>
      </c>
      <c r="O2424" s="9">
        <v>44834</v>
      </c>
      <c r="P2424"/>
      <c r="Q2424"/>
      <c r="R2424"/>
      <c r="S2424"/>
      <c r="T2424"/>
      <c r="U2424"/>
    </row>
    <row r="2425" spans="1:21" hidden="1">
      <c r="A2425" s="7" t="s">
        <v>8816</v>
      </c>
      <c r="B2425" s="7" t="s">
        <v>7729</v>
      </c>
      <c r="C2425" s="8" t="s">
        <v>5319</v>
      </c>
      <c r="D2425" t="s">
        <v>272</v>
      </c>
      <c r="E2425" t="s">
        <v>1072</v>
      </c>
      <c r="F2425" t="s">
        <v>117</v>
      </c>
      <c r="G2425" t="s">
        <v>2093</v>
      </c>
      <c r="H2425" s="9">
        <v>44733</v>
      </c>
      <c r="I2425" t="s">
        <v>1070</v>
      </c>
      <c r="J2425" t="s">
        <v>5330</v>
      </c>
      <c r="K2425" s="9">
        <v>44834</v>
      </c>
      <c r="L2425" t="s">
        <v>29</v>
      </c>
      <c r="M2425"/>
      <c r="N2425" s="9">
        <v>44778</v>
      </c>
      <c r="O2425" s="9">
        <v>44834</v>
      </c>
      <c r="P2425"/>
      <c r="Q2425"/>
      <c r="R2425"/>
      <c r="S2425"/>
      <c r="T2425"/>
      <c r="U2425"/>
    </row>
    <row r="2426" spans="1:21" hidden="1">
      <c r="A2426" s="7" t="s">
        <v>8816</v>
      </c>
      <c r="B2426" s="7" t="s">
        <v>7729</v>
      </c>
      <c r="C2426" s="8" t="s">
        <v>5319</v>
      </c>
      <c r="D2426" t="s">
        <v>272</v>
      </c>
      <c r="E2426" t="s">
        <v>1072</v>
      </c>
      <c r="F2426" t="s">
        <v>117</v>
      </c>
      <c r="G2426" t="s">
        <v>2094</v>
      </c>
      <c r="H2426" s="9">
        <v>44733</v>
      </c>
      <c r="I2426" t="s">
        <v>1070</v>
      </c>
      <c r="J2426" t="s">
        <v>5330</v>
      </c>
      <c r="K2426" s="9">
        <v>44834</v>
      </c>
      <c r="L2426" t="s">
        <v>29</v>
      </c>
      <c r="M2426"/>
      <c r="N2426" s="9">
        <v>44778</v>
      </c>
      <c r="O2426" s="9">
        <v>44834</v>
      </c>
      <c r="P2426"/>
      <c r="Q2426"/>
      <c r="R2426"/>
      <c r="S2426"/>
      <c r="T2426"/>
      <c r="U2426"/>
    </row>
    <row r="2427" spans="1:21" hidden="1">
      <c r="A2427" s="7" t="s">
        <v>8841</v>
      </c>
      <c r="B2427" s="7" t="s">
        <v>7703</v>
      </c>
      <c r="C2427" s="8" t="s">
        <v>5319</v>
      </c>
      <c r="D2427" t="s">
        <v>272</v>
      </c>
      <c r="E2427" t="s">
        <v>2095</v>
      </c>
      <c r="F2427" t="s">
        <v>117</v>
      </c>
      <c r="G2427" t="s">
        <v>2096</v>
      </c>
      <c r="H2427" s="9">
        <v>44733</v>
      </c>
      <c r="I2427" t="s">
        <v>509</v>
      </c>
      <c r="J2427" t="s">
        <v>276</v>
      </c>
      <c r="K2427" s="9">
        <v>44883.786504629599</v>
      </c>
      <c r="L2427" t="s">
        <v>29</v>
      </c>
      <c r="M2427"/>
      <c r="N2427" s="9">
        <v>44778</v>
      </c>
      <c r="O2427" s="9">
        <v>44834</v>
      </c>
      <c r="P2427"/>
      <c r="Q2427"/>
      <c r="R2427" s="9">
        <v>44883.785590277803</v>
      </c>
      <c r="S2427"/>
      <c r="T2427"/>
      <c r="U2427"/>
    </row>
    <row r="2428" spans="1:21" hidden="1">
      <c r="A2428" s="7" t="s">
        <v>8841</v>
      </c>
      <c r="B2428" s="7" t="s">
        <v>7703</v>
      </c>
      <c r="C2428" s="8" t="s">
        <v>5319</v>
      </c>
      <c r="D2428" t="s">
        <v>272</v>
      </c>
      <c r="E2428" t="s">
        <v>2095</v>
      </c>
      <c r="F2428" t="s">
        <v>117</v>
      </c>
      <c r="G2428" t="s">
        <v>2097</v>
      </c>
      <c r="H2428" s="9">
        <v>44733</v>
      </c>
      <c r="I2428" t="s">
        <v>509</v>
      </c>
      <c r="J2428" t="s">
        <v>276</v>
      </c>
      <c r="K2428" s="9">
        <v>44883.786504629599</v>
      </c>
      <c r="L2428" t="s">
        <v>29</v>
      </c>
      <c r="M2428"/>
      <c r="N2428" s="9">
        <v>44778</v>
      </c>
      <c r="O2428" s="9">
        <v>44834</v>
      </c>
      <c r="P2428"/>
      <c r="Q2428"/>
      <c r="R2428" s="9">
        <v>44883.785590277803</v>
      </c>
      <c r="S2428"/>
      <c r="T2428"/>
      <c r="U2428"/>
    </row>
    <row r="2429" spans="1:21" hidden="1">
      <c r="A2429" s="7" t="s">
        <v>8841</v>
      </c>
      <c r="B2429" s="7" t="s">
        <v>7703</v>
      </c>
      <c r="C2429" s="8" t="s">
        <v>5319</v>
      </c>
      <c r="D2429" t="s">
        <v>272</v>
      </c>
      <c r="E2429" t="s">
        <v>2095</v>
      </c>
      <c r="F2429" t="s">
        <v>117</v>
      </c>
      <c r="G2429" t="s">
        <v>2098</v>
      </c>
      <c r="H2429" s="9">
        <v>44733</v>
      </c>
      <c r="I2429" t="s">
        <v>509</v>
      </c>
      <c r="J2429" t="s">
        <v>276</v>
      </c>
      <c r="K2429" s="9">
        <v>44883.786504629599</v>
      </c>
      <c r="L2429" t="s">
        <v>29</v>
      </c>
      <c r="M2429"/>
      <c r="N2429" s="9">
        <v>44778</v>
      </c>
      <c r="O2429" s="9">
        <v>44834</v>
      </c>
      <c r="P2429"/>
      <c r="Q2429"/>
      <c r="R2429" s="9">
        <v>44883.785590277803</v>
      </c>
      <c r="S2429"/>
      <c r="T2429"/>
      <c r="U2429"/>
    </row>
    <row r="2430" spans="1:21" hidden="1">
      <c r="A2430" s="7" t="s">
        <v>8816</v>
      </c>
      <c r="B2430" s="7" t="s">
        <v>7729</v>
      </c>
      <c r="C2430" s="8" t="s">
        <v>5319</v>
      </c>
      <c r="D2430" t="s">
        <v>272</v>
      </c>
      <c r="E2430" t="s">
        <v>1072</v>
      </c>
      <c r="F2430" t="s">
        <v>117</v>
      </c>
      <c r="G2430" t="s">
        <v>2099</v>
      </c>
      <c r="H2430" s="9">
        <v>44733</v>
      </c>
      <c r="I2430" t="s">
        <v>1070</v>
      </c>
      <c r="J2430" t="s">
        <v>5330</v>
      </c>
      <c r="K2430" s="9">
        <v>44834</v>
      </c>
      <c r="L2430" t="s">
        <v>29</v>
      </c>
      <c r="M2430"/>
      <c r="N2430" s="9">
        <v>44778</v>
      </c>
      <c r="O2430" s="9">
        <v>44834</v>
      </c>
      <c r="P2430"/>
      <c r="Q2430"/>
      <c r="R2430"/>
      <c r="S2430"/>
      <c r="T2430"/>
      <c r="U2430"/>
    </row>
    <row r="2431" spans="1:21" hidden="1">
      <c r="A2431" s="7" t="s">
        <v>8742</v>
      </c>
      <c r="B2431" s="7" t="s">
        <v>6943</v>
      </c>
      <c r="C2431" s="8" t="s">
        <v>5319</v>
      </c>
      <c r="D2431" t="s">
        <v>272</v>
      </c>
      <c r="E2431" t="s">
        <v>324</v>
      </c>
      <c r="F2431" t="s">
        <v>75</v>
      </c>
      <c r="G2431" t="s">
        <v>2100</v>
      </c>
      <c r="H2431" s="9">
        <v>44733</v>
      </c>
      <c r="I2431" t="s">
        <v>282</v>
      </c>
      <c r="J2431" t="s">
        <v>0</v>
      </c>
      <c r="K2431" s="9">
        <v>44817</v>
      </c>
      <c r="L2431" t="s">
        <v>29</v>
      </c>
      <c r="M2431"/>
      <c r="N2431" s="9">
        <v>44778</v>
      </c>
      <c r="O2431"/>
      <c r="P2431"/>
      <c r="Q2431" s="9">
        <v>44817</v>
      </c>
      <c r="R2431" s="9">
        <v>44816.486284722203</v>
      </c>
      <c r="S2431"/>
      <c r="T2431"/>
      <c r="U2431"/>
    </row>
    <row r="2432" spans="1:21" hidden="1">
      <c r="A2432" s="7" t="s">
        <v>8742</v>
      </c>
      <c r="B2432" s="7" t="s">
        <v>6943</v>
      </c>
      <c r="C2432" s="8" t="s">
        <v>5319</v>
      </c>
      <c r="D2432" t="s">
        <v>272</v>
      </c>
      <c r="E2432" t="s">
        <v>324</v>
      </c>
      <c r="F2432" t="s">
        <v>75</v>
      </c>
      <c r="G2432" t="s">
        <v>2101</v>
      </c>
      <c r="H2432" s="9">
        <v>44733</v>
      </c>
      <c r="I2432" t="s">
        <v>282</v>
      </c>
      <c r="J2432" t="s">
        <v>0</v>
      </c>
      <c r="K2432" s="9">
        <v>44817</v>
      </c>
      <c r="L2432" t="s">
        <v>29</v>
      </c>
      <c r="M2432"/>
      <c r="N2432" s="9">
        <v>44778</v>
      </c>
      <c r="O2432"/>
      <c r="P2432"/>
      <c r="Q2432" s="9">
        <v>44817</v>
      </c>
      <c r="R2432" s="9">
        <v>44816.486284722203</v>
      </c>
      <c r="S2432"/>
      <c r="T2432"/>
      <c r="U2432"/>
    </row>
    <row r="2433" spans="1:21" hidden="1">
      <c r="A2433" s="7" t="s">
        <v>8742</v>
      </c>
      <c r="B2433" s="7" t="s">
        <v>6943</v>
      </c>
      <c r="C2433" s="8" t="s">
        <v>5319</v>
      </c>
      <c r="D2433" t="s">
        <v>272</v>
      </c>
      <c r="E2433" t="s">
        <v>324</v>
      </c>
      <c r="F2433" t="s">
        <v>75</v>
      </c>
      <c r="G2433" t="s">
        <v>2102</v>
      </c>
      <c r="H2433" s="9">
        <v>44733</v>
      </c>
      <c r="I2433" t="s">
        <v>282</v>
      </c>
      <c r="J2433" t="s">
        <v>0</v>
      </c>
      <c r="K2433" s="9">
        <v>44817</v>
      </c>
      <c r="L2433" t="s">
        <v>29</v>
      </c>
      <c r="M2433"/>
      <c r="N2433" s="9">
        <v>44778</v>
      </c>
      <c r="O2433"/>
      <c r="P2433"/>
      <c r="Q2433" s="9">
        <v>44817</v>
      </c>
      <c r="R2433" s="9">
        <v>44816.486284722203</v>
      </c>
      <c r="S2433"/>
      <c r="T2433"/>
      <c r="U2433"/>
    </row>
    <row r="2434" spans="1:21" hidden="1">
      <c r="A2434" s="7" t="s">
        <v>8742</v>
      </c>
      <c r="B2434" s="7" t="s">
        <v>6943</v>
      </c>
      <c r="C2434" s="8" t="s">
        <v>5319</v>
      </c>
      <c r="D2434" t="s">
        <v>272</v>
      </c>
      <c r="E2434" t="s">
        <v>324</v>
      </c>
      <c r="F2434" t="s">
        <v>75</v>
      </c>
      <c r="G2434" t="s">
        <v>2103</v>
      </c>
      <c r="H2434" s="9">
        <v>44733</v>
      </c>
      <c r="I2434" t="s">
        <v>282</v>
      </c>
      <c r="J2434" t="s">
        <v>0</v>
      </c>
      <c r="K2434" s="9">
        <v>44817</v>
      </c>
      <c r="L2434" t="s">
        <v>29</v>
      </c>
      <c r="M2434"/>
      <c r="N2434" s="9">
        <v>44778</v>
      </c>
      <c r="O2434"/>
      <c r="P2434"/>
      <c r="Q2434" s="9">
        <v>44817</v>
      </c>
      <c r="R2434" s="9">
        <v>44816.486284722203</v>
      </c>
      <c r="S2434"/>
      <c r="T2434"/>
      <c r="U2434"/>
    </row>
    <row r="2435" spans="1:21" hidden="1">
      <c r="A2435" s="7" t="s">
        <v>8758</v>
      </c>
      <c r="B2435" s="7" t="s">
        <v>5405</v>
      </c>
      <c r="C2435" s="8" t="s">
        <v>5319</v>
      </c>
      <c r="D2435" t="s">
        <v>272</v>
      </c>
      <c r="E2435" t="s">
        <v>25</v>
      </c>
      <c r="F2435" t="s">
        <v>493</v>
      </c>
      <c r="G2435" t="s">
        <v>2104</v>
      </c>
      <c r="H2435" s="9">
        <v>44733</v>
      </c>
      <c r="I2435" t="s">
        <v>8634</v>
      </c>
      <c r="J2435" t="s">
        <v>5330</v>
      </c>
      <c r="K2435" s="9">
        <v>44834</v>
      </c>
      <c r="L2435" t="s">
        <v>29</v>
      </c>
      <c r="M2435"/>
      <c r="N2435" s="9">
        <v>44778</v>
      </c>
      <c r="O2435" s="9">
        <v>44834</v>
      </c>
      <c r="P2435"/>
      <c r="Q2435"/>
      <c r="R2435"/>
      <c r="S2435"/>
      <c r="T2435"/>
      <c r="U2435"/>
    </row>
    <row r="2436" spans="1:21" hidden="1">
      <c r="A2436" s="7" t="s">
        <v>8842</v>
      </c>
      <c r="B2436" s="7" t="s">
        <v>6691</v>
      </c>
      <c r="C2436" s="8" t="s">
        <v>5319</v>
      </c>
      <c r="D2436" t="s">
        <v>272</v>
      </c>
      <c r="E2436" t="s">
        <v>2105</v>
      </c>
      <c r="F2436" t="s">
        <v>2106</v>
      </c>
      <c r="G2436" t="s">
        <v>2107</v>
      </c>
      <c r="H2436" s="9">
        <v>44733</v>
      </c>
      <c r="I2436" t="s">
        <v>2108</v>
      </c>
      <c r="J2436" t="s">
        <v>0</v>
      </c>
      <c r="K2436" s="9">
        <v>44841</v>
      </c>
      <c r="L2436" t="s">
        <v>29</v>
      </c>
      <c r="M2436"/>
      <c r="N2436" s="9">
        <v>44778</v>
      </c>
      <c r="O2436" s="9">
        <v>44834</v>
      </c>
      <c r="P2436"/>
      <c r="Q2436" s="9">
        <v>44841</v>
      </c>
      <c r="R2436"/>
      <c r="S2436"/>
      <c r="T2436"/>
      <c r="U2436"/>
    </row>
    <row r="2437" spans="1:21" hidden="1">
      <c r="A2437" s="7" t="s">
        <v>8843</v>
      </c>
      <c r="B2437" s="7" t="s">
        <v>8358</v>
      </c>
      <c r="C2437" s="8" t="s">
        <v>5319</v>
      </c>
      <c r="D2437" t="s">
        <v>272</v>
      </c>
      <c r="E2437" t="s">
        <v>2109</v>
      </c>
      <c r="F2437" t="s">
        <v>231</v>
      </c>
      <c r="G2437" t="s">
        <v>2110</v>
      </c>
      <c r="H2437" s="9">
        <v>44733</v>
      </c>
      <c r="I2437" t="s">
        <v>509</v>
      </c>
      <c r="J2437" t="s">
        <v>0</v>
      </c>
      <c r="K2437" s="9">
        <v>44743</v>
      </c>
      <c r="L2437" t="s">
        <v>29</v>
      </c>
      <c r="M2437"/>
      <c r="N2437"/>
      <c r="O2437"/>
      <c r="P2437"/>
      <c r="Q2437" s="9">
        <v>44743</v>
      </c>
      <c r="R2437"/>
      <c r="S2437"/>
      <c r="T2437"/>
      <c r="U2437"/>
    </row>
    <row r="2438" spans="1:21" hidden="1">
      <c r="A2438" s="7" t="s">
        <v>8765</v>
      </c>
      <c r="B2438" s="7" t="s">
        <v>5405</v>
      </c>
      <c r="C2438" s="8" t="s">
        <v>5319</v>
      </c>
      <c r="D2438" t="s">
        <v>272</v>
      </c>
      <c r="E2438" t="s">
        <v>25</v>
      </c>
      <c r="F2438" t="s">
        <v>231</v>
      </c>
      <c r="G2438" t="s">
        <v>2111</v>
      </c>
      <c r="H2438" s="9">
        <v>44733</v>
      </c>
      <c r="I2438" t="s">
        <v>8634</v>
      </c>
      <c r="J2438" t="s">
        <v>5330</v>
      </c>
      <c r="K2438" s="9">
        <v>44834</v>
      </c>
      <c r="L2438" t="s">
        <v>29</v>
      </c>
      <c r="M2438"/>
      <c r="N2438" s="9">
        <v>44778</v>
      </c>
      <c r="O2438" s="9">
        <v>44834</v>
      </c>
      <c r="P2438"/>
      <c r="Q2438"/>
      <c r="R2438"/>
      <c r="S2438"/>
      <c r="T2438"/>
      <c r="U2438"/>
    </row>
    <row r="2439" spans="1:21" hidden="1">
      <c r="A2439" s="7" t="s">
        <v>8765</v>
      </c>
      <c r="B2439" s="7" t="s">
        <v>5405</v>
      </c>
      <c r="C2439" s="8" t="s">
        <v>5319</v>
      </c>
      <c r="D2439" t="s">
        <v>272</v>
      </c>
      <c r="E2439" t="s">
        <v>25</v>
      </c>
      <c r="F2439" t="s">
        <v>231</v>
      </c>
      <c r="G2439" t="s">
        <v>2112</v>
      </c>
      <c r="H2439" s="9">
        <v>44733</v>
      </c>
      <c r="I2439" t="s">
        <v>8634</v>
      </c>
      <c r="J2439" t="s">
        <v>5330</v>
      </c>
      <c r="K2439" s="9">
        <v>44834</v>
      </c>
      <c r="L2439" t="s">
        <v>29</v>
      </c>
      <c r="M2439"/>
      <c r="N2439" s="9">
        <v>44778</v>
      </c>
      <c r="O2439" s="9">
        <v>44834</v>
      </c>
      <c r="P2439"/>
      <c r="Q2439"/>
      <c r="R2439"/>
      <c r="S2439"/>
      <c r="T2439"/>
      <c r="U2439"/>
    </row>
    <row r="2440" spans="1:21" hidden="1">
      <c r="A2440" s="7" t="s">
        <v>8765</v>
      </c>
      <c r="B2440" s="7" t="s">
        <v>5405</v>
      </c>
      <c r="C2440" s="8" t="s">
        <v>5319</v>
      </c>
      <c r="D2440" t="s">
        <v>272</v>
      </c>
      <c r="E2440" t="s">
        <v>25</v>
      </c>
      <c r="F2440" t="s">
        <v>231</v>
      </c>
      <c r="G2440" t="s">
        <v>2113</v>
      </c>
      <c r="H2440" s="9">
        <v>44733</v>
      </c>
      <c r="I2440" t="s">
        <v>8634</v>
      </c>
      <c r="J2440" t="s">
        <v>5330</v>
      </c>
      <c r="K2440" s="9">
        <v>44834</v>
      </c>
      <c r="L2440" t="s">
        <v>29</v>
      </c>
      <c r="M2440"/>
      <c r="N2440" s="9">
        <v>44778</v>
      </c>
      <c r="O2440" s="9">
        <v>44834</v>
      </c>
      <c r="P2440"/>
      <c r="Q2440"/>
      <c r="R2440"/>
      <c r="S2440"/>
      <c r="T2440"/>
      <c r="U2440"/>
    </row>
    <row r="2441" spans="1:21" hidden="1">
      <c r="A2441" s="7" t="s">
        <v>8765</v>
      </c>
      <c r="B2441" s="7" t="s">
        <v>5405</v>
      </c>
      <c r="C2441" s="8" t="s">
        <v>5319</v>
      </c>
      <c r="D2441" t="s">
        <v>272</v>
      </c>
      <c r="E2441" t="s">
        <v>25</v>
      </c>
      <c r="F2441" t="s">
        <v>231</v>
      </c>
      <c r="G2441" t="s">
        <v>2114</v>
      </c>
      <c r="H2441" s="9">
        <v>44733</v>
      </c>
      <c r="I2441" t="s">
        <v>8634</v>
      </c>
      <c r="J2441" t="s">
        <v>5330</v>
      </c>
      <c r="K2441" s="9">
        <v>44834</v>
      </c>
      <c r="L2441" t="s">
        <v>29</v>
      </c>
      <c r="M2441"/>
      <c r="N2441" s="9">
        <v>44778</v>
      </c>
      <c r="O2441" s="9">
        <v>44834</v>
      </c>
      <c r="P2441"/>
      <c r="Q2441"/>
      <c r="R2441"/>
      <c r="S2441"/>
      <c r="T2441"/>
      <c r="U2441"/>
    </row>
    <row r="2442" spans="1:21" hidden="1">
      <c r="A2442" s="7" t="s">
        <v>8765</v>
      </c>
      <c r="B2442" s="7" t="s">
        <v>5405</v>
      </c>
      <c r="C2442" s="8" t="s">
        <v>5319</v>
      </c>
      <c r="D2442" t="s">
        <v>272</v>
      </c>
      <c r="E2442" t="s">
        <v>25</v>
      </c>
      <c r="F2442" t="s">
        <v>231</v>
      </c>
      <c r="G2442" t="s">
        <v>2115</v>
      </c>
      <c r="H2442" s="9">
        <v>44733</v>
      </c>
      <c r="I2442" t="s">
        <v>8634</v>
      </c>
      <c r="J2442" t="s">
        <v>0</v>
      </c>
      <c r="K2442" s="9">
        <v>44862</v>
      </c>
      <c r="L2442" t="s">
        <v>29</v>
      </c>
      <c r="M2442"/>
      <c r="N2442"/>
      <c r="O2442"/>
      <c r="P2442"/>
      <c r="Q2442" s="9">
        <v>44862</v>
      </c>
      <c r="R2442"/>
      <c r="S2442"/>
      <c r="T2442"/>
      <c r="U2442"/>
    </row>
    <row r="2443" spans="1:21" hidden="1">
      <c r="A2443" s="7" t="s">
        <v>8765</v>
      </c>
      <c r="B2443" s="7" t="s">
        <v>5405</v>
      </c>
      <c r="C2443" s="8" t="s">
        <v>5319</v>
      </c>
      <c r="D2443" t="s">
        <v>272</v>
      </c>
      <c r="E2443" t="s">
        <v>25</v>
      </c>
      <c r="F2443" t="s">
        <v>231</v>
      </c>
      <c r="G2443" t="s">
        <v>2116</v>
      </c>
      <c r="H2443" s="9">
        <v>44733</v>
      </c>
      <c r="I2443" t="s">
        <v>8634</v>
      </c>
      <c r="J2443" t="s">
        <v>5330</v>
      </c>
      <c r="K2443" s="9">
        <v>44834</v>
      </c>
      <c r="L2443" t="s">
        <v>29</v>
      </c>
      <c r="M2443"/>
      <c r="N2443" s="9">
        <v>44778</v>
      </c>
      <c r="O2443" s="9">
        <v>44834</v>
      </c>
      <c r="P2443"/>
      <c r="Q2443"/>
      <c r="R2443"/>
      <c r="S2443"/>
      <c r="T2443"/>
      <c r="U2443"/>
    </row>
    <row r="2444" spans="1:21" hidden="1">
      <c r="A2444" s="7" t="s">
        <v>8765</v>
      </c>
      <c r="B2444" s="7" t="s">
        <v>5405</v>
      </c>
      <c r="C2444" s="8" t="s">
        <v>5319</v>
      </c>
      <c r="D2444" t="s">
        <v>272</v>
      </c>
      <c r="E2444" t="s">
        <v>25</v>
      </c>
      <c r="F2444" t="s">
        <v>231</v>
      </c>
      <c r="G2444" t="s">
        <v>2117</v>
      </c>
      <c r="H2444" s="9">
        <v>44733</v>
      </c>
      <c r="I2444" t="s">
        <v>8634</v>
      </c>
      <c r="J2444" t="s">
        <v>5330</v>
      </c>
      <c r="K2444" s="9">
        <v>44834</v>
      </c>
      <c r="L2444" t="s">
        <v>29</v>
      </c>
      <c r="M2444"/>
      <c r="N2444" s="9">
        <v>44778</v>
      </c>
      <c r="O2444" s="9">
        <v>44834</v>
      </c>
      <c r="P2444"/>
      <c r="Q2444"/>
      <c r="R2444"/>
      <c r="S2444"/>
      <c r="T2444"/>
      <c r="U2444"/>
    </row>
    <row r="2445" spans="1:21" hidden="1">
      <c r="A2445" s="7" t="s">
        <v>8765</v>
      </c>
      <c r="B2445" s="7" t="s">
        <v>5405</v>
      </c>
      <c r="C2445" s="8" t="s">
        <v>5319</v>
      </c>
      <c r="D2445" t="s">
        <v>272</v>
      </c>
      <c r="E2445" t="s">
        <v>25</v>
      </c>
      <c r="F2445" t="s">
        <v>231</v>
      </c>
      <c r="G2445" t="s">
        <v>2118</v>
      </c>
      <c r="H2445" s="9">
        <v>44733</v>
      </c>
      <c r="I2445" t="s">
        <v>8634</v>
      </c>
      <c r="J2445" t="s">
        <v>5330</v>
      </c>
      <c r="K2445" s="9">
        <v>44834</v>
      </c>
      <c r="L2445" t="s">
        <v>29</v>
      </c>
      <c r="M2445"/>
      <c r="N2445" s="9">
        <v>44778</v>
      </c>
      <c r="O2445" s="9">
        <v>44834</v>
      </c>
      <c r="P2445"/>
      <c r="Q2445"/>
      <c r="R2445"/>
      <c r="S2445"/>
      <c r="T2445"/>
      <c r="U2445"/>
    </row>
    <row r="2446" spans="1:21" hidden="1">
      <c r="A2446" s="7" t="s">
        <v>8844</v>
      </c>
      <c r="B2446" s="7" t="s">
        <v>5466</v>
      </c>
      <c r="C2446" s="8" t="s">
        <v>5319</v>
      </c>
      <c r="D2446" t="s">
        <v>272</v>
      </c>
      <c r="E2446" t="s">
        <v>2119</v>
      </c>
      <c r="F2446" t="s">
        <v>83</v>
      </c>
      <c r="G2446" t="s">
        <v>2120</v>
      </c>
      <c r="H2446" s="9">
        <v>44733</v>
      </c>
      <c r="I2446" t="s">
        <v>2121</v>
      </c>
      <c r="J2446" t="s">
        <v>5330</v>
      </c>
      <c r="K2446" s="9">
        <v>44834</v>
      </c>
      <c r="L2446" t="s">
        <v>29</v>
      </c>
      <c r="M2446"/>
      <c r="N2446" s="9">
        <v>44778</v>
      </c>
      <c r="O2446" s="9">
        <v>44834</v>
      </c>
      <c r="P2446"/>
      <c r="Q2446"/>
      <c r="R2446"/>
      <c r="S2446"/>
      <c r="T2446"/>
      <c r="U2446"/>
    </row>
    <row r="2447" spans="1:21" hidden="1">
      <c r="A2447" s="7" t="s">
        <v>8844</v>
      </c>
      <c r="B2447" s="7" t="s">
        <v>5466</v>
      </c>
      <c r="C2447" s="8" t="s">
        <v>5319</v>
      </c>
      <c r="D2447" t="s">
        <v>272</v>
      </c>
      <c r="E2447" t="s">
        <v>2119</v>
      </c>
      <c r="F2447" t="s">
        <v>83</v>
      </c>
      <c r="G2447" t="s">
        <v>2122</v>
      </c>
      <c r="H2447" s="9">
        <v>44733</v>
      </c>
      <c r="I2447" t="s">
        <v>2121</v>
      </c>
      <c r="J2447" t="s">
        <v>5330</v>
      </c>
      <c r="K2447" s="9">
        <v>44834</v>
      </c>
      <c r="L2447" t="s">
        <v>29</v>
      </c>
      <c r="M2447"/>
      <c r="N2447" s="9">
        <v>44778</v>
      </c>
      <c r="O2447" s="9">
        <v>44834</v>
      </c>
      <c r="P2447"/>
      <c r="Q2447"/>
      <c r="R2447"/>
      <c r="S2447"/>
      <c r="T2447"/>
      <c r="U2447"/>
    </row>
    <row r="2448" spans="1:21" hidden="1">
      <c r="A2448" s="7" t="s">
        <v>8845</v>
      </c>
      <c r="B2448" s="7" t="s">
        <v>6307</v>
      </c>
      <c r="C2448" s="8" t="s">
        <v>5319</v>
      </c>
      <c r="D2448" t="s">
        <v>272</v>
      </c>
      <c r="E2448" t="s">
        <v>78</v>
      </c>
      <c r="F2448" t="s">
        <v>2123</v>
      </c>
      <c r="G2448" t="s">
        <v>2124</v>
      </c>
      <c r="H2448" s="9">
        <v>44733</v>
      </c>
      <c r="I2448" t="s">
        <v>81</v>
      </c>
      <c r="J2448" t="s">
        <v>5330</v>
      </c>
      <c r="K2448" s="9">
        <v>44834</v>
      </c>
      <c r="L2448" t="s">
        <v>29</v>
      </c>
      <c r="M2448"/>
      <c r="N2448" s="9">
        <v>44778</v>
      </c>
      <c r="O2448" s="9">
        <v>44834</v>
      </c>
      <c r="P2448"/>
      <c r="Q2448"/>
      <c r="R2448"/>
      <c r="S2448"/>
      <c r="T2448"/>
      <c r="U2448"/>
    </row>
    <row r="2449" spans="1:21" hidden="1">
      <c r="A2449" s="7" t="s">
        <v>8846</v>
      </c>
      <c r="B2449" s="7" t="s">
        <v>6096</v>
      </c>
      <c r="C2449" s="8" t="s">
        <v>5319</v>
      </c>
      <c r="D2449" t="s">
        <v>272</v>
      </c>
      <c r="E2449" t="s">
        <v>2125</v>
      </c>
      <c r="F2449" t="s">
        <v>2126</v>
      </c>
      <c r="G2449" t="s">
        <v>2127</v>
      </c>
      <c r="H2449" s="9">
        <v>44733</v>
      </c>
      <c r="I2449" t="s">
        <v>77</v>
      </c>
      <c r="J2449" t="s">
        <v>0</v>
      </c>
      <c r="K2449" s="9">
        <v>44799</v>
      </c>
      <c r="L2449" t="s">
        <v>29</v>
      </c>
      <c r="M2449"/>
      <c r="N2449" s="9">
        <v>44778</v>
      </c>
      <c r="O2449"/>
      <c r="P2449"/>
      <c r="Q2449" s="9">
        <v>44799</v>
      </c>
      <c r="R2449"/>
      <c r="S2449"/>
      <c r="T2449"/>
      <c r="U2449"/>
    </row>
    <row r="2450" spans="1:21" hidden="1">
      <c r="A2450" s="7" t="s">
        <v>8847</v>
      </c>
      <c r="B2450" s="7" t="s">
        <v>8288</v>
      </c>
      <c r="C2450" s="8" t="s">
        <v>5319</v>
      </c>
      <c r="D2450" t="s">
        <v>272</v>
      </c>
      <c r="E2450" t="s">
        <v>2128</v>
      </c>
      <c r="F2450" t="s">
        <v>83</v>
      </c>
      <c r="G2450" t="s">
        <v>2129</v>
      </c>
      <c r="H2450" s="9">
        <v>44733</v>
      </c>
      <c r="I2450" t="s">
        <v>2130</v>
      </c>
      <c r="J2450" t="s">
        <v>5330</v>
      </c>
      <c r="K2450" s="9">
        <v>44834</v>
      </c>
      <c r="L2450" t="s">
        <v>29</v>
      </c>
      <c r="M2450"/>
      <c r="N2450" s="9">
        <v>44778</v>
      </c>
      <c r="O2450" s="9">
        <v>44834</v>
      </c>
      <c r="P2450"/>
      <c r="Q2450"/>
      <c r="R2450"/>
      <c r="S2450"/>
      <c r="T2450"/>
      <c r="U2450"/>
    </row>
    <row r="2451" spans="1:21" hidden="1">
      <c r="A2451" s="7" t="s">
        <v>8844</v>
      </c>
      <c r="B2451" s="7" t="s">
        <v>5466</v>
      </c>
      <c r="C2451" s="8" t="s">
        <v>5319</v>
      </c>
      <c r="D2451" t="s">
        <v>272</v>
      </c>
      <c r="E2451" t="s">
        <v>2119</v>
      </c>
      <c r="F2451" t="s">
        <v>83</v>
      </c>
      <c r="G2451" t="s">
        <v>2131</v>
      </c>
      <c r="H2451" s="9">
        <v>44733</v>
      </c>
      <c r="I2451" t="s">
        <v>2121</v>
      </c>
      <c r="J2451" t="s">
        <v>5330</v>
      </c>
      <c r="K2451" s="9">
        <v>44834</v>
      </c>
      <c r="L2451" t="s">
        <v>29</v>
      </c>
      <c r="M2451"/>
      <c r="N2451" s="9">
        <v>44778</v>
      </c>
      <c r="O2451" s="9">
        <v>44834</v>
      </c>
      <c r="P2451"/>
      <c r="Q2451"/>
      <c r="R2451"/>
      <c r="S2451"/>
      <c r="T2451"/>
      <c r="U2451"/>
    </row>
    <row r="2452" spans="1:21" hidden="1">
      <c r="A2452" s="7" t="s">
        <v>8844</v>
      </c>
      <c r="B2452" s="7" t="s">
        <v>5466</v>
      </c>
      <c r="C2452" s="8" t="s">
        <v>5319</v>
      </c>
      <c r="D2452" t="s">
        <v>272</v>
      </c>
      <c r="E2452" t="s">
        <v>2119</v>
      </c>
      <c r="F2452" t="s">
        <v>83</v>
      </c>
      <c r="G2452" t="s">
        <v>2132</v>
      </c>
      <c r="H2452" s="9">
        <v>44733</v>
      </c>
      <c r="I2452" t="s">
        <v>2121</v>
      </c>
      <c r="J2452" t="s">
        <v>5330</v>
      </c>
      <c r="K2452" s="9">
        <v>44834</v>
      </c>
      <c r="L2452" t="s">
        <v>29</v>
      </c>
      <c r="M2452"/>
      <c r="N2452" s="9">
        <v>44778</v>
      </c>
      <c r="O2452" s="9">
        <v>44834</v>
      </c>
      <c r="P2452"/>
      <c r="Q2452"/>
      <c r="R2452"/>
      <c r="S2452"/>
      <c r="T2452"/>
      <c r="U2452"/>
    </row>
    <row r="2453" spans="1:21" hidden="1">
      <c r="A2453" s="7" t="s">
        <v>8844</v>
      </c>
      <c r="B2453" s="7" t="s">
        <v>5466</v>
      </c>
      <c r="C2453" s="8" t="s">
        <v>5319</v>
      </c>
      <c r="D2453" t="s">
        <v>272</v>
      </c>
      <c r="E2453" t="s">
        <v>2119</v>
      </c>
      <c r="F2453" t="s">
        <v>83</v>
      </c>
      <c r="G2453" t="s">
        <v>2133</v>
      </c>
      <c r="H2453" s="9">
        <v>44733</v>
      </c>
      <c r="I2453" t="s">
        <v>2121</v>
      </c>
      <c r="J2453" t="s">
        <v>5330</v>
      </c>
      <c r="K2453" s="9">
        <v>44834</v>
      </c>
      <c r="L2453" t="s">
        <v>29</v>
      </c>
      <c r="M2453"/>
      <c r="N2453" s="9">
        <v>44778</v>
      </c>
      <c r="O2453" s="9">
        <v>44834</v>
      </c>
      <c r="P2453"/>
      <c r="Q2453"/>
      <c r="R2453"/>
      <c r="S2453"/>
      <c r="T2453"/>
      <c r="U2453"/>
    </row>
    <row r="2454" spans="1:21" hidden="1">
      <c r="A2454" s="7" t="s">
        <v>8844</v>
      </c>
      <c r="B2454" s="7" t="s">
        <v>5466</v>
      </c>
      <c r="C2454" s="8" t="s">
        <v>5319</v>
      </c>
      <c r="D2454" t="s">
        <v>272</v>
      </c>
      <c r="E2454" t="s">
        <v>2119</v>
      </c>
      <c r="F2454" t="s">
        <v>83</v>
      </c>
      <c r="G2454" t="s">
        <v>2134</v>
      </c>
      <c r="H2454" s="9">
        <v>44733</v>
      </c>
      <c r="I2454" t="s">
        <v>2121</v>
      </c>
      <c r="J2454" t="s">
        <v>5330</v>
      </c>
      <c r="K2454" s="9">
        <v>44834</v>
      </c>
      <c r="L2454" t="s">
        <v>29</v>
      </c>
      <c r="M2454"/>
      <c r="N2454" s="9">
        <v>44778</v>
      </c>
      <c r="O2454" s="9">
        <v>44834</v>
      </c>
      <c r="P2454"/>
      <c r="Q2454"/>
      <c r="R2454"/>
      <c r="S2454"/>
      <c r="T2454"/>
      <c r="U2454"/>
    </row>
    <row r="2455" spans="1:21" hidden="1">
      <c r="A2455" s="7" t="s">
        <v>8768</v>
      </c>
      <c r="B2455" s="7" t="s">
        <v>6720</v>
      </c>
      <c r="C2455" s="8" t="s">
        <v>5319</v>
      </c>
      <c r="D2455" t="s">
        <v>272</v>
      </c>
      <c r="E2455" t="s">
        <v>750</v>
      </c>
      <c r="F2455" t="s">
        <v>103</v>
      </c>
      <c r="G2455" t="s">
        <v>2135</v>
      </c>
      <c r="H2455" s="9">
        <v>44733</v>
      </c>
      <c r="I2455" t="s">
        <v>43</v>
      </c>
      <c r="J2455" t="s">
        <v>0</v>
      </c>
      <c r="K2455" s="9">
        <v>44846</v>
      </c>
      <c r="L2455" t="s">
        <v>29</v>
      </c>
      <c r="M2455"/>
      <c r="N2455" s="9">
        <v>44778</v>
      </c>
      <c r="O2455" s="9">
        <v>44834</v>
      </c>
      <c r="P2455"/>
      <c r="Q2455" s="9">
        <v>44846</v>
      </c>
      <c r="R2455"/>
      <c r="S2455"/>
      <c r="T2455"/>
      <c r="U2455"/>
    </row>
    <row r="2456" spans="1:21" hidden="1">
      <c r="A2456" s="7" t="s">
        <v>8768</v>
      </c>
      <c r="B2456" s="7" t="s">
        <v>6720</v>
      </c>
      <c r="C2456" s="8" t="s">
        <v>5319</v>
      </c>
      <c r="D2456" t="s">
        <v>272</v>
      </c>
      <c r="E2456" t="s">
        <v>750</v>
      </c>
      <c r="F2456" t="s">
        <v>103</v>
      </c>
      <c r="G2456" t="s">
        <v>2136</v>
      </c>
      <c r="H2456" s="9">
        <v>44733</v>
      </c>
      <c r="I2456" t="s">
        <v>43</v>
      </c>
      <c r="J2456" t="s">
        <v>0</v>
      </c>
      <c r="K2456" s="9">
        <v>44846</v>
      </c>
      <c r="L2456" t="s">
        <v>29</v>
      </c>
      <c r="M2456"/>
      <c r="N2456" s="9">
        <v>44778</v>
      </c>
      <c r="O2456" s="9">
        <v>44834</v>
      </c>
      <c r="P2456"/>
      <c r="Q2456" s="9">
        <v>44846</v>
      </c>
      <c r="R2456"/>
      <c r="S2456"/>
      <c r="T2456"/>
      <c r="U2456"/>
    </row>
    <row r="2457" spans="1:21" hidden="1">
      <c r="A2457" s="7" t="s">
        <v>8768</v>
      </c>
      <c r="B2457" s="7" t="s">
        <v>6720</v>
      </c>
      <c r="C2457" s="8" t="s">
        <v>5319</v>
      </c>
      <c r="D2457" t="s">
        <v>272</v>
      </c>
      <c r="E2457" t="s">
        <v>750</v>
      </c>
      <c r="F2457" t="s">
        <v>103</v>
      </c>
      <c r="G2457" t="s">
        <v>2137</v>
      </c>
      <c r="H2457" s="9">
        <v>44733</v>
      </c>
      <c r="I2457" t="s">
        <v>43</v>
      </c>
      <c r="J2457" t="s">
        <v>0</v>
      </c>
      <c r="K2457" s="9">
        <v>44846</v>
      </c>
      <c r="L2457" t="s">
        <v>29</v>
      </c>
      <c r="M2457"/>
      <c r="N2457" s="9">
        <v>44778</v>
      </c>
      <c r="O2457" s="9">
        <v>44834</v>
      </c>
      <c r="P2457"/>
      <c r="Q2457" s="9">
        <v>44846</v>
      </c>
      <c r="R2457"/>
      <c r="S2457"/>
      <c r="T2457"/>
      <c r="U2457"/>
    </row>
    <row r="2458" spans="1:21" hidden="1">
      <c r="A2458" s="7" t="s">
        <v>8768</v>
      </c>
      <c r="B2458" s="7" t="s">
        <v>6720</v>
      </c>
      <c r="C2458" s="8" t="s">
        <v>5319</v>
      </c>
      <c r="D2458" t="s">
        <v>272</v>
      </c>
      <c r="E2458" t="s">
        <v>750</v>
      </c>
      <c r="F2458" t="s">
        <v>103</v>
      </c>
      <c r="G2458" t="s">
        <v>2138</v>
      </c>
      <c r="H2458" s="9">
        <v>44733</v>
      </c>
      <c r="I2458" t="s">
        <v>43</v>
      </c>
      <c r="J2458" t="s">
        <v>0</v>
      </c>
      <c r="K2458" s="9">
        <v>44846</v>
      </c>
      <c r="L2458" t="s">
        <v>29</v>
      </c>
      <c r="M2458"/>
      <c r="N2458" s="9">
        <v>44778</v>
      </c>
      <c r="O2458" s="9">
        <v>44834</v>
      </c>
      <c r="P2458"/>
      <c r="Q2458" s="9">
        <v>44846</v>
      </c>
      <c r="R2458"/>
      <c r="S2458"/>
      <c r="T2458"/>
      <c r="U2458"/>
    </row>
    <row r="2459" spans="1:21" hidden="1">
      <c r="A2459" s="7" t="s">
        <v>8768</v>
      </c>
      <c r="B2459" s="7" t="s">
        <v>6720</v>
      </c>
      <c r="C2459" s="8" t="s">
        <v>5319</v>
      </c>
      <c r="D2459" t="s">
        <v>272</v>
      </c>
      <c r="E2459" t="s">
        <v>750</v>
      </c>
      <c r="F2459" t="s">
        <v>103</v>
      </c>
      <c r="G2459" t="s">
        <v>2139</v>
      </c>
      <c r="H2459" s="9">
        <v>44733</v>
      </c>
      <c r="I2459" t="s">
        <v>43</v>
      </c>
      <c r="J2459" t="s">
        <v>0</v>
      </c>
      <c r="K2459" s="9">
        <v>44846</v>
      </c>
      <c r="L2459" t="s">
        <v>29</v>
      </c>
      <c r="M2459"/>
      <c r="N2459" s="9">
        <v>44778</v>
      </c>
      <c r="O2459" s="9">
        <v>44834</v>
      </c>
      <c r="P2459"/>
      <c r="Q2459" s="9">
        <v>44846</v>
      </c>
      <c r="R2459"/>
      <c r="S2459"/>
      <c r="T2459"/>
      <c r="U2459"/>
    </row>
    <row r="2460" spans="1:21" hidden="1">
      <c r="A2460" s="7" t="s">
        <v>8768</v>
      </c>
      <c r="B2460" s="7" t="s">
        <v>6720</v>
      </c>
      <c r="C2460" s="8" t="s">
        <v>5319</v>
      </c>
      <c r="D2460" t="s">
        <v>272</v>
      </c>
      <c r="E2460" t="s">
        <v>750</v>
      </c>
      <c r="F2460" t="s">
        <v>103</v>
      </c>
      <c r="G2460" t="s">
        <v>2140</v>
      </c>
      <c r="H2460" s="9">
        <v>44733</v>
      </c>
      <c r="I2460" t="s">
        <v>43</v>
      </c>
      <c r="J2460" t="s">
        <v>0</v>
      </c>
      <c r="K2460" s="9">
        <v>44846</v>
      </c>
      <c r="L2460" t="s">
        <v>29</v>
      </c>
      <c r="M2460"/>
      <c r="N2460" s="9">
        <v>44778</v>
      </c>
      <c r="O2460" s="9">
        <v>44834</v>
      </c>
      <c r="P2460"/>
      <c r="Q2460" s="9">
        <v>44846</v>
      </c>
      <c r="R2460"/>
      <c r="S2460"/>
      <c r="T2460"/>
      <c r="U2460"/>
    </row>
    <row r="2461" spans="1:21" hidden="1">
      <c r="A2461" s="7" t="s">
        <v>8768</v>
      </c>
      <c r="B2461" s="7" t="s">
        <v>6720</v>
      </c>
      <c r="C2461" s="8" t="s">
        <v>5319</v>
      </c>
      <c r="D2461" t="s">
        <v>272</v>
      </c>
      <c r="E2461" t="s">
        <v>750</v>
      </c>
      <c r="F2461" t="s">
        <v>103</v>
      </c>
      <c r="G2461" t="s">
        <v>2141</v>
      </c>
      <c r="H2461" s="9">
        <v>44733</v>
      </c>
      <c r="I2461" t="s">
        <v>43</v>
      </c>
      <c r="J2461" t="s">
        <v>0</v>
      </c>
      <c r="K2461" s="9">
        <v>44846</v>
      </c>
      <c r="L2461" t="s">
        <v>29</v>
      </c>
      <c r="M2461"/>
      <c r="N2461" s="9">
        <v>44778</v>
      </c>
      <c r="O2461" s="9">
        <v>44834</v>
      </c>
      <c r="P2461"/>
      <c r="Q2461" s="9">
        <v>44846</v>
      </c>
      <c r="R2461"/>
      <c r="S2461"/>
      <c r="T2461"/>
      <c r="U2461"/>
    </row>
    <row r="2462" spans="1:21" hidden="1">
      <c r="A2462" s="7" t="s">
        <v>8848</v>
      </c>
      <c r="B2462" s="7" t="s">
        <v>6217</v>
      </c>
      <c r="C2462" s="8" t="s">
        <v>5319</v>
      </c>
      <c r="D2462" t="s">
        <v>272</v>
      </c>
      <c r="E2462" t="s">
        <v>2142</v>
      </c>
      <c r="F2462" t="s">
        <v>491</v>
      </c>
      <c r="G2462" t="s">
        <v>2143</v>
      </c>
      <c r="H2462" s="9">
        <v>44733</v>
      </c>
      <c r="I2462" t="s">
        <v>43</v>
      </c>
      <c r="J2462" t="s">
        <v>269</v>
      </c>
      <c r="K2462" s="9">
        <v>44883.786574074104</v>
      </c>
      <c r="L2462" t="s">
        <v>29</v>
      </c>
      <c r="M2462"/>
      <c r="N2462" s="9">
        <v>44778</v>
      </c>
      <c r="O2462" s="9">
        <v>44834</v>
      </c>
      <c r="P2462"/>
      <c r="Q2462"/>
      <c r="R2462" s="9">
        <v>44883.785775463002</v>
      </c>
      <c r="S2462"/>
      <c r="T2462"/>
      <c r="U2462"/>
    </row>
    <row r="2463" spans="1:21" hidden="1">
      <c r="A2463" s="7" t="s">
        <v>8848</v>
      </c>
      <c r="B2463" s="7" t="s">
        <v>6217</v>
      </c>
      <c r="C2463" s="8" t="s">
        <v>5319</v>
      </c>
      <c r="D2463" t="s">
        <v>272</v>
      </c>
      <c r="E2463" t="s">
        <v>2142</v>
      </c>
      <c r="F2463" t="s">
        <v>491</v>
      </c>
      <c r="G2463" t="s">
        <v>2144</v>
      </c>
      <c r="H2463" s="9">
        <v>44733</v>
      </c>
      <c r="I2463" t="s">
        <v>43</v>
      </c>
      <c r="J2463" t="s">
        <v>269</v>
      </c>
      <c r="K2463" s="9">
        <v>44883.786574074104</v>
      </c>
      <c r="L2463" t="s">
        <v>29</v>
      </c>
      <c r="M2463"/>
      <c r="N2463" s="9">
        <v>44778</v>
      </c>
      <c r="O2463" s="9">
        <v>44834</v>
      </c>
      <c r="P2463"/>
      <c r="Q2463"/>
      <c r="R2463" s="9">
        <v>44883.785775463002</v>
      </c>
      <c r="S2463"/>
      <c r="T2463"/>
      <c r="U2463"/>
    </row>
    <row r="2464" spans="1:21" hidden="1">
      <c r="A2464" s="7" t="s">
        <v>8848</v>
      </c>
      <c r="B2464" s="7" t="s">
        <v>6217</v>
      </c>
      <c r="C2464" s="8" t="s">
        <v>5319</v>
      </c>
      <c r="D2464" t="s">
        <v>272</v>
      </c>
      <c r="E2464" t="s">
        <v>2142</v>
      </c>
      <c r="F2464" t="s">
        <v>491</v>
      </c>
      <c r="G2464" t="s">
        <v>2145</v>
      </c>
      <c r="H2464" s="9">
        <v>44733</v>
      </c>
      <c r="I2464" t="s">
        <v>43</v>
      </c>
      <c r="J2464" t="s">
        <v>269</v>
      </c>
      <c r="K2464" s="9">
        <v>44883.786574074104</v>
      </c>
      <c r="L2464" t="s">
        <v>29</v>
      </c>
      <c r="M2464"/>
      <c r="N2464" s="9">
        <v>44778</v>
      </c>
      <c r="O2464" s="9">
        <v>44834</v>
      </c>
      <c r="P2464"/>
      <c r="Q2464"/>
      <c r="R2464" s="9">
        <v>44883.785775463002</v>
      </c>
      <c r="S2464"/>
      <c r="T2464"/>
      <c r="U2464"/>
    </row>
    <row r="2465" spans="1:21" hidden="1">
      <c r="A2465" s="7" t="s">
        <v>8848</v>
      </c>
      <c r="B2465" s="7" t="s">
        <v>6217</v>
      </c>
      <c r="C2465" s="8" t="s">
        <v>5319</v>
      </c>
      <c r="D2465" t="s">
        <v>272</v>
      </c>
      <c r="E2465" t="s">
        <v>2142</v>
      </c>
      <c r="F2465" t="s">
        <v>491</v>
      </c>
      <c r="G2465" t="s">
        <v>2146</v>
      </c>
      <c r="H2465" s="9">
        <v>44733</v>
      </c>
      <c r="I2465" t="s">
        <v>43</v>
      </c>
      <c r="J2465" t="s">
        <v>269</v>
      </c>
      <c r="K2465" s="9">
        <v>44883.786574074104</v>
      </c>
      <c r="L2465" t="s">
        <v>29</v>
      </c>
      <c r="M2465"/>
      <c r="N2465" s="9">
        <v>44778</v>
      </c>
      <c r="O2465" s="9">
        <v>44834</v>
      </c>
      <c r="P2465"/>
      <c r="Q2465"/>
      <c r="R2465" s="9">
        <v>44883.785775463002</v>
      </c>
      <c r="S2465"/>
      <c r="T2465"/>
      <c r="U2465"/>
    </row>
    <row r="2466" spans="1:21" hidden="1">
      <c r="A2466" s="7" t="s">
        <v>8848</v>
      </c>
      <c r="B2466" s="7" t="s">
        <v>6217</v>
      </c>
      <c r="C2466" s="8" t="s">
        <v>5319</v>
      </c>
      <c r="D2466" t="s">
        <v>272</v>
      </c>
      <c r="E2466" t="s">
        <v>2142</v>
      </c>
      <c r="F2466" t="s">
        <v>491</v>
      </c>
      <c r="G2466" t="s">
        <v>2147</v>
      </c>
      <c r="H2466" s="9">
        <v>44733</v>
      </c>
      <c r="I2466" t="s">
        <v>43</v>
      </c>
      <c r="J2466" t="s">
        <v>269</v>
      </c>
      <c r="K2466" s="9">
        <v>44883.786574074104</v>
      </c>
      <c r="L2466" t="s">
        <v>29</v>
      </c>
      <c r="M2466"/>
      <c r="N2466" s="9">
        <v>44778</v>
      </c>
      <c r="O2466" s="9">
        <v>44834</v>
      </c>
      <c r="P2466"/>
      <c r="Q2466"/>
      <c r="R2466" s="9">
        <v>44883.785775463002</v>
      </c>
      <c r="S2466"/>
      <c r="T2466"/>
      <c r="U2466"/>
    </row>
    <row r="2467" spans="1:21" hidden="1">
      <c r="A2467" s="7" t="s">
        <v>8848</v>
      </c>
      <c r="B2467" s="7" t="s">
        <v>6217</v>
      </c>
      <c r="C2467" s="8" t="s">
        <v>5319</v>
      </c>
      <c r="D2467" t="s">
        <v>272</v>
      </c>
      <c r="E2467" t="s">
        <v>2142</v>
      </c>
      <c r="F2467" t="s">
        <v>491</v>
      </c>
      <c r="G2467" t="s">
        <v>2148</v>
      </c>
      <c r="H2467" s="9">
        <v>44733</v>
      </c>
      <c r="I2467" t="s">
        <v>43</v>
      </c>
      <c r="J2467" t="s">
        <v>269</v>
      </c>
      <c r="K2467" s="9">
        <v>44883.786574074104</v>
      </c>
      <c r="L2467" t="s">
        <v>29</v>
      </c>
      <c r="M2467"/>
      <c r="N2467" s="9">
        <v>44778</v>
      </c>
      <c r="O2467" s="9">
        <v>44834</v>
      </c>
      <c r="P2467"/>
      <c r="Q2467"/>
      <c r="R2467" s="9">
        <v>44883.785775463002</v>
      </c>
      <c r="S2467"/>
      <c r="T2467"/>
      <c r="U2467"/>
    </row>
    <row r="2468" spans="1:21" hidden="1">
      <c r="A2468" s="7" t="s">
        <v>8848</v>
      </c>
      <c r="B2468" s="7" t="s">
        <v>6217</v>
      </c>
      <c r="C2468" s="8" t="s">
        <v>5319</v>
      </c>
      <c r="D2468" t="s">
        <v>272</v>
      </c>
      <c r="E2468" t="s">
        <v>2142</v>
      </c>
      <c r="F2468" t="s">
        <v>491</v>
      </c>
      <c r="G2468" t="s">
        <v>2149</v>
      </c>
      <c r="H2468" s="9">
        <v>44733</v>
      </c>
      <c r="I2468" t="s">
        <v>43</v>
      </c>
      <c r="J2468" t="s">
        <v>269</v>
      </c>
      <c r="K2468" s="9">
        <v>44883.786574074104</v>
      </c>
      <c r="L2468" t="s">
        <v>29</v>
      </c>
      <c r="M2468"/>
      <c r="N2468" s="9">
        <v>44778</v>
      </c>
      <c r="O2468" s="9">
        <v>44834</v>
      </c>
      <c r="P2468"/>
      <c r="Q2468"/>
      <c r="R2468" s="9">
        <v>44883.785775463002</v>
      </c>
      <c r="S2468"/>
      <c r="T2468"/>
      <c r="U2468"/>
    </row>
    <row r="2469" spans="1:21" hidden="1">
      <c r="A2469" s="7" t="s">
        <v>8848</v>
      </c>
      <c r="B2469" s="7" t="s">
        <v>6217</v>
      </c>
      <c r="C2469" s="8" t="s">
        <v>5319</v>
      </c>
      <c r="D2469" t="s">
        <v>272</v>
      </c>
      <c r="E2469" t="s">
        <v>2142</v>
      </c>
      <c r="F2469" t="s">
        <v>491</v>
      </c>
      <c r="G2469" t="s">
        <v>2150</v>
      </c>
      <c r="H2469" s="9">
        <v>44733</v>
      </c>
      <c r="I2469" t="s">
        <v>43</v>
      </c>
      <c r="J2469" t="s">
        <v>269</v>
      </c>
      <c r="K2469" s="9">
        <v>44883.786574074104</v>
      </c>
      <c r="L2469" t="s">
        <v>29</v>
      </c>
      <c r="M2469"/>
      <c r="N2469" s="9">
        <v>44778</v>
      </c>
      <c r="O2469" s="9">
        <v>44834</v>
      </c>
      <c r="P2469"/>
      <c r="Q2469"/>
      <c r="R2469" s="9">
        <v>44883.785775463002</v>
      </c>
      <c r="S2469"/>
      <c r="T2469"/>
      <c r="U2469"/>
    </row>
    <row r="2470" spans="1:21" hidden="1">
      <c r="A2470" s="7" t="s">
        <v>8848</v>
      </c>
      <c r="B2470" s="7" t="s">
        <v>6217</v>
      </c>
      <c r="C2470" s="8" t="s">
        <v>5319</v>
      </c>
      <c r="D2470" t="s">
        <v>272</v>
      </c>
      <c r="E2470" t="s">
        <v>2142</v>
      </c>
      <c r="F2470" t="s">
        <v>491</v>
      </c>
      <c r="G2470" t="s">
        <v>2151</v>
      </c>
      <c r="H2470" s="9">
        <v>44733</v>
      </c>
      <c r="I2470" t="s">
        <v>43</v>
      </c>
      <c r="J2470" t="s">
        <v>269</v>
      </c>
      <c r="K2470" s="9">
        <v>44883.786574074104</v>
      </c>
      <c r="L2470" t="s">
        <v>29</v>
      </c>
      <c r="M2470"/>
      <c r="N2470" s="9">
        <v>44778</v>
      </c>
      <c r="O2470" s="9">
        <v>44834</v>
      </c>
      <c r="P2470"/>
      <c r="Q2470"/>
      <c r="R2470" s="9">
        <v>44883.785775463002</v>
      </c>
      <c r="S2470"/>
      <c r="T2470"/>
      <c r="U2470"/>
    </row>
    <row r="2471" spans="1:21" hidden="1">
      <c r="A2471" s="7" t="s">
        <v>8848</v>
      </c>
      <c r="B2471" s="7" t="s">
        <v>6217</v>
      </c>
      <c r="C2471" s="8" t="s">
        <v>5319</v>
      </c>
      <c r="D2471" t="s">
        <v>272</v>
      </c>
      <c r="E2471" t="s">
        <v>2142</v>
      </c>
      <c r="F2471" t="s">
        <v>491</v>
      </c>
      <c r="G2471" t="s">
        <v>2152</v>
      </c>
      <c r="H2471" s="9">
        <v>44733</v>
      </c>
      <c r="I2471" t="s">
        <v>43</v>
      </c>
      <c r="J2471" t="s">
        <v>269</v>
      </c>
      <c r="K2471" s="9">
        <v>44883.786574074104</v>
      </c>
      <c r="L2471" t="s">
        <v>29</v>
      </c>
      <c r="M2471"/>
      <c r="N2471" s="9">
        <v>44778</v>
      </c>
      <c r="O2471" s="9">
        <v>44834</v>
      </c>
      <c r="P2471"/>
      <c r="Q2471"/>
      <c r="R2471" s="9">
        <v>44883.785775463002</v>
      </c>
      <c r="S2471"/>
      <c r="T2471"/>
      <c r="U2471"/>
    </row>
    <row r="2472" spans="1:21" hidden="1">
      <c r="A2472" s="7" t="s">
        <v>8758</v>
      </c>
      <c r="B2472" s="7" t="s">
        <v>5405</v>
      </c>
      <c r="C2472" s="8" t="s">
        <v>5319</v>
      </c>
      <c r="D2472" t="s">
        <v>272</v>
      </c>
      <c r="E2472" t="s">
        <v>25</v>
      </c>
      <c r="F2472" t="s">
        <v>493</v>
      </c>
      <c r="G2472" t="s">
        <v>2153</v>
      </c>
      <c r="H2472" s="9">
        <v>44733</v>
      </c>
      <c r="I2472" t="s">
        <v>8634</v>
      </c>
      <c r="J2472" t="s">
        <v>0</v>
      </c>
      <c r="K2472" s="9">
        <v>44862</v>
      </c>
      <c r="L2472" t="s">
        <v>29</v>
      </c>
      <c r="M2472"/>
      <c r="N2472" s="9">
        <v>44778</v>
      </c>
      <c r="O2472" s="9">
        <v>44834</v>
      </c>
      <c r="P2472"/>
      <c r="Q2472" s="9">
        <v>44862</v>
      </c>
      <c r="R2472"/>
      <c r="S2472"/>
      <c r="T2472"/>
      <c r="U2472"/>
    </row>
    <row r="2473" spans="1:21" hidden="1">
      <c r="A2473" s="7" t="s">
        <v>8737</v>
      </c>
      <c r="B2473" s="7" t="s">
        <v>6549</v>
      </c>
      <c r="C2473" s="8" t="s">
        <v>5319</v>
      </c>
      <c r="D2473" t="s">
        <v>272</v>
      </c>
      <c r="E2473" t="s">
        <v>273</v>
      </c>
      <c r="F2473" t="s">
        <v>280</v>
      </c>
      <c r="G2473" t="s">
        <v>1691</v>
      </c>
      <c r="H2473" s="9">
        <v>44733</v>
      </c>
      <c r="I2473" t="s">
        <v>282</v>
      </c>
      <c r="J2473" t="s">
        <v>0</v>
      </c>
      <c r="K2473" s="9">
        <v>44735</v>
      </c>
      <c r="L2473" t="s">
        <v>29</v>
      </c>
      <c r="M2473"/>
      <c r="N2473"/>
      <c r="O2473"/>
      <c r="P2473"/>
      <c r="Q2473" s="9">
        <v>44735</v>
      </c>
      <c r="R2473"/>
      <c r="S2473"/>
      <c r="T2473"/>
      <c r="U2473"/>
    </row>
    <row r="2474" spans="1:21" hidden="1">
      <c r="A2474" s="7" t="s">
        <v>8737</v>
      </c>
      <c r="B2474" s="7" t="s">
        <v>6549</v>
      </c>
      <c r="C2474" s="8" t="s">
        <v>5319</v>
      </c>
      <c r="D2474" t="s">
        <v>272</v>
      </c>
      <c r="E2474" t="s">
        <v>273</v>
      </c>
      <c r="F2474" t="s">
        <v>280</v>
      </c>
      <c r="G2474" t="s">
        <v>2154</v>
      </c>
      <c r="H2474" s="9">
        <v>44733</v>
      </c>
      <c r="I2474" t="s">
        <v>282</v>
      </c>
      <c r="J2474" t="s">
        <v>0</v>
      </c>
      <c r="K2474" s="9">
        <v>44735</v>
      </c>
      <c r="L2474" t="s">
        <v>29</v>
      </c>
      <c r="M2474"/>
      <c r="N2474"/>
      <c r="O2474"/>
      <c r="P2474"/>
      <c r="Q2474" s="9">
        <v>44735</v>
      </c>
      <c r="R2474"/>
      <c r="S2474"/>
      <c r="T2474"/>
      <c r="U2474"/>
    </row>
    <row r="2475" spans="1:21" hidden="1">
      <c r="A2475" s="7" t="s">
        <v>8737</v>
      </c>
      <c r="B2475" s="7" t="s">
        <v>6549</v>
      </c>
      <c r="C2475" s="8" t="s">
        <v>5319</v>
      </c>
      <c r="D2475" t="s">
        <v>272</v>
      </c>
      <c r="E2475" t="s">
        <v>273</v>
      </c>
      <c r="F2475" t="s">
        <v>280</v>
      </c>
      <c r="G2475" t="s">
        <v>2155</v>
      </c>
      <c r="H2475" s="9">
        <v>44733</v>
      </c>
      <c r="I2475" t="s">
        <v>282</v>
      </c>
      <c r="J2475" t="s">
        <v>0</v>
      </c>
      <c r="K2475" s="9">
        <v>44735</v>
      </c>
      <c r="L2475" t="s">
        <v>29</v>
      </c>
      <c r="M2475"/>
      <c r="N2475"/>
      <c r="O2475"/>
      <c r="P2475"/>
      <c r="Q2475" s="9">
        <v>44735</v>
      </c>
      <c r="R2475"/>
      <c r="S2475"/>
      <c r="T2475"/>
      <c r="U2475"/>
    </row>
    <row r="2476" spans="1:21" hidden="1">
      <c r="A2476" s="7" t="s">
        <v>8739</v>
      </c>
      <c r="B2476" s="7" t="s">
        <v>6549</v>
      </c>
      <c r="C2476" s="8" t="s">
        <v>5319</v>
      </c>
      <c r="D2476" t="s">
        <v>272</v>
      </c>
      <c r="E2476" t="s">
        <v>273</v>
      </c>
      <c r="F2476" t="s">
        <v>103</v>
      </c>
      <c r="G2476" t="s">
        <v>1694</v>
      </c>
      <c r="H2476" s="9">
        <v>44733</v>
      </c>
      <c r="I2476" t="s">
        <v>282</v>
      </c>
      <c r="J2476" t="s">
        <v>0</v>
      </c>
      <c r="K2476" s="9">
        <v>44735</v>
      </c>
      <c r="L2476" t="s">
        <v>29</v>
      </c>
      <c r="M2476"/>
      <c r="N2476"/>
      <c r="O2476"/>
      <c r="P2476"/>
      <c r="Q2476" s="9">
        <v>44735</v>
      </c>
      <c r="R2476"/>
      <c r="S2476"/>
      <c r="T2476"/>
      <c r="U2476"/>
    </row>
    <row r="2477" spans="1:21" hidden="1">
      <c r="A2477" s="7" t="s">
        <v>8737</v>
      </c>
      <c r="B2477" s="7" t="s">
        <v>6549</v>
      </c>
      <c r="C2477" s="8" t="s">
        <v>5319</v>
      </c>
      <c r="D2477" t="s">
        <v>272</v>
      </c>
      <c r="E2477" t="s">
        <v>273</v>
      </c>
      <c r="F2477" t="s">
        <v>280</v>
      </c>
      <c r="G2477" t="s">
        <v>1122</v>
      </c>
      <c r="H2477" s="9">
        <v>44733</v>
      </c>
      <c r="I2477" t="s">
        <v>282</v>
      </c>
      <c r="J2477" t="s">
        <v>0</v>
      </c>
      <c r="K2477" s="9">
        <v>44735</v>
      </c>
      <c r="L2477" t="s">
        <v>29</v>
      </c>
      <c r="M2477"/>
      <c r="N2477"/>
      <c r="O2477"/>
      <c r="P2477"/>
      <c r="Q2477" s="9">
        <v>44735</v>
      </c>
      <c r="R2477"/>
      <c r="S2477"/>
      <c r="T2477"/>
      <c r="U2477"/>
    </row>
    <row r="2478" spans="1:21" hidden="1">
      <c r="A2478" s="7" t="s">
        <v>8737</v>
      </c>
      <c r="B2478" s="7" t="s">
        <v>6549</v>
      </c>
      <c r="C2478" s="8" t="s">
        <v>5319</v>
      </c>
      <c r="D2478" t="s">
        <v>272</v>
      </c>
      <c r="E2478" t="s">
        <v>273</v>
      </c>
      <c r="F2478" t="s">
        <v>280</v>
      </c>
      <c r="G2478" t="s">
        <v>2156</v>
      </c>
      <c r="H2478" s="9">
        <v>44733</v>
      </c>
      <c r="I2478" t="s">
        <v>282</v>
      </c>
      <c r="J2478" t="s">
        <v>0</v>
      </c>
      <c r="K2478" s="9">
        <v>44735</v>
      </c>
      <c r="L2478" t="s">
        <v>29</v>
      </c>
      <c r="M2478"/>
      <c r="N2478"/>
      <c r="O2478"/>
      <c r="P2478"/>
      <c r="Q2478" s="9">
        <v>44735</v>
      </c>
      <c r="R2478"/>
      <c r="S2478"/>
      <c r="T2478"/>
      <c r="U2478"/>
    </row>
    <row r="2479" spans="1:21" hidden="1">
      <c r="A2479" s="7" t="s">
        <v>8739</v>
      </c>
      <c r="B2479" s="7" t="s">
        <v>6549</v>
      </c>
      <c r="C2479" s="8" t="s">
        <v>5319</v>
      </c>
      <c r="D2479" t="s">
        <v>272</v>
      </c>
      <c r="E2479" t="s">
        <v>273</v>
      </c>
      <c r="F2479" t="s">
        <v>103</v>
      </c>
      <c r="G2479" t="s">
        <v>1124</v>
      </c>
      <c r="H2479" s="9">
        <v>44733</v>
      </c>
      <c r="I2479" t="s">
        <v>282</v>
      </c>
      <c r="J2479" t="s">
        <v>0</v>
      </c>
      <c r="K2479" s="9">
        <v>44735</v>
      </c>
      <c r="L2479" t="s">
        <v>29</v>
      </c>
      <c r="M2479"/>
      <c r="N2479"/>
      <c r="O2479"/>
      <c r="P2479"/>
      <c r="Q2479" s="9">
        <v>44735</v>
      </c>
      <c r="R2479"/>
      <c r="S2479"/>
      <c r="T2479"/>
      <c r="U2479"/>
    </row>
    <row r="2480" spans="1:21" hidden="1">
      <c r="A2480" s="7" t="s">
        <v>8736</v>
      </c>
      <c r="B2480" s="7" t="s">
        <v>6549</v>
      </c>
      <c r="C2480" s="8" t="s">
        <v>5319</v>
      </c>
      <c r="D2480" t="s">
        <v>272</v>
      </c>
      <c r="E2480" t="s">
        <v>273</v>
      </c>
      <c r="F2480" t="s">
        <v>117</v>
      </c>
      <c r="G2480" t="s">
        <v>2157</v>
      </c>
      <c r="H2480" s="9">
        <v>44733</v>
      </c>
      <c r="I2480" t="s">
        <v>275</v>
      </c>
      <c r="J2480" t="s">
        <v>0</v>
      </c>
      <c r="K2480" s="9">
        <v>44735</v>
      </c>
      <c r="L2480" t="s">
        <v>29</v>
      </c>
      <c r="M2480"/>
      <c r="N2480"/>
      <c r="O2480"/>
      <c r="P2480"/>
      <c r="Q2480" s="9">
        <v>44735</v>
      </c>
      <c r="R2480"/>
      <c r="S2480"/>
      <c r="T2480"/>
      <c r="U2480"/>
    </row>
    <row r="2481" spans="1:21" hidden="1">
      <c r="A2481" s="7" t="s">
        <v>8737</v>
      </c>
      <c r="B2481" s="7" t="s">
        <v>6549</v>
      </c>
      <c r="C2481" s="8" t="s">
        <v>5319</v>
      </c>
      <c r="D2481" t="s">
        <v>272</v>
      </c>
      <c r="E2481" t="s">
        <v>273</v>
      </c>
      <c r="F2481" t="s">
        <v>280</v>
      </c>
      <c r="G2481" t="s">
        <v>1707</v>
      </c>
      <c r="H2481" s="9">
        <v>44733</v>
      </c>
      <c r="I2481" t="s">
        <v>282</v>
      </c>
      <c r="J2481" t="s">
        <v>0</v>
      </c>
      <c r="K2481" s="9">
        <v>44735</v>
      </c>
      <c r="L2481" t="s">
        <v>29</v>
      </c>
      <c r="M2481"/>
      <c r="N2481"/>
      <c r="O2481"/>
      <c r="P2481"/>
      <c r="Q2481" s="9">
        <v>44735</v>
      </c>
      <c r="R2481"/>
      <c r="S2481"/>
      <c r="T2481"/>
      <c r="U2481"/>
    </row>
    <row r="2482" spans="1:21" hidden="1">
      <c r="A2482" s="7" t="s">
        <v>8737</v>
      </c>
      <c r="B2482" s="7" t="s">
        <v>6549</v>
      </c>
      <c r="C2482" s="8" t="s">
        <v>5319</v>
      </c>
      <c r="D2482" t="s">
        <v>272</v>
      </c>
      <c r="E2482" t="s">
        <v>273</v>
      </c>
      <c r="F2482" t="s">
        <v>280</v>
      </c>
      <c r="G2482" t="s">
        <v>1709</v>
      </c>
      <c r="H2482" s="9">
        <v>44733</v>
      </c>
      <c r="I2482" t="s">
        <v>282</v>
      </c>
      <c r="J2482" t="s">
        <v>0</v>
      </c>
      <c r="K2482" s="9">
        <v>44735</v>
      </c>
      <c r="L2482" t="s">
        <v>29</v>
      </c>
      <c r="M2482"/>
      <c r="N2482"/>
      <c r="O2482"/>
      <c r="P2482"/>
      <c r="Q2482" s="9">
        <v>44735</v>
      </c>
      <c r="R2482"/>
      <c r="S2482"/>
      <c r="T2482"/>
      <c r="U2482"/>
    </row>
    <row r="2483" spans="1:21" hidden="1">
      <c r="A2483" s="7" t="s">
        <v>8737</v>
      </c>
      <c r="B2483" s="7" t="s">
        <v>6549</v>
      </c>
      <c r="C2483" s="8" t="s">
        <v>5319</v>
      </c>
      <c r="D2483" t="s">
        <v>272</v>
      </c>
      <c r="E2483" t="s">
        <v>273</v>
      </c>
      <c r="F2483" t="s">
        <v>280</v>
      </c>
      <c r="G2483" t="s">
        <v>1128</v>
      </c>
      <c r="H2483" s="9">
        <v>44733</v>
      </c>
      <c r="I2483" t="s">
        <v>282</v>
      </c>
      <c r="J2483" t="s">
        <v>0</v>
      </c>
      <c r="K2483" s="9">
        <v>44735</v>
      </c>
      <c r="L2483" t="s">
        <v>29</v>
      </c>
      <c r="M2483"/>
      <c r="N2483"/>
      <c r="O2483"/>
      <c r="P2483"/>
      <c r="Q2483" s="9">
        <v>44735</v>
      </c>
      <c r="R2483"/>
      <c r="S2483"/>
      <c r="T2483"/>
      <c r="U2483"/>
    </row>
    <row r="2484" spans="1:21" hidden="1">
      <c r="A2484" s="7" t="s">
        <v>8739</v>
      </c>
      <c r="B2484" s="7" t="s">
        <v>6549</v>
      </c>
      <c r="C2484" s="8" t="s">
        <v>5319</v>
      </c>
      <c r="D2484" t="s">
        <v>272</v>
      </c>
      <c r="E2484" t="s">
        <v>273</v>
      </c>
      <c r="F2484" t="s">
        <v>103</v>
      </c>
      <c r="G2484" t="s">
        <v>1130</v>
      </c>
      <c r="H2484" s="9">
        <v>44733</v>
      </c>
      <c r="I2484" t="s">
        <v>282</v>
      </c>
      <c r="J2484" t="s">
        <v>0</v>
      </c>
      <c r="K2484" s="9">
        <v>44735</v>
      </c>
      <c r="L2484" t="s">
        <v>29</v>
      </c>
      <c r="M2484"/>
      <c r="N2484"/>
      <c r="O2484"/>
      <c r="P2484"/>
      <c r="Q2484" s="9">
        <v>44735</v>
      </c>
      <c r="R2484"/>
      <c r="S2484"/>
      <c r="T2484"/>
      <c r="U2484"/>
    </row>
    <row r="2485" spans="1:21" hidden="1">
      <c r="A2485" s="7" t="s">
        <v>8738</v>
      </c>
      <c r="B2485" s="7" t="s">
        <v>6549</v>
      </c>
      <c r="C2485" s="8" t="s">
        <v>5319</v>
      </c>
      <c r="D2485" t="s">
        <v>272</v>
      </c>
      <c r="E2485" t="s">
        <v>273</v>
      </c>
      <c r="F2485" t="s">
        <v>97</v>
      </c>
      <c r="G2485" t="s">
        <v>2158</v>
      </c>
      <c r="H2485" s="9">
        <v>44733</v>
      </c>
      <c r="I2485" t="s">
        <v>297</v>
      </c>
      <c r="J2485" t="s">
        <v>0</v>
      </c>
      <c r="K2485" s="9">
        <v>44735</v>
      </c>
      <c r="L2485" t="s">
        <v>29</v>
      </c>
      <c r="M2485"/>
      <c r="N2485"/>
      <c r="O2485"/>
      <c r="P2485"/>
      <c r="Q2485" s="9">
        <v>44735</v>
      </c>
      <c r="R2485"/>
      <c r="S2485"/>
      <c r="T2485"/>
      <c r="U2485"/>
    </row>
    <row r="2486" spans="1:21" hidden="1">
      <c r="A2486" s="7" t="s">
        <v>8737</v>
      </c>
      <c r="B2486" s="7" t="s">
        <v>6549</v>
      </c>
      <c r="C2486" s="8" t="s">
        <v>5319</v>
      </c>
      <c r="D2486" t="s">
        <v>272</v>
      </c>
      <c r="E2486" t="s">
        <v>273</v>
      </c>
      <c r="F2486" t="s">
        <v>280</v>
      </c>
      <c r="G2486" t="s">
        <v>1711</v>
      </c>
      <c r="H2486" s="9">
        <v>44733</v>
      </c>
      <c r="I2486" t="s">
        <v>282</v>
      </c>
      <c r="J2486" t="s">
        <v>0</v>
      </c>
      <c r="K2486" s="9">
        <v>44735</v>
      </c>
      <c r="L2486" t="s">
        <v>29</v>
      </c>
      <c r="M2486"/>
      <c r="N2486"/>
      <c r="O2486"/>
      <c r="P2486"/>
      <c r="Q2486" s="9">
        <v>44735</v>
      </c>
      <c r="R2486"/>
      <c r="S2486"/>
      <c r="T2486"/>
      <c r="U2486"/>
    </row>
    <row r="2487" spans="1:21" hidden="1">
      <c r="A2487" s="7" t="s">
        <v>8737</v>
      </c>
      <c r="B2487" s="7" t="s">
        <v>6549</v>
      </c>
      <c r="C2487" s="8" t="s">
        <v>5319</v>
      </c>
      <c r="D2487" t="s">
        <v>272</v>
      </c>
      <c r="E2487" t="s">
        <v>273</v>
      </c>
      <c r="F2487" t="s">
        <v>280</v>
      </c>
      <c r="G2487" t="s">
        <v>2159</v>
      </c>
      <c r="H2487" s="9">
        <v>44733</v>
      </c>
      <c r="I2487" t="s">
        <v>282</v>
      </c>
      <c r="J2487" t="s">
        <v>0</v>
      </c>
      <c r="K2487" s="9">
        <v>44735</v>
      </c>
      <c r="L2487" t="s">
        <v>29</v>
      </c>
      <c r="M2487"/>
      <c r="N2487"/>
      <c r="O2487"/>
      <c r="P2487"/>
      <c r="Q2487" s="9">
        <v>44735</v>
      </c>
      <c r="R2487"/>
      <c r="S2487"/>
      <c r="T2487"/>
      <c r="U2487"/>
    </row>
    <row r="2488" spans="1:21" hidden="1">
      <c r="A2488" s="7" t="s">
        <v>8737</v>
      </c>
      <c r="B2488" s="7" t="s">
        <v>6549</v>
      </c>
      <c r="C2488" s="8" t="s">
        <v>5319</v>
      </c>
      <c r="D2488" t="s">
        <v>272</v>
      </c>
      <c r="E2488" t="s">
        <v>273</v>
      </c>
      <c r="F2488" t="s">
        <v>280</v>
      </c>
      <c r="G2488" t="s">
        <v>2160</v>
      </c>
      <c r="H2488" s="9">
        <v>44733</v>
      </c>
      <c r="I2488" t="s">
        <v>282</v>
      </c>
      <c r="J2488" t="s">
        <v>0</v>
      </c>
      <c r="K2488" s="9">
        <v>44735</v>
      </c>
      <c r="L2488" t="s">
        <v>29</v>
      </c>
      <c r="M2488"/>
      <c r="N2488"/>
      <c r="O2488"/>
      <c r="P2488"/>
      <c r="Q2488" s="9">
        <v>44735</v>
      </c>
      <c r="R2488"/>
      <c r="S2488"/>
      <c r="T2488"/>
      <c r="U2488"/>
    </row>
    <row r="2489" spans="1:21" hidden="1">
      <c r="A2489" s="7" t="s">
        <v>8737</v>
      </c>
      <c r="B2489" s="7" t="s">
        <v>6549</v>
      </c>
      <c r="C2489" s="8" t="s">
        <v>5319</v>
      </c>
      <c r="D2489" t="s">
        <v>272</v>
      </c>
      <c r="E2489" t="s">
        <v>273</v>
      </c>
      <c r="F2489" t="s">
        <v>280</v>
      </c>
      <c r="G2489" t="s">
        <v>2161</v>
      </c>
      <c r="H2489" s="9">
        <v>44733</v>
      </c>
      <c r="I2489" t="s">
        <v>282</v>
      </c>
      <c r="J2489" t="s">
        <v>0</v>
      </c>
      <c r="K2489" s="9">
        <v>44735</v>
      </c>
      <c r="L2489" t="s">
        <v>29</v>
      </c>
      <c r="M2489"/>
      <c r="N2489"/>
      <c r="O2489"/>
      <c r="P2489"/>
      <c r="Q2489" s="9">
        <v>44735</v>
      </c>
      <c r="R2489"/>
      <c r="S2489"/>
      <c r="T2489"/>
      <c r="U2489"/>
    </row>
    <row r="2490" spans="1:21" hidden="1">
      <c r="A2490" s="7" t="s">
        <v>8737</v>
      </c>
      <c r="B2490" s="7" t="s">
        <v>6549</v>
      </c>
      <c r="C2490" s="8" t="s">
        <v>5319</v>
      </c>
      <c r="D2490" t="s">
        <v>272</v>
      </c>
      <c r="E2490" t="s">
        <v>273</v>
      </c>
      <c r="F2490" t="s">
        <v>280</v>
      </c>
      <c r="G2490" t="s">
        <v>2162</v>
      </c>
      <c r="H2490" s="9">
        <v>44733</v>
      </c>
      <c r="I2490" t="s">
        <v>282</v>
      </c>
      <c r="J2490" t="s">
        <v>0</v>
      </c>
      <c r="K2490" s="9">
        <v>44735</v>
      </c>
      <c r="L2490" t="s">
        <v>29</v>
      </c>
      <c r="M2490"/>
      <c r="N2490"/>
      <c r="O2490"/>
      <c r="P2490"/>
      <c r="Q2490" s="9">
        <v>44735</v>
      </c>
      <c r="R2490"/>
      <c r="S2490"/>
      <c r="T2490"/>
      <c r="U2490"/>
    </row>
    <row r="2491" spans="1:21" hidden="1">
      <c r="A2491" s="7" t="s">
        <v>8737</v>
      </c>
      <c r="B2491" s="7" t="s">
        <v>6549</v>
      </c>
      <c r="C2491" s="8" t="s">
        <v>5319</v>
      </c>
      <c r="D2491" t="s">
        <v>272</v>
      </c>
      <c r="E2491" t="s">
        <v>273</v>
      </c>
      <c r="F2491" t="s">
        <v>280</v>
      </c>
      <c r="G2491" t="s">
        <v>1134</v>
      </c>
      <c r="H2491" s="9">
        <v>44733</v>
      </c>
      <c r="I2491" t="s">
        <v>282</v>
      </c>
      <c r="J2491" t="s">
        <v>0</v>
      </c>
      <c r="K2491" s="9">
        <v>44735</v>
      </c>
      <c r="L2491" t="s">
        <v>29</v>
      </c>
      <c r="M2491"/>
      <c r="N2491"/>
      <c r="O2491"/>
      <c r="P2491"/>
      <c r="Q2491" s="9">
        <v>44735</v>
      </c>
      <c r="R2491"/>
      <c r="S2491"/>
      <c r="T2491"/>
      <c r="U2491"/>
    </row>
    <row r="2492" spans="1:21" hidden="1">
      <c r="A2492" s="7" t="s">
        <v>8736</v>
      </c>
      <c r="B2492" s="7" t="s">
        <v>6549</v>
      </c>
      <c r="C2492" s="8" t="s">
        <v>5319</v>
      </c>
      <c r="D2492" t="s">
        <v>272</v>
      </c>
      <c r="E2492" t="s">
        <v>273</v>
      </c>
      <c r="F2492" t="s">
        <v>117</v>
      </c>
      <c r="G2492" t="s">
        <v>2163</v>
      </c>
      <c r="H2492" s="9">
        <v>44733</v>
      </c>
      <c r="I2492" t="s">
        <v>275</v>
      </c>
      <c r="J2492" t="s">
        <v>0</v>
      </c>
      <c r="K2492" s="9">
        <v>44735</v>
      </c>
      <c r="L2492" t="s">
        <v>29</v>
      </c>
      <c r="M2492"/>
      <c r="N2492"/>
      <c r="O2492"/>
      <c r="P2492"/>
      <c r="Q2492" s="9">
        <v>44735</v>
      </c>
      <c r="R2492"/>
      <c r="S2492"/>
      <c r="T2492"/>
      <c r="U2492"/>
    </row>
    <row r="2493" spans="1:21" hidden="1">
      <c r="A2493" s="7" t="s">
        <v>8737</v>
      </c>
      <c r="B2493" s="7" t="s">
        <v>6549</v>
      </c>
      <c r="C2493" s="8" t="s">
        <v>5319</v>
      </c>
      <c r="D2493" t="s">
        <v>272</v>
      </c>
      <c r="E2493" t="s">
        <v>273</v>
      </c>
      <c r="F2493" t="s">
        <v>280</v>
      </c>
      <c r="G2493" t="s">
        <v>1137</v>
      </c>
      <c r="H2493" s="9">
        <v>44733</v>
      </c>
      <c r="I2493" t="s">
        <v>282</v>
      </c>
      <c r="J2493" t="s">
        <v>0</v>
      </c>
      <c r="K2493" s="9">
        <v>44735</v>
      </c>
      <c r="L2493" t="s">
        <v>29</v>
      </c>
      <c r="M2493"/>
      <c r="N2493"/>
      <c r="O2493"/>
      <c r="P2493"/>
      <c r="Q2493" s="9">
        <v>44735</v>
      </c>
      <c r="R2493"/>
      <c r="S2493"/>
      <c r="T2493"/>
      <c r="U2493"/>
    </row>
    <row r="2494" spans="1:21" hidden="1">
      <c r="A2494" s="7" t="s">
        <v>8738</v>
      </c>
      <c r="B2494" s="7" t="s">
        <v>6549</v>
      </c>
      <c r="C2494" s="8" t="s">
        <v>5319</v>
      </c>
      <c r="D2494" t="s">
        <v>272</v>
      </c>
      <c r="E2494" t="s">
        <v>273</v>
      </c>
      <c r="F2494" t="s">
        <v>97</v>
      </c>
      <c r="G2494" t="s">
        <v>2164</v>
      </c>
      <c r="H2494" s="9">
        <v>44733</v>
      </c>
      <c r="I2494" t="s">
        <v>297</v>
      </c>
      <c r="J2494" t="s">
        <v>0</v>
      </c>
      <c r="K2494" s="9">
        <v>44735</v>
      </c>
      <c r="L2494" t="s">
        <v>29</v>
      </c>
      <c r="M2494"/>
      <c r="N2494"/>
      <c r="O2494"/>
      <c r="P2494"/>
      <c r="Q2494" s="9">
        <v>44735</v>
      </c>
      <c r="R2494"/>
      <c r="S2494"/>
      <c r="T2494"/>
      <c r="U2494"/>
    </row>
    <row r="2495" spans="1:21" hidden="1">
      <c r="A2495" s="7" t="s">
        <v>8738</v>
      </c>
      <c r="B2495" s="7" t="s">
        <v>6549</v>
      </c>
      <c r="C2495" s="8" t="s">
        <v>5319</v>
      </c>
      <c r="D2495" t="s">
        <v>272</v>
      </c>
      <c r="E2495" t="s">
        <v>273</v>
      </c>
      <c r="F2495" t="s">
        <v>97</v>
      </c>
      <c r="G2495" t="s">
        <v>2165</v>
      </c>
      <c r="H2495" s="9">
        <v>44733</v>
      </c>
      <c r="I2495" t="s">
        <v>297</v>
      </c>
      <c r="J2495" t="s">
        <v>0</v>
      </c>
      <c r="K2495" s="9">
        <v>44735</v>
      </c>
      <c r="L2495" t="s">
        <v>29</v>
      </c>
      <c r="M2495"/>
      <c r="N2495"/>
      <c r="O2495"/>
      <c r="P2495"/>
      <c r="Q2495" s="9">
        <v>44735</v>
      </c>
      <c r="R2495"/>
      <c r="S2495"/>
      <c r="T2495"/>
      <c r="U2495"/>
    </row>
    <row r="2496" spans="1:21" hidden="1">
      <c r="A2496" s="7" t="s">
        <v>8739</v>
      </c>
      <c r="B2496" s="7" t="s">
        <v>6549</v>
      </c>
      <c r="C2496" s="8" t="s">
        <v>5319</v>
      </c>
      <c r="D2496" t="s">
        <v>272</v>
      </c>
      <c r="E2496" t="s">
        <v>273</v>
      </c>
      <c r="F2496" t="s">
        <v>103</v>
      </c>
      <c r="G2496" t="s">
        <v>1138</v>
      </c>
      <c r="H2496" s="9">
        <v>44733</v>
      </c>
      <c r="I2496" t="s">
        <v>282</v>
      </c>
      <c r="J2496" t="s">
        <v>0</v>
      </c>
      <c r="K2496" s="9">
        <v>44735</v>
      </c>
      <c r="L2496" t="s">
        <v>29</v>
      </c>
      <c r="M2496"/>
      <c r="N2496"/>
      <c r="O2496"/>
      <c r="P2496"/>
      <c r="Q2496" s="9">
        <v>44735</v>
      </c>
      <c r="R2496"/>
      <c r="S2496"/>
      <c r="T2496"/>
      <c r="U2496"/>
    </row>
    <row r="2497" spans="1:21" hidden="1">
      <c r="A2497" s="7" t="s">
        <v>8737</v>
      </c>
      <c r="B2497" s="7" t="s">
        <v>6549</v>
      </c>
      <c r="C2497" s="8" t="s">
        <v>5319</v>
      </c>
      <c r="D2497" t="s">
        <v>272</v>
      </c>
      <c r="E2497" t="s">
        <v>273</v>
      </c>
      <c r="F2497" t="s">
        <v>280</v>
      </c>
      <c r="G2497" t="s">
        <v>2166</v>
      </c>
      <c r="H2497" s="9">
        <v>44733</v>
      </c>
      <c r="I2497" t="s">
        <v>282</v>
      </c>
      <c r="J2497" t="s">
        <v>0</v>
      </c>
      <c r="K2497" s="9">
        <v>44735</v>
      </c>
      <c r="L2497" t="s">
        <v>29</v>
      </c>
      <c r="M2497"/>
      <c r="N2497"/>
      <c r="O2497"/>
      <c r="P2497"/>
      <c r="Q2497" s="9">
        <v>44735</v>
      </c>
      <c r="R2497"/>
      <c r="S2497"/>
      <c r="T2497"/>
      <c r="U2497"/>
    </row>
    <row r="2498" spans="1:21" hidden="1">
      <c r="A2498" s="7" t="s">
        <v>8737</v>
      </c>
      <c r="B2498" s="7" t="s">
        <v>6549</v>
      </c>
      <c r="C2498" s="8" t="s">
        <v>5319</v>
      </c>
      <c r="D2498" t="s">
        <v>272</v>
      </c>
      <c r="E2498" t="s">
        <v>273</v>
      </c>
      <c r="F2498" t="s">
        <v>280</v>
      </c>
      <c r="G2498" t="s">
        <v>2167</v>
      </c>
      <c r="H2498" s="9">
        <v>44733</v>
      </c>
      <c r="I2498" t="s">
        <v>282</v>
      </c>
      <c r="J2498" t="s">
        <v>0</v>
      </c>
      <c r="K2498" s="9">
        <v>44735</v>
      </c>
      <c r="L2498" t="s">
        <v>29</v>
      </c>
      <c r="M2498"/>
      <c r="N2498"/>
      <c r="O2498"/>
      <c r="P2498"/>
      <c r="Q2498" s="9">
        <v>44735</v>
      </c>
      <c r="R2498"/>
      <c r="S2498"/>
      <c r="T2498"/>
      <c r="U2498"/>
    </row>
    <row r="2499" spans="1:21" hidden="1">
      <c r="A2499" s="7" t="s">
        <v>8737</v>
      </c>
      <c r="B2499" s="7" t="s">
        <v>6549</v>
      </c>
      <c r="C2499" s="8" t="s">
        <v>5319</v>
      </c>
      <c r="D2499" t="s">
        <v>272</v>
      </c>
      <c r="E2499" t="s">
        <v>273</v>
      </c>
      <c r="F2499" t="s">
        <v>280</v>
      </c>
      <c r="G2499" t="s">
        <v>2168</v>
      </c>
      <c r="H2499" s="9">
        <v>44733</v>
      </c>
      <c r="I2499" t="s">
        <v>282</v>
      </c>
      <c r="J2499" t="s">
        <v>0</v>
      </c>
      <c r="K2499" s="9">
        <v>44735</v>
      </c>
      <c r="L2499" t="s">
        <v>29</v>
      </c>
      <c r="M2499"/>
      <c r="N2499"/>
      <c r="O2499"/>
      <c r="P2499"/>
      <c r="Q2499" s="9">
        <v>44735</v>
      </c>
      <c r="R2499"/>
      <c r="S2499"/>
      <c r="T2499"/>
      <c r="U2499"/>
    </row>
    <row r="2500" spans="1:21" hidden="1">
      <c r="A2500" s="7" t="s">
        <v>8737</v>
      </c>
      <c r="B2500" s="7" t="s">
        <v>6549</v>
      </c>
      <c r="C2500" s="8" t="s">
        <v>5319</v>
      </c>
      <c r="D2500" t="s">
        <v>272</v>
      </c>
      <c r="E2500" t="s">
        <v>273</v>
      </c>
      <c r="F2500" t="s">
        <v>280</v>
      </c>
      <c r="G2500" t="s">
        <v>2169</v>
      </c>
      <c r="H2500" s="9">
        <v>44733</v>
      </c>
      <c r="I2500" t="s">
        <v>282</v>
      </c>
      <c r="J2500" t="s">
        <v>0</v>
      </c>
      <c r="K2500" s="9">
        <v>44735</v>
      </c>
      <c r="L2500" t="s">
        <v>29</v>
      </c>
      <c r="M2500"/>
      <c r="N2500"/>
      <c r="O2500"/>
      <c r="P2500"/>
      <c r="Q2500" s="9">
        <v>44735</v>
      </c>
      <c r="R2500"/>
      <c r="S2500"/>
      <c r="T2500"/>
      <c r="U2500"/>
    </row>
    <row r="2501" spans="1:21" hidden="1">
      <c r="A2501" s="7" t="s">
        <v>8737</v>
      </c>
      <c r="B2501" s="7" t="s">
        <v>6549</v>
      </c>
      <c r="C2501" s="8" t="s">
        <v>5319</v>
      </c>
      <c r="D2501" t="s">
        <v>272</v>
      </c>
      <c r="E2501" t="s">
        <v>273</v>
      </c>
      <c r="F2501" t="s">
        <v>280</v>
      </c>
      <c r="G2501" t="s">
        <v>2170</v>
      </c>
      <c r="H2501" s="9">
        <v>44733</v>
      </c>
      <c r="I2501" t="s">
        <v>282</v>
      </c>
      <c r="J2501" t="s">
        <v>0</v>
      </c>
      <c r="K2501" s="9">
        <v>44735</v>
      </c>
      <c r="L2501" t="s">
        <v>29</v>
      </c>
      <c r="M2501"/>
      <c r="N2501"/>
      <c r="O2501"/>
      <c r="P2501"/>
      <c r="Q2501" s="9">
        <v>44735</v>
      </c>
      <c r="R2501"/>
      <c r="S2501"/>
      <c r="T2501"/>
      <c r="U2501"/>
    </row>
    <row r="2502" spans="1:21" hidden="1">
      <c r="A2502" s="7" t="s">
        <v>8737</v>
      </c>
      <c r="B2502" s="7" t="s">
        <v>6549</v>
      </c>
      <c r="C2502" s="8" t="s">
        <v>5319</v>
      </c>
      <c r="D2502" t="s">
        <v>272</v>
      </c>
      <c r="E2502" t="s">
        <v>273</v>
      </c>
      <c r="F2502" t="s">
        <v>280</v>
      </c>
      <c r="G2502" t="s">
        <v>2171</v>
      </c>
      <c r="H2502" s="9">
        <v>44733</v>
      </c>
      <c r="I2502" t="s">
        <v>282</v>
      </c>
      <c r="J2502" t="s">
        <v>0</v>
      </c>
      <c r="K2502" s="9">
        <v>44735</v>
      </c>
      <c r="L2502" t="s">
        <v>29</v>
      </c>
      <c r="M2502"/>
      <c r="N2502"/>
      <c r="O2502"/>
      <c r="P2502"/>
      <c r="Q2502" s="9">
        <v>44735</v>
      </c>
      <c r="R2502"/>
      <c r="S2502"/>
      <c r="T2502"/>
      <c r="U2502"/>
    </row>
    <row r="2503" spans="1:21" hidden="1">
      <c r="A2503" s="7" t="s">
        <v>8737</v>
      </c>
      <c r="B2503" s="7" t="s">
        <v>6549</v>
      </c>
      <c r="C2503" s="8" t="s">
        <v>5319</v>
      </c>
      <c r="D2503" t="s">
        <v>272</v>
      </c>
      <c r="E2503" t="s">
        <v>273</v>
      </c>
      <c r="F2503" t="s">
        <v>280</v>
      </c>
      <c r="G2503" t="s">
        <v>441</v>
      </c>
      <c r="H2503" s="9">
        <v>44733</v>
      </c>
      <c r="I2503" t="s">
        <v>282</v>
      </c>
      <c r="J2503" t="s">
        <v>0</v>
      </c>
      <c r="K2503" s="9">
        <v>44735</v>
      </c>
      <c r="L2503" t="s">
        <v>29</v>
      </c>
      <c r="M2503"/>
      <c r="N2503"/>
      <c r="O2503"/>
      <c r="P2503"/>
      <c r="Q2503" s="9">
        <v>44735</v>
      </c>
      <c r="R2503"/>
      <c r="S2503"/>
      <c r="T2503"/>
      <c r="U2503"/>
    </row>
    <row r="2504" spans="1:21" hidden="1">
      <c r="A2504" s="7" t="s">
        <v>8737</v>
      </c>
      <c r="B2504" s="7" t="s">
        <v>6549</v>
      </c>
      <c r="C2504" s="8" t="s">
        <v>5319</v>
      </c>
      <c r="D2504" t="s">
        <v>272</v>
      </c>
      <c r="E2504" t="s">
        <v>273</v>
      </c>
      <c r="F2504" t="s">
        <v>280</v>
      </c>
      <c r="G2504" t="s">
        <v>1139</v>
      </c>
      <c r="H2504" s="9">
        <v>44733</v>
      </c>
      <c r="I2504" t="s">
        <v>282</v>
      </c>
      <c r="J2504" t="s">
        <v>0</v>
      </c>
      <c r="K2504" s="9">
        <v>44735</v>
      </c>
      <c r="L2504" t="s">
        <v>29</v>
      </c>
      <c r="M2504"/>
      <c r="N2504"/>
      <c r="O2504"/>
      <c r="P2504"/>
      <c r="Q2504" s="9">
        <v>44735</v>
      </c>
      <c r="R2504"/>
      <c r="S2504"/>
      <c r="T2504"/>
      <c r="U2504"/>
    </row>
    <row r="2505" spans="1:21" hidden="1">
      <c r="A2505" s="7" t="s">
        <v>8738</v>
      </c>
      <c r="B2505" s="7" t="s">
        <v>6549</v>
      </c>
      <c r="C2505" s="8" t="s">
        <v>5319</v>
      </c>
      <c r="D2505" t="s">
        <v>272</v>
      </c>
      <c r="E2505" t="s">
        <v>273</v>
      </c>
      <c r="F2505" t="s">
        <v>97</v>
      </c>
      <c r="G2505" t="s">
        <v>2172</v>
      </c>
      <c r="H2505" s="9">
        <v>44733</v>
      </c>
      <c r="I2505" t="s">
        <v>297</v>
      </c>
      <c r="J2505" t="s">
        <v>0</v>
      </c>
      <c r="K2505" s="9">
        <v>44735</v>
      </c>
      <c r="L2505" t="s">
        <v>29</v>
      </c>
      <c r="M2505"/>
      <c r="N2505"/>
      <c r="O2505"/>
      <c r="P2505"/>
      <c r="Q2505" s="9">
        <v>44735</v>
      </c>
      <c r="R2505"/>
      <c r="S2505"/>
      <c r="T2505"/>
      <c r="U2505"/>
    </row>
    <row r="2506" spans="1:21" hidden="1">
      <c r="A2506" s="7" t="s">
        <v>8736</v>
      </c>
      <c r="B2506" s="7" t="s">
        <v>6549</v>
      </c>
      <c r="C2506" s="8" t="s">
        <v>5319</v>
      </c>
      <c r="D2506" t="s">
        <v>272</v>
      </c>
      <c r="E2506" t="s">
        <v>273</v>
      </c>
      <c r="F2506" t="s">
        <v>117</v>
      </c>
      <c r="G2506" t="s">
        <v>2173</v>
      </c>
      <c r="H2506" s="9">
        <v>44733</v>
      </c>
      <c r="I2506" t="s">
        <v>275</v>
      </c>
      <c r="J2506" t="s">
        <v>0</v>
      </c>
      <c r="K2506" s="9">
        <v>44735</v>
      </c>
      <c r="L2506" t="s">
        <v>29</v>
      </c>
      <c r="M2506"/>
      <c r="N2506"/>
      <c r="O2506"/>
      <c r="P2506"/>
      <c r="Q2506" s="9">
        <v>44735</v>
      </c>
      <c r="R2506"/>
      <c r="S2506"/>
      <c r="T2506"/>
      <c r="U2506"/>
    </row>
    <row r="2507" spans="1:21" hidden="1">
      <c r="A2507" s="7" t="s">
        <v>8844</v>
      </c>
      <c r="B2507" s="7" t="s">
        <v>5466</v>
      </c>
      <c r="C2507" s="8" t="s">
        <v>5319</v>
      </c>
      <c r="D2507" t="s">
        <v>272</v>
      </c>
      <c r="E2507" t="s">
        <v>2119</v>
      </c>
      <c r="F2507" t="s">
        <v>83</v>
      </c>
      <c r="G2507" t="s">
        <v>2174</v>
      </c>
      <c r="H2507" s="9">
        <v>44733</v>
      </c>
      <c r="I2507" t="s">
        <v>2121</v>
      </c>
      <c r="J2507" t="s">
        <v>5330</v>
      </c>
      <c r="K2507" s="9">
        <v>44834</v>
      </c>
      <c r="L2507" t="s">
        <v>29</v>
      </c>
      <c r="M2507"/>
      <c r="N2507" s="9">
        <v>44778</v>
      </c>
      <c r="O2507" s="9">
        <v>44834</v>
      </c>
      <c r="P2507"/>
      <c r="Q2507"/>
      <c r="R2507"/>
      <c r="S2507"/>
      <c r="T2507"/>
      <c r="U2507"/>
    </row>
    <row r="2508" spans="1:21" hidden="1">
      <c r="A2508" s="7" t="s">
        <v>8849</v>
      </c>
      <c r="B2508" s="7" t="s">
        <v>6805</v>
      </c>
      <c r="C2508" s="8" t="s">
        <v>5319</v>
      </c>
      <c r="D2508" t="s">
        <v>272</v>
      </c>
      <c r="E2508" t="s">
        <v>2175</v>
      </c>
      <c r="F2508" t="s">
        <v>75</v>
      </c>
      <c r="G2508" t="s">
        <v>2176</v>
      </c>
      <c r="H2508" s="9">
        <v>44733</v>
      </c>
      <c r="I2508" t="s">
        <v>488</v>
      </c>
      <c r="J2508" t="s">
        <v>5330</v>
      </c>
      <c r="K2508" s="9">
        <v>44834</v>
      </c>
      <c r="L2508" t="s">
        <v>29</v>
      </c>
      <c r="M2508"/>
      <c r="N2508" s="9">
        <v>44778</v>
      </c>
      <c r="O2508" s="9">
        <v>44834</v>
      </c>
      <c r="P2508"/>
      <c r="Q2508"/>
      <c r="R2508"/>
      <c r="S2508"/>
      <c r="T2508"/>
      <c r="U2508"/>
    </row>
    <row r="2509" spans="1:21" hidden="1">
      <c r="A2509" s="7" t="s">
        <v>8768</v>
      </c>
      <c r="B2509" s="7" t="s">
        <v>6720</v>
      </c>
      <c r="C2509" s="8" t="s">
        <v>5319</v>
      </c>
      <c r="D2509" t="s">
        <v>272</v>
      </c>
      <c r="E2509" t="s">
        <v>750</v>
      </c>
      <c r="F2509" t="s">
        <v>103</v>
      </c>
      <c r="G2509" t="s">
        <v>2177</v>
      </c>
      <c r="H2509" s="9">
        <v>44733</v>
      </c>
      <c r="I2509" t="s">
        <v>43</v>
      </c>
      <c r="J2509" t="s">
        <v>0</v>
      </c>
      <c r="K2509" s="9">
        <v>44846</v>
      </c>
      <c r="L2509" t="s">
        <v>29</v>
      </c>
      <c r="M2509"/>
      <c r="N2509" s="9">
        <v>44778</v>
      </c>
      <c r="O2509" s="9">
        <v>44834</v>
      </c>
      <c r="P2509"/>
      <c r="Q2509" s="9">
        <v>44846</v>
      </c>
      <c r="R2509"/>
      <c r="S2509"/>
      <c r="T2509"/>
      <c r="U2509"/>
    </row>
    <row r="2510" spans="1:21" hidden="1">
      <c r="A2510" s="7" t="s">
        <v>8768</v>
      </c>
      <c r="B2510" s="7" t="s">
        <v>6720</v>
      </c>
      <c r="C2510" s="8" t="s">
        <v>5319</v>
      </c>
      <c r="D2510" t="s">
        <v>272</v>
      </c>
      <c r="E2510" t="s">
        <v>750</v>
      </c>
      <c r="F2510" t="s">
        <v>103</v>
      </c>
      <c r="G2510" t="s">
        <v>2178</v>
      </c>
      <c r="H2510" s="9">
        <v>44733</v>
      </c>
      <c r="I2510" t="s">
        <v>43</v>
      </c>
      <c r="J2510" t="s">
        <v>0</v>
      </c>
      <c r="K2510" s="9">
        <v>44846</v>
      </c>
      <c r="L2510" t="s">
        <v>29</v>
      </c>
      <c r="M2510"/>
      <c r="N2510" s="9">
        <v>44778</v>
      </c>
      <c r="O2510" s="9">
        <v>44834</v>
      </c>
      <c r="P2510"/>
      <c r="Q2510" s="9">
        <v>44846</v>
      </c>
      <c r="R2510"/>
      <c r="S2510"/>
      <c r="T2510"/>
      <c r="U2510"/>
    </row>
    <row r="2511" spans="1:21" hidden="1">
      <c r="A2511" s="7" t="s">
        <v>8768</v>
      </c>
      <c r="B2511" s="7" t="s">
        <v>6720</v>
      </c>
      <c r="C2511" s="8" t="s">
        <v>5319</v>
      </c>
      <c r="D2511" t="s">
        <v>272</v>
      </c>
      <c r="E2511" t="s">
        <v>750</v>
      </c>
      <c r="F2511" t="s">
        <v>103</v>
      </c>
      <c r="G2511" t="s">
        <v>2179</v>
      </c>
      <c r="H2511" s="9">
        <v>44733</v>
      </c>
      <c r="I2511" t="s">
        <v>43</v>
      </c>
      <c r="J2511" t="s">
        <v>0</v>
      </c>
      <c r="K2511" s="9">
        <v>44846</v>
      </c>
      <c r="L2511" t="s">
        <v>29</v>
      </c>
      <c r="M2511"/>
      <c r="N2511" s="9">
        <v>44778</v>
      </c>
      <c r="O2511" s="9">
        <v>44834</v>
      </c>
      <c r="P2511"/>
      <c r="Q2511" s="9">
        <v>44846</v>
      </c>
      <c r="R2511"/>
      <c r="S2511"/>
      <c r="T2511"/>
      <c r="U2511"/>
    </row>
    <row r="2512" spans="1:21" hidden="1">
      <c r="A2512" s="7" t="s">
        <v>8848</v>
      </c>
      <c r="B2512" s="7" t="s">
        <v>6217</v>
      </c>
      <c r="C2512" s="8" t="s">
        <v>5319</v>
      </c>
      <c r="D2512" t="s">
        <v>272</v>
      </c>
      <c r="E2512" t="s">
        <v>2142</v>
      </c>
      <c r="F2512" t="s">
        <v>491</v>
      </c>
      <c r="G2512" t="s">
        <v>2180</v>
      </c>
      <c r="H2512" s="9">
        <v>44733</v>
      </c>
      <c r="I2512" t="s">
        <v>43</v>
      </c>
      <c r="J2512" t="s">
        <v>269</v>
      </c>
      <c r="K2512" s="9">
        <v>44883.786574074104</v>
      </c>
      <c r="L2512" t="s">
        <v>29</v>
      </c>
      <c r="M2512"/>
      <c r="N2512" s="9">
        <v>44778</v>
      </c>
      <c r="O2512" s="9">
        <v>44834</v>
      </c>
      <c r="P2512"/>
      <c r="Q2512"/>
      <c r="R2512" s="9">
        <v>44883.785775463002</v>
      </c>
      <c r="S2512"/>
      <c r="T2512"/>
      <c r="U2512"/>
    </row>
    <row r="2513" spans="1:21" hidden="1">
      <c r="A2513" s="7" t="s">
        <v>8849</v>
      </c>
      <c r="B2513" s="7" t="s">
        <v>6805</v>
      </c>
      <c r="C2513" s="8" t="s">
        <v>5319</v>
      </c>
      <c r="D2513" t="s">
        <v>272</v>
      </c>
      <c r="E2513" t="s">
        <v>2175</v>
      </c>
      <c r="F2513" t="s">
        <v>75</v>
      </c>
      <c r="G2513" t="s">
        <v>2181</v>
      </c>
      <c r="H2513" s="9">
        <v>44733</v>
      </c>
      <c r="I2513" t="s">
        <v>488</v>
      </c>
      <c r="J2513" t="s">
        <v>5330</v>
      </c>
      <c r="K2513" s="9">
        <v>44834</v>
      </c>
      <c r="L2513" t="s">
        <v>29</v>
      </c>
      <c r="M2513"/>
      <c r="N2513" s="9">
        <v>44778</v>
      </c>
      <c r="O2513" s="9">
        <v>44834</v>
      </c>
      <c r="P2513"/>
      <c r="Q2513"/>
      <c r="R2513"/>
      <c r="S2513"/>
      <c r="T2513"/>
      <c r="U2513"/>
    </row>
    <row r="2514" spans="1:21" hidden="1">
      <c r="A2514" s="7" t="s">
        <v>8843</v>
      </c>
      <c r="B2514" s="7" t="s">
        <v>8358</v>
      </c>
      <c r="C2514" s="8" t="s">
        <v>5319</v>
      </c>
      <c r="D2514" t="s">
        <v>272</v>
      </c>
      <c r="E2514" t="s">
        <v>2109</v>
      </c>
      <c r="F2514" t="s">
        <v>231</v>
      </c>
      <c r="G2514" t="s">
        <v>2182</v>
      </c>
      <c r="H2514" s="9">
        <v>44733</v>
      </c>
      <c r="I2514" t="s">
        <v>509</v>
      </c>
      <c r="J2514" t="s">
        <v>0</v>
      </c>
      <c r="K2514" s="9">
        <v>44743</v>
      </c>
      <c r="L2514" t="s">
        <v>29</v>
      </c>
      <c r="M2514"/>
      <c r="N2514"/>
      <c r="O2514"/>
      <c r="P2514"/>
      <c r="Q2514" s="9">
        <v>44743</v>
      </c>
      <c r="R2514"/>
      <c r="S2514"/>
      <c r="T2514"/>
      <c r="U2514"/>
    </row>
    <row r="2515" spans="1:21" hidden="1">
      <c r="A2515" s="7" t="s">
        <v>8850</v>
      </c>
      <c r="B2515" s="7" t="s">
        <v>6668</v>
      </c>
      <c r="C2515" s="8" t="s">
        <v>5319</v>
      </c>
      <c r="D2515" t="s">
        <v>272</v>
      </c>
      <c r="E2515" t="s">
        <v>2183</v>
      </c>
      <c r="F2515" t="s">
        <v>2184</v>
      </c>
      <c r="G2515" t="s">
        <v>2185</v>
      </c>
      <c r="H2515" s="9">
        <v>44733</v>
      </c>
      <c r="I2515" t="s">
        <v>758</v>
      </c>
      <c r="J2515" t="s">
        <v>0</v>
      </c>
      <c r="K2515" s="9">
        <v>44792</v>
      </c>
      <c r="L2515" t="s">
        <v>29</v>
      </c>
      <c r="M2515"/>
      <c r="N2515" s="9">
        <v>44778</v>
      </c>
      <c r="O2515"/>
      <c r="P2515"/>
      <c r="Q2515" s="9">
        <v>44792</v>
      </c>
      <c r="R2515"/>
      <c r="S2515"/>
      <c r="T2515"/>
      <c r="U2515"/>
    </row>
    <row r="2516" spans="1:21" hidden="1">
      <c r="A2516" s="7" t="s">
        <v>8851</v>
      </c>
      <c r="B2516" s="7" t="s">
        <v>6668</v>
      </c>
      <c r="C2516" s="8" t="s">
        <v>5319</v>
      </c>
      <c r="D2516" t="s">
        <v>272</v>
      </c>
      <c r="E2516" t="s">
        <v>2183</v>
      </c>
      <c r="F2516" t="s">
        <v>75</v>
      </c>
      <c r="G2516" t="s">
        <v>2186</v>
      </c>
      <c r="H2516" s="9">
        <v>44733</v>
      </c>
      <c r="I2516" t="s">
        <v>2187</v>
      </c>
      <c r="J2516" t="s">
        <v>0</v>
      </c>
      <c r="K2516" s="9">
        <v>44792</v>
      </c>
      <c r="L2516" t="s">
        <v>29</v>
      </c>
      <c r="M2516"/>
      <c r="N2516" s="9">
        <v>44778</v>
      </c>
      <c r="O2516"/>
      <c r="P2516"/>
      <c r="Q2516" s="9">
        <v>44792</v>
      </c>
      <c r="R2516"/>
      <c r="S2516"/>
      <c r="T2516"/>
      <c r="U2516"/>
    </row>
    <row r="2517" spans="1:21" hidden="1">
      <c r="A2517" s="7" t="s">
        <v>8851</v>
      </c>
      <c r="B2517" s="7" t="s">
        <v>6668</v>
      </c>
      <c r="C2517" s="8" t="s">
        <v>5319</v>
      </c>
      <c r="D2517" t="s">
        <v>272</v>
      </c>
      <c r="E2517" t="s">
        <v>2183</v>
      </c>
      <c r="F2517" t="s">
        <v>75</v>
      </c>
      <c r="G2517" t="s">
        <v>2188</v>
      </c>
      <c r="H2517" s="9">
        <v>44733</v>
      </c>
      <c r="I2517" t="s">
        <v>2187</v>
      </c>
      <c r="J2517" t="s">
        <v>0</v>
      </c>
      <c r="K2517" s="9">
        <v>44792</v>
      </c>
      <c r="L2517" t="s">
        <v>29</v>
      </c>
      <c r="M2517"/>
      <c r="N2517" s="9">
        <v>44778</v>
      </c>
      <c r="O2517"/>
      <c r="P2517"/>
      <c r="Q2517" s="9">
        <v>44792</v>
      </c>
      <c r="R2517"/>
      <c r="S2517"/>
      <c r="T2517"/>
      <c r="U2517"/>
    </row>
    <row r="2518" spans="1:21" hidden="1">
      <c r="A2518" s="7" t="s">
        <v>8851</v>
      </c>
      <c r="B2518" s="7" t="s">
        <v>6668</v>
      </c>
      <c r="C2518" s="8" t="s">
        <v>5319</v>
      </c>
      <c r="D2518" t="s">
        <v>272</v>
      </c>
      <c r="E2518" t="s">
        <v>2183</v>
      </c>
      <c r="F2518" t="s">
        <v>75</v>
      </c>
      <c r="G2518" t="s">
        <v>2189</v>
      </c>
      <c r="H2518" s="9">
        <v>44733</v>
      </c>
      <c r="I2518" t="s">
        <v>2187</v>
      </c>
      <c r="J2518" t="s">
        <v>0</v>
      </c>
      <c r="K2518" s="9">
        <v>44792</v>
      </c>
      <c r="L2518" t="s">
        <v>29</v>
      </c>
      <c r="M2518"/>
      <c r="N2518" s="9">
        <v>44778</v>
      </c>
      <c r="O2518"/>
      <c r="P2518"/>
      <c r="Q2518" s="9">
        <v>44792</v>
      </c>
      <c r="R2518"/>
      <c r="S2518"/>
      <c r="T2518"/>
      <c r="U2518"/>
    </row>
    <row r="2519" spans="1:21" hidden="1">
      <c r="A2519" s="7" t="s">
        <v>8851</v>
      </c>
      <c r="B2519" s="7" t="s">
        <v>6668</v>
      </c>
      <c r="C2519" s="8" t="s">
        <v>5319</v>
      </c>
      <c r="D2519" t="s">
        <v>272</v>
      </c>
      <c r="E2519" t="s">
        <v>2183</v>
      </c>
      <c r="F2519" t="s">
        <v>75</v>
      </c>
      <c r="G2519" t="s">
        <v>2190</v>
      </c>
      <c r="H2519" s="9">
        <v>44733</v>
      </c>
      <c r="I2519" t="s">
        <v>2187</v>
      </c>
      <c r="J2519" t="s">
        <v>0</v>
      </c>
      <c r="K2519" s="9">
        <v>44792</v>
      </c>
      <c r="L2519" t="s">
        <v>29</v>
      </c>
      <c r="M2519"/>
      <c r="N2519" s="9">
        <v>44778</v>
      </c>
      <c r="O2519"/>
      <c r="P2519"/>
      <c r="Q2519" s="9">
        <v>44792</v>
      </c>
      <c r="R2519"/>
      <c r="S2519"/>
      <c r="T2519"/>
      <c r="U2519"/>
    </row>
    <row r="2520" spans="1:21" hidden="1">
      <c r="A2520" s="7" t="s">
        <v>8851</v>
      </c>
      <c r="B2520" s="7" t="s">
        <v>6668</v>
      </c>
      <c r="C2520" s="8" t="s">
        <v>5319</v>
      </c>
      <c r="D2520" t="s">
        <v>272</v>
      </c>
      <c r="E2520" t="s">
        <v>2183</v>
      </c>
      <c r="F2520" t="s">
        <v>75</v>
      </c>
      <c r="G2520" t="s">
        <v>2191</v>
      </c>
      <c r="H2520" s="9">
        <v>44733</v>
      </c>
      <c r="I2520" t="s">
        <v>2187</v>
      </c>
      <c r="J2520" t="s">
        <v>0</v>
      </c>
      <c r="K2520" s="9">
        <v>44792</v>
      </c>
      <c r="L2520" t="s">
        <v>29</v>
      </c>
      <c r="M2520"/>
      <c r="N2520" s="9">
        <v>44778</v>
      </c>
      <c r="O2520"/>
      <c r="P2520"/>
      <c r="Q2520" s="9">
        <v>44792</v>
      </c>
      <c r="R2520"/>
      <c r="S2520"/>
      <c r="T2520"/>
      <c r="U2520"/>
    </row>
    <row r="2521" spans="1:21" hidden="1">
      <c r="A2521" s="7" t="s">
        <v>8851</v>
      </c>
      <c r="B2521" s="7" t="s">
        <v>6668</v>
      </c>
      <c r="C2521" s="8" t="s">
        <v>5319</v>
      </c>
      <c r="D2521" t="s">
        <v>272</v>
      </c>
      <c r="E2521" t="s">
        <v>2183</v>
      </c>
      <c r="F2521" t="s">
        <v>75</v>
      </c>
      <c r="G2521" t="s">
        <v>2192</v>
      </c>
      <c r="H2521" s="9">
        <v>44733</v>
      </c>
      <c r="I2521" t="s">
        <v>2187</v>
      </c>
      <c r="J2521" t="s">
        <v>0</v>
      </c>
      <c r="K2521" s="9">
        <v>44792</v>
      </c>
      <c r="L2521" t="s">
        <v>29</v>
      </c>
      <c r="M2521"/>
      <c r="N2521" s="9">
        <v>44778</v>
      </c>
      <c r="O2521"/>
      <c r="P2521"/>
      <c r="Q2521" s="9">
        <v>44792</v>
      </c>
      <c r="R2521"/>
      <c r="S2521"/>
      <c r="T2521"/>
      <c r="U2521"/>
    </row>
    <row r="2522" spans="1:21" hidden="1">
      <c r="A2522" s="7" t="s">
        <v>8851</v>
      </c>
      <c r="B2522" s="7" t="s">
        <v>6668</v>
      </c>
      <c r="C2522" s="8" t="s">
        <v>5319</v>
      </c>
      <c r="D2522" t="s">
        <v>272</v>
      </c>
      <c r="E2522" t="s">
        <v>2183</v>
      </c>
      <c r="F2522" t="s">
        <v>75</v>
      </c>
      <c r="G2522" t="s">
        <v>2193</v>
      </c>
      <c r="H2522" s="9">
        <v>44733</v>
      </c>
      <c r="I2522" t="s">
        <v>2187</v>
      </c>
      <c r="J2522" t="s">
        <v>0</v>
      </c>
      <c r="K2522" s="9">
        <v>44792</v>
      </c>
      <c r="L2522" t="s">
        <v>29</v>
      </c>
      <c r="M2522"/>
      <c r="N2522" s="9">
        <v>44778</v>
      </c>
      <c r="O2522"/>
      <c r="P2522"/>
      <c r="Q2522" s="9">
        <v>44792</v>
      </c>
      <c r="R2522"/>
      <c r="S2522"/>
      <c r="T2522"/>
      <c r="U2522"/>
    </row>
    <row r="2523" spans="1:21" hidden="1">
      <c r="A2523" s="7" t="s">
        <v>8851</v>
      </c>
      <c r="B2523" s="7" t="s">
        <v>6668</v>
      </c>
      <c r="C2523" s="8" t="s">
        <v>5319</v>
      </c>
      <c r="D2523" t="s">
        <v>272</v>
      </c>
      <c r="E2523" t="s">
        <v>2183</v>
      </c>
      <c r="F2523" t="s">
        <v>75</v>
      </c>
      <c r="G2523" t="s">
        <v>2194</v>
      </c>
      <c r="H2523" s="9">
        <v>44733</v>
      </c>
      <c r="I2523" t="s">
        <v>2187</v>
      </c>
      <c r="J2523" t="s">
        <v>0</v>
      </c>
      <c r="K2523" s="9">
        <v>44792</v>
      </c>
      <c r="L2523" t="s">
        <v>29</v>
      </c>
      <c r="M2523"/>
      <c r="N2523" s="9">
        <v>44778</v>
      </c>
      <c r="O2523"/>
      <c r="P2523"/>
      <c r="Q2523" s="9">
        <v>44792</v>
      </c>
      <c r="R2523"/>
      <c r="S2523"/>
      <c r="T2523"/>
      <c r="U2523"/>
    </row>
    <row r="2524" spans="1:21" hidden="1">
      <c r="A2524" s="7" t="s">
        <v>8851</v>
      </c>
      <c r="B2524" s="7" t="s">
        <v>6668</v>
      </c>
      <c r="C2524" s="8" t="s">
        <v>5319</v>
      </c>
      <c r="D2524" t="s">
        <v>272</v>
      </c>
      <c r="E2524" t="s">
        <v>2183</v>
      </c>
      <c r="F2524" t="s">
        <v>75</v>
      </c>
      <c r="G2524" t="s">
        <v>2195</v>
      </c>
      <c r="H2524" s="9">
        <v>44733</v>
      </c>
      <c r="I2524" t="s">
        <v>2187</v>
      </c>
      <c r="J2524" t="s">
        <v>0</v>
      </c>
      <c r="K2524" s="9">
        <v>44792</v>
      </c>
      <c r="L2524" t="s">
        <v>29</v>
      </c>
      <c r="M2524"/>
      <c r="N2524" s="9">
        <v>44778</v>
      </c>
      <c r="O2524"/>
      <c r="P2524"/>
      <c r="Q2524" s="9">
        <v>44792</v>
      </c>
      <c r="R2524"/>
      <c r="S2524"/>
      <c r="T2524"/>
      <c r="U2524"/>
    </row>
    <row r="2525" spans="1:21" hidden="1">
      <c r="A2525" s="7" t="s">
        <v>8851</v>
      </c>
      <c r="B2525" s="7" t="s">
        <v>6668</v>
      </c>
      <c r="C2525" s="8" t="s">
        <v>5319</v>
      </c>
      <c r="D2525" t="s">
        <v>272</v>
      </c>
      <c r="E2525" t="s">
        <v>2183</v>
      </c>
      <c r="F2525" t="s">
        <v>75</v>
      </c>
      <c r="G2525" t="s">
        <v>2196</v>
      </c>
      <c r="H2525" s="9">
        <v>44733</v>
      </c>
      <c r="I2525" t="s">
        <v>2187</v>
      </c>
      <c r="J2525" t="s">
        <v>0</v>
      </c>
      <c r="K2525" s="9">
        <v>44792</v>
      </c>
      <c r="L2525" t="s">
        <v>29</v>
      </c>
      <c r="M2525"/>
      <c r="N2525" s="9">
        <v>44778</v>
      </c>
      <c r="O2525"/>
      <c r="P2525"/>
      <c r="Q2525" s="9">
        <v>44792</v>
      </c>
      <c r="R2525"/>
      <c r="S2525"/>
      <c r="T2525"/>
      <c r="U2525"/>
    </row>
    <row r="2526" spans="1:21" hidden="1">
      <c r="A2526" s="7" t="s">
        <v>8851</v>
      </c>
      <c r="B2526" s="7" t="s">
        <v>6668</v>
      </c>
      <c r="C2526" s="8" t="s">
        <v>5319</v>
      </c>
      <c r="D2526" t="s">
        <v>272</v>
      </c>
      <c r="E2526" t="s">
        <v>2183</v>
      </c>
      <c r="F2526" t="s">
        <v>75</v>
      </c>
      <c r="G2526" t="s">
        <v>2197</v>
      </c>
      <c r="H2526" s="9">
        <v>44733</v>
      </c>
      <c r="I2526" t="s">
        <v>2187</v>
      </c>
      <c r="J2526" t="s">
        <v>0</v>
      </c>
      <c r="K2526" s="9">
        <v>44792</v>
      </c>
      <c r="L2526" t="s">
        <v>29</v>
      </c>
      <c r="M2526"/>
      <c r="N2526" s="9">
        <v>44778</v>
      </c>
      <c r="O2526"/>
      <c r="P2526"/>
      <c r="Q2526" s="9">
        <v>44792</v>
      </c>
      <c r="R2526"/>
      <c r="S2526"/>
      <c r="T2526"/>
      <c r="U2526"/>
    </row>
    <row r="2527" spans="1:21" hidden="1">
      <c r="A2527" s="7" t="s">
        <v>8851</v>
      </c>
      <c r="B2527" s="7" t="s">
        <v>6668</v>
      </c>
      <c r="C2527" s="8" t="s">
        <v>5319</v>
      </c>
      <c r="D2527" t="s">
        <v>272</v>
      </c>
      <c r="E2527" t="s">
        <v>2183</v>
      </c>
      <c r="F2527" t="s">
        <v>75</v>
      </c>
      <c r="G2527" t="s">
        <v>2198</v>
      </c>
      <c r="H2527" s="9">
        <v>44733</v>
      </c>
      <c r="I2527" t="s">
        <v>2187</v>
      </c>
      <c r="J2527" t="s">
        <v>0</v>
      </c>
      <c r="K2527" s="9">
        <v>44792</v>
      </c>
      <c r="L2527" t="s">
        <v>29</v>
      </c>
      <c r="M2527"/>
      <c r="N2527" s="9">
        <v>44778</v>
      </c>
      <c r="O2527"/>
      <c r="P2527"/>
      <c r="Q2527" s="9">
        <v>44792</v>
      </c>
      <c r="R2527"/>
      <c r="S2527"/>
      <c r="T2527"/>
      <c r="U2527"/>
    </row>
    <row r="2528" spans="1:21" hidden="1">
      <c r="A2528" s="7" t="s">
        <v>8851</v>
      </c>
      <c r="B2528" s="7" t="s">
        <v>6668</v>
      </c>
      <c r="C2528" s="8" t="s">
        <v>5319</v>
      </c>
      <c r="D2528" t="s">
        <v>272</v>
      </c>
      <c r="E2528" t="s">
        <v>2183</v>
      </c>
      <c r="F2528" t="s">
        <v>75</v>
      </c>
      <c r="G2528" t="s">
        <v>2199</v>
      </c>
      <c r="H2528" s="9">
        <v>44733</v>
      </c>
      <c r="I2528" t="s">
        <v>2187</v>
      </c>
      <c r="J2528" t="s">
        <v>0</v>
      </c>
      <c r="K2528" s="9">
        <v>44792</v>
      </c>
      <c r="L2528" t="s">
        <v>29</v>
      </c>
      <c r="M2528"/>
      <c r="N2528" s="9">
        <v>44778</v>
      </c>
      <c r="O2528"/>
      <c r="P2528"/>
      <c r="Q2528" s="9">
        <v>44792</v>
      </c>
      <c r="R2528"/>
      <c r="S2528"/>
      <c r="T2528"/>
      <c r="U2528"/>
    </row>
    <row r="2529" spans="1:21" hidden="1">
      <c r="A2529" s="7" t="s">
        <v>8851</v>
      </c>
      <c r="B2529" s="7" t="s">
        <v>6668</v>
      </c>
      <c r="C2529" s="8" t="s">
        <v>5319</v>
      </c>
      <c r="D2529" t="s">
        <v>272</v>
      </c>
      <c r="E2529" t="s">
        <v>2183</v>
      </c>
      <c r="F2529" t="s">
        <v>75</v>
      </c>
      <c r="G2529" t="s">
        <v>2200</v>
      </c>
      <c r="H2529" s="9">
        <v>44733</v>
      </c>
      <c r="I2529" t="s">
        <v>2187</v>
      </c>
      <c r="J2529" t="s">
        <v>0</v>
      </c>
      <c r="K2529" s="9">
        <v>44792</v>
      </c>
      <c r="L2529" t="s">
        <v>29</v>
      </c>
      <c r="M2529"/>
      <c r="N2529" s="9">
        <v>44778</v>
      </c>
      <c r="O2529"/>
      <c r="P2529"/>
      <c r="Q2529" s="9">
        <v>44792</v>
      </c>
      <c r="R2529"/>
      <c r="S2529"/>
      <c r="T2529"/>
      <c r="U2529"/>
    </row>
    <row r="2530" spans="1:21" hidden="1">
      <c r="A2530" s="7" t="s">
        <v>8851</v>
      </c>
      <c r="B2530" s="7" t="s">
        <v>6668</v>
      </c>
      <c r="C2530" s="8" t="s">
        <v>5319</v>
      </c>
      <c r="D2530" t="s">
        <v>272</v>
      </c>
      <c r="E2530" t="s">
        <v>2183</v>
      </c>
      <c r="F2530" t="s">
        <v>75</v>
      </c>
      <c r="G2530" t="s">
        <v>2201</v>
      </c>
      <c r="H2530" s="9">
        <v>44733</v>
      </c>
      <c r="I2530" t="s">
        <v>2187</v>
      </c>
      <c r="J2530" t="s">
        <v>0</v>
      </c>
      <c r="K2530" s="9">
        <v>44792</v>
      </c>
      <c r="L2530" t="s">
        <v>29</v>
      </c>
      <c r="M2530"/>
      <c r="N2530" s="9">
        <v>44778</v>
      </c>
      <c r="O2530"/>
      <c r="P2530"/>
      <c r="Q2530" s="9">
        <v>44792</v>
      </c>
      <c r="R2530"/>
      <c r="S2530"/>
      <c r="T2530"/>
      <c r="U2530"/>
    </row>
    <row r="2531" spans="1:21" hidden="1">
      <c r="A2531" s="7" t="s">
        <v>8851</v>
      </c>
      <c r="B2531" s="7" t="s">
        <v>6668</v>
      </c>
      <c r="C2531" s="8" t="s">
        <v>5319</v>
      </c>
      <c r="D2531" t="s">
        <v>272</v>
      </c>
      <c r="E2531" t="s">
        <v>2183</v>
      </c>
      <c r="F2531" t="s">
        <v>75</v>
      </c>
      <c r="G2531" t="s">
        <v>2202</v>
      </c>
      <c r="H2531" s="9">
        <v>44733</v>
      </c>
      <c r="I2531" t="s">
        <v>2187</v>
      </c>
      <c r="J2531" t="s">
        <v>0</v>
      </c>
      <c r="K2531" s="9">
        <v>44792</v>
      </c>
      <c r="L2531" t="s">
        <v>29</v>
      </c>
      <c r="M2531"/>
      <c r="N2531" s="9">
        <v>44778</v>
      </c>
      <c r="O2531"/>
      <c r="P2531"/>
      <c r="Q2531" s="9">
        <v>44792</v>
      </c>
      <c r="R2531"/>
      <c r="S2531"/>
      <c r="T2531"/>
      <c r="U2531"/>
    </row>
    <row r="2532" spans="1:21" hidden="1">
      <c r="A2532" s="7" t="s">
        <v>8851</v>
      </c>
      <c r="B2532" s="7" t="s">
        <v>6668</v>
      </c>
      <c r="C2532" s="8" t="s">
        <v>5319</v>
      </c>
      <c r="D2532" t="s">
        <v>272</v>
      </c>
      <c r="E2532" t="s">
        <v>2183</v>
      </c>
      <c r="F2532" t="s">
        <v>75</v>
      </c>
      <c r="G2532" t="s">
        <v>2203</v>
      </c>
      <c r="H2532" s="9">
        <v>44733</v>
      </c>
      <c r="I2532" t="s">
        <v>2187</v>
      </c>
      <c r="J2532" t="s">
        <v>0</v>
      </c>
      <c r="K2532" s="9">
        <v>44792</v>
      </c>
      <c r="L2532" t="s">
        <v>29</v>
      </c>
      <c r="M2532"/>
      <c r="N2532" s="9">
        <v>44778</v>
      </c>
      <c r="O2532"/>
      <c r="P2532"/>
      <c r="Q2532" s="9">
        <v>44792</v>
      </c>
      <c r="R2532"/>
      <c r="S2532"/>
      <c r="T2532"/>
      <c r="U2532"/>
    </row>
    <row r="2533" spans="1:21" hidden="1">
      <c r="A2533" s="7" t="s">
        <v>8851</v>
      </c>
      <c r="B2533" s="7" t="s">
        <v>6668</v>
      </c>
      <c r="C2533" s="8" t="s">
        <v>5319</v>
      </c>
      <c r="D2533" t="s">
        <v>272</v>
      </c>
      <c r="E2533" t="s">
        <v>2183</v>
      </c>
      <c r="F2533" t="s">
        <v>75</v>
      </c>
      <c r="G2533" t="s">
        <v>2204</v>
      </c>
      <c r="H2533" s="9">
        <v>44733</v>
      </c>
      <c r="I2533" t="s">
        <v>2187</v>
      </c>
      <c r="J2533" t="s">
        <v>0</v>
      </c>
      <c r="K2533" s="9">
        <v>44792</v>
      </c>
      <c r="L2533" t="s">
        <v>29</v>
      </c>
      <c r="M2533"/>
      <c r="N2533" s="9">
        <v>44778</v>
      </c>
      <c r="O2533"/>
      <c r="P2533"/>
      <c r="Q2533" s="9">
        <v>44792</v>
      </c>
      <c r="R2533"/>
      <c r="S2533"/>
      <c r="T2533"/>
      <c r="U2533"/>
    </row>
    <row r="2534" spans="1:21" hidden="1">
      <c r="A2534" s="7" t="s">
        <v>8851</v>
      </c>
      <c r="B2534" s="7" t="s">
        <v>6668</v>
      </c>
      <c r="C2534" s="8" t="s">
        <v>5319</v>
      </c>
      <c r="D2534" t="s">
        <v>272</v>
      </c>
      <c r="E2534" t="s">
        <v>2183</v>
      </c>
      <c r="F2534" t="s">
        <v>75</v>
      </c>
      <c r="G2534" t="s">
        <v>2205</v>
      </c>
      <c r="H2534" s="9">
        <v>44733</v>
      </c>
      <c r="I2534" t="s">
        <v>2187</v>
      </c>
      <c r="J2534" t="s">
        <v>0</v>
      </c>
      <c r="K2534" s="9">
        <v>44792</v>
      </c>
      <c r="L2534" t="s">
        <v>29</v>
      </c>
      <c r="M2534"/>
      <c r="N2534" s="9">
        <v>44778</v>
      </c>
      <c r="O2534"/>
      <c r="P2534"/>
      <c r="Q2534" s="9">
        <v>44792</v>
      </c>
      <c r="R2534"/>
      <c r="S2534"/>
      <c r="T2534"/>
      <c r="U2534"/>
    </row>
    <row r="2535" spans="1:21" hidden="1">
      <c r="A2535" s="7" t="s">
        <v>8851</v>
      </c>
      <c r="B2535" s="7" t="s">
        <v>6668</v>
      </c>
      <c r="C2535" s="8" t="s">
        <v>5319</v>
      </c>
      <c r="D2535" t="s">
        <v>272</v>
      </c>
      <c r="E2535" t="s">
        <v>2183</v>
      </c>
      <c r="F2535" t="s">
        <v>75</v>
      </c>
      <c r="G2535" t="s">
        <v>2206</v>
      </c>
      <c r="H2535" s="9">
        <v>44733</v>
      </c>
      <c r="I2535" t="s">
        <v>2187</v>
      </c>
      <c r="J2535" t="s">
        <v>0</v>
      </c>
      <c r="K2535" s="9">
        <v>44792</v>
      </c>
      <c r="L2535" t="s">
        <v>29</v>
      </c>
      <c r="M2535"/>
      <c r="N2535" s="9">
        <v>44778</v>
      </c>
      <c r="O2535"/>
      <c r="P2535"/>
      <c r="Q2535" s="9">
        <v>44792</v>
      </c>
      <c r="R2535"/>
      <c r="S2535"/>
      <c r="T2535"/>
      <c r="U2535"/>
    </row>
    <row r="2536" spans="1:21" hidden="1">
      <c r="A2536" s="7" t="s">
        <v>8851</v>
      </c>
      <c r="B2536" s="7" t="s">
        <v>6668</v>
      </c>
      <c r="C2536" s="8" t="s">
        <v>5319</v>
      </c>
      <c r="D2536" t="s">
        <v>272</v>
      </c>
      <c r="E2536" t="s">
        <v>2183</v>
      </c>
      <c r="F2536" t="s">
        <v>75</v>
      </c>
      <c r="G2536" t="s">
        <v>2207</v>
      </c>
      <c r="H2536" s="9">
        <v>44733</v>
      </c>
      <c r="I2536" t="s">
        <v>2187</v>
      </c>
      <c r="J2536" t="s">
        <v>0</v>
      </c>
      <c r="K2536" s="9">
        <v>44792</v>
      </c>
      <c r="L2536" t="s">
        <v>29</v>
      </c>
      <c r="M2536"/>
      <c r="N2536" s="9">
        <v>44778</v>
      </c>
      <c r="O2536"/>
      <c r="P2536"/>
      <c r="Q2536" s="9">
        <v>44792</v>
      </c>
      <c r="R2536"/>
      <c r="S2536"/>
      <c r="T2536"/>
      <c r="U2536"/>
    </row>
    <row r="2537" spans="1:21" hidden="1">
      <c r="A2537" s="7" t="s">
        <v>8851</v>
      </c>
      <c r="B2537" s="7" t="s">
        <v>6668</v>
      </c>
      <c r="C2537" s="8" t="s">
        <v>5319</v>
      </c>
      <c r="D2537" t="s">
        <v>272</v>
      </c>
      <c r="E2537" t="s">
        <v>2183</v>
      </c>
      <c r="F2537" t="s">
        <v>75</v>
      </c>
      <c r="G2537" t="s">
        <v>2208</v>
      </c>
      <c r="H2537" s="9">
        <v>44733</v>
      </c>
      <c r="I2537" t="s">
        <v>2187</v>
      </c>
      <c r="J2537" t="s">
        <v>0</v>
      </c>
      <c r="K2537" s="9">
        <v>44792</v>
      </c>
      <c r="L2537" t="s">
        <v>29</v>
      </c>
      <c r="M2537"/>
      <c r="N2537" s="9">
        <v>44778</v>
      </c>
      <c r="O2537"/>
      <c r="P2537"/>
      <c r="Q2537" s="9">
        <v>44792</v>
      </c>
      <c r="R2537"/>
      <c r="S2537"/>
      <c r="T2537"/>
      <c r="U2537"/>
    </row>
    <row r="2538" spans="1:21" hidden="1">
      <c r="A2538" s="7" t="s">
        <v>8851</v>
      </c>
      <c r="B2538" s="7" t="s">
        <v>6668</v>
      </c>
      <c r="C2538" s="8" t="s">
        <v>5319</v>
      </c>
      <c r="D2538" t="s">
        <v>272</v>
      </c>
      <c r="E2538" t="s">
        <v>2183</v>
      </c>
      <c r="F2538" t="s">
        <v>75</v>
      </c>
      <c r="G2538" t="s">
        <v>2209</v>
      </c>
      <c r="H2538" s="9">
        <v>44733</v>
      </c>
      <c r="I2538" t="s">
        <v>2187</v>
      </c>
      <c r="J2538" t="s">
        <v>0</v>
      </c>
      <c r="K2538" s="9">
        <v>44792</v>
      </c>
      <c r="L2538" t="s">
        <v>29</v>
      </c>
      <c r="M2538"/>
      <c r="N2538" s="9">
        <v>44778</v>
      </c>
      <c r="O2538"/>
      <c r="P2538"/>
      <c r="Q2538" s="9">
        <v>44792</v>
      </c>
      <c r="R2538"/>
      <c r="S2538"/>
      <c r="T2538"/>
      <c r="U2538"/>
    </row>
    <row r="2539" spans="1:21" hidden="1">
      <c r="A2539" s="7" t="s">
        <v>8851</v>
      </c>
      <c r="B2539" s="7" t="s">
        <v>6668</v>
      </c>
      <c r="C2539" s="8" t="s">
        <v>5319</v>
      </c>
      <c r="D2539" t="s">
        <v>272</v>
      </c>
      <c r="E2539" t="s">
        <v>2183</v>
      </c>
      <c r="F2539" t="s">
        <v>75</v>
      </c>
      <c r="G2539" t="s">
        <v>2210</v>
      </c>
      <c r="H2539" s="9">
        <v>44733</v>
      </c>
      <c r="I2539" t="s">
        <v>2187</v>
      </c>
      <c r="J2539" t="s">
        <v>0</v>
      </c>
      <c r="K2539" s="9">
        <v>44792</v>
      </c>
      <c r="L2539" t="s">
        <v>29</v>
      </c>
      <c r="M2539"/>
      <c r="N2539" s="9">
        <v>44778</v>
      </c>
      <c r="O2539"/>
      <c r="P2539"/>
      <c r="Q2539" s="9">
        <v>44792</v>
      </c>
      <c r="R2539"/>
      <c r="S2539"/>
      <c r="T2539"/>
      <c r="U2539"/>
    </row>
    <row r="2540" spans="1:21" hidden="1">
      <c r="A2540" s="7" t="s">
        <v>8851</v>
      </c>
      <c r="B2540" s="7" t="s">
        <v>6668</v>
      </c>
      <c r="C2540" s="8" t="s">
        <v>5319</v>
      </c>
      <c r="D2540" t="s">
        <v>272</v>
      </c>
      <c r="E2540" t="s">
        <v>2183</v>
      </c>
      <c r="F2540" t="s">
        <v>75</v>
      </c>
      <c r="G2540" t="s">
        <v>2211</v>
      </c>
      <c r="H2540" s="9">
        <v>44733</v>
      </c>
      <c r="I2540" t="s">
        <v>2187</v>
      </c>
      <c r="J2540" t="s">
        <v>0</v>
      </c>
      <c r="K2540" s="9">
        <v>44792</v>
      </c>
      <c r="L2540" t="s">
        <v>29</v>
      </c>
      <c r="M2540"/>
      <c r="N2540" s="9">
        <v>44778</v>
      </c>
      <c r="O2540"/>
      <c r="P2540"/>
      <c r="Q2540" s="9">
        <v>44792</v>
      </c>
      <c r="R2540"/>
      <c r="S2540"/>
      <c r="T2540"/>
      <c r="U2540"/>
    </row>
    <row r="2541" spans="1:21" hidden="1">
      <c r="A2541" s="7" t="s">
        <v>8851</v>
      </c>
      <c r="B2541" s="7" t="s">
        <v>6668</v>
      </c>
      <c r="C2541" s="8" t="s">
        <v>5319</v>
      </c>
      <c r="D2541" t="s">
        <v>272</v>
      </c>
      <c r="E2541" t="s">
        <v>2183</v>
      </c>
      <c r="F2541" t="s">
        <v>75</v>
      </c>
      <c r="G2541" t="s">
        <v>2212</v>
      </c>
      <c r="H2541" s="9">
        <v>44733</v>
      </c>
      <c r="I2541" t="s">
        <v>2187</v>
      </c>
      <c r="J2541" t="s">
        <v>0</v>
      </c>
      <c r="K2541" s="9">
        <v>44792</v>
      </c>
      <c r="L2541" t="s">
        <v>29</v>
      </c>
      <c r="M2541"/>
      <c r="N2541" s="9">
        <v>44778</v>
      </c>
      <c r="O2541"/>
      <c r="P2541"/>
      <c r="Q2541" s="9">
        <v>44792</v>
      </c>
      <c r="R2541"/>
      <c r="S2541"/>
      <c r="T2541"/>
      <c r="U2541"/>
    </row>
    <row r="2542" spans="1:21" hidden="1">
      <c r="A2542" s="7" t="s">
        <v>8851</v>
      </c>
      <c r="B2542" s="7" t="s">
        <v>6668</v>
      </c>
      <c r="C2542" s="8" t="s">
        <v>5319</v>
      </c>
      <c r="D2542" t="s">
        <v>272</v>
      </c>
      <c r="E2542" t="s">
        <v>2183</v>
      </c>
      <c r="F2542" t="s">
        <v>75</v>
      </c>
      <c r="G2542" t="s">
        <v>2213</v>
      </c>
      <c r="H2542" s="9">
        <v>44733</v>
      </c>
      <c r="I2542" t="s">
        <v>2187</v>
      </c>
      <c r="J2542" t="s">
        <v>0</v>
      </c>
      <c r="K2542" s="9">
        <v>44792</v>
      </c>
      <c r="L2542" t="s">
        <v>29</v>
      </c>
      <c r="M2542"/>
      <c r="N2542" s="9">
        <v>44778</v>
      </c>
      <c r="O2542"/>
      <c r="P2542"/>
      <c r="Q2542" s="9">
        <v>44792</v>
      </c>
      <c r="R2542"/>
      <c r="S2542"/>
      <c r="T2542"/>
      <c r="U2542"/>
    </row>
    <row r="2543" spans="1:21" hidden="1">
      <c r="A2543" s="7" t="s">
        <v>8851</v>
      </c>
      <c r="B2543" s="7" t="s">
        <v>6668</v>
      </c>
      <c r="C2543" s="8" t="s">
        <v>5319</v>
      </c>
      <c r="D2543" t="s">
        <v>272</v>
      </c>
      <c r="E2543" t="s">
        <v>2183</v>
      </c>
      <c r="F2543" t="s">
        <v>75</v>
      </c>
      <c r="G2543" t="s">
        <v>2214</v>
      </c>
      <c r="H2543" s="9">
        <v>44733</v>
      </c>
      <c r="I2543" t="s">
        <v>2187</v>
      </c>
      <c r="J2543" t="s">
        <v>0</v>
      </c>
      <c r="K2543" s="9">
        <v>44792</v>
      </c>
      <c r="L2543" t="s">
        <v>29</v>
      </c>
      <c r="M2543"/>
      <c r="N2543" s="9">
        <v>44778</v>
      </c>
      <c r="O2543"/>
      <c r="P2543"/>
      <c r="Q2543" s="9">
        <v>44792</v>
      </c>
      <c r="R2543"/>
      <c r="S2543"/>
      <c r="T2543"/>
      <c r="U2543"/>
    </row>
    <row r="2544" spans="1:21" hidden="1">
      <c r="A2544" s="7" t="s">
        <v>8851</v>
      </c>
      <c r="B2544" s="7" t="s">
        <v>6668</v>
      </c>
      <c r="C2544" s="8" t="s">
        <v>5319</v>
      </c>
      <c r="D2544" t="s">
        <v>272</v>
      </c>
      <c r="E2544" t="s">
        <v>2183</v>
      </c>
      <c r="F2544" t="s">
        <v>75</v>
      </c>
      <c r="G2544" t="s">
        <v>2215</v>
      </c>
      <c r="H2544" s="9">
        <v>44733</v>
      </c>
      <c r="I2544" t="s">
        <v>2187</v>
      </c>
      <c r="J2544" t="s">
        <v>0</v>
      </c>
      <c r="K2544" s="9">
        <v>44792</v>
      </c>
      <c r="L2544" t="s">
        <v>29</v>
      </c>
      <c r="M2544"/>
      <c r="N2544" s="9">
        <v>44778</v>
      </c>
      <c r="O2544"/>
      <c r="P2544"/>
      <c r="Q2544" s="9">
        <v>44792</v>
      </c>
      <c r="R2544"/>
      <c r="S2544"/>
      <c r="T2544"/>
      <c r="U2544"/>
    </row>
    <row r="2545" spans="1:21" hidden="1">
      <c r="A2545" s="7" t="s">
        <v>8851</v>
      </c>
      <c r="B2545" s="7" t="s">
        <v>6668</v>
      </c>
      <c r="C2545" s="8" t="s">
        <v>5319</v>
      </c>
      <c r="D2545" t="s">
        <v>272</v>
      </c>
      <c r="E2545" t="s">
        <v>2183</v>
      </c>
      <c r="F2545" t="s">
        <v>75</v>
      </c>
      <c r="G2545" t="s">
        <v>2216</v>
      </c>
      <c r="H2545" s="9">
        <v>44733</v>
      </c>
      <c r="I2545" t="s">
        <v>2187</v>
      </c>
      <c r="J2545" t="s">
        <v>0</v>
      </c>
      <c r="K2545" s="9">
        <v>44792</v>
      </c>
      <c r="L2545" t="s">
        <v>29</v>
      </c>
      <c r="M2545"/>
      <c r="N2545" s="9">
        <v>44778</v>
      </c>
      <c r="O2545"/>
      <c r="P2545"/>
      <c r="Q2545" s="9">
        <v>44792</v>
      </c>
      <c r="R2545"/>
      <c r="S2545"/>
      <c r="T2545"/>
      <c r="U2545"/>
    </row>
    <row r="2546" spans="1:21" hidden="1">
      <c r="A2546" s="7" t="s">
        <v>8851</v>
      </c>
      <c r="B2546" s="7" t="s">
        <v>6668</v>
      </c>
      <c r="C2546" s="8" t="s">
        <v>5319</v>
      </c>
      <c r="D2546" t="s">
        <v>272</v>
      </c>
      <c r="E2546" t="s">
        <v>2183</v>
      </c>
      <c r="F2546" t="s">
        <v>75</v>
      </c>
      <c r="G2546" t="s">
        <v>2217</v>
      </c>
      <c r="H2546" s="9">
        <v>44733</v>
      </c>
      <c r="I2546" t="s">
        <v>2187</v>
      </c>
      <c r="J2546" t="s">
        <v>0</v>
      </c>
      <c r="K2546" s="9">
        <v>44792</v>
      </c>
      <c r="L2546" t="s">
        <v>29</v>
      </c>
      <c r="M2546"/>
      <c r="N2546" s="9">
        <v>44778</v>
      </c>
      <c r="O2546"/>
      <c r="P2546"/>
      <c r="Q2546" s="9">
        <v>44792</v>
      </c>
      <c r="R2546"/>
      <c r="S2546"/>
      <c r="T2546"/>
      <c r="U2546"/>
    </row>
    <row r="2547" spans="1:21" hidden="1">
      <c r="A2547" s="7" t="s">
        <v>8851</v>
      </c>
      <c r="B2547" s="7" t="s">
        <v>6668</v>
      </c>
      <c r="C2547" s="8" t="s">
        <v>5319</v>
      </c>
      <c r="D2547" t="s">
        <v>272</v>
      </c>
      <c r="E2547" t="s">
        <v>2183</v>
      </c>
      <c r="F2547" t="s">
        <v>75</v>
      </c>
      <c r="G2547" t="s">
        <v>2218</v>
      </c>
      <c r="H2547" s="9">
        <v>44733</v>
      </c>
      <c r="I2547" t="s">
        <v>2187</v>
      </c>
      <c r="J2547" t="s">
        <v>0</v>
      </c>
      <c r="K2547" s="9">
        <v>44792</v>
      </c>
      <c r="L2547" t="s">
        <v>29</v>
      </c>
      <c r="M2547"/>
      <c r="N2547" s="9">
        <v>44778</v>
      </c>
      <c r="O2547"/>
      <c r="P2547"/>
      <c r="Q2547" s="9">
        <v>44792</v>
      </c>
      <c r="R2547"/>
      <c r="S2547"/>
      <c r="T2547"/>
      <c r="U2547"/>
    </row>
    <row r="2548" spans="1:21" hidden="1">
      <c r="A2548" s="7" t="s">
        <v>8851</v>
      </c>
      <c r="B2548" s="7" t="s">
        <v>6668</v>
      </c>
      <c r="C2548" s="8" t="s">
        <v>5319</v>
      </c>
      <c r="D2548" t="s">
        <v>272</v>
      </c>
      <c r="E2548" t="s">
        <v>2183</v>
      </c>
      <c r="F2548" t="s">
        <v>75</v>
      </c>
      <c r="G2548" t="s">
        <v>2219</v>
      </c>
      <c r="H2548" s="9">
        <v>44733</v>
      </c>
      <c r="I2548" t="s">
        <v>2187</v>
      </c>
      <c r="J2548" t="s">
        <v>0</v>
      </c>
      <c r="K2548" s="9">
        <v>44792</v>
      </c>
      <c r="L2548" t="s">
        <v>29</v>
      </c>
      <c r="M2548"/>
      <c r="N2548" s="9">
        <v>44778</v>
      </c>
      <c r="O2548"/>
      <c r="P2548"/>
      <c r="Q2548" s="9">
        <v>44792</v>
      </c>
      <c r="R2548"/>
      <c r="S2548"/>
      <c r="T2548"/>
      <c r="U2548"/>
    </row>
    <row r="2549" spans="1:21" hidden="1">
      <c r="A2549" s="7" t="s">
        <v>8851</v>
      </c>
      <c r="B2549" s="7" t="s">
        <v>6668</v>
      </c>
      <c r="C2549" s="8" t="s">
        <v>5319</v>
      </c>
      <c r="D2549" t="s">
        <v>272</v>
      </c>
      <c r="E2549" t="s">
        <v>2183</v>
      </c>
      <c r="F2549" t="s">
        <v>75</v>
      </c>
      <c r="G2549" t="s">
        <v>2220</v>
      </c>
      <c r="H2549" s="9">
        <v>44733</v>
      </c>
      <c r="I2549" t="s">
        <v>2187</v>
      </c>
      <c r="J2549" t="s">
        <v>0</v>
      </c>
      <c r="K2549" s="9">
        <v>44792</v>
      </c>
      <c r="L2549" t="s">
        <v>29</v>
      </c>
      <c r="M2549"/>
      <c r="N2549" s="9">
        <v>44778</v>
      </c>
      <c r="O2549"/>
      <c r="P2549"/>
      <c r="Q2549" s="9">
        <v>44792</v>
      </c>
      <c r="R2549"/>
      <c r="S2549"/>
      <c r="T2549"/>
      <c r="U2549"/>
    </row>
    <row r="2550" spans="1:21" hidden="1">
      <c r="A2550" s="7" t="s">
        <v>8851</v>
      </c>
      <c r="B2550" s="7" t="s">
        <v>6668</v>
      </c>
      <c r="C2550" s="8" t="s">
        <v>5319</v>
      </c>
      <c r="D2550" t="s">
        <v>272</v>
      </c>
      <c r="E2550" t="s">
        <v>2183</v>
      </c>
      <c r="F2550" t="s">
        <v>75</v>
      </c>
      <c r="G2550" t="s">
        <v>2221</v>
      </c>
      <c r="H2550" s="9">
        <v>44733</v>
      </c>
      <c r="I2550" t="s">
        <v>2187</v>
      </c>
      <c r="J2550" t="s">
        <v>0</v>
      </c>
      <c r="K2550" s="9">
        <v>44792</v>
      </c>
      <c r="L2550" t="s">
        <v>29</v>
      </c>
      <c r="M2550"/>
      <c r="N2550" s="9">
        <v>44778</v>
      </c>
      <c r="O2550"/>
      <c r="P2550"/>
      <c r="Q2550" s="9">
        <v>44792</v>
      </c>
      <c r="R2550"/>
      <c r="S2550"/>
      <c r="T2550"/>
      <c r="U2550"/>
    </row>
    <row r="2551" spans="1:21" hidden="1">
      <c r="A2551" s="7" t="s">
        <v>8851</v>
      </c>
      <c r="B2551" s="7" t="s">
        <v>6668</v>
      </c>
      <c r="C2551" s="8" t="s">
        <v>5319</v>
      </c>
      <c r="D2551" t="s">
        <v>272</v>
      </c>
      <c r="E2551" t="s">
        <v>2183</v>
      </c>
      <c r="F2551" t="s">
        <v>75</v>
      </c>
      <c r="G2551" t="s">
        <v>2222</v>
      </c>
      <c r="H2551" s="9">
        <v>44733</v>
      </c>
      <c r="I2551" t="s">
        <v>2187</v>
      </c>
      <c r="J2551" t="s">
        <v>0</v>
      </c>
      <c r="K2551" s="9">
        <v>44792</v>
      </c>
      <c r="L2551" t="s">
        <v>29</v>
      </c>
      <c r="M2551"/>
      <c r="N2551" s="9">
        <v>44778</v>
      </c>
      <c r="O2551"/>
      <c r="P2551"/>
      <c r="Q2551" s="9">
        <v>44792</v>
      </c>
      <c r="R2551"/>
      <c r="S2551"/>
      <c r="T2551"/>
      <c r="U2551"/>
    </row>
    <row r="2552" spans="1:21" hidden="1">
      <c r="A2552" s="7" t="s">
        <v>8851</v>
      </c>
      <c r="B2552" s="7" t="s">
        <v>6668</v>
      </c>
      <c r="C2552" s="8" t="s">
        <v>5319</v>
      </c>
      <c r="D2552" t="s">
        <v>272</v>
      </c>
      <c r="E2552" t="s">
        <v>2183</v>
      </c>
      <c r="F2552" t="s">
        <v>75</v>
      </c>
      <c r="G2552" t="s">
        <v>2223</v>
      </c>
      <c r="H2552" s="9">
        <v>44733</v>
      </c>
      <c r="I2552" t="s">
        <v>2187</v>
      </c>
      <c r="J2552" t="s">
        <v>0</v>
      </c>
      <c r="K2552" s="9">
        <v>44792</v>
      </c>
      <c r="L2552" t="s">
        <v>29</v>
      </c>
      <c r="M2552"/>
      <c r="N2552" s="9">
        <v>44778</v>
      </c>
      <c r="O2552"/>
      <c r="P2552"/>
      <c r="Q2552" s="9">
        <v>44792</v>
      </c>
      <c r="R2552"/>
      <c r="S2552"/>
      <c r="T2552"/>
      <c r="U2552"/>
    </row>
    <row r="2553" spans="1:21" hidden="1">
      <c r="A2553" s="7" t="s">
        <v>8851</v>
      </c>
      <c r="B2553" s="7" t="s">
        <v>6668</v>
      </c>
      <c r="C2553" s="8" t="s">
        <v>5319</v>
      </c>
      <c r="D2553" t="s">
        <v>272</v>
      </c>
      <c r="E2553" t="s">
        <v>2183</v>
      </c>
      <c r="F2553" t="s">
        <v>75</v>
      </c>
      <c r="G2553" t="s">
        <v>2224</v>
      </c>
      <c r="H2553" s="9">
        <v>44733</v>
      </c>
      <c r="I2553" t="s">
        <v>2187</v>
      </c>
      <c r="J2553" t="s">
        <v>0</v>
      </c>
      <c r="K2553" s="9">
        <v>44792</v>
      </c>
      <c r="L2553" t="s">
        <v>29</v>
      </c>
      <c r="M2553"/>
      <c r="N2553" s="9">
        <v>44778</v>
      </c>
      <c r="O2553"/>
      <c r="P2553"/>
      <c r="Q2553" s="9">
        <v>44792</v>
      </c>
      <c r="R2553"/>
      <c r="S2553"/>
      <c r="T2553"/>
      <c r="U2553"/>
    </row>
    <row r="2554" spans="1:21" hidden="1">
      <c r="A2554" s="7" t="s">
        <v>8851</v>
      </c>
      <c r="B2554" s="7" t="s">
        <v>6668</v>
      </c>
      <c r="C2554" s="8" t="s">
        <v>5319</v>
      </c>
      <c r="D2554" t="s">
        <v>272</v>
      </c>
      <c r="E2554" t="s">
        <v>2183</v>
      </c>
      <c r="F2554" t="s">
        <v>75</v>
      </c>
      <c r="G2554" t="s">
        <v>2225</v>
      </c>
      <c r="H2554" s="9">
        <v>44733</v>
      </c>
      <c r="I2554" t="s">
        <v>2187</v>
      </c>
      <c r="J2554" t="s">
        <v>0</v>
      </c>
      <c r="K2554" s="9">
        <v>44792</v>
      </c>
      <c r="L2554" t="s">
        <v>29</v>
      </c>
      <c r="M2554"/>
      <c r="N2554" s="9">
        <v>44778</v>
      </c>
      <c r="O2554"/>
      <c r="P2554"/>
      <c r="Q2554" s="9">
        <v>44792</v>
      </c>
      <c r="R2554"/>
      <c r="S2554"/>
      <c r="T2554"/>
      <c r="U2554"/>
    </row>
    <row r="2555" spans="1:21" hidden="1">
      <c r="A2555" s="7" t="s">
        <v>8851</v>
      </c>
      <c r="B2555" s="7" t="s">
        <v>6668</v>
      </c>
      <c r="C2555" s="8" t="s">
        <v>5319</v>
      </c>
      <c r="D2555" t="s">
        <v>272</v>
      </c>
      <c r="E2555" t="s">
        <v>2183</v>
      </c>
      <c r="F2555" t="s">
        <v>75</v>
      </c>
      <c r="G2555" t="s">
        <v>2226</v>
      </c>
      <c r="H2555" s="9">
        <v>44733</v>
      </c>
      <c r="I2555" t="s">
        <v>2187</v>
      </c>
      <c r="J2555" t="s">
        <v>0</v>
      </c>
      <c r="K2555" s="9">
        <v>44792</v>
      </c>
      <c r="L2555" t="s">
        <v>29</v>
      </c>
      <c r="M2555"/>
      <c r="N2555" s="9">
        <v>44778</v>
      </c>
      <c r="O2555"/>
      <c r="P2555"/>
      <c r="Q2555" s="9">
        <v>44792</v>
      </c>
      <c r="R2555"/>
      <c r="S2555"/>
      <c r="T2555"/>
      <c r="U2555"/>
    </row>
    <row r="2556" spans="1:21" hidden="1">
      <c r="A2556" s="7" t="s">
        <v>8852</v>
      </c>
      <c r="B2556" s="7" t="s">
        <v>6692</v>
      </c>
      <c r="C2556" s="8" t="s">
        <v>5319</v>
      </c>
      <c r="D2556" t="s">
        <v>272</v>
      </c>
      <c r="E2556" t="s">
        <v>2227</v>
      </c>
      <c r="F2556" t="s">
        <v>26</v>
      </c>
      <c r="G2556" t="s">
        <v>2228</v>
      </c>
      <c r="H2556" s="9">
        <v>44733</v>
      </c>
      <c r="I2556" t="s">
        <v>408</v>
      </c>
      <c r="J2556" t="s">
        <v>5330</v>
      </c>
      <c r="K2556" s="9">
        <v>44834</v>
      </c>
      <c r="L2556" t="s">
        <v>29</v>
      </c>
      <c r="M2556"/>
      <c r="N2556" s="9">
        <v>44778</v>
      </c>
      <c r="O2556" s="9">
        <v>44834</v>
      </c>
      <c r="P2556"/>
      <c r="Q2556"/>
      <c r="R2556"/>
      <c r="S2556"/>
      <c r="T2556"/>
      <c r="U2556"/>
    </row>
    <row r="2557" spans="1:21" hidden="1">
      <c r="A2557" s="7" t="s">
        <v>8853</v>
      </c>
      <c r="B2557" s="7" t="s">
        <v>8359</v>
      </c>
      <c r="C2557" s="8" t="s">
        <v>5319</v>
      </c>
      <c r="D2557" t="s">
        <v>272</v>
      </c>
      <c r="E2557" t="s">
        <v>2229</v>
      </c>
      <c r="F2557" t="s">
        <v>117</v>
      </c>
      <c r="G2557" t="s">
        <v>2230</v>
      </c>
      <c r="H2557" s="9">
        <v>44735</v>
      </c>
      <c r="I2557" t="s">
        <v>2231</v>
      </c>
      <c r="J2557" t="s">
        <v>5330</v>
      </c>
      <c r="K2557" s="9">
        <v>44834</v>
      </c>
      <c r="L2557" t="s">
        <v>29</v>
      </c>
      <c r="M2557"/>
      <c r="N2557" s="9">
        <v>44778</v>
      </c>
      <c r="O2557" s="9">
        <v>44834</v>
      </c>
      <c r="P2557"/>
      <c r="Q2557"/>
      <c r="R2557"/>
      <c r="S2557"/>
      <c r="T2557"/>
      <c r="U2557"/>
    </row>
    <row r="2558" spans="1:21" hidden="1">
      <c r="A2558" s="7" t="s">
        <v>8853</v>
      </c>
      <c r="B2558" s="7" t="s">
        <v>8359</v>
      </c>
      <c r="C2558" s="8" t="s">
        <v>5319</v>
      </c>
      <c r="D2558" t="s">
        <v>272</v>
      </c>
      <c r="E2558" t="s">
        <v>2229</v>
      </c>
      <c r="F2558" t="s">
        <v>117</v>
      </c>
      <c r="G2558" t="s">
        <v>2232</v>
      </c>
      <c r="H2558" s="9">
        <v>44735</v>
      </c>
      <c r="I2558" t="s">
        <v>2231</v>
      </c>
      <c r="J2558" t="s">
        <v>5330</v>
      </c>
      <c r="K2558" s="9">
        <v>44834</v>
      </c>
      <c r="L2558" t="s">
        <v>29</v>
      </c>
      <c r="M2558"/>
      <c r="N2558" s="9">
        <v>44778</v>
      </c>
      <c r="O2558" s="9">
        <v>44834</v>
      </c>
      <c r="P2558"/>
      <c r="Q2558"/>
      <c r="R2558"/>
      <c r="S2558"/>
      <c r="T2558"/>
      <c r="U2558"/>
    </row>
    <row r="2559" spans="1:21" hidden="1">
      <c r="A2559" s="7" t="s">
        <v>8853</v>
      </c>
      <c r="B2559" s="7" t="s">
        <v>8359</v>
      </c>
      <c r="C2559" s="8" t="s">
        <v>5319</v>
      </c>
      <c r="D2559" t="s">
        <v>272</v>
      </c>
      <c r="E2559" t="s">
        <v>2229</v>
      </c>
      <c r="F2559" t="s">
        <v>117</v>
      </c>
      <c r="G2559" t="s">
        <v>2233</v>
      </c>
      <c r="H2559" s="9">
        <v>44735</v>
      </c>
      <c r="I2559" t="s">
        <v>2231</v>
      </c>
      <c r="J2559" t="s">
        <v>5330</v>
      </c>
      <c r="K2559" s="9">
        <v>44834</v>
      </c>
      <c r="L2559" t="s">
        <v>29</v>
      </c>
      <c r="M2559"/>
      <c r="N2559" s="9">
        <v>44778</v>
      </c>
      <c r="O2559" s="9">
        <v>44834</v>
      </c>
      <c r="P2559"/>
      <c r="Q2559"/>
      <c r="R2559"/>
      <c r="S2559"/>
      <c r="T2559"/>
      <c r="U2559"/>
    </row>
    <row r="2560" spans="1:21" hidden="1">
      <c r="A2560" s="7" t="s">
        <v>8766</v>
      </c>
      <c r="B2560" s="7" t="s">
        <v>6427</v>
      </c>
      <c r="C2560" s="8" t="s">
        <v>5319</v>
      </c>
      <c r="D2560" t="s">
        <v>272</v>
      </c>
      <c r="E2560" t="s">
        <v>737</v>
      </c>
      <c r="F2560" t="s">
        <v>738</v>
      </c>
      <c r="G2560" t="s">
        <v>742</v>
      </c>
      <c r="H2560" s="9">
        <v>44733</v>
      </c>
      <c r="I2560" t="s">
        <v>740</v>
      </c>
      <c r="J2560" t="s">
        <v>5330</v>
      </c>
      <c r="K2560" s="9">
        <v>44834</v>
      </c>
      <c r="L2560" t="s">
        <v>29</v>
      </c>
      <c r="M2560"/>
      <c r="N2560" s="9">
        <v>44778</v>
      </c>
      <c r="O2560" s="9">
        <v>44834</v>
      </c>
      <c r="P2560"/>
      <c r="Q2560"/>
      <c r="R2560"/>
      <c r="S2560"/>
      <c r="T2560"/>
      <c r="U2560"/>
    </row>
    <row r="2561" spans="1:21" hidden="1">
      <c r="A2561" s="7" t="s">
        <v>8766</v>
      </c>
      <c r="B2561" s="7" t="s">
        <v>6427</v>
      </c>
      <c r="C2561" s="8" t="s">
        <v>5319</v>
      </c>
      <c r="D2561" t="s">
        <v>272</v>
      </c>
      <c r="E2561" t="s">
        <v>737</v>
      </c>
      <c r="F2561" t="s">
        <v>738</v>
      </c>
      <c r="G2561" t="s">
        <v>743</v>
      </c>
      <c r="H2561" s="9">
        <v>44733</v>
      </c>
      <c r="I2561" t="s">
        <v>740</v>
      </c>
      <c r="J2561" t="s">
        <v>5330</v>
      </c>
      <c r="K2561" s="9">
        <v>44834</v>
      </c>
      <c r="L2561" t="s">
        <v>29</v>
      </c>
      <c r="M2561"/>
      <c r="N2561" s="9">
        <v>44778</v>
      </c>
      <c r="O2561" s="9">
        <v>44834</v>
      </c>
      <c r="P2561"/>
      <c r="Q2561"/>
      <c r="R2561"/>
      <c r="S2561"/>
      <c r="T2561"/>
      <c r="U2561"/>
    </row>
    <row r="2562" spans="1:21" hidden="1">
      <c r="A2562" s="7" t="s">
        <v>8766</v>
      </c>
      <c r="B2562" s="7" t="s">
        <v>6427</v>
      </c>
      <c r="C2562" s="8" t="s">
        <v>5319</v>
      </c>
      <c r="D2562" t="s">
        <v>272</v>
      </c>
      <c r="E2562" t="s">
        <v>737</v>
      </c>
      <c r="F2562" t="s">
        <v>738</v>
      </c>
      <c r="G2562" t="s">
        <v>744</v>
      </c>
      <c r="H2562" s="9">
        <v>44733</v>
      </c>
      <c r="I2562" t="s">
        <v>740</v>
      </c>
      <c r="J2562" t="s">
        <v>5330</v>
      </c>
      <c r="K2562" s="9">
        <v>44834</v>
      </c>
      <c r="L2562" t="s">
        <v>29</v>
      </c>
      <c r="M2562"/>
      <c r="N2562" s="9">
        <v>44778</v>
      </c>
      <c r="O2562" s="9">
        <v>44834</v>
      </c>
      <c r="P2562"/>
      <c r="Q2562"/>
      <c r="R2562"/>
      <c r="S2562"/>
      <c r="T2562"/>
      <c r="U2562"/>
    </row>
    <row r="2563" spans="1:21" hidden="1">
      <c r="A2563" s="7" t="s">
        <v>8766</v>
      </c>
      <c r="B2563" s="7" t="s">
        <v>6427</v>
      </c>
      <c r="C2563" s="8" t="s">
        <v>5319</v>
      </c>
      <c r="D2563" t="s">
        <v>272</v>
      </c>
      <c r="E2563" t="s">
        <v>737</v>
      </c>
      <c r="F2563" t="s">
        <v>738</v>
      </c>
      <c r="G2563" t="s">
        <v>745</v>
      </c>
      <c r="H2563" s="9">
        <v>44733</v>
      </c>
      <c r="I2563" t="s">
        <v>740</v>
      </c>
      <c r="J2563" t="s">
        <v>5330</v>
      </c>
      <c r="K2563" s="9">
        <v>44834</v>
      </c>
      <c r="L2563" t="s">
        <v>29</v>
      </c>
      <c r="M2563"/>
      <c r="N2563" s="9">
        <v>44778</v>
      </c>
      <c r="O2563" s="9">
        <v>44834</v>
      </c>
      <c r="P2563"/>
      <c r="Q2563"/>
      <c r="R2563"/>
      <c r="S2563"/>
      <c r="T2563"/>
      <c r="U2563"/>
    </row>
    <row r="2564" spans="1:21" hidden="1">
      <c r="A2564" s="7" t="s">
        <v>8847</v>
      </c>
      <c r="B2564" s="7" t="s">
        <v>8288</v>
      </c>
      <c r="C2564" s="8" t="s">
        <v>5319</v>
      </c>
      <c r="D2564" t="s">
        <v>272</v>
      </c>
      <c r="E2564" t="s">
        <v>2128</v>
      </c>
      <c r="F2564" t="s">
        <v>83</v>
      </c>
      <c r="G2564" t="s">
        <v>2234</v>
      </c>
      <c r="H2564" s="9">
        <v>44733</v>
      </c>
      <c r="I2564" t="s">
        <v>2130</v>
      </c>
      <c r="J2564" t="s">
        <v>5330</v>
      </c>
      <c r="K2564" s="9">
        <v>44834</v>
      </c>
      <c r="L2564" t="s">
        <v>29</v>
      </c>
      <c r="M2564"/>
      <c r="N2564" s="9">
        <v>44778</v>
      </c>
      <c r="O2564" s="9">
        <v>44834</v>
      </c>
      <c r="P2564"/>
      <c r="Q2564"/>
      <c r="R2564"/>
      <c r="S2564"/>
      <c r="T2564"/>
      <c r="U2564"/>
    </row>
    <row r="2565" spans="1:21" hidden="1">
      <c r="A2565" s="7" t="s">
        <v>8845</v>
      </c>
      <c r="B2565" s="7" t="s">
        <v>6307</v>
      </c>
      <c r="C2565" s="8" t="s">
        <v>5319</v>
      </c>
      <c r="D2565" t="s">
        <v>272</v>
      </c>
      <c r="E2565" t="s">
        <v>78</v>
      </c>
      <c r="F2565" t="s">
        <v>2123</v>
      </c>
      <c r="G2565" t="s">
        <v>2235</v>
      </c>
      <c r="H2565" s="9">
        <v>44733</v>
      </c>
      <c r="I2565" t="s">
        <v>81</v>
      </c>
      <c r="J2565" t="s">
        <v>5330</v>
      </c>
      <c r="K2565" s="9">
        <v>44834</v>
      </c>
      <c r="L2565" t="s">
        <v>29</v>
      </c>
      <c r="M2565"/>
      <c r="N2565" s="9">
        <v>44778</v>
      </c>
      <c r="O2565" s="9">
        <v>44834</v>
      </c>
      <c r="P2565"/>
      <c r="Q2565"/>
      <c r="R2565"/>
      <c r="S2565"/>
      <c r="T2565"/>
      <c r="U2565"/>
    </row>
    <row r="2566" spans="1:21" hidden="1">
      <c r="A2566" s="7" t="s">
        <v>8854</v>
      </c>
      <c r="B2566" s="7" t="s">
        <v>7501</v>
      </c>
      <c r="C2566" s="8" t="s">
        <v>5319</v>
      </c>
      <c r="D2566" t="s">
        <v>272</v>
      </c>
      <c r="E2566" t="s">
        <v>2236</v>
      </c>
      <c r="F2566" t="s">
        <v>83</v>
      </c>
      <c r="G2566" t="s">
        <v>2237</v>
      </c>
      <c r="H2566" s="9">
        <v>44733</v>
      </c>
      <c r="I2566" t="s">
        <v>77</v>
      </c>
      <c r="J2566" t="s">
        <v>5330</v>
      </c>
      <c r="K2566" s="9">
        <v>44834</v>
      </c>
      <c r="L2566" t="s">
        <v>29</v>
      </c>
      <c r="M2566"/>
      <c r="N2566" s="9">
        <v>44778</v>
      </c>
      <c r="O2566" s="9">
        <v>44834</v>
      </c>
      <c r="P2566"/>
      <c r="Q2566"/>
      <c r="R2566"/>
      <c r="S2566"/>
      <c r="T2566"/>
      <c r="U2566"/>
    </row>
    <row r="2567" spans="1:21" hidden="1">
      <c r="A2567" s="7" t="s">
        <v>8855</v>
      </c>
      <c r="B2567" s="7" t="s">
        <v>6839</v>
      </c>
      <c r="C2567" s="8" t="s">
        <v>5319</v>
      </c>
      <c r="D2567" t="s">
        <v>272</v>
      </c>
      <c r="E2567" t="s">
        <v>2238</v>
      </c>
      <c r="F2567" t="s">
        <v>26</v>
      </c>
      <c r="G2567" t="s">
        <v>2239</v>
      </c>
      <c r="H2567" s="9">
        <v>44733</v>
      </c>
      <c r="I2567" t="s">
        <v>77</v>
      </c>
      <c r="J2567" t="s">
        <v>5330</v>
      </c>
      <c r="K2567" s="9">
        <v>44834</v>
      </c>
      <c r="L2567" t="s">
        <v>29</v>
      </c>
      <c r="M2567"/>
      <c r="N2567" s="9">
        <v>44778</v>
      </c>
      <c r="O2567" s="9">
        <v>44834</v>
      </c>
      <c r="P2567"/>
      <c r="Q2567"/>
      <c r="R2567"/>
      <c r="S2567"/>
      <c r="T2567"/>
      <c r="U2567"/>
    </row>
    <row r="2568" spans="1:21" hidden="1">
      <c r="A2568" s="7" t="s">
        <v>8856</v>
      </c>
      <c r="B2568" s="7" t="s">
        <v>5699</v>
      </c>
      <c r="C2568" s="8" t="s">
        <v>5319</v>
      </c>
      <c r="D2568" t="s">
        <v>272</v>
      </c>
      <c r="E2568" t="s">
        <v>2240</v>
      </c>
      <c r="F2568" t="s">
        <v>493</v>
      </c>
      <c r="G2568" t="s">
        <v>2241</v>
      </c>
      <c r="H2568" s="9">
        <v>44733</v>
      </c>
      <c r="I2568" t="s">
        <v>2130</v>
      </c>
      <c r="J2568" t="s">
        <v>0</v>
      </c>
      <c r="K2568" s="9">
        <v>44862</v>
      </c>
      <c r="L2568" t="s">
        <v>29</v>
      </c>
      <c r="M2568"/>
      <c r="N2568" s="9">
        <v>44778</v>
      </c>
      <c r="O2568" s="9">
        <v>44834</v>
      </c>
      <c r="P2568"/>
      <c r="Q2568" s="9">
        <v>44862</v>
      </c>
      <c r="R2568"/>
      <c r="S2568"/>
      <c r="T2568"/>
      <c r="U2568"/>
    </row>
    <row r="2569" spans="1:21" hidden="1">
      <c r="A2569" s="7" t="s">
        <v>8846</v>
      </c>
      <c r="B2569" s="7" t="s">
        <v>6096</v>
      </c>
      <c r="C2569" s="8" t="s">
        <v>5319</v>
      </c>
      <c r="D2569" t="s">
        <v>272</v>
      </c>
      <c r="E2569" t="s">
        <v>2125</v>
      </c>
      <c r="F2569" t="s">
        <v>2126</v>
      </c>
      <c r="G2569" t="s">
        <v>2242</v>
      </c>
      <c r="H2569" s="9">
        <v>44733</v>
      </c>
      <c r="I2569" t="s">
        <v>77</v>
      </c>
      <c r="J2569" t="s">
        <v>0</v>
      </c>
      <c r="K2569" s="9">
        <v>44799</v>
      </c>
      <c r="L2569" t="s">
        <v>29</v>
      </c>
      <c r="M2569"/>
      <c r="N2569" s="9">
        <v>44778</v>
      </c>
      <c r="O2569"/>
      <c r="P2569"/>
      <c r="Q2569" s="9">
        <v>44799</v>
      </c>
      <c r="R2569"/>
      <c r="S2569"/>
      <c r="T2569"/>
      <c r="U2569"/>
    </row>
    <row r="2570" spans="1:21" hidden="1">
      <c r="A2570" s="7" t="s">
        <v>8855</v>
      </c>
      <c r="B2570" s="7" t="s">
        <v>6839</v>
      </c>
      <c r="C2570" s="8" t="s">
        <v>5319</v>
      </c>
      <c r="D2570" t="s">
        <v>272</v>
      </c>
      <c r="E2570" t="s">
        <v>2238</v>
      </c>
      <c r="F2570" t="s">
        <v>26</v>
      </c>
      <c r="G2570" t="s">
        <v>2243</v>
      </c>
      <c r="H2570" s="9">
        <v>44733</v>
      </c>
      <c r="I2570" t="s">
        <v>77</v>
      </c>
      <c r="J2570" t="s">
        <v>5330</v>
      </c>
      <c r="K2570" s="9">
        <v>44834</v>
      </c>
      <c r="L2570" t="s">
        <v>29</v>
      </c>
      <c r="M2570"/>
      <c r="N2570" s="9">
        <v>44778</v>
      </c>
      <c r="O2570" s="9">
        <v>44834</v>
      </c>
      <c r="P2570"/>
      <c r="Q2570"/>
      <c r="R2570"/>
      <c r="S2570"/>
      <c r="T2570"/>
      <c r="U2570"/>
    </row>
    <row r="2571" spans="1:21" hidden="1">
      <c r="A2571" s="7" t="s">
        <v>8855</v>
      </c>
      <c r="B2571" s="7" t="s">
        <v>6839</v>
      </c>
      <c r="C2571" s="8" t="s">
        <v>5319</v>
      </c>
      <c r="D2571" t="s">
        <v>272</v>
      </c>
      <c r="E2571" t="s">
        <v>2238</v>
      </c>
      <c r="F2571" t="s">
        <v>26</v>
      </c>
      <c r="G2571" t="s">
        <v>2244</v>
      </c>
      <c r="H2571" s="9">
        <v>44733</v>
      </c>
      <c r="I2571" t="s">
        <v>77</v>
      </c>
      <c r="J2571" t="s">
        <v>5330</v>
      </c>
      <c r="K2571" s="9">
        <v>44834</v>
      </c>
      <c r="L2571" t="s">
        <v>29</v>
      </c>
      <c r="M2571"/>
      <c r="N2571" s="9">
        <v>44778</v>
      </c>
      <c r="O2571" s="9">
        <v>44834</v>
      </c>
      <c r="P2571"/>
      <c r="Q2571"/>
      <c r="R2571"/>
      <c r="S2571"/>
      <c r="T2571"/>
      <c r="U2571"/>
    </row>
    <row r="2572" spans="1:21" hidden="1">
      <c r="A2572" s="7" t="s">
        <v>8857</v>
      </c>
      <c r="B2572" s="7" t="s">
        <v>5699</v>
      </c>
      <c r="C2572" s="8" t="s">
        <v>5319</v>
      </c>
      <c r="D2572" t="s">
        <v>272</v>
      </c>
      <c r="E2572" t="s">
        <v>2240</v>
      </c>
      <c r="F2572" t="s">
        <v>200</v>
      </c>
      <c r="G2572" t="s">
        <v>2245</v>
      </c>
      <c r="H2572" s="9">
        <v>44733</v>
      </c>
      <c r="I2572" t="s">
        <v>2130</v>
      </c>
      <c r="J2572" t="s">
        <v>0</v>
      </c>
      <c r="K2572" s="9">
        <v>44862</v>
      </c>
      <c r="L2572" t="s">
        <v>29</v>
      </c>
      <c r="M2572"/>
      <c r="N2572" s="9">
        <v>44778</v>
      </c>
      <c r="O2572" s="9">
        <v>44834</v>
      </c>
      <c r="P2572"/>
      <c r="Q2572" s="9">
        <v>44862</v>
      </c>
      <c r="R2572"/>
      <c r="S2572"/>
      <c r="T2572"/>
      <c r="U2572"/>
    </row>
    <row r="2573" spans="1:21" hidden="1">
      <c r="A2573" s="7" t="s">
        <v>8857</v>
      </c>
      <c r="B2573" s="7" t="s">
        <v>5699</v>
      </c>
      <c r="C2573" s="8" t="s">
        <v>5319</v>
      </c>
      <c r="D2573" t="s">
        <v>272</v>
      </c>
      <c r="E2573" t="s">
        <v>2240</v>
      </c>
      <c r="F2573" t="s">
        <v>200</v>
      </c>
      <c r="G2573" t="s">
        <v>2246</v>
      </c>
      <c r="H2573" s="9">
        <v>44733</v>
      </c>
      <c r="I2573" t="s">
        <v>2130</v>
      </c>
      <c r="J2573" t="s">
        <v>0</v>
      </c>
      <c r="K2573" s="9">
        <v>44862</v>
      </c>
      <c r="L2573" t="s">
        <v>29</v>
      </c>
      <c r="M2573"/>
      <c r="N2573" s="9">
        <v>44778</v>
      </c>
      <c r="O2573" s="9">
        <v>44834</v>
      </c>
      <c r="P2573"/>
      <c r="Q2573" s="9">
        <v>44862</v>
      </c>
      <c r="R2573"/>
      <c r="S2573"/>
      <c r="T2573"/>
      <c r="U2573"/>
    </row>
    <row r="2574" spans="1:21" hidden="1">
      <c r="A2574" s="7" t="s">
        <v>8857</v>
      </c>
      <c r="B2574" s="7" t="s">
        <v>5699</v>
      </c>
      <c r="C2574" s="8" t="s">
        <v>5319</v>
      </c>
      <c r="D2574" t="s">
        <v>272</v>
      </c>
      <c r="E2574" t="s">
        <v>2240</v>
      </c>
      <c r="F2574" t="s">
        <v>200</v>
      </c>
      <c r="G2574" t="s">
        <v>2247</v>
      </c>
      <c r="H2574" s="9">
        <v>44733</v>
      </c>
      <c r="I2574" t="s">
        <v>2130</v>
      </c>
      <c r="J2574" t="s">
        <v>0</v>
      </c>
      <c r="K2574" s="9">
        <v>44862</v>
      </c>
      <c r="L2574" t="s">
        <v>29</v>
      </c>
      <c r="M2574"/>
      <c r="N2574" s="9">
        <v>44778</v>
      </c>
      <c r="O2574" s="9">
        <v>44834</v>
      </c>
      <c r="P2574"/>
      <c r="Q2574" s="9">
        <v>44862</v>
      </c>
      <c r="R2574"/>
      <c r="S2574"/>
      <c r="T2574"/>
      <c r="U2574"/>
    </row>
    <row r="2575" spans="1:21" hidden="1">
      <c r="A2575" s="7" t="s">
        <v>8857</v>
      </c>
      <c r="B2575" s="7" t="s">
        <v>5699</v>
      </c>
      <c r="C2575" s="8" t="s">
        <v>5319</v>
      </c>
      <c r="D2575" t="s">
        <v>272</v>
      </c>
      <c r="E2575" t="s">
        <v>2240</v>
      </c>
      <c r="F2575" t="s">
        <v>200</v>
      </c>
      <c r="G2575" t="s">
        <v>2248</v>
      </c>
      <c r="H2575" s="9">
        <v>44733</v>
      </c>
      <c r="I2575" t="s">
        <v>2130</v>
      </c>
      <c r="J2575" t="s">
        <v>0</v>
      </c>
      <c r="K2575" s="9">
        <v>44862</v>
      </c>
      <c r="L2575" t="s">
        <v>29</v>
      </c>
      <c r="M2575"/>
      <c r="N2575" s="9">
        <v>44778</v>
      </c>
      <c r="O2575" s="9">
        <v>44834</v>
      </c>
      <c r="P2575"/>
      <c r="Q2575" s="9">
        <v>44862</v>
      </c>
      <c r="R2575"/>
      <c r="S2575"/>
      <c r="T2575"/>
      <c r="U2575"/>
    </row>
    <row r="2576" spans="1:21" hidden="1">
      <c r="A2576" s="7" t="s">
        <v>8857</v>
      </c>
      <c r="B2576" s="7" t="s">
        <v>5699</v>
      </c>
      <c r="C2576" s="8" t="s">
        <v>5319</v>
      </c>
      <c r="D2576" t="s">
        <v>272</v>
      </c>
      <c r="E2576" t="s">
        <v>2240</v>
      </c>
      <c r="F2576" t="s">
        <v>200</v>
      </c>
      <c r="G2576" t="s">
        <v>2249</v>
      </c>
      <c r="H2576" s="9">
        <v>44733</v>
      </c>
      <c r="I2576" t="s">
        <v>2130</v>
      </c>
      <c r="J2576" t="s">
        <v>0</v>
      </c>
      <c r="K2576" s="9">
        <v>44862</v>
      </c>
      <c r="L2576" t="s">
        <v>29</v>
      </c>
      <c r="M2576"/>
      <c r="N2576" s="9">
        <v>44778</v>
      </c>
      <c r="O2576" s="9">
        <v>44834</v>
      </c>
      <c r="P2576"/>
      <c r="Q2576" s="9">
        <v>44862</v>
      </c>
      <c r="R2576"/>
      <c r="S2576"/>
      <c r="T2576"/>
      <c r="U2576"/>
    </row>
    <row r="2577" spans="1:21" hidden="1">
      <c r="A2577" s="7" t="s">
        <v>8858</v>
      </c>
      <c r="B2577" s="7" t="s">
        <v>6096</v>
      </c>
      <c r="C2577" s="8" t="s">
        <v>5319</v>
      </c>
      <c r="D2577" t="s">
        <v>272</v>
      </c>
      <c r="E2577" t="s">
        <v>2125</v>
      </c>
      <c r="F2577" t="s">
        <v>2250</v>
      </c>
      <c r="G2577" t="s">
        <v>2251</v>
      </c>
      <c r="H2577" s="9">
        <v>44733</v>
      </c>
      <c r="I2577" t="s">
        <v>109</v>
      </c>
      <c r="J2577" t="s">
        <v>0</v>
      </c>
      <c r="K2577" s="9">
        <v>44841</v>
      </c>
      <c r="L2577" t="s">
        <v>29</v>
      </c>
      <c r="M2577"/>
      <c r="N2577" s="9">
        <v>44778</v>
      </c>
      <c r="O2577" s="9">
        <v>44834</v>
      </c>
      <c r="P2577"/>
      <c r="Q2577" s="9">
        <v>44841</v>
      </c>
      <c r="R2577"/>
      <c r="S2577"/>
      <c r="T2577"/>
      <c r="U2577"/>
    </row>
    <row r="2578" spans="1:21" hidden="1">
      <c r="A2578" s="7" t="s">
        <v>8859</v>
      </c>
      <c r="B2578" s="7" t="s">
        <v>5978</v>
      </c>
      <c r="C2578" s="8" t="s">
        <v>5319</v>
      </c>
      <c r="D2578" t="s">
        <v>272</v>
      </c>
      <c r="E2578" t="s">
        <v>2252</v>
      </c>
      <c r="F2578" t="s">
        <v>2253</v>
      </c>
      <c r="G2578" t="s">
        <v>2254</v>
      </c>
      <c r="H2578" s="9">
        <v>44733</v>
      </c>
      <c r="I2578" t="s">
        <v>81</v>
      </c>
      <c r="J2578" t="s">
        <v>0</v>
      </c>
      <c r="K2578" s="9">
        <v>44813</v>
      </c>
      <c r="L2578" t="s">
        <v>29</v>
      </c>
      <c r="M2578"/>
      <c r="N2578" s="9">
        <v>44778</v>
      </c>
      <c r="O2578"/>
      <c r="P2578"/>
      <c r="Q2578" s="9">
        <v>44813</v>
      </c>
      <c r="R2578" s="9">
        <v>44804.499270833301</v>
      </c>
      <c r="S2578"/>
      <c r="T2578"/>
      <c r="U2578"/>
    </row>
    <row r="2579" spans="1:21" hidden="1">
      <c r="A2579" s="7" t="s">
        <v>8859</v>
      </c>
      <c r="B2579" s="7" t="s">
        <v>5978</v>
      </c>
      <c r="C2579" s="8" t="s">
        <v>5319</v>
      </c>
      <c r="D2579" t="s">
        <v>272</v>
      </c>
      <c r="E2579" t="s">
        <v>2252</v>
      </c>
      <c r="F2579" t="s">
        <v>2253</v>
      </c>
      <c r="G2579" t="s">
        <v>2255</v>
      </c>
      <c r="H2579" s="9">
        <v>44733</v>
      </c>
      <c r="I2579" t="s">
        <v>81</v>
      </c>
      <c r="J2579" t="s">
        <v>0</v>
      </c>
      <c r="K2579" s="9">
        <v>44813</v>
      </c>
      <c r="L2579" t="s">
        <v>29</v>
      </c>
      <c r="M2579"/>
      <c r="N2579" s="9">
        <v>44778</v>
      </c>
      <c r="O2579"/>
      <c r="P2579"/>
      <c r="Q2579" s="9">
        <v>44813</v>
      </c>
      <c r="R2579" s="9">
        <v>44804.499270833301</v>
      </c>
      <c r="S2579"/>
      <c r="T2579"/>
      <c r="U2579"/>
    </row>
    <row r="2580" spans="1:21" hidden="1">
      <c r="A2580" s="7" t="s">
        <v>8860</v>
      </c>
      <c r="B2580" s="7" t="s">
        <v>5687</v>
      </c>
      <c r="C2580" s="8" t="s">
        <v>5319</v>
      </c>
      <c r="D2580" t="s">
        <v>272</v>
      </c>
      <c r="E2580" t="s">
        <v>2256</v>
      </c>
      <c r="F2580" t="s">
        <v>2184</v>
      </c>
      <c r="G2580" t="s">
        <v>2257</v>
      </c>
      <c r="H2580" s="9">
        <v>44733</v>
      </c>
      <c r="I2580" t="s">
        <v>81</v>
      </c>
      <c r="J2580" t="s">
        <v>276</v>
      </c>
      <c r="K2580" s="9">
        <v>44879.706388888902</v>
      </c>
      <c r="L2580" t="s">
        <v>29</v>
      </c>
      <c r="M2580"/>
      <c r="N2580" s="9">
        <v>44778</v>
      </c>
      <c r="O2580" s="9">
        <v>44834</v>
      </c>
      <c r="P2580"/>
      <c r="Q2580"/>
      <c r="R2580" s="9">
        <v>44879.702546296299</v>
      </c>
      <c r="S2580"/>
      <c r="T2580"/>
      <c r="U2580"/>
    </row>
    <row r="2581" spans="1:21" hidden="1">
      <c r="A2581" s="7" t="s">
        <v>8856</v>
      </c>
      <c r="B2581" s="7" t="s">
        <v>5699</v>
      </c>
      <c r="C2581" s="8" t="s">
        <v>5319</v>
      </c>
      <c r="D2581" t="s">
        <v>272</v>
      </c>
      <c r="E2581" t="s">
        <v>2240</v>
      </c>
      <c r="F2581" t="s">
        <v>493</v>
      </c>
      <c r="G2581" t="s">
        <v>2258</v>
      </c>
      <c r="H2581" s="9">
        <v>44733</v>
      </c>
      <c r="I2581" t="s">
        <v>2130</v>
      </c>
      <c r="J2581" t="s">
        <v>0</v>
      </c>
      <c r="K2581" s="9">
        <v>44862</v>
      </c>
      <c r="L2581" t="s">
        <v>29</v>
      </c>
      <c r="M2581"/>
      <c r="N2581" s="9">
        <v>44778</v>
      </c>
      <c r="O2581" s="9">
        <v>44834</v>
      </c>
      <c r="P2581"/>
      <c r="Q2581" s="9">
        <v>44862</v>
      </c>
      <c r="R2581"/>
      <c r="S2581"/>
      <c r="T2581"/>
      <c r="U2581"/>
    </row>
    <row r="2582" spans="1:21" hidden="1">
      <c r="A2582" s="7" t="s">
        <v>8856</v>
      </c>
      <c r="B2582" s="7" t="s">
        <v>5699</v>
      </c>
      <c r="C2582" s="8" t="s">
        <v>5319</v>
      </c>
      <c r="D2582" t="s">
        <v>272</v>
      </c>
      <c r="E2582" t="s">
        <v>2240</v>
      </c>
      <c r="F2582" t="s">
        <v>493</v>
      </c>
      <c r="G2582" t="s">
        <v>2259</v>
      </c>
      <c r="H2582" s="9">
        <v>44733</v>
      </c>
      <c r="I2582" t="s">
        <v>2130</v>
      </c>
      <c r="J2582" t="s">
        <v>0</v>
      </c>
      <c r="K2582" s="9">
        <v>44862</v>
      </c>
      <c r="L2582" t="s">
        <v>29</v>
      </c>
      <c r="M2582"/>
      <c r="N2582" s="9">
        <v>44778</v>
      </c>
      <c r="O2582" s="9">
        <v>44834</v>
      </c>
      <c r="P2582"/>
      <c r="Q2582" s="9">
        <v>44862</v>
      </c>
      <c r="R2582"/>
      <c r="S2582"/>
      <c r="T2582"/>
      <c r="U2582"/>
    </row>
    <row r="2583" spans="1:21" hidden="1">
      <c r="A2583" s="7" t="s">
        <v>8861</v>
      </c>
      <c r="B2583" s="7" t="s">
        <v>8218</v>
      </c>
      <c r="C2583" s="8" t="s">
        <v>5319</v>
      </c>
      <c r="D2583" t="s">
        <v>272</v>
      </c>
      <c r="E2583" t="s">
        <v>2260</v>
      </c>
      <c r="F2583" t="s">
        <v>117</v>
      </c>
      <c r="G2583" t="s">
        <v>2261</v>
      </c>
      <c r="H2583" s="9">
        <v>44733</v>
      </c>
      <c r="I2583" t="s">
        <v>2262</v>
      </c>
      <c r="J2583" t="s">
        <v>0</v>
      </c>
      <c r="K2583" s="9">
        <v>44882</v>
      </c>
      <c r="L2583" t="s">
        <v>29</v>
      </c>
      <c r="M2583"/>
      <c r="N2583" s="9">
        <v>44778</v>
      </c>
      <c r="O2583" s="9">
        <v>44834</v>
      </c>
      <c r="P2583"/>
      <c r="Q2583" s="9">
        <v>44882</v>
      </c>
      <c r="R2583" s="9">
        <v>44879.703275462998</v>
      </c>
      <c r="S2583"/>
      <c r="T2583"/>
      <c r="U2583"/>
    </row>
    <row r="2584" spans="1:21" hidden="1">
      <c r="A2584" s="7" t="s">
        <v>8862</v>
      </c>
      <c r="B2584" s="7" t="s">
        <v>6668</v>
      </c>
      <c r="C2584" s="8" t="s">
        <v>5319</v>
      </c>
      <c r="D2584" t="s">
        <v>272</v>
      </c>
      <c r="E2584" t="s">
        <v>2183</v>
      </c>
      <c r="F2584" t="s">
        <v>493</v>
      </c>
      <c r="G2584" t="s">
        <v>2263</v>
      </c>
      <c r="H2584" s="9">
        <v>44733</v>
      </c>
      <c r="I2584" t="s">
        <v>81</v>
      </c>
      <c r="J2584" t="s">
        <v>0</v>
      </c>
      <c r="K2584" s="9">
        <v>44792</v>
      </c>
      <c r="L2584" t="s">
        <v>29</v>
      </c>
      <c r="M2584"/>
      <c r="N2584" s="9">
        <v>44778</v>
      </c>
      <c r="O2584"/>
      <c r="P2584"/>
      <c r="Q2584" s="9">
        <v>44792</v>
      </c>
      <c r="R2584"/>
      <c r="S2584"/>
      <c r="T2584"/>
      <c r="U2584"/>
    </row>
    <row r="2585" spans="1:21" hidden="1">
      <c r="A2585" s="7" t="s">
        <v>8862</v>
      </c>
      <c r="B2585" s="7" t="s">
        <v>6668</v>
      </c>
      <c r="C2585" s="8" t="s">
        <v>5319</v>
      </c>
      <c r="D2585" t="s">
        <v>272</v>
      </c>
      <c r="E2585" t="s">
        <v>2183</v>
      </c>
      <c r="F2585" t="s">
        <v>493</v>
      </c>
      <c r="G2585" t="s">
        <v>2264</v>
      </c>
      <c r="H2585" s="9">
        <v>44733</v>
      </c>
      <c r="I2585" t="s">
        <v>81</v>
      </c>
      <c r="J2585" t="s">
        <v>0</v>
      </c>
      <c r="K2585" s="9">
        <v>44792</v>
      </c>
      <c r="L2585" t="s">
        <v>29</v>
      </c>
      <c r="M2585"/>
      <c r="N2585" s="9">
        <v>44778</v>
      </c>
      <c r="O2585"/>
      <c r="P2585"/>
      <c r="Q2585" s="9">
        <v>44792</v>
      </c>
      <c r="R2585"/>
      <c r="S2585"/>
      <c r="T2585"/>
      <c r="U2585"/>
    </row>
    <row r="2586" spans="1:21" hidden="1">
      <c r="A2586" s="7" t="s">
        <v>8862</v>
      </c>
      <c r="B2586" s="7" t="s">
        <v>6668</v>
      </c>
      <c r="C2586" s="8" t="s">
        <v>5319</v>
      </c>
      <c r="D2586" t="s">
        <v>272</v>
      </c>
      <c r="E2586" t="s">
        <v>2183</v>
      </c>
      <c r="F2586" t="s">
        <v>493</v>
      </c>
      <c r="G2586" t="s">
        <v>2265</v>
      </c>
      <c r="H2586" s="9">
        <v>44733</v>
      </c>
      <c r="I2586" t="s">
        <v>81</v>
      </c>
      <c r="J2586" t="s">
        <v>0</v>
      </c>
      <c r="K2586" s="9">
        <v>44792</v>
      </c>
      <c r="L2586" t="s">
        <v>29</v>
      </c>
      <c r="M2586"/>
      <c r="N2586" s="9">
        <v>44778</v>
      </c>
      <c r="O2586"/>
      <c r="P2586"/>
      <c r="Q2586" s="9">
        <v>44792</v>
      </c>
      <c r="R2586"/>
      <c r="S2586"/>
      <c r="T2586"/>
      <c r="U2586"/>
    </row>
    <row r="2587" spans="1:21" hidden="1">
      <c r="A2587" s="7" t="s">
        <v>8862</v>
      </c>
      <c r="B2587" s="7" t="s">
        <v>6668</v>
      </c>
      <c r="C2587" s="8" t="s">
        <v>5319</v>
      </c>
      <c r="D2587" t="s">
        <v>272</v>
      </c>
      <c r="E2587" t="s">
        <v>2183</v>
      </c>
      <c r="F2587" t="s">
        <v>493</v>
      </c>
      <c r="G2587" t="s">
        <v>2266</v>
      </c>
      <c r="H2587" s="9">
        <v>44733</v>
      </c>
      <c r="I2587" t="s">
        <v>81</v>
      </c>
      <c r="J2587" t="s">
        <v>0</v>
      </c>
      <c r="K2587" s="9">
        <v>44792</v>
      </c>
      <c r="L2587" t="s">
        <v>29</v>
      </c>
      <c r="M2587"/>
      <c r="N2587" s="9">
        <v>44778</v>
      </c>
      <c r="O2587"/>
      <c r="P2587"/>
      <c r="Q2587" s="9">
        <v>44792</v>
      </c>
      <c r="R2587"/>
      <c r="S2587"/>
      <c r="T2587"/>
      <c r="U2587"/>
    </row>
    <row r="2588" spans="1:21" hidden="1">
      <c r="A2588" s="7" t="s">
        <v>8857</v>
      </c>
      <c r="B2588" s="7" t="s">
        <v>5699</v>
      </c>
      <c r="C2588" s="8" t="s">
        <v>5319</v>
      </c>
      <c r="D2588" t="s">
        <v>272</v>
      </c>
      <c r="E2588" t="s">
        <v>2240</v>
      </c>
      <c r="F2588" t="s">
        <v>200</v>
      </c>
      <c r="G2588" t="s">
        <v>2267</v>
      </c>
      <c r="H2588" s="9">
        <v>44733</v>
      </c>
      <c r="I2588" t="s">
        <v>2130</v>
      </c>
      <c r="J2588" t="s">
        <v>0</v>
      </c>
      <c r="K2588" s="9">
        <v>44862</v>
      </c>
      <c r="L2588" t="s">
        <v>29</v>
      </c>
      <c r="M2588"/>
      <c r="N2588" s="9">
        <v>44778</v>
      </c>
      <c r="O2588" s="9">
        <v>44834</v>
      </c>
      <c r="P2588"/>
      <c r="Q2588" s="9">
        <v>44862</v>
      </c>
      <c r="R2588"/>
      <c r="S2588"/>
      <c r="T2588"/>
      <c r="U2588"/>
    </row>
    <row r="2589" spans="1:21" hidden="1">
      <c r="A2589" s="7" t="s">
        <v>8857</v>
      </c>
      <c r="B2589" s="7" t="s">
        <v>5699</v>
      </c>
      <c r="C2589" s="8" t="s">
        <v>5319</v>
      </c>
      <c r="D2589" t="s">
        <v>272</v>
      </c>
      <c r="E2589" t="s">
        <v>2240</v>
      </c>
      <c r="F2589" t="s">
        <v>200</v>
      </c>
      <c r="G2589" t="s">
        <v>2268</v>
      </c>
      <c r="H2589" s="9">
        <v>44733</v>
      </c>
      <c r="I2589" t="s">
        <v>2130</v>
      </c>
      <c r="J2589" t="s">
        <v>0</v>
      </c>
      <c r="K2589" s="9">
        <v>44862</v>
      </c>
      <c r="L2589" t="s">
        <v>29</v>
      </c>
      <c r="M2589"/>
      <c r="N2589" s="9">
        <v>44778</v>
      </c>
      <c r="O2589" s="9">
        <v>44834</v>
      </c>
      <c r="P2589"/>
      <c r="Q2589" s="9">
        <v>44862</v>
      </c>
      <c r="R2589"/>
      <c r="S2589"/>
      <c r="T2589"/>
      <c r="U2589"/>
    </row>
    <row r="2590" spans="1:21" hidden="1">
      <c r="A2590" s="7" t="s">
        <v>8857</v>
      </c>
      <c r="B2590" s="7" t="s">
        <v>5699</v>
      </c>
      <c r="C2590" s="8" t="s">
        <v>5319</v>
      </c>
      <c r="D2590" t="s">
        <v>272</v>
      </c>
      <c r="E2590" t="s">
        <v>2240</v>
      </c>
      <c r="F2590" t="s">
        <v>200</v>
      </c>
      <c r="G2590" t="s">
        <v>2269</v>
      </c>
      <c r="H2590" s="9">
        <v>44733</v>
      </c>
      <c r="I2590" t="s">
        <v>2130</v>
      </c>
      <c r="J2590" t="s">
        <v>0</v>
      </c>
      <c r="K2590" s="9">
        <v>44862</v>
      </c>
      <c r="L2590" t="s">
        <v>29</v>
      </c>
      <c r="M2590"/>
      <c r="N2590" s="9">
        <v>44778</v>
      </c>
      <c r="O2590" s="9">
        <v>44834</v>
      </c>
      <c r="P2590"/>
      <c r="Q2590" s="9">
        <v>44862</v>
      </c>
      <c r="R2590"/>
      <c r="S2590"/>
      <c r="T2590"/>
      <c r="U2590"/>
    </row>
    <row r="2591" spans="1:21" hidden="1">
      <c r="A2591" s="7" t="s">
        <v>8857</v>
      </c>
      <c r="B2591" s="7" t="s">
        <v>5699</v>
      </c>
      <c r="C2591" s="8" t="s">
        <v>5319</v>
      </c>
      <c r="D2591" t="s">
        <v>272</v>
      </c>
      <c r="E2591" t="s">
        <v>2240</v>
      </c>
      <c r="F2591" t="s">
        <v>200</v>
      </c>
      <c r="G2591" t="s">
        <v>2270</v>
      </c>
      <c r="H2591" s="9">
        <v>44733</v>
      </c>
      <c r="I2591" t="s">
        <v>2130</v>
      </c>
      <c r="J2591" t="s">
        <v>0</v>
      </c>
      <c r="K2591" s="9">
        <v>44862</v>
      </c>
      <c r="L2591" t="s">
        <v>29</v>
      </c>
      <c r="M2591"/>
      <c r="N2591" s="9">
        <v>44778</v>
      </c>
      <c r="O2591" s="9">
        <v>44834</v>
      </c>
      <c r="P2591"/>
      <c r="Q2591" s="9">
        <v>44862</v>
      </c>
      <c r="R2591"/>
      <c r="S2591"/>
      <c r="T2591"/>
      <c r="U2591"/>
    </row>
    <row r="2592" spans="1:21" hidden="1">
      <c r="A2592" s="7" t="s">
        <v>8857</v>
      </c>
      <c r="B2592" s="7" t="s">
        <v>5699</v>
      </c>
      <c r="C2592" s="8" t="s">
        <v>5319</v>
      </c>
      <c r="D2592" t="s">
        <v>272</v>
      </c>
      <c r="E2592" t="s">
        <v>2240</v>
      </c>
      <c r="F2592" t="s">
        <v>200</v>
      </c>
      <c r="G2592" t="s">
        <v>2271</v>
      </c>
      <c r="H2592" s="9">
        <v>44733</v>
      </c>
      <c r="I2592" t="s">
        <v>2130</v>
      </c>
      <c r="J2592" t="s">
        <v>0</v>
      </c>
      <c r="K2592" s="9">
        <v>44862</v>
      </c>
      <c r="L2592" t="s">
        <v>29</v>
      </c>
      <c r="M2592"/>
      <c r="N2592" s="9">
        <v>44778</v>
      </c>
      <c r="O2592" s="9">
        <v>44834</v>
      </c>
      <c r="P2592"/>
      <c r="Q2592" s="9">
        <v>44862</v>
      </c>
      <c r="R2592"/>
      <c r="S2592"/>
      <c r="T2592"/>
      <c r="U2592"/>
    </row>
    <row r="2593" spans="1:21" hidden="1">
      <c r="A2593" s="7" t="s">
        <v>8856</v>
      </c>
      <c r="B2593" s="7" t="s">
        <v>5699</v>
      </c>
      <c r="C2593" s="8" t="s">
        <v>5319</v>
      </c>
      <c r="D2593" t="s">
        <v>272</v>
      </c>
      <c r="E2593" t="s">
        <v>2240</v>
      </c>
      <c r="F2593" t="s">
        <v>493</v>
      </c>
      <c r="G2593" t="s">
        <v>2272</v>
      </c>
      <c r="H2593" s="9">
        <v>44733</v>
      </c>
      <c r="I2593" t="s">
        <v>2130</v>
      </c>
      <c r="J2593" t="s">
        <v>0</v>
      </c>
      <c r="K2593" s="9">
        <v>44862</v>
      </c>
      <c r="L2593" t="s">
        <v>29</v>
      </c>
      <c r="M2593"/>
      <c r="N2593" s="9">
        <v>44778</v>
      </c>
      <c r="O2593" s="9">
        <v>44834</v>
      </c>
      <c r="P2593"/>
      <c r="Q2593" s="9">
        <v>44862</v>
      </c>
      <c r="R2593"/>
      <c r="S2593"/>
      <c r="T2593"/>
      <c r="U2593"/>
    </row>
    <row r="2594" spans="1:21" hidden="1">
      <c r="A2594" s="7" t="s">
        <v>8856</v>
      </c>
      <c r="B2594" s="7" t="s">
        <v>5699</v>
      </c>
      <c r="C2594" s="8" t="s">
        <v>5319</v>
      </c>
      <c r="D2594" t="s">
        <v>272</v>
      </c>
      <c r="E2594" t="s">
        <v>2240</v>
      </c>
      <c r="F2594" t="s">
        <v>493</v>
      </c>
      <c r="G2594" t="s">
        <v>2273</v>
      </c>
      <c r="H2594" s="9">
        <v>44733</v>
      </c>
      <c r="I2594" t="s">
        <v>2130</v>
      </c>
      <c r="J2594" t="s">
        <v>0</v>
      </c>
      <c r="K2594" s="9">
        <v>44862</v>
      </c>
      <c r="L2594" t="s">
        <v>29</v>
      </c>
      <c r="M2594"/>
      <c r="N2594" s="9">
        <v>44778</v>
      </c>
      <c r="O2594" s="9">
        <v>44834</v>
      </c>
      <c r="P2594"/>
      <c r="Q2594" s="9">
        <v>44862</v>
      </c>
      <c r="R2594"/>
      <c r="S2594"/>
      <c r="T2594"/>
      <c r="U2594"/>
    </row>
    <row r="2595" spans="1:21" hidden="1">
      <c r="A2595" s="7" t="s">
        <v>8856</v>
      </c>
      <c r="B2595" s="7" t="s">
        <v>5699</v>
      </c>
      <c r="C2595" s="8" t="s">
        <v>5319</v>
      </c>
      <c r="D2595" t="s">
        <v>272</v>
      </c>
      <c r="E2595" t="s">
        <v>2240</v>
      </c>
      <c r="F2595" t="s">
        <v>493</v>
      </c>
      <c r="G2595" t="s">
        <v>2274</v>
      </c>
      <c r="H2595" s="9">
        <v>44733</v>
      </c>
      <c r="I2595" t="s">
        <v>2130</v>
      </c>
      <c r="J2595" t="s">
        <v>0</v>
      </c>
      <c r="K2595" s="9">
        <v>44862</v>
      </c>
      <c r="L2595" t="s">
        <v>29</v>
      </c>
      <c r="M2595"/>
      <c r="N2595" s="9">
        <v>44778</v>
      </c>
      <c r="O2595" s="9">
        <v>44834</v>
      </c>
      <c r="P2595"/>
      <c r="Q2595" s="9">
        <v>44862</v>
      </c>
      <c r="R2595"/>
      <c r="S2595"/>
      <c r="T2595"/>
      <c r="U2595"/>
    </row>
    <row r="2596" spans="1:21" hidden="1">
      <c r="A2596" s="7" t="s">
        <v>8856</v>
      </c>
      <c r="B2596" s="7" t="s">
        <v>5699</v>
      </c>
      <c r="C2596" s="8" t="s">
        <v>5319</v>
      </c>
      <c r="D2596" t="s">
        <v>272</v>
      </c>
      <c r="E2596" t="s">
        <v>2240</v>
      </c>
      <c r="F2596" t="s">
        <v>493</v>
      </c>
      <c r="G2596" t="s">
        <v>2275</v>
      </c>
      <c r="H2596" s="9">
        <v>44733</v>
      </c>
      <c r="I2596" t="s">
        <v>2130</v>
      </c>
      <c r="J2596" t="s">
        <v>0</v>
      </c>
      <c r="K2596" s="9">
        <v>44862</v>
      </c>
      <c r="L2596" t="s">
        <v>29</v>
      </c>
      <c r="M2596"/>
      <c r="N2596" s="9">
        <v>44778</v>
      </c>
      <c r="O2596" s="9">
        <v>44834</v>
      </c>
      <c r="P2596"/>
      <c r="Q2596" s="9">
        <v>44862</v>
      </c>
      <c r="R2596"/>
      <c r="S2596"/>
      <c r="T2596"/>
      <c r="U2596"/>
    </row>
    <row r="2597" spans="1:21" hidden="1">
      <c r="A2597" s="7" t="s">
        <v>8863</v>
      </c>
      <c r="B2597" s="7" t="s">
        <v>5870</v>
      </c>
      <c r="C2597" s="8" t="s">
        <v>5319</v>
      </c>
      <c r="D2597" t="s">
        <v>272</v>
      </c>
      <c r="E2597" t="s">
        <v>2276</v>
      </c>
      <c r="F2597" t="s">
        <v>117</v>
      </c>
      <c r="G2597" t="s">
        <v>2277</v>
      </c>
      <c r="H2597" s="9">
        <v>44733</v>
      </c>
      <c r="I2597" t="s">
        <v>2130</v>
      </c>
      <c r="J2597" t="s">
        <v>5330</v>
      </c>
      <c r="K2597" s="9">
        <v>44834</v>
      </c>
      <c r="L2597" t="s">
        <v>29</v>
      </c>
      <c r="M2597"/>
      <c r="N2597" s="9">
        <v>44778</v>
      </c>
      <c r="O2597" s="9">
        <v>44834</v>
      </c>
      <c r="P2597"/>
      <c r="Q2597"/>
      <c r="R2597"/>
      <c r="S2597"/>
      <c r="T2597"/>
      <c r="U2597"/>
    </row>
    <row r="2598" spans="1:21" hidden="1">
      <c r="A2598" s="7" t="s">
        <v>8856</v>
      </c>
      <c r="B2598" s="7" t="s">
        <v>5699</v>
      </c>
      <c r="C2598" s="8" t="s">
        <v>5319</v>
      </c>
      <c r="D2598" t="s">
        <v>272</v>
      </c>
      <c r="E2598" t="s">
        <v>2240</v>
      </c>
      <c r="F2598" t="s">
        <v>493</v>
      </c>
      <c r="G2598" t="s">
        <v>2278</v>
      </c>
      <c r="H2598" s="9">
        <v>44733</v>
      </c>
      <c r="I2598" t="s">
        <v>2130</v>
      </c>
      <c r="J2598" t="s">
        <v>0</v>
      </c>
      <c r="K2598" s="9">
        <v>44862</v>
      </c>
      <c r="L2598" t="s">
        <v>29</v>
      </c>
      <c r="M2598"/>
      <c r="N2598" s="9">
        <v>44778</v>
      </c>
      <c r="O2598" s="9">
        <v>44834</v>
      </c>
      <c r="P2598"/>
      <c r="Q2598" s="9">
        <v>44862</v>
      </c>
      <c r="R2598"/>
      <c r="S2598"/>
      <c r="T2598"/>
      <c r="U2598"/>
    </row>
    <row r="2599" spans="1:21" hidden="1">
      <c r="A2599" s="7" t="s">
        <v>8860</v>
      </c>
      <c r="B2599" s="7" t="s">
        <v>5687</v>
      </c>
      <c r="C2599" s="8" t="s">
        <v>5319</v>
      </c>
      <c r="D2599" t="s">
        <v>272</v>
      </c>
      <c r="E2599" t="s">
        <v>2256</v>
      </c>
      <c r="F2599" t="s">
        <v>2184</v>
      </c>
      <c r="G2599" t="s">
        <v>2279</v>
      </c>
      <c r="H2599" s="9">
        <v>44733</v>
      </c>
      <c r="I2599" t="s">
        <v>81</v>
      </c>
      <c r="J2599" t="s">
        <v>276</v>
      </c>
      <c r="K2599" s="9">
        <v>44879.706388888902</v>
      </c>
      <c r="L2599" t="s">
        <v>29</v>
      </c>
      <c r="M2599"/>
      <c r="N2599" s="9">
        <v>44778</v>
      </c>
      <c r="O2599" s="9">
        <v>44834</v>
      </c>
      <c r="P2599"/>
      <c r="Q2599"/>
      <c r="R2599" s="9">
        <v>44879.702546296299</v>
      </c>
      <c r="S2599"/>
      <c r="T2599"/>
      <c r="U2599"/>
    </row>
    <row r="2600" spans="1:21" hidden="1">
      <c r="A2600" s="7" t="s">
        <v>8857</v>
      </c>
      <c r="B2600" s="7" t="s">
        <v>5699</v>
      </c>
      <c r="C2600" s="8" t="s">
        <v>5319</v>
      </c>
      <c r="D2600" t="s">
        <v>272</v>
      </c>
      <c r="E2600" t="s">
        <v>2240</v>
      </c>
      <c r="F2600" t="s">
        <v>200</v>
      </c>
      <c r="G2600" t="s">
        <v>2280</v>
      </c>
      <c r="H2600" s="9">
        <v>44733</v>
      </c>
      <c r="I2600" t="s">
        <v>2130</v>
      </c>
      <c r="J2600" t="s">
        <v>0</v>
      </c>
      <c r="K2600" s="9">
        <v>44862</v>
      </c>
      <c r="L2600" t="s">
        <v>29</v>
      </c>
      <c r="M2600"/>
      <c r="N2600" s="9">
        <v>44778</v>
      </c>
      <c r="O2600" s="9">
        <v>44834</v>
      </c>
      <c r="P2600"/>
      <c r="Q2600" s="9">
        <v>44862</v>
      </c>
      <c r="R2600"/>
      <c r="S2600"/>
      <c r="T2600"/>
      <c r="U2600"/>
    </row>
    <row r="2601" spans="1:21" hidden="1">
      <c r="A2601" s="7" t="s">
        <v>8857</v>
      </c>
      <c r="B2601" s="7" t="s">
        <v>5699</v>
      </c>
      <c r="C2601" s="8" t="s">
        <v>5319</v>
      </c>
      <c r="D2601" t="s">
        <v>272</v>
      </c>
      <c r="E2601" t="s">
        <v>2240</v>
      </c>
      <c r="F2601" t="s">
        <v>200</v>
      </c>
      <c r="G2601" t="s">
        <v>2281</v>
      </c>
      <c r="H2601" s="9">
        <v>44733</v>
      </c>
      <c r="I2601" t="s">
        <v>2130</v>
      </c>
      <c r="J2601" t="s">
        <v>0</v>
      </c>
      <c r="K2601" s="9">
        <v>44862</v>
      </c>
      <c r="L2601" t="s">
        <v>29</v>
      </c>
      <c r="M2601"/>
      <c r="N2601" s="9">
        <v>44778</v>
      </c>
      <c r="O2601" s="9">
        <v>44834</v>
      </c>
      <c r="P2601"/>
      <c r="Q2601" s="9">
        <v>44862</v>
      </c>
      <c r="R2601"/>
      <c r="S2601"/>
      <c r="T2601"/>
      <c r="U2601"/>
    </row>
    <row r="2602" spans="1:21" hidden="1">
      <c r="A2602" s="7" t="s">
        <v>8845</v>
      </c>
      <c r="B2602" s="7" t="s">
        <v>6307</v>
      </c>
      <c r="C2602" s="8" t="s">
        <v>5319</v>
      </c>
      <c r="D2602" t="s">
        <v>272</v>
      </c>
      <c r="E2602" t="s">
        <v>78</v>
      </c>
      <c r="F2602" t="s">
        <v>2123</v>
      </c>
      <c r="G2602" t="s">
        <v>2282</v>
      </c>
      <c r="H2602" s="9">
        <v>44733</v>
      </c>
      <c r="I2602" t="s">
        <v>81</v>
      </c>
      <c r="J2602" t="s">
        <v>5330</v>
      </c>
      <c r="K2602" s="9">
        <v>44834</v>
      </c>
      <c r="L2602" t="s">
        <v>29</v>
      </c>
      <c r="M2602"/>
      <c r="N2602" s="9">
        <v>44778</v>
      </c>
      <c r="O2602" s="9">
        <v>44834</v>
      </c>
      <c r="P2602"/>
      <c r="Q2602"/>
      <c r="R2602"/>
      <c r="S2602"/>
      <c r="T2602"/>
      <c r="U2602"/>
    </row>
    <row r="2603" spans="1:21" hidden="1">
      <c r="A2603" s="7" t="s">
        <v>8845</v>
      </c>
      <c r="B2603" s="7" t="s">
        <v>6307</v>
      </c>
      <c r="C2603" s="8" t="s">
        <v>5319</v>
      </c>
      <c r="D2603" t="s">
        <v>272</v>
      </c>
      <c r="E2603" t="s">
        <v>78</v>
      </c>
      <c r="F2603" t="s">
        <v>2123</v>
      </c>
      <c r="G2603" t="s">
        <v>2283</v>
      </c>
      <c r="H2603" s="9">
        <v>44733</v>
      </c>
      <c r="I2603" t="s">
        <v>81</v>
      </c>
      <c r="J2603" t="s">
        <v>5330</v>
      </c>
      <c r="K2603" s="9">
        <v>44834</v>
      </c>
      <c r="L2603" t="s">
        <v>29</v>
      </c>
      <c r="M2603"/>
      <c r="N2603" s="9">
        <v>44778</v>
      </c>
      <c r="O2603" s="9">
        <v>44834</v>
      </c>
      <c r="P2603"/>
      <c r="Q2603"/>
      <c r="R2603"/>
      <c r="S2603"/>
      <c r="T2603"/>
      <c r="U2603"/>
    </row>
    <row r="2604" spans="1:21" hidden="1">
      <c r="A2604" s="7" t="s">
        <v>8845</v>
      </c>
      <c r="B2604" s="7" t="s">
        <v>6307</v>
      </c>
      <c r="C2604" s="8" t="s">
        <v>5319</v>
      </c>
      <c r="D2604" t="s">
        <v>272</v>
      </c>
      <c r="E2604" t="s">
        <v>78</v>
      </c>
      <c r="F2604" t="s">
        <v>2123</v>
      </c>
      <c r="G2604" t="s">
        <v>2284</v>
      </c>
      <c r="H2604" s="9">
        <v>44733</v>
      </c>
      <c r="I2604" t="s">
        <v>81</v>
      </c>
      <c r="J2604" t="s">
        <v>5330</v>
      </c>
      <c r="K2604" s="9">
        <v>44834</v>
      </c>
      <c r="L2604" t="s">
        <v>29</v>
      </c>
      <c r="M2604"/>
      <c r="N2604" s="9">
        <v>44778</v>
      </c>
      <c r="O2604" s="9">
        <v>44834</v>
      </c>
      <c r="P2604"/>
      <c r="Q2604"/>
      <c r="R2604"/>
      <c r="S2604"/>
      <c r="T2604"/>
      <c r="U2604"/>
    </row>
    <row r="2605" spans="1:21" hidden="1">
      <c r="A2605" s="7" t="s">
        <v>8845</v>
      </c>
      <c r="B2605" s="7" t="s">
        <v>6307</v>
      </c>
      <c r="C2605" s="8" t="s">
        <v>5319</v>
      </c>
      <c r="D2605" t="s">
        <v>272</v>
      </c>
      <c r="E2605" t="s">
        <v>78</v>
      </c>
      <c r="F2605" t="s">
        <v>2123</v>
      </c>
      <c r="G2605" t="s">
        <v>2285</v>
      </c>
      <c r="H2605" s="9">
        <v>44733</v>
      </c>
      <c r="I2605" t="s">
        <v>81</v>
      </c>
      <c r="J2605" t="s">
        <v>5330</v>
      </c>
      <c r="K2605" s="9">
        <v>44834</v>
      </c>
      <c r="L2605" t="s">
        <v>29</v>
      </c>
      <c r="M2605"/>
      <c r="N2605" s="9">
        <v>44778</v>
      </c>
      <c r="O2605" s="9">
        <v>44834</v>
      </c>
      <c r="P2605"/>
      <c r="Q2605"/>
      <c r="R2605"/>
      <c r="S2605"/>
      <c r="T2605"/>
      <c r="U2605"/>
    </row>
    <row r="2606" spans="1:21" hidden="1">
      <c r="A2606" s="7" t="s">
        <v>8845</v>
      </c>
      <c r="B2606" s="7" t="s">
        <v>6307</v>
      </c>
      <c r="C2606" s="8" t="s">
        <v>5319</v>
      </c>
      <c r="D2606" t="s">
        <v>272</v>
      </c>
      <c r="E2606" t="s">
        <v>78</v>
      </c>
      <c r="F2606" t="s">
        <v>2123</v>
      </c>
      <c r="G2606" t="s">
        <v>2286</v>
      </c>
      <c r="H2606" s="9">
        <v>44733</v>
      </c>
      <c r="I2606" t="s">
        <v>81</v>
      </c>
      <c r="J2606" t="s">
        <v>5330</v>
      </c>
      <c r="K2606" s="9">
        <v>44834</v>
      </c>
      <c r="L2606" t="s">
        <v>29</v>
      </c>
      <c r="M2606"/>
      <c r="N2606" s="9">
        <v>44778</v>
      </c>
      <c r="O2606" s="9">
        <v>44834</v>
      </c>
      <c r="P2606"/>
      <c r="Q2606"/>
      <c r="R2606"/>
      <c r="S2606"/>
      <c r="T2606"/>
      <c r="U2606"/>
    </row>
    <row r="2607" spans="1:21" hidden="1">
      <c r="A2607" s="7" t="s">
        <v>8845</v>
      </c>
      <c r="B2607" s="7" t="s">
        <v>6307</v>
      </c>
      <c r="C2607" s="8" t="s">
        <v>5319</v>
      </c>
      <c r="D2607" t="s">
        <v>272</v>
      </c>
      <c r="E2607" t="s">
        <v>78</v>
      </c>
      <c r="F2607" t="s">
        <v>2123</v>
      </c>
      <c r="G2607" t="s">
        <v>2287</v>
      </c>
      <c r="H2607" s="9">
        <v>44733</v>
      </c>
      <c r="I2607" t="s">
        <v>81</v>
      </c>
      <c r="J2607" t="s">
        <v>5330</v>
      </c>
      <c r="K2607" s="9">
        <v>44834</v>
      </c>
      <c r="L2607" t="s">
        <v>29</v>
      </c>
      <c r="M2607"/>
      <c r="N2607" s="9">
        <v>44778</v>
      </c>
      <c r="O2607" s="9">
        <v>44834</v>
      </c>
      <c r="P2607"/>
      <c r="Q2607"/>
      <c r="R2607"/>
      <c r="S2607"/>
      <c r="T2607"/>
      <c r="U2607"/>
    </row>
    <row r="2608" spans="1:21" hidden="1">
      <c r="A2608" s="7" t="s">
        <v>8862</v>
      </c>
      <c r="B2608" s="7" t="s">
        <v>6668</v>
      </c>
      <c r="C2608" s="8" t="s">
        <v>5319</v>
      </c>
      <c r="D2608" t="s">
        <v>272</v>
      </c>
      <c r="E2608" t="s">
        <v>2183</v>
      </c>
      <c r="F2608" t="s">
        <v>493</v>
      </c>
      <c r="G2608" t="s">
        <v>2288</v>
      </c>
      <c r="H2608" s="9">
        <v>44733</v>
      </c>
      <c r="I2608" t="s">
        <v>81</v>
      </c>
      <c r="J2608" t="s">
        <v>0</v>
      </c>
      <c r="K2608" s="9">
        <v>44792</v>
      </c>
      <c r="L2608" t="s">
        <v>29</v>
      </c>
      <c r="M2608"/>
      <c r="N2608" s="9">
        <v>44778</v>
      </c>
      <c r="O2608"/>
      <c r="P2608"/>
      <c r="Q2608" s="9">
        <v>44792</v>
      </c>
      <c r="R2608"/>
      <c r="S2608"/>
      <c r="T2608"/>
      <c r="U2608"/>
    </row>
    <row r="2609" spans="1:21" hidden="1">
      <c r="A2609" s="7" t="s">
        <v>8862</v>
      </c>
      <c r="B2609" s="7" t="s">
        <v>6668</v>
      </c>
      <c r="C2609" s="8" t="s">
        <v>5319</v>
      </c>
      <c r="D2609" t="s">
        <v>272</v>
      </c>
      <c r="E2609" t="s">
        <v>2183</v>
      </c>
      <c r="F2609" t="s">
        <v>493</v>
      </c>
      <c r="G2609" t="s">
        <v>2289</v>
      </c>
      <c r="H2609" s="9">
        <v>44733</v>
      </c>
      <c r="I2609" t="s">
        <v>81</v>
      </c>
      <c r="J2609" t="s">
        <v>0</v>
      </c>
      <c r="K2609" s="9">
        <v>44792</v>
      </c>
      <c r="L2609" t="s">
        <v>29</v>
      </c>
      <c r="M2609"/>
      <c r="N2609" s="9">
        <v>44778</v>
      </c>
      <c r="O2609"/>
      <c r="P2609"/>
      <c r="Q2609" s="9">
        <v>44792</v>
      </c>
      <c r="R2609"/>
      <c r="S2609"/>
      <c r="T2609"/>
      <c r="U2609"/>
    </row>
    <row r="2610" spans="1:21" hidden="1">
      <c r="A2610" s="7" t="s">
        <v>8862</v>
      </c>
      <c r="B2610" s="7" t="s">
        <v>6668</v>
      </c>
      <c r="C2610" s="8" t="s">
        <v>5319</v>
      </c>
      <c r="D2610" t="s">
        <v>272</v>
      </c>
      <c r="E2610" t="s">
        <v>2183</v>
      </c>
      <c r="F2610" t="s">
        <v>493</v>
      </c>
      <c r="G2610" t="s">
        <v>2290</v>
      </c>
      <c r="H2610" s="9">
        <v>44733</v>
      </c>
      <c r="I2610" t="s">
        <v>81</v>
      </c>
      <c r="J2610" t="s">
        <v>0</v>
      </c>
      <c r="K2610" s="9">
        <v>44792</v>
      </c>
      <c r="L2610" t="s">
        <v>29</v>
      </c>
      <c r="M2610"/>
      <c r="N2610" s="9">
        <v>44778</v>
      </c>
      <c r="O2610"/>
      <c r="P2610"/>
      <c r="Q2610" s="9">
        <v>44792</v>
      </c>
      <c r="R2610"/>
      <c r="S2610"/>
      <c r="T2610"/>
      <c r="U2610"/>
    </row>
    <row r="2611" spans="1:21" hidden="1">
      <c r="A2611" s="7" t="s">
        <v>8845</v>
      </c>
      <c r="B2611" s="7" t="s">
        <v>6307</v>
      </c>
      <c r="C2611" s="8" t="s">
        <v>5319</v>
      </c>
      <c r="D2611" t="s">
        <v>272</v>
      </c>
      <c r="E2611" t="s">
        <v>78</v>
      </c>
      <c r="F2611" t="s">
        <v>2123</v>
      </c>
      <c r="G2611" t="s">
        <v>2291</v>
      </c>
      <c r="H2611" s="9">
        <v>44733</v>
      </c>
      <c r="I2611" t="s">
        <v>81</v>
      </c>
      <c r="J2611" t="s">
        <v>5330</v>
      </c>
      <c r="K2611" s="9">
        <v>44834</v>
      </c>
      <c r="L2611" t="s">
        <v>29</v>
      </c>
      <c r="M2611"/>
      <c r="N2611" s="9">
        <v>44778</v>
      </c>
      <c r="O2611" s="9">
        <v>44834</v>
      </c>
      <c r="P2611"/>
      <c r="Q2611"/>
      <c r="R2611"/>
      <c r="S2611"/>
      <c r="T2611"/>
      <c r="U2611"/>
    </row>
    <row r="2612" spans="1:21" hidden="1">
      <c r="A2612" s="7" t="s">
        <v>8845</v>
      </c>
      <c r="B2612" s="7" t="s">
        <v>6307</v>
      </c>
      <c r="C2612" s="8" t="s">
        <v>5319</v>
      </c>
      <c r="D2612" t="s">
        <v>272</v>
      </c>
      <c r="E2612" t="s">
        <v>78</v>
      </c>
      <c r="F2612" t="s">
        <v>2123</v>
      </c>
      <c r="G2612" t="s">
        <v>2292</v>
      </c>
      <c r="H2612" s="9">
        <v>44733</v>
      </c>
      <c r="I2612" t="s">
        <v>81</v>
      </c>
      <c r="J2612" t="s">
        <v>5330</v>
      </c>
      <c r="K2612" s="9">
        <v>44834</v>
      </c>
      <c r="L2612" t="s">
        <v>29</v>
      </c>
      <c r="M2612"/>
      <c r="N2612" s="9">
        <v>44778</v>
      </c>
      <c r="O2612" s="9">
        <v>44834</v>
      </c>
      <c r="P2612"/>
      <c r="Q2612"/>
      <c r="R2612"/>
      <c r="S2612"/>
      <c r="T2612"/>
      <c r="U2612"/>
    </row>
    <row r="2613" spans="1:21" hidden="1">
      <c r="A2613" s="7" t="s">
        <v>8845</v>
      </c>
      <c r="B2613" s="7" t="s">
        <v>6307</v>
      </c>
      <c r="C2613" s="8" t="s">
        <v>5319</v>
      </c>
      <c r="D2613" t="s">
        <v>272</v>
      </c>
      <c r="E2613" t="s">
        <v>78</v>
      </c>
      <c r="F2613" t="s">
        <v>2123</v>
      </c>
      <c r="G2613" t="s">
        <v>2293</v>
      </c>
      <c r="H2613" s="9">
        <v>44733</v>
      </c>
      <c r="I2613" t="s">
        <v>81</v>
      </c>
      <c r="J2613" t="s">
        <v>5330</v>
      </c>
      <c r="K2613" s="9">
        <v>44834</v>
      </c>
      <c r="L2613" t="s">
        <v>29</v>
      </c>
      <c r="M2613"/>
      <c r="N2613" s="9">
        <v>44778</v>
      </c>
      <c r="O2613" s="9">
        <v>44834</v>
      </c>
      <c r="P2613"/>
      <c r="Q2613"/>
      <c r="R2613"/>
      <c r="S2613"/>
      <c r="T2613"/>
      <c r="U2613"/>
    </row>
    <row r="2614" spans="1:21" hidden="1">
      <c r="A2614" s="7" t="s">
        <v>8845</v>
      </c>
      <c r="B2614" s="7" t="s">
        <v>6307</v>
      </c>
      <c r="C2614" s="8" t="s">
        <v>5319</v>
      </c>
      <c r="D2614" t="s">
        <v>272</v>
      </c>
      <c r="E2614" t="s">
        <v>78</v>
      </c>
      <c r="F2614" t="s">
        <v>2123</v>
      </c>
      <c r="G2614" t="s">
        <v>2294</v>
      </c>
      <c r="H2614" s="9">
        <v>44733</v>
      </c>
      <c r="I2614" t="s">
        <v>81</v>
      </c>
      <c r="J2614" t="s">
        <v>5330</v>
      </c>
      <c r="K2614" s="9">
        <v>44834</v>
      </c>
      <c r="L2614" t="s">
        <v>29</v>
      </c>
      <c r="M2614"/>
      <c r="N2614" s="9">
        <v>44778</v>
      </c>
      <c r="O2614" s="9">
        <v>44834</v>
      </c>
      <c r="P2614"/>
      <c r="Q2614"/>
      <c r="R2614"/>
      <c r="S2614"/>
      <c r="T2614"/>
      <c r="U2614"/>
    </row>
    <row r="2615" spans="1:21" hidden="1">
      <c r="A2615" s="7" t="s">
        <v>8845</v>
      </c>
      <c r="B2615" s="7" t="s">
        <v>6307</v>
      </c>
      <c r="C2615" s="8" t="s">
        <v>5319</v>
      </c>
      <c r="D2615" t="s">
        <v>272</v>
      </c>
      <c r="E2615" t="s">
        <v>78</v>
      </c>
      <c r="F2615" t="s">
        <v>2123</v>
      </c>
      <c r="G2615" t="s">
        <v>2295</v>
      </c>
      <c r="H2615" s="9">
        <v>44733</v>
      </c>
      <c r="I2615" t="s">
        <v>81</v>
      </c>
      <c r="J2615" t="s">
        <v>5330</v>
      </c>
      <c r="K2615" s="9">
        <v>44834</v>
      </c>
      <c r="L2615" t="s">
        <v>29</v>
      </c>
      <c r="M2615"/>
      <c r="N2615" s="9">
        <v>44778</v>
      </c>
      <c r="O2615" s="9">
        <v>44834</v>
      </c>
      <c r="P2615"/>
      <c r="Q2615"/>
      <c r="R2615"/>
      <c r="S2615"/>
      <c r="T2615"/>
      <c r="U2615"/>
    </row>
    <row r="2616" spans="1:21" hidden="1">
      <c r="A2616" s="7" t="s">
        <v>8845</v>
      </c>
      <c r="B2616" s="7" t="s">
        <v>6307</v>
      </c>
      <c r="C2616" s="8" t="s">
        <v>5319</v>
      </c>
      <c r="D2616" t="s">
        <v>272</v>
      </c>
      <c r="E2616" t="s">
        <v>78</v>
      </c>
      <c r="F2616" t="s">
        <v>2123</v>
      </c>
      <c r="G2616" t="s">
        <v>2296</v>
      </c>
      <c r="H2616" s="9">
        <v>44733</v>
      </c>
      <c r="I2616" t="s">
        <v>81</v>
      </c>
      <c r="J2616" t="s">
        <v>5330</v>
      </c>
      <c r="K2616" s="9">
        <v>44834</v>
      </c>
      <c r="L2616" t="s">
        <v>29</v>
      </c>
      <c r="M2616"/>
      <c r="N2616" s="9">
        <v>44778</v>
      </c>
      <c r="O2616" s="9">
        <v>44834</v>
      </c>
      <c r="P2616"/>
      <c r="Q2616"/>
      <c r="R2616"/>
      <c r="S2616"/>
      <c r="T2616"/>
      <c r="U2616"/>
    </row>
    <row r="2617" spans="1:21" hidden="1">
      <c r="A2617" s="7" t="s">
        <v>8845</v>
      </c>
      <c r="B2617" s="7" t="s">
        <v>6307</v>
      </c>
      <c r="C2617" s="8" t="s">
        <v>5319</v>
      </c>
      <c r="D2617" t="s">
        <v>272</v>
      </c>
      <c r="E2617" t="s">
        <v>78</v>
      </c>
      <c r="F2617" t="s">
        <v>2123</v>
      </c>
      <c r="G2617" t="s">
        <v>2297</v>
      </c>
      <c r="H2617" s="9">
        <v>44733</v>
      </c>
      <c r="I2617" t="s">
        <v>81</v>
      </c>
      <c r="J2617" t="s">
        <v>5330</v>
      </c>
      <c r="K2617" s="9">
        <v>44834</v>
      </c>
      <c r="L2617" t="s">
        <v>29</v>
      </c>
      <c r="M2617"/>
      <c r="N2617" s="9">
        <v>44778</v>
      </c>
      <c r="O2617" s="9">
        <v>44834</v>
      </c>
      <c r="P2617"/>
      <c r="Q2617"/>
      <c r="R2617"/>
      <c r="S2617"/>
      <c r="T2617"/>
      <c r="U2617"/>
    </row>
    <row r="2618" spans="1:21" hidden="1">
      <c r="A2618" s="7" t="s">
        <v>8845</v>
      </c>
      <c r="B2618" s="7" t="s">
        <v>6307</v>
      </c>
      <c r="C2618" s="8" t="s">
        <v>5319</v>
      </c>
      <c r="D2618" t="s">
        <v>272</v>
      </c>
      <c r="E2618" t="s">
        <v>78</v>
      </c>
      <c r="F2618" t="s">
        <v>2123</v>
      </c>
      <c r="G2618" t="s">
        <v>2298</v>
      </c>
      <c r="H2618" s="9">
        <v>44733</v>
      </c>
      <c r="I2618" t="s">
        <v>81</v>
      </c>
      <c r="J2618" t="s">
        <v>5330</v>
      </c>
      <c r="K2618" s="9">
        <v>44834</v>
      </c>
      <c r="L2618" t="s">
        <v>29</v>
      </c>
      <c r="M2618"/>
      <c r="N2618" s="9">
        <v>44778</v>
      </c>
      <c r="O2618" s="9">
        <v>44834</v>
      </c>
      <c r="P2618"/>
      <c r="Q2618"/>
      <c r="R2618"/>
      <c r="S2618"/>
      <c r="T2618"/>
      <c r="U2618"/>
    </row>
    <row r="2619" spans="1:21" hidden="1">
      <c r="A2619" s="7" t="s">
        <v>8845</v>
      </c>
      <c r="B2619" s="7" t="s">
        <v>6307</v>
      </c>
      <c r="C2619" s="8" t="s">
        <v>5319</v>
      </c>
      <c r="D2619" t="s">
        <v>272</v>
      </c>
      <c r="E2619" t="s">
        <v>78</v>
      </c>
      <c r="F2619" t="s">
        <v>2123</v>
      </c>
      <c r="G2619" t="s">
        <v>2299</v>
      </c>
      <c r="H2619" s="9">
        <v>44733</v>
      </c>
      <c r="I2619" t="s">
        <v>81</v>
      </c>
      <c r="J2619" t="s">
        <v>5330</v>
      </c>
      <c r="K2619" s="9">
        <v>44834</v>
      </c>
      <c r="L2619" t="s">
        <v>29</v>
      </c>
      <c r="M2619"/>
      <c r="N2619" s="9">
        <v>44778</v>
      </c>
      <c r="O2619" s="9">
        <v>44834</v>
      </c>
      <c r="P2619"/>
      <c r="Q2619"/>
      <c r="R2619"/>
      <c r="S2619"/>
      <c r="T2619"/>
      <c r="U2619"/>
    </row>
    <row r="2620" spans="1:21" hidden="1">
      <c r="A2620" s="7" t="s">
        <v>8845</v>
      </c>
      <c r="B2620" s="7" t="s">
        <v>6307</v>
      </c>
      <c r="C2620" s="8" t="s">
        <v>5319</v>
      </c>
      <c r="D2620" t="s">
        <v>272</v>
      </c>
      <c r="E2620" t="s">
        <v>78</v>
      </c>
      <c r="F2620" t="s">
        <v>2123</v>
      </c>
      <c r="G2620" t="s">
        <v>2300</v>
      </c>
      <c r="H2620" s="9">
        <v>44733</v>
      </c>
      <c r="I2620" t="s">
        <v>81</v>
      </c>
      <c r="J2620" t="s">
        <v>5330</v>
      </c>
      <c r="K2620" s="9">
        <v>44834</v>
      </c>
      <c r="L2620" t="s">
        <v>29</v>
      </c>
      <c r="M2620"/>
      <c r="N2620" s="9">
        <v>44778</v>
      </c>
      <c r="O2620" s="9">
        <v>44834</v>
      </c>
      <c r="P2620"/>
      <c r="Q2620"/>
      <c r="R2620"/>
      <c r="S2620"/>
      <c r="T2620"/>
      <c r="U2620"/>
    </row>
    <row r="2621" spans="1:21" hidden="1">
      <c r="A2621" s="7" t="s">
        <v>8845</v>
      </c>
      <c r="B2621" s="7" t="s">
        <v>6307</v>
      </c>
      <c r="C2621" s="8" t="s">
        <v>5319</v>
      </c>
      <c r="D2621" t="s">
        <v>272</v>
      </c>
      <c r="E2621" t="s">
        <v>78</v>
      </c>
      <c r="F2621" t="s">
        <v>2123</v>
      </c>
      <c r="G2621" t="s">
        <v>2301</v>
      </c>
      <c r="H2621" s="9">
        <v>44733</v>
      </c>
      <c r="I2621" t="s">
        <v>81</v>
      </c>
      <c r="J2621" t="s">
        <v>5330</v>
      </c>
      <c r="K2621" s="9">
        <v>44834</v>
      </c>
      <c r="L2621" t="s">
        <v>29</v>
      </c>
      <c r="M2621"/>
      <c r="N2621" s="9">
        <v>44778</v>
      </c>
      <c r="O2621" s="9">
        <v>44834</v>
      </c>
      <c r="P2621"/>
      <c r="Q2621"/>
      <c r="R2621"/>
      <c r="S2621"/>
      <c r="T2621"/>
      <c r="U2621"/>
    </row>
    <row r="2622" spans="1:21" hidden="1">
      <c r="A2622" s="7" t="s">
        <v>8845</v>
      </c>
      <c r="B2622" s="7" t="s">
        <v>6307</v>
      </c>
      <c r="C2622" s="8" t="s">
        <v>5319</v>
      </c>
      <c r="D2622" t="s">
        <v>272</v>
      </c>
      <c r="E2622" t="s">
        <v>78</v>
      </c>
      <c r="F2622" t="s">
        <v>2123</v>
      </c>
      <c r="G2622" t="s">
        <v>2302</v>
      </c>
      <c r="H2622" s="9">
        <v>44733</v>
      </c>
      <c r="I2622" t="s">
        <v>81</v>
      </c>
      <c r="J2622" t="s">
        <v>5330</v>
      </c>
      <c r="K2622" s="9">
        <v>44834</v>
      </c>
      <c r="L2622" t="s">
        <v>29</v>
      </c>
      <c r="M2622"/>
      <c r="N2622" s="9">
        <v>44778</v>
      </c>
      <c r="O2622" s="9">
        <v>44834</v>
      </c>
      <c r="P2622"/>
      <c r="Q2622"/>
      <c r="R2622"/>
      <c r="S2622"/>
      <c r="T2622"/>
      <c r="U2622"/>
    </row>
    <row r="2623" spans="1:21" hidden="1">
      <c r="A2623" s="7" t="s">
        <v>8845</v>
      </c>
      <c r="B2623" s="7" t="s">
        <v>6307</v>
      </c>
      <c r="C2623" s="8" t="s">
        <v>5319</v>
      </c>
      <c r="D2623" t="s">
        <v>272</v>
      </c>
      <c r="E2623" t="s">
        <v>78</v>
      </c>
      <c r="F2623" t="s">
        <v>2123</v>
      </c>
      <c r="G2623" t="s">
        <v>2303</v>
      </c>
      <c r="H2623" s="9">
        <v>44733</v>
      </c>
      <c r="I2623" t="s">
        <v>81</v>
      </c>
      <c r="J2623" t="s">
        <v>5330</v>
      </c>
      <c r="K2623" s="9">
        <v>44834</v>
      </c>
      <c r="L2623" t="s">
        <v>29</v>
      </c>
      <c r="M2623"/>
      <c r="N2623" s="9">
        <v>44778</v>
      </c>
      <c r="O2623" s="9">
        <v>44834</v>
      </c>
      <c r="P2623"/>
      <c r="Q2623"/>
      <c r="R2623"/>
      <c r="S2623"/>
      <c r="T2623"/>
      <c r="U2623"/>
    </row>
    <row r="2624" spans="1:21" hidden="1">
      <c r="A2624" s="7" t="s">
        <v>8845</v>
      </c>
      <c r="B2624" s="7" t="s">
        <v>6307</v>
      </c>
      <c r="C2624" s="8" t="s">
        <v>5319</v>
      </c>
      <c r="D2624" t="s">
        <v>272</v>
      </c>
      <c r="E2624" t="s">
        <v>78</v>
      </c>
      <c r="F2624" t="s">
        <v>2123</v>
      </c>
      <c r="G2624" t="s">
        <v>2304</v>
      </c>
      <c r="H2624" s="9">
        <v>44733</v>
      </c>
      <c r="I2624" t="s">
        <v>81</v>
      </c>
      <c r="J2624" t="s">
        <v>5330</v>
      </c>
      <c r="K2624" s="9">
        <v>44834</v>
      </c>
      <c r="L2624" t="s">
        <v>29</v>
      </c>
      <c r="M2624"/>
      <c r="N2624" s="9">
        <v>44778</v>
      </c>
      <c r="O2624" s="9">
        <v>44834</v>
      </c>
      <c r="P2624"/>
      <c r="Q2624"/>
      <c r="R2624"/>
      <c r="S2624"/>
      <c r="T2624"/>
      <c r="U2624"/>
    </row>
    <row r="2625" spans="1:21" hidden="1">
      <c r="A2625" s="7" t="s">
        <v>8845</v>
      </c>
      <c r="B2625" s="7" t="s">
        <v>6307</v>
      </c>
      <c r="C2625" s="8" t="s">
        <v>5319</v>
      </c>
      <c r="D2625" t="s">
        <v>272</v>
      </c>
      <c r="E2625" t="s">
        <v>78</v>
      </c>
      <c r="F2625" t="s">
        <v>2123</v>
      </c>
      <c r="G2625" t="s">
        <v>2305</v>
      </c>
      <c r="H2625" s="9">
        <v>44733</v>
      </c>
      <c r="I2625" t="s">
        <v>81</v>
      </c>
      <c r="J2625" t="s">
        <v>5330</v>
      </c>
      <c r="K2625" s="9">
        <v>44834</v>
      </c>
      <c r="L2625" t="s">
        <v>29</v>
      </c>
      <c r="M2625"/>
      <c r="N2625" s="9">
        <v>44778</v>
      </c>
      <c r="O2625" s="9">
        <v>44834</v>
      </c>
      <c r="P2625"/>
      <c r="Q2625"/>
      <c r="R2625"/>
      <c r="S2625"/>
      <c r="T2625"/>
      <c r="U2625"/>
    </row>
    <row r="2626" spans="1:21" hidden="1">
      <c r="A2626" s="7" t="s">
        <v>8861</v>
      </c>
      <c r="B2626" s="7" t="s">
        <v>8218</v>
      </c>
      <c r="C2626" s="8" t="s">
        <v>5319</v>
      </c>
      <c r="D2626" t="s">
        <v>272</v>
      </c>
      <c r="E2626" t="s">
        <v>2260</v>
      </c>
      <c r="F2626" t="s">
        <v>117</v>
      </c>
      <c r="G2626" t="s">
        <v>2306</v>
      </c>
      <c r="H2626" s="9">
        <v>44733</v>
      </c>
      <c r="I2626" t="s">
        <v>2262</v>
      </c>
      <c r="J2626" t="s">
        <v>0</v>
      </c>
      <c r="K2626" s="9">
        <v>44882</v>
      </c>
      <c r="L2626" t="s">
        <v>29</v>
      </c>
      <c r="M2626"/>
      <c r="N2626" s="9">
        <v>44778</v>
      </c>
      <c r="O2626" s="9">
        <v>44834</v>
      </c>
      <c r="P2626"/>
      <c r="Q2626" s="9">
        <v>44882</v>
      </c>
      <c r="R2626" s="9">
        <v>44879.703275462998</v>
      </c>
      <c r="S2626"/>
      <c r="T2626"/>
      <c r="U2626"/>
    </row>
    <row r="2627" spans="1:21" hidden="1">
      <c r="A2627" s="7" t="s">
        <v>8864</v>
      </c>
      <c r="B2627" s="7" t="s">
        <v>6096</v>
      </c>
      <c r="C2627" s="8" t="s">
        <v>5319</v>
      </c>
      <c r="D2627" t="s">
        <v>272</v>
      </c>
      <c r="E2627" t="s">
        <v>2125</v>
      </c>
      <c r="F2627" t="s">
        <v>2307</v>
      </c>
      <c r="G2627" t="s">
        <v>2308</v>
      </c>
      <c r="H2627" s="9">
        <v>44733</v>
      </c>
      <c r="I2627" t="s">
        <v>81</v>
      </c>
      <c r="J2627" t="s">
        <v>0</v>
      </c>
      <c r="K2627" s="9">
        <v>44799</v>
      </c>
      <c r="L2627" t="s">
        <v>29</v>
      </c>
      <c r="M2627"/>
      <c r="N2627" s="9">
        <v>44778</v>
      </c>
      <c r="O2627"/>
      <c r="P2627"/>
      <c r="Q2627" s="9">
        <v>44799</v>
      </c>
      <c r="R2627"/>
      <c r="S2627"/>
      <c r="T2627"/>
      <c r="U2627"/>
    </row>
    <row r="2628" spans="1:21" hidden="1">
      <c r="A2628" s="7" t="s">
        <v>8864</v>
      </c>
      <c r="B2628" s="7" t="s">
        <v>6096</v>
      </c>
      <c r="C2628" s="8" t="s">
        <v>5319</v>
      </c>
      <c r="D2628" t="s">
        <v>272</v>
      </c>
      <c r="E2628" t="s">
        <v>2125</v>
      </c>
      <c r="F2628" t="s">
        <v>2307</v>
      </c>
      <c r="G2628" t="s">
        <v>2309</v>
      </c>
      <c r="H2628" s="9">
        <v>44733</v>
      </c>
      <c r="I2628" t="s">
        <v>81</v>
      </c>
      <c r="J2628" t="s">
        <v>0</v>
      </c>
      <c r="K2628" s="9">
        <v>44799</v>
      </c>
      <c r="L2628" t="s">
        <v>29</v>
      </c>
      <c r="M2628"/>
      <c r="N2628" s="9">
        <v>44778</v>
      </c>
      <c r="O2628"/>
      <c r="P2628"/>
      <c r="Q2628" s="9">
        <v>44799</v>
      </c>
      <c r="R2628"/>
      <c r="S2628"/>
      <c r="T2628"/>
      <c r="U2628"/>
    </row>
    <row r="2629" spans="1:21" hidden="1">
      <c r="A2629" s="7" t="s">
        <v>8864</v>
      </c>
      <c r="B2629" s="7" t="s">
        <v>6096</v>
      </c>
      <c r="C2629" s="8" t="s">
        <v>5319</v>
      </c>
      <c r="D2629" t="s">
        <v>272</v>
      </c>
      <c r="E2629" t="s">
        <v>2125</v>
      </c>
      <c r="F2629" t="s">
        <v>2307</v>
      </c>
      <c r="G2629" t="s">
        <v>2310</v>
      </c>
      <c r="H2629" s="9">
        <v>44733</v>
      </c>
      <c r="I2629" t="s">
        <v>81</v>
      </c>
      <c r="J2629" t="s">
        <v>0</v>
      </c>
      <c r="K2629" s="9">
        <v>44799</v>
      </c>
      <c r="L2629" t="s">
        <v>29</v>
      </c>
      <c r="M2629"/>
      <c r="N2629" s="9">
        <v>44778</v>
      </c>
      <c r="O2629"/>
      <c r="P2629"/>
      <c r="Q2629" s="9">
        <v>44799</v>
      </c>
      <c r="R2629"/>
      <c r="S2629"/>
      <c r="T2629"/>
      <c r="U2629"/>
    </row>
    <row r="2630" spans="1:21" hidden="1">
      <c r="A2630" s="7" t="s">
        <v>8864</v>
      </c>
      <c r="B2630" s="7" t="s">
        <v>6096</v>
      </c>
      <c r="C2630" s="8" t="s">
        <v>5319</v>
      </c>
      <c r="D2630" t="s">
        <v>272</v>
      </c>
      <c r="E2630" t="s">
        <v>2125</v>
      </c>
      <c r="F2630" t="s">
        <v>2307</v>
      </c>
      <c r="G2630" t="s">
        <v>2311</v>
      </c>
      <c r="H2630" s="9">
        <v>44733</v>
      </c>
      <c r="I2630" t="s">
        <v>81</v>
      </c>
      <c r="J2630" t="s">
        <v>0</v>
      </c>
      <c r="K2630" s="9">
        <v>44799</v>
      </c>
      <c r="L2630" t="s">
        <v>29</v>
      </c>
      <c r="M2630"/>
      <c r="N2630" s="9">
        <v>44778</v>
      </c>
      <c r="O2630"/>
      <c r="P2630"/>
      <c r="Q2630" s="9">
        <v>44799</v>
      </c>
      <c r="R2630"/>
      <c r="S2630"/>
      <c r="T2630"/>
      <c r="U2630"/>
    </row>
    <row r="2631" spans="1:21" hidden="1">
      <c r="A2631" s="7" t="s">
        <v>8865</v>
      </c>
      <c r="B2631" s="7" t="s">
        <v>6017</v>
      </c>
      <c r="C2631" s="8" t="s">
        <v>5319</v>
      </c>
      <c r="D2631" t="s">
        <v>272</v>
      </c>
      <c r="E2631" t="s">
        <v>74</v>
      </c>
      <c r="F2631" t="s">
        <v>231</v>
      </c>
      <c r="G2631" t="s">
        <v>2312</v>
      </c>
      <c r="H2631" s="9">
        <v>44733</v>
      </c>
      <c r="I2631" t="s">
        <v>81</v>
      </c>
      <c r="J2631" t="s">
        <v>5330</v>
      </c>
      <c r="K2631" s="9">
        <v>44834</v>
      </c>
      <c r="L2631" t="s">
        <v>29</v>
      </c>
      <c r="M2631"/>
      <c r="N2631" s="9">
        <v>44778</v>
      </c>
      <c r="O2631" s="9">
        <v>44834</v>
      </c>
      <c r="P2631"/>
      <c r="Q2631"/>
      <c r="R2631"/>
      <c r="S2631"/>
      <c r="T2631"/>
      <c r="U2631"/>
    </row>
    <row r="2632" spans="1:21" hidden="1">
      <c r="A2632" s="7" t="s">
        <v>8865</v>
      </c>
      <c r="B2632" s="7" t="s">
        <v>6017</v>
      </c>
      <c r="C2632" s="8" t="s">
        <v>5319</v>
      </c>
      <c r="D2632" t="s">
        <v>272</v>
      </c>
      <c r="E2632" t="s">
        <v>74</v>
      </c>
      <c r="F2632" t="s">
        <v>231</v>
      </c>
      <c r="G2632" t="s">
        <v>2313</v>
      </c>
      <c r="H2632" s="9">
        <v>44733</v>
      </c>
      <c r="I2632" t="s">
        <v>81</v>
      </c>
      <c r="J2632" t="s">
        <v>5330</v>
      </c>
      <c r="K2632" s="9">
        <v>44834</v>
      </c>
      <c r="L2632" t="s">
        <v>29</v>
      </c>
      <c r="M2632"/>
      <c r="N2632" s="9">
        <v>44778</v>
      </c>
      <c r="O2632" s="9">
        <v>44834</v>
      </c>
      <c r="P2632"/>
      <c r="Q2632"/>
      <c r="R2632"/>
      <c r="S2632"/>
      <c r="T2632"/>
      <c r="U2632"/>
    </row>
    <row r="2633" spans="1:21" hidden="1">
      <c r="A2633" s="7" t="s">
        <v>8865</v>
      </c>
      <c r="B2633" s="7" t="s">
        <v>6017</v>
      </c>
      <c r="C2633" s="8" t="s">
        <v>5319</v>
      </c>
      <c r="D2633" t="s">
        <v>272</v>
      </c>
      <c r="E2633" t="s">
        <v>74</v>
      </c>
      <c r="F2633" t="s">
        <v>231</v>
      </c>
      <c r="G2633" t="s">
        <v>2314</v>
      </c>
      <c r="H2633" s="9">
        <v>44733</v>
      </c>
      <c r="I2633" t="s">
        <v>81</v>
      </c>
      <c r="J2633" t="s">
        <v>5330</v>
      </c>
      <c r="K2633" s="9">
        <v>44834</v>
      </c>
      <c r="L2633" t="s">
        <v>29</v>
      </c>
      <c r="M2633"/>
      <c r="N2633" s="9">
        <v>44778</v>
      </c>
      <c r="O2633" s="9">
        <v>44834</v>
      </c>
      <c r="P2633"/>
      <c r="Q2633"/>
      <c r="R2633"/>
      <c r="S2633"/>
      <c r="T2633"/>
      <c r="U2633"/>
    </row>
    <row r="2634" spans="1:21" hidden="1">
      <c r="A2634" s="7" t="s">
        <v>8865</v>
      </c>
      <c r="B2634" s="7" t="s">
        <v>6017</v>
      </c>
      <c r="C2634" s="8" t="s">
        <v>5319</v>
      </c>
      <c r="D2634" t="s">
        <v>272</v>
      </c>
      <c r="E2634" t="s">
        <v>74</v>
      </c>
      <c r="F2634" t="s">
        <v>231</v>
      </c>
      <c r="G2634" t="s">
        <v>2315</v>
      </c>
      <c r="H2634" s="9">
        <v>44733</v>
      </c>
      <c r="I2634" t="s">
        <v>81</v>
      </c>
      <c r="J2634" t="s">
        <v>5330</v>
      </c>
      <c r="K2634" s="9">
        <v>44834</v>
      </c>
      <c r="L2634" t="s">
        <v>29</v>
      </c>
      <c r="M2634"/>
      <c r="N2634" s="9">
        <v>44778</v>
      </c>
      <c r="O2634" s="9">
        <v>44834</v>
      </c>
      <c r="P2634"/>
      <c r="Q2634"/>
      <c r="R2634"/>
      <c r="S2634"/>
      <c r="T2634"/>
      <c r="U2634"/>
    </row>
    <row r="2635" spans="1:21" hidden="1">
      <c r="A2635" s="7" t="s">
        <v>8865</v>
      </c>
      <c r="B2635" s="7" t="s">
        <v>6017</v>
      </c>
      <c r="C2635" s="8" t="s">
        <v>5319</v>
      </c>
      <c r="D2635" t="s">
        <v>272</v>
      </c>
      <c r="E2635" t="s">
        <v>74</v>
      </c>
      <c r="F2635" t="s">
        <v>231</v>
      </c>
      <c r="G2635" t="s">
        <v>2316</v>
      </c>
      <c r="H2635" s="9">
        <v>44733</v>
      </c>
      <c r="I2635" t="s">
        <v>81</v>
      </c>
      <c r="J2635" t="s">
        <v>5330</v>
      </c>
      <c r="K2635" s="9">
        <v>44834</v>
      </c>
      <c r="L2635" t="s">
        <v>29</v>
      </c>
      <c r="M2635"/>
      <c r="N2635" s="9">
        <v>44778</v>
      </c>
      <c r="O2635" s="9">
        <v>44834</v>
      </c>
      <c r="P2635"/>
      <c r="Q2635"/>
      <c r="R2635"/>
      <c r="S2635"/>
      <c r="T2635"/>
      <c r="U2635"/>
    </row>
    <row r="2636" spans="1:21" hidden="1">
      <c r="A2636" s="7" t="s">
        <v>8865</v>
      </c>
      <c r="B2636" s="7" t="s">
        <v>6017</v>
      </c>
      <c r="C2636" s="8" t="s">
        <v>5319</v>
      </c>
      <c r="D2636" t="s">
        <v>272</v>
      </c>
      <c r="E2636" t="s">
        <v>74</v>
      </c>
      <c r="F2636" t="s">
        <v>231</v>
      </c>
      <c r="G2636" t="s">
        <v>2317</v>
      </c>
      <c r="H2636" s="9">
        <v>44733</v>
      </c>
      <c r="I2636" t="s">
        <v>81</v>
      </c>
      <c r="J2636" t="s">
        <v>5330</v>
      </c>
      <c r="K2636" s="9">
        <v>44834</v>
      </c>
      <c r="L2636" t="s">
        <v>29</v>
      </c>
      <c r="M2636"/>
      <c r="N2636" s="9">
        <v>44778</v>
      </c>
      <c r="O2636" s="9">
        <v>44834</v>
      </c>
      <c r="P2636"/>
      <c r="Q2636"/>
      <c r="R2636"/>
      <c r="S2636"/>
      <c r="T2636"/>
      <c r="U2636"/>
    </row>
    <row r="2637" spans="1:21" hidden="1">
      <c r="A2637" s="7" t="s">
        <v>8865</v>
      </c>
      <c r="B2637" s="7" t="s">
        <v>6017</v>
      </c>
      <c r="C2637" s="8" t="s">
        <v>5319</v>
      </c>
      <c r="D2637" t="s">
        <v>272</v>
      </c>
      <c r="E2637" t="s">
        <v>74</v>
      </c>
      <c r="F2637" t="s">
        <v>231</v>
      </c>
      <c r="G2637" t="s">
        <v>2318</v>
      </c>
      <c r="H2637" s="9">
        <v>44733</v>
      </c>
      <c r="I2637" t="s">
        <v>81</v>
      </c>
      <c r="J2637" t="s">
        <v>5330</v>
      </c>
      <c r="K2637" s="9">
        <v>44834</v>
      </c>
      <c r="L2637" t="s">
        <v>29</v>
      </c>
      <c r="M2637"/>
      <c r="N2637" s="9">
        <v>44778</v>
      </c>
      <c r="O2637" s="9">
        <v>44834</v>
      </c>
      <c r="P2637"/>
      <c r="Q2637"/>
      <c r="R2637"/>
      <c r="S2637"/>
      <c r="T2637"/>
      <c r="U2637"/>
    </row>
    <row r="2638" spans="1:21" hidden="1">
      <c r="A2638" s="7" t="s">
        <v>8865</v>
      </c>
      <c r="B2638" s="7" t="s">
        <v>6017</v>
      </c>
      <c r="C2638" s="8" t="s">
        <v>5319</v>
      </c>
      <c r="D2638" t="s">
        <v>272</v>
      </c>
      <c r="E2638" t="s">
        <v>74</v>
      </c>
      <c r="F2638" t="s">
        <v>231</v>
      </c>
      <c r="G2638" t="s">
        <v>2319</v>
      </c>
      <c r="H2638" s="9">
        <v>44733</v>
      </c>
      <c r="I2638" t="s">
        <v>81</v>
      </c>
      <c r="J2638" t="s">
        <v>5330</v>
      </c>
      <c r="K2638" s="9">
        <v>44834</v>
      </c>
      <c r="L2638" t="s">
        <v>29</v>
      </c>
      <c r="M2638"/>
      <c r="N2638" s="9">
        <v>44778</v>
      </c>
      <c r="O2638" s="9">
        <v>44834</v>
      </c>
      <c r="P2638"/>
      <c r="Q2638"/>
      <c r="R2638"/>
      <c r="S2638"/>
      <c r="T2638"/>
      <c r="U2638"/>
    </row>
    <row r="2639" spans="1:21" hidden="1">
      <c r="A2639" s="7" t="s">
        <v>8857</v>
      </c>
      <c r="B2639" s="7" t="s">
        <v>5699</v>
      </c>
      <c r="C2639" s="8" t="s">
        <v>5319</v>
      </c>
      <c r="D2639" t="s">
        <v>272</v>
      </c>
      <c r="E2639" t="s">
        <v>2240</v>
      </c>
      <c r="F2639" t="s">
        <v>200</v>
      </c>
      <c r="G2639" t="s">
        <v>2320</v>
      </c>
      <c r="H2639" s="9">
        <v>44733</v>
      </c>
      <c r="I2639" t="s">
        <v>2130</v>
      </c>
      <c r="J2639" t="s">
        <v>0</v>
      </c>
      <c r="K2639" s="9">
        <v>44862</v>
      </c>
      <c r="L2639" t="s">
        <v>29</v>
      </c>
      <c r="M2639"/>
      <c r="N2639" s="9">
        <v>44778</v>
      </c>
      <c r="O2639" s="9">
        <v>44834</v>
      </c>
      <c r="P2639"/>
      <c r="Q2639" s="9">
        <v>44862</v>
      </c>
      <c r="R2639"/>
      <c r="S2639"/>
      <c r="T2639"/>
      <c r="U2639"/>
    </row>
    <row r="2640" spans="1:21" hidden="1">
      <c r="A2640" s="7" t="s">
        <v>8857</v>
      </c>
      <c r="B2640" s="7" t="s">
        <v>5699</v>
      </c>
      <c r="C2640" s="8" t="s">
        <v>5319</v>
      </c>
      <c r="D2640" t="s">
        <v>272</v>
      </c>
      <c r="E2640" t="s">
        <v>2240</v>
      </c>
      <c r="F2640" t="s">
        <v>200</v>
      </c>
      <c r="G2640" t="s">
        <v>2321</v>
      </c>
      <c r="H2640" s="9">
        <v>44733</v>
      </c>
      <c r="I2640" t="s">
        <v>2130</v>
      </c>
      <c r="J2640" t="s">
        <v>0</v>
      </c>
      <c r="K2640" s="9">
        <v>44862</v>
      </c>
      <c r="L2640" t="s">
        <v>29</v>
      </c>
      <c r="M2640"/>
      <c r="N2640" s="9">
        <v>44778</v>
      </c>
      <c r="O2640" s="9">
        <v>44834</v>
      </c>
      <c r="P2640"/>
      <c r="Q2640" s="9">
        <v>44862</v>
      </c>
      <c r="R2640"/>
      <c r="S2640"/>
      <c r="T2640"/>
      <c r="U2640"/>
    </row>
    <row r="2641" spans="1:21" hidden="1">
      <c r="A2641" s="7" t="s">
        <v>8857</v>
      </c>
      <c r="B2641" s="7" t="s">
        <v>5699</v>
      </c>
      <c r="C2641" s="8" t="s">
        <v>5319</v>
      </c>
      <c r="D2641" t="s">
        <v>272</v>
      </c>
      <c r="E2641" t="s">
        <v>2240</v>
      </c>
      <c r="F2641" t="s">
        <v>200</v>
      </c>
      <c r="G2641" t="s">
        <v>2322</v>
      </c>
      <c r="H2641" s="9">
        <v>44733</v>
      </c>
      <c r="I2641" t="s">
        <v>2130</v>
      </c>
      <c r="J2641" t="s">
        <v>0</v>
      </c>
      <c r="K2641" s="9">
        <v>44862</v>
      </c>
      <c r="L2641" t="s">
        <v>29</v>
      </c>
      <c r="M2641"/>
      <c r="N2641" s="9">
        <v>44778</v>
      </c>
      <c r="O2641" s="9">
        <v>44834</v>
      </c>
      <c r="P2641"/>
      <c r="Q2641" s="9">
        <v>44862</v>
      </c>
      <c r="R2641"/>
      <c r="S2641"/>
      <c r="T2641"/>
      <c r="U2641"/>
    </row>
    <row r="2642" spans="1:21" hidden="1">
      <c r="A2642" s="7" t="s">
        <v>8857</v>
      </c>
      <c r="B2642" s="7" t="s">
        <v>5699</v>
      </c>
      <c r="C2642" s="8" t="s">
        <v>5319</v>
      </c>
      <c r="D2642" t="s">
        <v>272</v>
      </c>
      <c r="E2642" t="s">
        <v>2240</v>
      </c>
      <c r="F2642" t="s">
        <v>200</v>
      </c>
      <c r="G2642" t="s">
        <v>2323</v>
      </c>
      <c r="H2642" s="9">
        <v>44733</v>
      </c>
      <c r="I2642" t="s">
        <v>2130</v>
      </c>
      <c r="J2642" t="s">
        <v>0</v>
      </c>
      <c r="K2642" s="9">
        <v>44862</v>
      </c>
      <c r="L2642" t="s">
        <v>29</v>
      </c>
      <c r="M2642"/>
      <c r="N2642" s="9">
        <v>44778</v>
      </c>
      <c r="O2642" s="9">
        <v>44834</v>
      </c>
      <c r="P2642"/>
      <c r="Q2642" s="9">
        <v>44862</v>
      </c>
      <c r="R2642"/>
      <c r="S2642"/>
      <c r="T2642"/>
      <c r="U2642"/>
    </row>
    <row r="2643" spans="1:21" hidden="1">
      <c r="A2643" s="7" t="s">
        <v>8845</v>
      </c>
      <c r="B2643" s="7" t="s">
        <v>6307</v>
      </c>
      <c r="C2643" s="8" t="s">
        <v>5319</v>
      </c>
      <c r="D2643" t="s">
        <v>272</v>
      </c>
      <c r="E2643" t="s">
        <v>78</v>
      </c>
      <c r="F2643" t="s">
        <v>2123</v>
      </c>
      <c r="G2643" t="s">
        <v>2324</v>
      </c>
      <c r="H2643" s="9">
        <v>44733</v>
      </c>
      <c r="I2643" t="s">
        <v>81</v>
      </c>
      <c r="J2643" t="s">
        <v>5330</v>
      </c>
      <c r="K2643" s="9">
        <v>44834</v>
      </c>
      <c r="L2643" t="s">
        <v>29</v>
      </c>
      <c r="M2643"/>
      <c r="N2643" s="9">
        <v>44778</v>
      </c>
      <c r="O2643" s="9">
        <v>44834</v>
      </c>
      <c r="P2643"/>
      <c r="Q2643"/>
      <c r="R2643"/>
      <c r="S2643"/>
      <c r="T2643"/>
      <c r="U2643"/>
    </row>
    <row r="2644" spans="1:21" hidden="1">
      <c r="A2644" s="7" t="s">
        <v>8857</v>
      </c>
      <c r="B2644" s="7" t="s">
        <v>5699</v>
      </c>
      <c r="C2644" s="8" t="s">
        <v>5319</v>
      </c>
      <c r="D2644" t="s">
        <v>272</v>
      </c>
      <c r="E2644" t="s">
        <v>2240</v>
      </c>
      <c r="F2644" t="s">
        <v>200</v>
      </c>
      <c r="G2644" t="s">
        <v>2325</v>
      </c>
      <c r="H2644" s="9">
        <v>44733</v>
      </c>
      <c r="I2644" t="s">
        <v>2130</v>
      </c>
      <c r="J2644" t="s">
        <v>0</v>
      </c>
      <c r="K2644" s="9">
        <v>44862</v>
      </c>
      <c r="L2644" t="s">
        <v>29</v>
      </c>
      <c r="M2644"/>
      <c r="N2644" s="9">
        <v>44778</v>
      </c>
      <c r="O2644" s="9">
        <v>44834</v>
      </c>
      <c r="P2644"/>
      <c r="Q2644" s="9">
        <v>44862</v>
      </c>
      <c r="R2644"/>
      <c r="S2644"/>
      <c r="T2644"/>
      <c r="U2644"/>
    </row>
    <row r="2645" spans="1:21" hidden="1">
      <c r="A2645" s="7" t="s">
        <v>8857</v>
      </c>
      <c r="B2645" s="7" t="s">
        <v>5699</v>
      </c>
      <c r="C2645" s="8" t="s">
        <v>5319</v>
      </c>
      <c r="D2645" t="s">
        <v>272</v>
      </c>
      <c r="E2645" t="s">
        <v>2240</v>
      </c>
      <c r="F2645" t="s">
        <v>200</v>
      </c>
      <c r="G2645" t="s">
        <v>2326</v>
      </c>
      <c r="H2645" s="9">
        <v>44733</v>
      </c>
      <c r="I2645" t="s">
        <v>2130</v>
      </c>
      <c r="J2645" t="s">
        <v>0</v>
      </c>
      <c r="K2645" s="9">
        <v>44862</v>
      </c>
      <c r="L2645" t="s">
        <v>29</v>
      </c>
      <c r="M2645"/>
      <c r="N2645" s="9">
        <v>44778</v>
      </c>
      <c r="O2645" s="9">
        <v>44834</v>
      </c>
      <c r="P2645"/>
      <c r="Q2645" s="9">
        <v>44862</v>
      </c>
      <c r="R2645"/>
      <c r="S2645"/>
      <c r="T2645"/>
      <c r="U2645"/>
    </row>
    <row r="2646" spans="1:21" hidden="1">
      <c r="A2646" s="7" t="s">
        <v>8857</v>
      </c>
      <c r="B2646" s="7" t="s">
        <v>5699</v>
      </c>
      <c r="C2646" s="8" t="s">
        <v>5319</v>
      </c>
      <c r="D2646" t="s">
        <v>272</v>
      </c>
      <c r="E2646" t="s">
        <v>2240</v>
      </c>
      <c r="F2646" t="s">
        <v>200</v>
      </c>
      <c r="G2646" t="s">
        <v>2327</v>
      </c>
      <c r="H2646" s="9">
        <v>44733</v>
      </c>
      <c r="I2646" t="s">
        <v>2130</v>
      </c>
      <c r="J2646" t="s">
        <v>0</v>
      </c>
      <c r="K2646" s="9">
        <v>44862</v>
      </c>
      <c r="L2646" t="s">
        <v>29</v>
      </c>
      <c r="M2646"/>
      <c r="N2646" s="9">
        <v>44778</v>
      </c>
      <c r="O2646" s="9">
        <v>44834</v>
      </c>
      <c r="P2646"/>
      <c r="Q2646" s="9">
        <v>44862</v>
      </c>
      <c r="R2646"/>
      <c r="S2646"/>
      <c r="T2646"/>
      <c r="U2646"/>
    </row>
    <row r="2647" spans="1:21" hidden="1">
      <c r="A2647" s="7" t="s">
        <v>8857</v>
      </c>
      <c r="B2647" s="7" t="s">
        <v>5699</v>
      </c>
      <c r="C2647" s="8" t="s">
        <v>5319</v>
      </c>
      <c r="D2647" t="s">
        <v>272</v>
      </c>
      <c r="E2647" t="s">
        <v>2240</v>
      </c>
      <c r="F2647" t="s">
        <v>200</v>
      </c>
      <c r="G2647" t="s">
        <v>2328</v>
      </c>
      <c r="H2647" s="9">
        <v>44733</v>
      </c>
      <c r="I2647" t="s">
        <v>2130</v>
      </c>
      <c r="J2647" t="s">
        <v>0</v>
      </c>
      <c r="K2647" s="9">
        <v>44862</v>
      </c>
      <c r="L2647" t="s">
        <v>29</v>
      </c>
      <c r="M2647"/>
      <c r="N2647" s="9">
        <v>44778</v>
      </c>
      <c r="O2647" s="9">
        <v>44834</v>
      </c>
      <c r="P2647"/>
      <c r="Q2647" s="9">
        <v>44862</v>
      </c>
      <c r="R2647"/>
      <c r="S2647"/>
      <c r="T2647"/>
      <c r="U2647"/>
    </row>
    <row r="2648" spans="1:21" hidden="1">
      <c r="A2648" s="7" t="s">
        <v>8857</v>
      </c>
      <c r="B2648" s="7" t="s">
        <v>5699</v>
      </c>
      <c r="C2648" s="8" t="s">
        <v>5319</v>
      </c>
      <c r="D2648" t="s">
        <v>272</v>
      </c>
      <c r="E2648" t="s">
        <v>2240</v>
      </c>
      <c r="F2648" t="s">
        <v>200</v>
      </c>
      <c r="G2648" t="s">
        <v>2329</v>
      </c>
      <c r="H2648" s="9">
        <v>44733</v>
      </c>
      <c r="I2648" t="s">
        <v>2130</v>
      </c>
      <c r="J2648" t="s">
        <v>0</v>
      </c>
      <c r="K2648" s="9">
        <v>44862</v>
      </c>
      <c r="L2648" t="s">
        <v>29</v>
      </c>
      <c r="M2648"/>
      <c r="N2648" s="9">
        <v>44778</v>
      </c>
      <c r="O2648" s="9">
        <v>44834</v>
      </c>
      <c r="P2648"/>
      <c r="Q2648" s="9">
        <v>44862</v>
      </c>
      <c r="R2648"/>
      <c r="S2648"/>
      <c r="T2648"/>
      <c r="U2648"/>
    </row>
    <row r="2649" spans="1:21" hidden="1">
      <c r="A2649" s="7" t="s">
        <v>8857</v>
      </c>
      <c r="B2649" s="7" t="s">
        <v>5699</v>
      </c>
      <c r="C2649" s="8" t="s">
        <v>5319</v>
      </c>
      <c r="D2649" t="s">
        <v>272</v>
      </c>
      <c r="E2649" t="s">
        <v>2240</v>
      </c>
      <c r="F2649" t="s">
        <v>200</v>
      </c>
      <c r="G2649" t="s">
        <v>2330</v>
      </c>
      <c r="H2649" s="9">
        <v>44733</v>
      </c>
      <c r="I2649" t="s">
        <v>2130</v>
      </c>
      <c r="J2649" t="s">
        <v>0</v>
      </c>
      <c r="K2649" s="9">
        <v>44862</v>
      </c>
      <c r="L2649" t="s">
        <v>29</v>
      </c>
      <c r="M2649"/>
      <c r="N2649" s="9">
        <v>44778</v>
      </c>
      <c r="O2649" s="9">
        <v>44834</v>
      </c>
      <c r="P2649"/>
      <c r="Q2649" s="9">
        <v>44862</v>
      </c>
      <c r="R2649"/>
      <c r="S2649"/>
      <c r="T2649"/>
      <c r="U2649"/>
    </row>
    <row r="2650" spans="1:21" hidden="1">
      <c r="A2650" s="7" t="s">
        <v>8857</v>
      </c>
      <c r="B2650" s="7" t="s">
        <v>5699</v>
      </c>
      <c r="C2650" s="8" t="s">
        <v>5319</v>
      </c>
      <c r="D2650" t="s">
        <v>272</v>
      </c>
      <c r="E2650" t="s">
        <v>2240</v>
      </c>
      <c r="F2650" t="s">
        <v>200</v>
      </c>
      <c r="G2650" t="s">
        <v>2331</v>
      </c>
      <c r="H2650" s="9">
        <v>44733</v>
      </c>
      <c r="I2650" t="s">
        <v>2130</v>
      </c>
      <c r="J2650" t="s">
        <v>0</v>
      </c>
      <c r="K2650" s="9">
        <v>44862</v>
      </c>
      <c r="L2650" t="s">
        <v>29</v>
      </c>
      <c r="M2650"/>
      <c r="N2650" s="9">
        <v>44778</v>
      </c>
      <c r="O2650" s="9">
        <v>44834</v>
      </c>
      <c r="P2650"/>
      <c r="Q2650" s="9">
        <v>44862</v>
      </c>
      <c r="R2650"/>
      <c r="S2650"/>
      <c r="T2650"/>
      <c r="U2650"/>
    </row>
    <row r="2651" spans="1:21" hidden="1">
      <c r="A2651" s="7" t="s">
        <v>8857</v>
      </c>
      <c r="B2651" s="7" t="s">
        <v>5699</v>
      </c>
      <c r="C2651" s="8" t="s">
        <v>5319</v>
      </c>
      <c r="D2651" t="s">
        <v>272</v>
      </c>
      <c r="E2651" t="s">
        <v>2240</v>
      </c>
      <c r="F2651" t="s">
        <v>200</v>
      </c>
      <c r="G2651" t="s">
        <v>2332</v>
      </c>
      <c r="H2651" s="9">
        <v>44733</v>
      </c>
      <c r="I2651" t="s">
        <v>2130</v>
      </c>
      <c r="J2651" t="s">
        <v>0</v>
      </c>
      <c r="K2651" s="9">
        <v>44862</v>
      </c>
      <c r="L2651" t="s">
        <v>29</v>
      </c>
      <c r="M2651"/>
      <c r="N2651" s="9">
        <v>44778</v>
      </c>
      <c r="O2651" s="9">
        <v>44834</v>
      </c>
      <c r="P2651"/>
      <c r="Q2651" s="9">
        <v>44862</v>
      </c>
      <c r="R2651"/>
      <c r="S2651"/>
      <c r="T2651"/>
      <c r="U2651"/>
    </row>
    <row r="2652" spans="1:21" hidden="1">
      <c r="A2652" s="7" t="s">
        <v>8857</v>
      </c>
      <c r="B2652" s="7" t="s">
        <v>5699</v>
      </c>
      <c r="C2652" s="8" t="s">
        <v>5319</v>
      </c>
      <c r="D2652" t="s">
        <v>272</v>
      </c>
      <c r="E2652" t="s">
        <v>2240</v>
      </c>
      <c r="F2652" t="s">
        <v>200</v>
      </c>
      <c r="G2652" t="s">
        <v>2333</v>
      </c>
      <c r="H2652" s="9">
        <v>44733</v>
      </c>
      <c r="I2652" t="s">
        <v>2130</v>
      </c>
      <c r="J2652" t="s">
        <v>0</v>
      </c>
      <c r="K2652" s="9">
        <v>44862</v>
      </c>
      <c r="L2652" t="s">
        <v>29</v>
      </c>
      <c r="M2652"/>
      <c r="N2652" s="9">
        <v>44778</v>
      </c>
      <c r="O2652" s="9">
        <v>44834</v>
      </c>
      <c r="P2652"/>
      <c r="Q2652" s="9">
        <v>44862</v>
      </c>
      <c r="R2652"/>
      <c r="S2652"/>
      <c r="T2652"/>
      <c r="U2652"/>
    </row>
    <row r="2653" spans="1:21" hidden="1">
      <c r="A2653" s="7" t="s">
        <v>8857</v>
      </c>
      <c r="B2653" s="7" t="s">
        <v>5699</v>
      </c>
      <c r="C2653" s="8" t="s">
        <v>5319</v>
      </c>
      <c r="D2653" t="s">
        <v>272</v>
      </c>
      <c r="E2653" t="s">
        <v>2240</v>
      </c>
      <c r="F2653" t="s">
        <v>200</v>
      </c>
      <c r="G2653" t="s">
        <v>2334</v>
      </c>
      <c r="H2653" s="9">
        <v>44733</v>
      </c>
      <c r="I2653" t="s">
        <v>2130</v>
      </c>
      <c r="J2653" t="s">
        <v>0</v>
      </c>
      <c r="K2653" s="9">
        <v>44862</v>
      </c>
      <c r="L2653" t="s">
        <v>29</v>
      </c>
      <c r="M2653"/>
      <c r="N2653" s="9">
        <v>44778</v>
      </c>
      <c r="O2653" s="9">
        <v>44834</v>
      </c>
      <c r="P2653"/>
      <c r="Q2653" s="9">
        <v>44862</v>
      </c>
      <c r="R2653"/>
      <c r="S2653"/>
      <c r="T2653"/>
      <c r="U2653"/>
    </row>
    <row r="2654" spans="1:21" hidden="1">
      <c r="A2654" s="7" t="s">
        <v>8857</v>
      </c>
      <c r="B2654" s="7" t="s">
        <v>5699</v>
      </c>
      <c r="C2654" s="8" t="s">
        <v>5319</v>
      </c>
      <c r="D2654" t="s">
        <v>272</v>
      </c>
      <c r="E2654" t="s">
        <v>2240</v>
      </c>
      <c r="F2654" t="s">
        <v>200</v>
      </c>
      <c r="G2654" t="s">
        <v>2335</v>
      </c>
      <c r="H2654" s="9">
        <v>44733</v>
      </c>
      <c r="I2654" t="s">
        <v>2130</v>
      </c>
      <c r="J2654" t="s">
        <v>0</v>
      </c>
      <c r="K2654" s="9">
        <v>44862</v>
      </c>
      <c r="L2654" t="s">
        <v>29</v>
      </c>
      <c r="M2654"/>
      <c r="N2654" s="9">
        <v>44778</v>
      </c>
      <c r="O2654" s="9">
        <v>44834</v>
      </c>
      <c r="P2654"/>
      <c r="Q2654" s="9">
        <v>44862</v>
      </c>
      <c r="R2654"/>
      <c r="S2654"/>
      <c r="T2654"/>
      <c r="U2654"/>
    </row>
    <row r="2655" spans="1:21" hidden="1">
      <c r="A2655" s="7" t="s">
        <v>8857</v>
      </c>
      <c r="B2655" s="7" t="s">
        <v>5699</v>
      </c>
      <c r="C2655" s="8" t="s">
        <v>5319</v>
      </c>
      <c r="D2655" t="s">
        <v>272</v>
      </c>
      <c r="E2655" t="s">
        <v>2240</v>
      </c>
      <c r="F2655" t="s">
        <v>200</v>
      </c>
      <c r="G2655" t="s">
        <v>2336</v>
      </c>
      <c r="H2655" s="9">
        <v>44733</v>
      </c>
      <c r="I2655" t="s">
        <v>2130</v>
      </c>
      <c r="J2655" t="s">
        <v>0</v>
      </c>
      <c r="K2655" s="9">
        <v>44862</v>
      </c>
      <c r="L2655" t="s">
        <v>29</v>
      </c>
      <c r="M2655"/>
      <c r="N2655" s="9">
        <v>44778</v>
      </c>
      <c r="O2655" s="9">
        <v>44834</v>
      </c>
      <c r="P2655"/>
      <c r="Q2655" s="9">
        <v>44862</v>
      </c>
      <c r="R2655"/>
      <c r="S2655"/>
      <c r="T2655"/>
      <c r="U2655"/>
    </row>
    <row r="2656" spans="1:21" hidden="1">
      <c r="A2656" s="7" t="s">
        <v>8857</v>
      </c>
      <c r="B2656" s="7" t="s">
        <v>5699</v>
      </c>
      <c r="C2656" s="8" t="s">
        <v>5319</v>
      </c>
      <c r="D2656" t="s">
        <v>272</v>
      </c>
      <c r="E2656" t="s">
        <v>2240</v>
      </c>
      <c r="F2656" t="s">
        <v>200</v>
      </c>
      <c r="G2656" t="s">
        <v>2337</v>
      </c>
      <c r="H2656" s="9">
        <v>44733</v>
      </c>
      <c r="I2656" t="s">
        <v>2130</v>
      </c>
      <c r="J2656" t="s">
        <v>0</v>
      </c>
      <c r="K2656" s="9">
        <v>44862</v>
      </c>
      <c r="L2656" t="s">
        <v>29</v>
      </c>
      <c r="M2656"/>
      <c r="N2656" s="9">
        <v>44778</v>
      </c>
      <c r="O2656" s="9">
        <v>44834</v>
      </c>
      <c r="P2656"/>
      <c r="Q2656" s="9">
        <v>44862</v>
      </c>
      <c r="R2656"/>
      <c r="S2656"/>
      <c r="T2656"/>
      <c r="U2656"/>
    </row>
    <row r="2657" spans="1:21" hidden="1">
      <c r="A2657" s="7" t="s">
        <v>8714</v>
      </c>
      <c r="B2657" s="7" t="s">
        <v>6017</v>
      </c>
      <c r="C2657" s="8" t="s">
        <v>5319</v>
      </c>
      <c r="D2657" t="s">
        <v>272</v>
      </c>
      <c r="E2657" t="s">
        <v>74</v>
      </c>
      <c r="F2657" t="s">
        <v>75</v>
      </c>
      <c r="G2657" t="s">
        <v>2338</v>
      </c>
      <c r="H2657" s="9">
        <v>44733</v>
      </c>
      <c r="I2657" t="s">
        <v>77</v>
      </c>
      <c r="J2657" t="s">
        <v>5330</v>
      </c>
      <c r="K2657" s="9">
        <v>44834</v>
      </c>
      <c r="L2657" t="s">
        <v>29</v>
      </c>
      <c r="M2657"/>
      <c r="N2657" s="9">
        <v>44778</v>
      </c>
      <c r="O2657" s="9">
        <v>44834</v>
      </c>
      <c r="P2657"/>
      <c r="Q2657"/>
      <c r="R2657"/>
      <c r="S2657"/>
      <c r="T2657"/>
      <c r="U2657"/>
    </row>
    <row r="2658" spans="1:21" hidden="1">
      <c r="A2658" s="7" t="s">
        <v>8714</v>
      </c>
      <c r="B2658" s="7" t="s">
        <v>6017</v>
      </c>
      <c r="C2658" s="8" t="s">
        <v>5319</v>
      </c>
      <c r="D2658" t="s">
        <v>272</v>
      </c>
      <c r="E2658" t="s">
        <v>74</v>
      </c>
      <c r="F2658" t="s">
        <v>75</v>
      </c>
      <c r="G2658" t="s">
        <v>2339</v>
      </c>
      <c r="H2658" s="9">
        <v>44733</v>
      </c>
      <c r="I2658" t="s">
        <v>77</v>
      </c>
      <c r="J2658" t="s">
        <v>5330</v>
      </c>
      <c r="K2658" s="9">
        <v>44834</v>
      </c>
      <c r="L2658" t="s">
        <v>29</v>
      </c>
      <c r="M2658"/>
      <c r="N2658" s="9">
        <v>44778</v>
      </c>
      <c r="O2658" s="9">
        <v>44834</v>
      </c>
      <c r="P2658"/>
      <c r="Q2658"/>
      <c r="R2658"/>
      <c r="S2658"/>
      <c r="T2658"/>
      <c r="U2658"/>
    </row>
    <row r="2659" spans="1:21" hidden="1">
      <c r="A2659" s="7" t="s">
        <v>8825</v>
      </c>
      <c r="B2659" s="7" t="s">
        <v>5405</v>
      </c>
      <c r="C2659" s="8" t="s">
        <v>5319</v>
      </c>
      <c r="D2659" t="s">
        <v>272</v>
      </c>
      <c r="E2659" t="s">
        <v>25</v>
      </c>
      <c r="F2659" t="s">
        <v>111</v>
      </c>
      <c r="G2659" t="s">
        <v>2340</v>
      </c>
      <c r="H2659" s="9">
        <v>44733</v>
      </c>
      <c r="I2659" t="s">
        <v>8634</v>
      </c>
      <c r="J2659" t="s">
        <v>5330</v>
      </c>
      <c r="K2659" s="9">
        <v>44834</v>
      </c>
      <c r="L2659" t="s">
        <v>29</v>
      </c>
      <c r="M2659"/>
      <c r="N2659" s="9">
        <v>44778</v>
      </c>
      <c r="O2659" s="9">
        <v>44834</v>
      </c>
      <c r="P2659"/>
      <c r="Q2659"/>
      <c r="R2659"/>
      <c r="S2659"/>
      <c r="T2659"/>
      <c r="U2659"/>
    </row>
    <row r="2660" spans="1:21" hidden="1">
      <c r="A2660" s="7" t="s">
        <v>8758</v>
      </c>
      <c r="B2660" s="7" t="s">
        <v>5405</v>
      </c>
      <c r="C2660" s="8" t="s">
        <v>5319</v>
      </c>
      <c r="D2660" t="s">
        <v>272</v>
      </c>
      <c r="E2660" t="s">
        <v>25</v>
      </c>
      <c r="F2660" t="s">
        <v>493</v>
      </c>
      <c r="G2660" t="s">
        <v>1409</v>
      </c>
      <c r="H2660" s="9">
        <v>44733</v>
      </c>
      <c r="I2660" t="s">
        <v>8634</v>
      </c>
      <c r="J2660" t="s">
        <v>0</v>
      </c>
      <c r="K2660" s="9">
        <v>44862</v>
      </c>
      <c r="L2660" t="s">
        <v>29</v>
      </c>
      <c r="M2660"/>
      <c r="N2660" s="9">
        <v>44778</v>
      </c>
      <c r="O2660" s="9">
        <v>44834</v>
      </c>
      <c r="P2660"/>
      <c r="Q2660" s="9">
        <v>44862</v>
      </c>
      <c r="R2660"/>
      <c r="S2660"/>
      <c r="T2660"/>
      <c r="U2660"/>
    </row>
    <row r="2661" spans="1:21" hidden="1">
      <c r="A2661" s="7" t="s">
        <v>8758</v>
      </c>
      <c r="B2661" s="7" t="s">
        <v>5405</v>
      </c>
      <c r="C2661" s="8" t="s">
        <v>5319</v>
      </c>
      <c r="D2661" t="s">
        <v>272</v>
      </c>
      <c r="E2661" t="s">
        <v>25</v>
      </c>
      <c r="F2661" t="s">
        <v>493</v>
      </c>
      <c r="G2661" t="s">
        <v>1411</v>
      </c>
      <c r="H2661" s="9">
        <v>44733</v>
      </c>
      <c r="I2661" t="s">
        <v>8634</v>
      </c>
      <c r="J2661" t="s">
        <v>0</v>
      </c>
      <c r="K2661" s="9">
        <v>44862</v>
      </c>
      <c r="L2661" t="s">
        <v>29</v>
      </c>
      <c r="M2661"/>
      <c r="N2661" s="9">
        <v>44778</v>
      </c>
      <c r="O2661" s="9">
        <v>44834</v>
      </c>
      <c r="P2661"/>
      <c r="Q2661" s="9">
        <v>44862</v>
      </c>
      <c r="R2661"/>
      <c r="S2661"/>
      <c r="T2661"/>
      <c r="U2661"/>
    </row>
    <row r="2662" spans="1:21" hidden="1">
      <c r="A2662" s="7" t="s">
        <v>8758</v>
      </c>
      <c r="B2662" s="7" t="s">
        <v>5405</v>
      </c>
      <c r="C2662" s="8" t="s">
        <v>5319</v>
      </c>
      <c r="D2662" t="s">
        <v>272</v>
      </c>
      <c r="E2662" t="s">
        <v>25</v>
      </c>
      <c r="F2662" t="s">
        <v>493</v>
      </c>
      <c r="G2662" t="s">
        <v>1413</v>
      </c>
      <c r="H2662" s="9">
        <v>44733</v>
      </c>
      <c r="I2662" t="s">
        <v>8634</v>
      </c>
      <c r="J2662" t="s">
        <v>0</v>
      </c>
      <c r="K2662" s="9">
        <v>44862</v>
      </c>
      <c r="L2662" t="s">
        <v>29</v>
      </c>
      <c r="M2662"/>
      <c r="N2662" s="9">
        <v>44778</v>
      </c>
      <c r="O2662" s="9">
        <v>44834</v>
      </c>
      <c r="P2662"/>
      <c r="Q2662" s="9">
        <v>44862</v>
      </c>
      <c r="R2662"/>
      <c r="S2662"/>
      <c r="T2662"/>
      <c r="U2662"/>
    </row>
    <row r="2663" spans="1:21" hidden="1">
      <c r="A2663" s="7" t="s">
        <v>8758</v>
      </c>
      <c r="B2663" s="7" t="s">
        <v>5405</v>
      </c>
      <c r="C2663" s="8" t="s">
        <v>5319</v>
      </c>
      <c r="D2663" t="s">
        <v>272</v>
      </c>
      <c r="E2663" t="s">
        <v>25</v>
      </c>
      <c r="F2663" t="s">
        <v>493</v>
      </c>
      <c r="G2663" t="s">
        <v>2341</v>
      </c>
      <c r="H2663" s="9">
        <v>44733</v>
      </c>
      <c r="I2663" t="s">
        <v>8634</v>
      </c>
      <c r="J2663" t="s">
        <v>0</v>
      </c>
      <c r="K2663" s="9">
        <v>44862</v>
      </c>
      <c r="L2663" t="s">
        <v>29</v>
      </c>
      <c r="M2663"/>
      <c r="N2663" s="9">
        <v>44778</v>
      </c>
      <c r="O2663" s="9">
        <v>44834</v>
      </c>
      <c r="P2663"/>
      <c r="Q2663" s="9">
        <v>44862</v>
      </c>
      <c r="R2663"/>
      <c r="S2663"/>
      <c r="T2663"/>
      <c r="U2663"/>
    </row>
    <row r="2664" spans="1:21" hidden="1">
      <c r="A2664" s="7" t="s">
        <v>8866</v>
      </c>
      <c r="B2664" s="7" t="s">
        <v>6820</v>
      </c>
      <c r="C2664" s="8" t="s">
        <v>5319</v>
      </c>
      <c r="D2664" t="s">
        <v>272</v>
      </c>
      <c r="E2664" t="s">
        <v>892</v>
      </c>
      <c r="F2664" t="s">
        <v>75</v>
      </c>
      <c r="G2664" t="s">
        <v>2342</v>
      </c>
      <c r="H2664" s="9">
        <v>44733</v>
      </c>
      <c r="I2664" t="s">
        <v>99</v>
      </c>
      <c r="J2664" t="s">
        <v>5330</v>
      </c>
      <c r="K2664" s="9">
        <v>44834</v>
      </c>
      <c r="L2664" t="s">
        <v>29</v>
      </c>
      <c r="M2664"/>
      <c r="N2664" s="9">
        <v>44778</v>
      </c>
      <c r="O2664" s="9">
        <v>44834</v>
      </c>
      <c r="P2664"/>
      <c r="Q2664"/>
      <c r="R2664"/>
      <c r="S2664"/>
      <c r="T2664"/>
      <c r="U2664"/>
    </row>
    <row r="2665" spans="1:21" hidden="1">
      <c r="A2665" s="7" t="s">
        <v>8866</v>
      </c>
      <c r="B2665" s="7" t="s">
        <v>6820</v>
      </c>
      <c r="C2665" s="8" t="s">
        <v>5319</v>
      </c>
      <c r="D2665" t="s">
        <v>272</v>
      </c>
      <c r="E2665" t="s">
        <v>892</v>
      </c>
      <c r="F2665" t="s">
        <v>75</v>
      </c>
      <c r="G2665" t="s">
        <v>2343</v>
      </c>
      <c r="H2665" s="9">
        <v>44733</v>
      </c>
      <c r="I2665" t="s">
        <v>99</v>
      </c>
      <c r="J2665" t="s">
        <v>5330</v>
      </c>
      <c r="K2665" s="9">
        <v>44834</v>
      </c>
      <c r="L2665" t="s">
        <v>29</v>
      </c>
      <c r="M2665"/>
      <c r="N2665" s="9">
        <v>44778</v>
      </c>
      <c r="O2665" s="9">
        <v>44834</v>
      </c>
      <c r="P2665"/>
      <c r="Q2665"/>
      <c r="R2665"/>
      <c r="S2665"/>
      <c r="T2665"/>
      <c r="U2665"/>
    </row>
    <row r="2666" spans="1:21" hidden="1">
      <c r="A2666" s="7" t="s">
        <v>8866</v>
      </c>
      <c r="B2666" s="7" t="s">
        <v>6820</v>
      </c>
      <c r="C2666" s="8" t="s">
        <v>5319</v>
      </c>
      <c r="D2666" t="s">
        <v>272</v>
      </c>
      <c r="E2666" t="s">
        <v>892</v>
      </c>
      <c r="F2666" t="s">
        <v>75</v>
      </c>
      <c r="G2666" t="s">
        <v>2344</v>
      </c>
      <c r="H2666" s="9">
        <v>44733</v>
      </c>
      <c r="I2666" t="s">
        <v>99</v>
      </c>
      <c r="J2666" t="s">
        <v>5330</v>
      </c>
      <c r="K2666" s="9">
        <v>44834</v>
      </c>
      <c r="L2666" t="s">
        <v>29</v>
      </c>
      <c r="M2666"/>
      <c r="N2666" s="9">
        <v>44778</v>
      </c>
      <c r="O2666" s="9">
        <v>44834</v>
      </c>
      <c r="P2666"/>
      <c r="Q2666"/>
      <c r="R2666"/>
      <c r="S2666"/>
      <c r="T2666"/>
      <c r="U2666"/>
    </row>
    <row r="2667" spans="1:21" hidden="1">
      <c r="A2667" s="7" t="s">
        <v>8866</v>
      </c>
      <c r="B2667" s="7" t="s">
        <v>6820</v>
      </c>
      <c r="C2667" s="8" t="s">
        <v>5319</v>
      </c>
      <c r="D2667" t="s">
        <v>272</v>
      </c>
      <c r="E2667" t="s">
        <v>892</v>
      </c>
      <c r="F2667" t="s">
        <v>75</v>
      </c>
      <c r="G2667" t="s">
        <v>2345</v>
      </c>
      <c r="H2667" s="9">
        <v>44733</v>
      </c>
      <c r="I2667" t="s">
        <v>99</v>
      </c>
      <c r="J2667" t="s">
        <v>5330</v>
      </c>
      <c r="K2667" s="9">
        <v>44834</v>
      </c>
      <c r="L2667" t="s">
        <v>29</v>
      </c>
      <c r="M2667"/>
      <c r="N2667" s="9">
        <v>44778</v>
      </c>
      <c r="O2667" s="9">
        <v>44834</v>
      </c>
      <c r="P2667"/>
      <c r="Q2667"/>
      <c r="R2667"/>
      <c r="S2667"/>
      <c r="T2667"/>
      <c r="U2667"/>
    </row>
    <row r="2668" spans="1:21" hidden="1">
      <c r="A2668" s="7" t="s">
        <v>8866</v>
      </c>
      <c r="B2668" s="7" t="s">
        <v>6820</v>
      </c>
      <c r="C2668" s="8" t="s">
        <v>5319</v>
      </c>
      <c r="D2668" t="s">
        <v>272</v>
      </c>
      <c r="E2668" t="s">
        <v>892</v>
      </c>
      <c r="F2668" t="s">
        <v>75</v>
      </c>
      <c r="G2668" t="s">
        <v>2346</v>
      </c>
      <c r="H2668" s="9">
        <v>44733</v>
      </c>
      <c r="I2668" t="s">
        <v>99</v>
      </c>
      <c r="J2668" t="s">
        <v>5330</v>
      </c>
      <c r="K2668" s="9">
        <v>44834</v>
      </c>
      <c r="L2668" t="s">
        <v>29</v>
      </c>
      <c r="M2668"/>
      <c r="N2668" s="9">
        <v>44778</v>
      </c>
      <c r="O2668" s="9">
        <v>44834</v>
      </c>
      <c r="P2668"/>
      <c r="Q2668"/>
      <c r="R2668"/>
      <c r="S2668"/>
      <c r="T2668"/>
      <c r="U2668"/>
    </row>
    <row r="2669" spans="1:21" hidden="1">
      <c r="A2669" s="7" t="s">
        <v>8866</v>
      </c>
      <c r="B2669" s="7" t="s">
        <v>6820</v>
      </c>
      <c r="C2669" s="8" t="s">
        <v>5319</v>
      </c>
      <c r="D2669" t="s">
        <v>272</v>
      </c>
      <c r="E2669" t="s">
        <v>892</v>
      </c>
      <c r="F2669" t="s">
        <v>75</v>
      </c>
      <c r="G2669" t="s">
        <v>2347</v>
      </c>
      <c r="H2669" s="9">
        <v>44733</v>
      </c>
      <c r="I2669" t="s">
        <v>99</v>
      </c>
      <c r="J2669" t="s">
        <v>5330</v>
      </c>
      <c r="K2669" s="9">
        <v>44834</v>
      </c>
      <c r="L2669" t="s">
        <v>29</v>
      </c>
      <c r="M2669"/>
      <c r="N2669" s="9">
        <v>44778</v>
      </c>
      <c r="O2669" s="9">
        <v>44834</v>
      </c>
      <c r="P2669"/>
      <c r="Q2669"/>
      <c r="R2669"/>
      <c r="S2669"/>
      <c r="T2669"/>
      <c r="U2669"/>
    </row>
    <row r="2670" spans="1:21" hidden="1">
      <c r="A2670" s="7" t="s">
        <v>8850</v>
      </c>
      <c r="B2670" s="7" t="s">
        <v>6668</v>
      </c>
      <c r="C2670" s="8" t="s">
        <v>5319</v>
      </c>
      <c r="D2670" t="s">
        <v>272</v>
      </c>
      <c r="E2670" t="s">
        <v>2183</v>
      </c>
      <c r="F2670" t="s">
        <v>2184</v>
      </c>
      <c r="G2670" t="s">
        <v>2348</v>
      </c>
      <c r="H2670" s="9">
        <v>44733</v>
      </c>
      <c r="I2670" t="s">
        <v>758</v>
      </c>
      <c r="J2670" t="s">
        <v>0</v>
      </c>
      <c r="K2670" s="9">
        <v>44792</v>
      </c>
      <c r="L2670" t="s">
        <v>29</v>
      </c>
      <c r="M2670"/>
      <c r="N2670" s="9">
        <v>44778</v>
      </c>
      <c r="O2670"/>
      <c r="P2670"/>
      <c r="Q2670" s="9">
        <v>44792</v>
      </c>
      <c r="R2670"/>
      <c r="S2670"/>
      <c r="T2670"/>
      <c r="U2670"/>
    </row>
    <row r="2671" spans="1:21" hidden="1">
      <c r="A2671" s="7" t="s">
        <v>8752</v>
      </c>
      <c r="B2671" s="7" t="s">
        <v>6707</v>
      </c>
      <c r="C2671" s="8" t="s">
        <v>5319</v>
      </c>
      <c r="D2671" t="s">
        <v>272</v>
      </c>
      <c r="E2671" t="s">
        <v>439</v>
      </c>
      <c r="F2671" t="s">
        <v>117</v>
      </c>
      <c r="G2671" t="s">
        <v>2349</v>
      </c>
      <c r="H2671" s="9">
        <v>44733</v>
      </c>
      <c r="I2671" t="s">
        <v>181</v>
      </c>
      <c r="J2671" t="s">
        <v>0</v>
      </c>
      <c r="K2671" s="9">
        <v>44872</v>
      </c>
      <c r="L2671" t="s">
        <v>29</v>
      </c>
      <c r="M2671"/>
      <c r="N2671" s="9">
        <v>44778</v>
      </c>
      <c r="O2671" s="9">
        <v>44834</v>
      </c>
      <c r="P2671"/>
      <c r="Q2671" s="9">
        <v>44872</v>
      </c>
      <c r="R2671"/>
      <c r="S2671"/>
      <c r="T2671"/>
      <c r="U2671"/>
    </row>
    <row r="2672" spans="1:21" hidden="1">
      <c r="A2672" s="7" t="s">
        <v>8752</v>
      </c>
      <c r="B2672" s="7" t="s">
        <v>6707</v>
      </c>
      <c r="C2672" s="8" t="s">
        <v>5319</v>
      </c>
      <c r="D2672" t="s">
        <v>272</v>
      </c>
      <c r="E2672" t="s">
        <v>439</v>
      </c>
      <c r="F2672" t="s">
        <v>117</v>
      </c>
      <c r="G2672" t="s">
        <v>446</v>
      </c>
      <c r="H2672" s="9">
        <v>44733</v>
      </c>
      <c r="I2672" t="s">
        <v>181</v>
      </c>
      <c r="J2672" t="s">
        <v>0</v>
      </c>
      <c r="K2672" s="9">
        <v>44872</v>
      </c>
      <c r="L2672" t="s">
        <v>29</v>
      </c>
      <c r="M2672"/>
      <c r="N2672" s="9">
        <v>44778</v>
      </c>
      <c r="O2672" s="9">
        <v>44834</v>
      </c>
      <c r="P2672"/>
      <c r="Q2672" s="9">
        <v>44872</v>
      </c>
      <c r="R2672"/>
      <c r="S2672"/>
      <c r="T2672"/>
      <c r="U2672"/>
    </row>
    <row r="2673" spans="1:21" hidden="1">
      <c r="A2673" s="7" t="s">
        <v>8861</v>
      </c>
      <c r="B2673" s="7" t="s">
        <v>8218</v>
      </c>
      <c r="C2673" s="8" t="s">
        <v>5319</v>
      </c>
      <c r="D2673" t="s">
        <v>272</v>
      </c>
      <c r="E2673" t="s">
        <v>2260</v>
      </c>
      <c r="F2673" t="s">
        <v>117</v>
      </c>
      <c r="G2673" t="s">
        <v>2350</v>
      </c>
      <c r="H2673" s="9">
        <v>44733</v>
      </c>
      <c r="I2673" t="s">
        <v>2262</v>
      </c>
      <c r="J2673" t="s">
        <v>0</v>
      </c>
      <c r="K2673" s="9">
        <v>44882</v>
      </c>
      <c r="L2673" t="s">
        <v>29</v>
      </c>
      <c r="M2673"/>
      <c r="N2673" s="9">
        <v>44778</v>
      </c>
      <c r="O2673" s="9">
        <v>44834</v>
      </c>
      <c r="P2673"/>
      <c r="Q2673" s="9">
        <v>44882</v>
      </c>
      <c r="R2673" s="9">
        <v>44879.703275462998</v>
      </c>
      <c r="S2673"/>
      <c r="T2673"/>
      <c r="U2673"/>
    </row>
    <row r="2674" spans="1:21" hidden="1">
      <c r="A2674" s="7" t="s">
        <v>8861</v>
      </c>
      <c r="B2674" s="7" t="s">
        <v>8218</v>
      </c>
      <c r="C2674" s="8" t="s">
        <v>5319</v>
      </c>
      <c r="D2674" t="s">
        <v>272</v>
      </c>
      <c r="E2674" t="s">
        <v>2260</v>
      </c>
      <c r="F2674" t="s">
        <v>117</v>
      </c>
      <c r="G2674" t="s">
        <v>2351</v>
      </c>
      <c r="H2674" s="9">
        <v>44733</v>
      </c>
      <c r="I2674" t="s">
        <v>2262</v>
      </c>
      <c r="J2674" t="s">
        <v>0</v>
      </c>
      <c r="K2674" s="9">
        <v>44882</v>
      </c>
      <c r="L2674" t="s">
        <v>29</v>
      </c>
      <c r="M2674"/>
      <c r="N2674" s="9">
        <v>44778</v>
      </c>
      <c r="O2674" s="9">
        <v>44834</v>
      </c>
      <c r="P2674"/>
      <c r="Q2674" s="9">
        <v>44882</v>
      </c>
      <c r="R2674" s="9">
        <v>44879.703275462998</v>
      </c>
      <c r="S2674"/>
      <c r="T2674"/>
      <c r="U2674"/>
    </row>
    <row r="2675" spans="1:21" hidden="1">
      <c r="A2675" s="7" t="s">
        <v>8768</v>
      </c>
      <c r="B2675" s="7" t="s">
        <v>6720</v>
      </c>
      <c r="C2675" s="8" t="s">
        <v>5319</v>
      </c>
      <c r="D2675" t="s">
        <v>272</v>
      </c>
      <c r="E2675" t="s">
        <v>750</v>
      </c>
      <c r="F2675" t="s">
        <v>103</v>
      </c>
      <c r="G2675" t="s">
        <v>2352</v>
      </c>
      <c r="H2675" s="9">
        <v>44733</v>
      </c>
      <c r="I2675" t="s">
        <v>43</v>
      </c>
      <c r="J2675" t="s">
        <v>0</v>
      </c>
      <c r="K2675" s="9">
        <v>44846</v>
      </c>
      <c r="L2675" t="s">
        <v>29</v>
      </c>
      <c r="M2675"/>
      <c r="N2675" s="9">
        <v>44778</v>
      </c>
      <c r="O2675" s="9">
        <v>44834</v>
      </c>
      <c r="P2675"/>
      <c r="Q2675" s="9">
        <v>44846</v>
      </c>
      <c r="R2675"/>
      <c r="S2675"/>
      <c r="T2675"/>
      <c r="U2675"/>
    </row>
    <row r="2676" spans="1:21" hidden="1">
      <c r="A2676" s="7" t="s">
        <v>8768</v>
      </c>
      <c r="B2676" s="7" t="s">
        <v>6720</v>
      </c>
      <c r="C2676" s="8" t="s">
        <v>5319</v>
      </c>
      <c r="D2676" t="s">
        <v>272</v>
      </c>
      <c r="E2676" t="s">
        <v>750</v>
      </c>
      <c r="F2676" t="s">
        <v>103</v>
      </c>
      <c r="G2676" t="s">
        <v>2353</v>
      </c>
      <c r="H2676" s="9">
        <v>44733</v>
      </c>
      <c r="I2676" t="s">
        <v>43</v>
      </c>
      <c r="J2676" t="s">
        <v>0</v>
      </c>
      <c r="K2676" s="9">
        <v>44846</v>
      </c>
      <c r="L2676" t="s">
        <v>29</v>
      </c>
      <c r="M2676"/>
      <c r="N2676" s="9">
        <v>44778</v>
      </c>
      <c r="O2676" s="9">
        <v>44834</v>
      </c>
      <c r="P2676"/>
      <c r="Q2676" s="9">
        <v>44846</v>
      </c>
      <c r="R2676"/>
      <c r="S2676"/>
      <c r="T2676"/>
      <c r="U2676"/>
    </row>
    <row r="2677" spans="1:21" hidden="1">
      <c r="A2677" s="7" t="s">
        <v>8768</v>
      </c>
      <c r="B2677" s="7" t="s">
        <v>6720</v>
      </c>
      <c r="C2677" s="8" t="s">
        <v>5319</v>
      </c>
      <c r="D2677" t="s">
        <v>272</v>
      </c>
      <c r="E2677" t="s">
        <v>750</v>
      </c>
      <c r="F2677" t="s">
        <v>103</v>
      </c>
      <c r="G2677" t="s">
        <v>2354</v>
      </c>
      <c r="H2677" s="9">
        <v>44733</v>
      </c>
      <c r="I2677" t="s">
        <v>43</v>
      </c>
      <c r="J2677" t="s">
        <v>0</v>
      </c>
      <c r="K2677" s="9">
        <v>44846</v>
      </c>
      <c r="L2677" t="s">
        <v>29</v>
      </c>
      <c r="M2677"/>
      <c r="N2677" s="9">
        <v>44778</v>
      </c>
      <c r="O2677" s="9">
        <v>44834</v>
      </c>
      <c r="P2677"/>
      <c r="Q2677" s="9">
        <v>44846</v>
      </c>
      <c r="R2677"/>
      <c r="S2677"/>
      <c r="T2677"/>
      <c r="U2677"/>
    </row>
    <row r="2678" spans="1:21" hidden="1">
      <c r="A2678" s="7" t="s">
        <v>8768</v>
      </c>
      <c r="B2678" s="7" t="s">
        <v>6720</v>
      </c>
      <c r="C2678" s="8" t="s">
        <v>5319</v>
      </c>
      <c r="D2678" t="s">
        <v>272</v>
      </c>
      <c r="E2678" t="s">
        <v>750</v>
      </c>
      <c r="F2678" t="s">
        <v>103</v>
      </c>
      <c r="G2678" t="s">
        <v>2355</v>
      </c>
      <c r="H2678" s="9">
        <v>44733</v>
      </c>
      <c r="I2678" t="s">
        <v>43</v>
      </c>
      <c r="J2678" t="s">
        <v>0</v>
      </c>
      <c r="K2678" s="9">
        <v>44846</v>
      </c>
      <c r="L2678" t="s">
        <v>29</v>
      </c>
      <c r="M2678"/>
      <c r="N2678" s="9">
        <v>44778</v>
      </c>
      <c r="O2678" s="9">
        <v>44834</v>
      </c>
      <c r="P2678"/>
      <c r="Q2678" s="9">
        <v>44846</v>
      </c>
      <c r="R2678"/>
      <c r="S2678"/>
      <c r="T2678"/>
      <c r="U2678"/>
    </row>
    <row r="2679" spans="1:21" hidden="1">
      <c r="A2679" s="7" t="s">
        <v>8768</v>
      </c>
      <c r="B2679" s="7" t="s">
        <v>6720</v>
      </c>
      <c r="C2679" s="8" t="s">
        <v>5319</v>
      </c>
      <c r="D2679" t="s">
        <v>272</v>
      </c>
      <c r="E2679" t="s">
        <v>750</v>
      </c>
      <c r="F2679" t="s">
        <v>103</v>
      </c>
      <c r="G2679" t="s">
        <v>2356</v>
      </c>
      <c r="H2679" s="9">
        <v>44733</v>
      </c>
      <c r="I2679" t="s">
        <v>43</v>
      </c>
      <c r="J2679" t="s">
        <v>0</v>
      </c>
      <c r="K2679" s="9">
        <v>44846</v>
      </c>
      <c r="L2679" t="s">
        <v>29</v>
      </c>
      <c r="M2679"/>
      <c r="N2679" s="9">
        <v>44778</v>
      </c>
      <c r="O2679" s="9">
        <v>44834</v>
      </c>
      <c r="P2679"/>
      <c r="Q2679" s="9">
        <v>44846</v>
      </c>
      <c r="R2679"/>
      <c r="S2679"/>
      <c r="T2679"/>
      <c r="U2679"/>
    </row>
    <row r="2680" spans="1:21" hidden="1">
      <c r="A2680" s="7" t="s">
        <v>8768</v>
      </c>
      <c r="B2680" s="7" t="s">
        <v>6720</v>
      </c>
      <c r="C2680" s="8" t="s">
        <v>5319</v>
      </c>
      <c r="D2680" t="s">
        <v>272</v>
      </c>
      <c r="E2680" t="s">
        <v>750</v>
      </c>
      <c r="F2680" t="s">
        <v>103</v>
      </c>
      <c r="G2680" t="s">
        <v>2357</v>
      </c>
      <c r="H2680" s="9">
        <v>44733</v>
      </c>
      <c r="I2680" t="s">
        <v>43</v>
      </c>
      <c r="J2680" t="s">
        <v>0</v>
      </c>
      <c r="K2680" s="9">
        <v>44846</v>
      </c>
      <c r="L2680" t="s">
        <v>29</v>
      </c>
      <c r="M2680"/>
      <c r="N2680" s="9">
        <v>44778</v>
      </c>
      <c r="O2680" s="9">
        <v>44834</v>
      </c>
      <c r="P2680"/>
      <c r="Q2680" s="9">
        <v>44846</v>
      </c>
      <c r="R2680"/>
      <c r="S2680"/>
      <c r="T2680"/>
      <c r="U2680"/>
    </row>
    <row r="2681" spans="1:21" hidden="1">
      <c r="A2681" s="7" t="s">
        <v>8768</v>
      </c>
      <c r="B2681" s="7" t="s">
        <v>6720</v>
      </c>
      <c r="C2681" s="8" t="s">
        <v>5319</v>
      </c>
      <c r="D2681" t="s">
        <v>272</v>
      </c>
      <c r="E2681" t="s">
        <v>750</v>
      </c>
      <c r="F2681" t="s">
        <v>103</v>
      </c>
      <c r="G2681" t="s">
        <v>2358</v>
      </c>
      <c r="H2681" s="9">
        <v>44733</v>
      </c>
      <c r="I2681" t="s">
        <v>43</v>
      </c>
      <c r="J2681" t="s">
        <v>0</v>
      </c>
      <c r="K2681" s="9">
        <v>44846</v>
      </c>
      <c r="L2681" t="s">
        <v>29</v>
      </c>
      <c r="M2681"/>
      <c r="N2681" s="9">
        <v>44778</v>
      </c>
      <c r="O2681" s="9">
        <v>44834</v>
      </c>
      <c r="P2681"/>
      <c r="Q2681" s="9">
        <v>44846</v>
      </c>
      <c r="R2681"/>
      <c r="S2681"/>
      <c r="T2681"/>
      <c r="U2681"/>
    </row>
    <row r="2682" spans="1:21" hidden="1">
      <c r="A2682" s="7" t="s">
        <v>8768</v>
      </c>
      <c r="B2682" s="7" t="s">
        <v>6720</v>
      </c>
      <c r="C2682" s="8" t="s">
        <v>5319</v>
      </c>
      <c r="D2682" t="s">
        <v>272</v>
      </c>
      <c r="E2682" t="s">
        <v>750</v>
      </c>
      <c r="F2682" t="s">
        <v>103</v>
      </c>
      <c r="G2682" t="s">
        <v>2359</v>
      </c>
      <c r="H2682" s="9">
        <v>44733</v>
      </c>
      <c r="I2682" t="s">
        <v>43</v>
      </c>
      <c r="J2682" t="s">
        <v>0</v>
      </c>
      <c r="K2682" s="9">
        <v>44846</v>
      </c>
      <c r="L2682" t="s">
        <v>29</v>
      </c>
      <c r="M2682"/>
      <c r="N2682" s="9">
        <v>44778</v>
      </c>
      <c r="O2682" s="9">
        <v>44834</v>
      </c>
      <c r="P2682"/>
      <c r="Q2682" s="9">
        <v>44846</v>
      </c>
      <c r="R2682"/>
      <c r="S2682"/>
      <c r="T2682"/>
      <c r="U2682"/>
    </row>
    <row r="2683" spans="1:21" hidden="1">
      <c r="A2683" s="7" t="s">
        <v>8867</v>
      </c>
      <c r="B2683" s="7" t="s">
        <v>7140</v>
      </c>
      <c r="C2683" s="8" t="s">
        <v>5319</v>
      </c>
      <c r="D2683" t="s">
        <v>272</v>
      </c>
      <c r="E2683" t="s">
        <v>2360</v>
      </c>
      <c r="F2683" t="s">
        <v>231</v>
      </c>
      <c r="G2683" t="s">
        <v>2361</v>
      </c>
      <c r="H2683" s="9">
        <v>44733</v>
      </c>
      <c r="I2683" t="s">
        <v>2362</v>
      </c>
      <c r="J2683" t="s">
        <v>5330</v>
      </c>
      <c r="K2683" s="9">
        <v>44834</v>
      </c>
      <c r="L2683" t="s">
        <v>29</v>
      </c>
      <c r="M2683"/>
      <c r="N2683" s="9">
        <v>44778</v>
      </c>
      <c r="O2683" s="9">
        <v>44834</v>
      </c>
      <c r="P2683"/>
      <c r="Q2683"/>
      <c r="R2683"/>
      <c r="S2683"/>
      <c r="T2683"/>
      <c r="U2683"/>
    </row>
    <row r="2684" spans="1:21" hidden="1">
      <c r="A2684" s="7" t="s">
        <v>8866</v>
      </c>
      <c r="B2684" s="7" t="s">
        <v>6820</v>
      </c>
      <c r="C2684" s="8" t="s">
        <v>5319</v>
      </c>
      <c r="D2684" t="s">
        <v>272</v>
      </c>
      <c r="E2684" t="s">
        <v>892</v>
      </c>
      <c r="F2684" t="s">
        <v>75</v>
      </c>
      <c r="G2684" t="s">
        <v>2363</v>
      </c>
      <c r="H2684" s="9">
        <v>44733</v>
      </c>
      <c r="I2684" t="s">
        <v>99</v>
      </c>
      <c r="J2684" t="s">
        <v>5330</v>
      </c>
      <c r="K2684" s="9">
        <v>44834</v>
      </c>
      <c r="L2684" t="s">
        <v>29</v>
      </c>
      <c r="M2684"/>
      <c r="N2684" s="9">
        <v>44778</v>
      </c>
      <c r="O2684" s="9">
        <v>44834</v>
      </c>
      <c r="P2684"/>
      <c r="Q2684"/>
      <c r="R2684"/>
      <c r="S2684"/>
      <c r="T2684"/>
      <c r="U2684"/>
    </row>
    <row r="2685" spans="1:21" hidden="1">
      <c r="A2685" s="7" t="s">
        <v>8866</v>
      </c>
      <c r="B2685" s="7" t="s">
        <v>6820</v>
      </c>
      <c r="C2685" s="8" t="s">
        <v>5319</v>
      </c>
      <c r="D2685" t="s">
        <v>272</v>
      </c>
      <c r="E2685" t="s">
        <v>892</v>
      </c>
      <c r="F2685" t="s">
        <v>75</v>
      </c>
      <c r="G2685" t="s">
        <v>2364</v>
      </c>
      <c r="H2685" s="9">
        <v>44733</v>
      </c>
      <c r="I2685" t="s">
        <v>99</v>
      </c>
      <c r="J2685" t="s">
        <v>5330</v>
      </c>
      <c r="K2685" s="9">
        <v>44834</v>
      </c>
      <c r="L2685" t="s">
        <v>29</v>
      </c>
      <c r="M2685"/>
      <c r="N2685" s="9">
        <v>44778</v>
      </c>
      <c r="O2685" s="9">
        <v>44834</v>
      </c>
      <c r="P2685"/>
      <c r="Q2685"/>
      <c r="R2685"/>
      <c r="S2685"/>
      <c r="T2685"/>
      <c r="U2685"/>
    </row>
    <row r="2686" spans="1:21" hidden="1">
      <c r="A2686" s="7" t="s">
        <v>8850</v>
      </c>
      <c r="B2686" s="7" t="s">
        <v>6668</v>
      </c>
      <c r="C2686" s="8" t="s">
        <v>5319</v>
      </c>
      <c r="D2686" t="s">
        <v>272</v>
      </c>
      <c r="E2686" t="s">
        <v>2183</v>
      </c>
      <c r="F2686" t="s">
        <v>2184</v>
      </c>
      <c r="G2686" t="s">
        <v>2365</v>
      </c>
      <c r="H2686" s="9">
        <v>44733</v>
      </c>
      <c r="I2686" t="s">
        <v>758</v>
      </c>
      <c r="J2686" t="s">
        <v>0</v>
      </c>
      <c r="K2686" s="9">
        <v>44792</v>
      </c>
      <c r="L2686" t="s">
        <v>29</v>
      </c>
      <c r="M2686"/>
      <c r="N2686" s="9">
        <v>44778</v>
      </c>
      <c r="O2686"/>
      <c r="P2686"/>
      <c r="Q2686" s="9">
        <v>44792</v>
      </c>
      <c r="R2686"/>
      <c r="S2686"/>
      <c r="T2686"/>
      <c r="U2686"/>
    </row>
    <row r="2687" spans="1:21" hidden="1">
      <c r="A2687" s="7" t="s">
        <v>8752</v>
      </c>
      <c r="B2687" s="7" t="s">
        <v>6707</v>
      </c>
      <c r="C2687" s="8" t="s">
        <v>5319</v>
      </c>
      <c r="D2687" t="s">
        <v>272</v>
      </c>
      <c r="E2687" t="s">
        <v>439</v>
      </c>
      <c r="F2687" t="s">
        <v>117</v>
      </c>
      <c r="G2687" t="s">
        <v>2366</v>
      </c>
      <c r="H2687" s="9">
        <v>44733</v>
      </c>
      <c r="I2687" t="s">
        <v>181</v>
      </c>
      <c r="J2687" t="s">
        <v>0</v>
      </c>
      <c r="K2687" s="9">
        <v>44872</v>
      </c>
      <c r="L2687" t="s">
        <v>29</v>
      </c>
      <c r="M2687"/>
      <c r="N2687" s="9">
        <v>44778</v>
      </c>
      <c r="O2687" s="9">
        <v>44834</v>
      </c>
      <c r="P2687"/>
      <c r="Q2687" s="9">
        <v>44872</v>
      </c>
      <c r="R2687"/>
      <c r="S2687"/>
      <c r="T2687"/>
      <c r="U2687"/>
    </row>
    <row r="2688" spans="1:21" hidden="1">
      <c r="A2688" s="7" t="s">
        <v>8849</v>
      </c>
      <c r="B2688" s="7" t="s">
        <v>6805</v>
      </c>
      <c r="C2688" s="8" t="s">
        <v>5319</v>
      </c>
      <c r="D2688" t="s">
        <v>272</v>
      </c>
      <c r="E2688" t="s">
        <v>2175</v>
      </c>
      <c r="F2688" t="s">
        <v>75</v>
      </c>
      <c r="G2688" t="s">
        <v>2367</v>
      </c>
      <c r="H2688" s="9">
        <v>44733</v>
      </c>
      <c r="I2688" t="s">
        <v>488</v>
      </c>
      <c r="J2688" t="s">
        <v>5330</v>
      </c>
      <c r="K2688" s="9">
        <v>44834</v>
      </c>
      <c r="L2688" t="s">
        <v>29</v>
      </c>
      <c r="M2688"/>
      <c r="N2688" s="9">
        <v>44778</v>
      </c>
      <c r="O2688" s="9">
        <v>44834</v>
      </c>
      <c r="P2688"/>
      <c r="Q2688"/>
      <c r="R2688"/>
      <c r="S2688"/>
      <c r="T2688"/>
      <c r="U2688"/>
    </row>
    <row r="2689" spans="1:21" hidden="1">
      <c r="A2689" s="7" t="s">
        <v>8768</v>
      </c>
      <c r="B2689" s="7" t="s">
        <v>6720</v>
      </c>
      <c r="C2689" s="8" t="s">
        <v>5319</v>
      </c>
      <c r="D2689" t="s">
        <v>272</v>
      </c>
      <c r="E2689" t="s">
        <v>750</v>
      </c>
      <c r="F2689" t="s">
        <v>103</v>
      </c>
      <c r="G2689" t="s">
        <v>2368</v>
      </c>
      <c r="H2689" s="9">
        <v>44733</v>
      </c>
      <c r="I2689" t="s">
        <v>43</v>
      </c>
      <c r="J2689" t="s">
        <v>0</v>
      </c>
      <c r="K2689" s="9">
        <v>44846</v>
      </c>
      <c r="L2689" t="s">
        <v>29</v>
      </c>
      <c r="M2689"/>
      <c r="N2689" s="9">
        <v>44778</v>
      </c>
      <c r="O2689" s="9">
        <v>44834</v>
      </c>
      <c r="P2689"/>
      <c r="Q2689" s="9">
        <v>44846</v>
      </c>
      <c r="R2689"/>
      <c r="S2689"/>
      <c r="T2689"/>
      <c r="U2689"/>
    </row>
    <row r="2690" spans="1:21" hidden="1">
      <c r="A2690" s="7" t="s">
        <v>8768</v>
      </c>
      <c r="B2690" s="7" t="s">
        <v>6720</v>
      </c>
      <c r="C2690" s="8" t="s">
        <v>5319</v>
      </c>
      <c r="D2690" t="s">
        <v>272</v>
      </c>
      <c r="E2690" t="s">
        <v>750</v>
      </c>
      <c r="F2690" t="s">
        <v>103</v>
      </c>
      <c r="G2690" t="s">
        <v>2369</v>
      </c>
      <c r="H2690" s="9">
        <v>44733</v>
      </c>
      <c r="I2690" t="s">
        <v>43</v>
      </c>
      <c r="J2690" t="s">
        <v>0</v>
      </c>
      <c r="K2690" s="9">
        <v>44846</v>
      </c>
      <c r="L2690" t="s">
        <v>29</v>
      </c>
      <c r="M2690"/>
      <c r="N2690" s="9">
        <v>44778</v>
      </c>
      <c r="O2690" s="9">
        <v>44834</v>
      </c>
      <c r="P2690"/>
      <c r="Q2690" s="9">
        <v>44846</v>
      </c>
      <c r="R2690"/>
      <c r="S2690"/>
      <c r="T2690"/>
      <c r="U2690"/>
    </row>
    <row r="2691" spans="1:21" hidden="1">
      <c r="A2691" s="7" t="s">
        <v>8768</v>
      </c>
      <c r="B2691" s="7" t="s">
        <v>6720</v>
      </c>
      <c r="C2691" s="8" t="s">
        <v>5319</v>
      </c>
      <c r="D2691" t="s">
        <v>272</v>
      </c>
      <c r="E2691" t="s">
        <v>750</v>
      </c>
      <c r="F2691" t="s">
        <v>103</v>
      </c>
      <c r="G2691" t="s">
        <v>2370</v>
      </c>
      <c r="H2691" s="9">
        <v>44733</v>
      </c>
      <c r="I2691" t="s">
        <v>43</v>
      </c>
      <c r="J2691" t="s">
        <v>0</v>
      </c>
      <c r="K2691" s="9">
        <v>44846</v>
      </c>
      <c r="L2691" t="s">
        <v>29</v>
      </c>
      <c r="M2691"/>
      <c r="N2691" s="9">
        <v>44778</v>
      </c>
      <c r="O2691" s="9">
        <v>44834</v>
      </c>
      <c r="P2691"/>
      <c r="Q2691" s="9">
        <v>44846</v>
      </c>
      <c r="R2691"/>
      <c r="S2691"/>
      <c r="T2691"/>
      <c r="U2691"/>
    </row>
    <row r="2692" spans="1:21" hidden="1">
      <c r="A2692" s="7" t="s">
        <v>8768</v>
      </c>
      <c r="B2692" s="7" t="s">
        <v>6720</v>
      </c>
      <c r="C2692" s="8" t="s">
        <v>5319</v>
      </c>
      <c r="D2692" t="s">
        <v>272</v>
      </c>
      <c r="E2692" t="s">
        <v>750</v>
      </c>
      <c r="F2692" t="s">
        <v>103</v>
      </c>
      <c r="G2692" t="s">
        <v>2371</v>
      </c>
      <c r="H2692" s="9">
        <v>44733</v>
      </c>
      <c r="I2692" t="s">
        <v>43</v>
      </c>
      <c r="J2692" t="s">
        <v>0</v>
      </c>
      <c r="K2692" s="9">
        <v>44846</v>
      </c>
      <c r="L2692" t="s">
        <v>29</v>
      </c>
      <c r="M2692"/>
      <c r="N2692" s="9">
        <v>44778</v>
      </c>
      <c r="O2692" s="9">
        <v>44834</v>
      </c>
      <c r="P2692"/>
      <c r="Q2692" s="9">
        <v>44846</v>
      </c>
      <c r="R2692"/>
      <c r="S2692"/>
      <c r="T2692"/>
      <c r="U2692"/>
    </row>
    <row r="2693" spans="1:21" hidden="1">
      <c r="A2693" s="7" t="s">
        <v>8768</v>
      </c>
      <c r="B2693" s="7" t="s">
        <v>6720</v>
      </c>
      <c r="C2693" s="8" t="s">
        <v>5319</v>
      </c>
      <c r="D2693" t="s">
        <v>272</v>
      </c>
      <c r="E2693" t="s">
        <v>750</v>
      </c>
      <c r="F2693" t="s">
        <v>103</v>
      </c>
      <c r="G2693" t="s">
        <v>2372</v>
      </c>
      <c r="H2693" s="9">
        <v>44733</v>
      </c>
      <c r="I2693" t="s">
        <v>43</v>
      </c>
      <c r="J2693" t="s">
        <v>0</v>
      </c>
      <c r="K2693" s="9">
        <v>44846</v>
      </c>
      <c r="L2693" t="s">
        <v>29</v>
      </c>
      <c r="M2693"/>
      <c r="N2693" s="9">
        <v>44778</v>
      </c>
      <c r="O2693" s="9">
        <v>44834</v>
      </c>
      <c r="P2693"/>
      <c r="Q2693" s="9">
        <v>44846</v>
      </c>
      <c r="R2693"/>
      <c r="S2693"/>
      <c r="T2693"/>
      <c r="U2693"/>
    </row>
    <row r="2694" spans="1:21" hidden="1">
      <c r="A2694" s="7" t="s">
        <v>8768</v>
      </c>
      <c r="B2694" s="7" t="s">
        <v>6720</v>
      </c>
      <c r="C2694" s="8" t="s">
        <v>5319</v>
      </c>
      <c r="D2694" t="s">
        <v>272</v>
      </c>
      <c r="E2694" t="s">
        <v>750</v>
      </c>
      <c r="F2694" t="s">
        <v>103</v>
      </c>
      <c r="G2694" t="s">
        <v>2373</v>
      </c>
      <c r="H2694" s="9">
        <v>44733</v>
      </c>
      <c r="I2694" t="s">
        <v>43</v>
      </c>
      <c r="J2694" t="s">
        <v>0</v>
      </c>
      <c r="K2694" s="9">
        <v>44846</v>
      </c>
      <c r="L2694" t="s">
        <v>29</v>
      </c>
      <c r="M2694"/>
      <c r="N2694" s="9">
        <v>44778</v>
      </c>
      <c r="O2694" s="9">
        <v>44834</v>
      </c>
      <c r="P2694"/>
      <c r="Q2694" s="9">
        <v>44846</v>
      </c>
      <c r="R2694"/>
      <c r="S2694"/>
      <c r="T2694"/>
      <c r="U2694"/>
    </row>
    <row r="2695" spans="1:21" hidden="1">
      <c r="A2695" s="7" t="s">
        <v>8768</v>
      </c>
      <c r="B2695" s="7" t="s">
        <v>6720</v>
      </c>
      <c r="C2695" s="8" t="s">
        <v>5319</v>
      </c>
      <c r="D2695" t="s">
        <v>272</v>
      </c>
      <c r="E2695" t="s">
        <v>750</v>
      </c>
      <c r="F2695" t="s">
        <v>103</v>
      </c>
      <c r="G2695" t="s">
        <v>2374</v>
      </c>
      <c r="H2695" s="9">
        <v>44733</v>
      </c>
      <c r="I2695" t="s">
        <v>43</v>
      </c>
      <c r="J2695" t="s">
        <v>0</v>
      </c>
      <c r="K2695" s="9">
        <v>44846</v>
      </c>
      <c r="L2695" t="s">
        <v>29</v>
      </c>
      <c r="M2695"/>
      <c r="N2695" s="9">
        <v>44778</v>
      </c>
      <c r="O2695" s="9">
        <v>44834</v>
      </c>
      <c r="P2695"/>
      <c r="Q2695" s="9">
        <v>44846</v>
      </c>
      <c r="R2695"/>
      <c r="S2695"/>
      <c r="T2695"/>
      <c r="U2695"/>
    </row>
    <row r="2696" spans="1:21" hidden="1">
      <c r="A2696" s="7" t="s">
        <v>8768</v>
      </c>
      <c r="B2696" s="7" t="s">
        <v>6720</v>
      </c>
      <c r="C2696" s="8" t="s">
        <v>5319</v>
      </c>
      <c r="D2696" t="s">
        <v>272</v>
      </c>
      <c r="E2696" t="s">
        <v>750</v>
      </c>
      <c r="F2696" t="s">
        <v>103</v>
      </c>
      <c r="G2696" t="s">
        <v>2375</v>
      </c>
      <c r="H2696" s="9">
        <v>44733</v>
      </c>
      <c r="I2696" t="s">
        <v>43</v>
      </c>
      <c r="J2696" t="s">
        <v>0</v>
      </c>
      <c r="K2696" s="9">
        <v>44846</v>
      </c>
      <c r="L2696" t="s">
        <v>29</v>
      </c>
      <c r="M2696"/>
      <c r="N2696" s="9">
        <v>44778</v>
      </c>
      <c r="O2696" s="9">
        <v>44834</v>
      </c>
      <c r="P2696"/>
      <c r="Q2696" s="9">
        <v>44846</v>
      </c>
      <c r="R2696"/>
      <c r="S2696"/>
      <c r="T2696"/>
      <c r="U2696"/>
    </row>
    <row r="2697" spans="1:21" hidden="1">
      <c r="A2697" s="7" t="s">
        <v>8768</v>
      </c>
      <c r="B2697" s="7" t="s">
        <v>6720</v>
      </c>
      <c r="C2697" s="8" t="s">
        <v>5319</v>
      </c>
      <c r="D2697" t="s">
        <v>272</v>
      </c>
      <c r="E2697" t="s">
        <v>750</v>
      </c>
      <c r="F2697" t="s">
        <v>103</v>
      </c>
      <c r="G2697" t="s">
        <v>2376</v>
      </c>
      <c r="H2697" s="9">
        <v>44733</v>
      </c>
      <c r="I2697" t="s">
        <v>43</v>
      </c>
      <c r="J2697" t="s">
        <v>0</v>
      </c>
      <c r="K2697" s="9">
        <v>44846</v>
      </c>
      <c r="L2697" t="s">
        <v>29</v>
      </c>
      <c r="M2697"/>
      <c r="N2697" s="9">
        <v>44778</v>
      </c>
      <c r="O2697" s="9">
        <v>44834</v>
      </c>
      <c r="P2697"/>
      <c r="Q2697" s="9">
        <v>44846</v>
      </c>
      <c r="R2697"/>
      <c r="S2697"/>
      <c r="T2697"/>
      <c r="U2697"/>
    </row>
    <row r="2698" spans="1:21" hidden="1">
      <c r="A2698" s="7" t="s">
        <v>8851</v>
      </c>
      <c r="B2698" s="7" t="s">
        <v>6668</v>
      </c>
      <c r="C2698" s="8" t="s">
        <v>5319</v>
      </c>
      <c r="D2698" t="s">
        <v>272</v>
      </c>
      <c r="E2698" t="s">
        <v>2183</v>
      </c>
      <c r="F2698" t="s">
        <v>75</v>
      </c>
      <c r="G2698" t="s">
        <v>2377</v>
      </c>
      <c r="H2698" s="9">
        <v>44733</v>
      </c>
      <c r="I2698" t="s">
        <v>2187</v>
      </c>
      <c r="J2698" t="s">
        <v>0</v>
      </c>
      <c r="K2698" s="9">
        <v>44792</v>
      </c>
      <c r="L2698" t="s">
        <v>29</v>
      </c>
      <c r="M2698"/>
      <c r="N2698" s="9">
        <v>44778</v>
      </c>
      <c r="O2698"/>
      <c r="P2698"/>
      <c r="Q2698" s="9">
        <v>44792</v>
      </c>
      <c r="R2698"/>
      <c r="S2698"/>
      <c r="T2698"/>
      <c r="U2698"/>
    </row>
    <row r="2699" spans="1:21" hidden="1">
      <c r="A2699" s="7" t="s">
        <v>8851</v>
      </c>
      <c r="B2699" s="7" t="s">
        <v>6668</v>
      </c>
      <c r="C2699" s="8" t="s">
        <v>5319</v>
      </c>
      <c r="D2699" t="s">
        <v>272</v>
      </c>
      <c r="E2699" t="s">
        <v>2183</v>
      </c>
      <c r="F2699" t="s">
        <v>75</v>
      </c>
      <c r="G2699" t="s">
        <v>2378</v>
      </c>
      <c r="H2699" s="9">
        <v>44733</v>
      </c>
      <c r="I2699" t="s">
        <v>2187</v>
      </c>
      <c r="J2699" t="s">
        <v>0</v>
      </c>
      <c r="K2699" s="9">
        <v>44792</v>
      </c>
      <c r="L2699" t="s">
        <v>29</v>
      </c>
      <c r="M2699"/>
      <c r="N2699" s="9">
        <v>44778</v>
      </c>
      <c r="O2699"/>
      <c r="P2699"/>
      <c r="Q2699" s="9">
        <v>44792</v>
      </c>
      <c r="R2699"/>
      <c r="S2699"/>
      <c r="T2699"/>
      <c r="U2699"/>
    </row>
    <row r="2700" spans="1:21" hidden="1">
      <c r="A2700" s="7" t="s">
        <v>8851</v>
      </c>
      <c r="B2700" s="7" t="s">
        <v>6668</v>
      </c>
      <c r="C2700" s="8" t="s">
        <v>5319</v>
      </c>
      <c r="D2700" t="s">
        <v>272</v>
      </c>
      <c r="E2700" t="s">
        <v>2183</v>
      </c>
      <c r="F2700" t="s">
        <v>75</v>
      </c>
      <c r="G2700" t="s">
        <v>2379</v>
      </c>
      <c r="H2700" s="9">
        <v>44733</v>
      </c>
      <c r="I2700" t="s">
        <v>2187</v>
      </c>
      <c r="J2700" t="s">
        <v>0</v>
      </c>
      <c r="K2700" s="9">
        <v>44792</v>
      </c>
      <c r="L2700" t="s">
        <v>29</v>
      </c>
      <c r="M2700"/>
      <c r="N2700" s="9">
        <v>44778</v>
      </c>
      <c r="O2700"/>
      <c r="P2700"/>
      <c r="Q2700" s="9">
        <v>44792</v>
      </c>
      <c r="R2700"/>
      <c r="S2700"/>
      <c r="T2700"/>
      <c r="U2700"/>
    </row>
    <row r="2701" spans="1:21" hidden="1">
      <c r="A2701" s="7" t="s">
        <v>8851</v>
      </c>
      <c r="B2701" s="7" t="s">
        <v>6668</v>
      </c>
      <c r="C2701" s="8" t="s">
        <v>5319</v>
      </c>
      <c r="D2701" t="s">
        <v>272</v>
      </c>
      <c r="E2701" t="s">
        <v>2183</v>
      </c>
      <c r="F2701" t="s">
        <v>75</v>
      </c>
      <c r="G2701" t="s">
        <v>2380</v>
      </c>
      <c r="H2701" s="9">
        <v>44733</v>
      </c>
      <c r="I2701" t="s">
        <v>2187</v>
      </c>
      <c r="J2701" t="s">
        <v>0</v>
      </c>
      <c r="K2701" s="9">
        <v>44792</v>
      </c>
      <c r="L2701" t="s">
        <v>29</v>
      </c>
      <c r="M2701"/>
      <c r="N2701" s="9">
        <v>44778</v>
      </c>
      <c r="O2701"/>
      <c r="P2701"/>
      <c r="Q2701" s="9">
        <v>44792</v>
      </c>
      <c r="R2701"/>
      <c r="S2701"/>
      <c r="T2701"/>
      <c r="U2701"/>
    </row>
    <row r="2702" spans="1:21" hidden="1">
      <c r="A2702" s="7" t="s">
        <v>8768</v>
      </c>
      <c r="B2702" s="7" t="s">
        <v>6720</v>
      </c>
      <c r="C2702" s="8" t="s">
        <v>5319</v>
      </c>
      <c r="D2702" t="s">
        <v>272</v>
      </c>
      <c r="E2702" t="s">
        <v>750</v>
      </c>
      <c r="F2702" t="s">
        <v>103</v>
      </c>
      <c r="G2702" t="s">
        <v>2381</v>
      </c>
      <c r="H2702" s="9">
        <v>44733</v>
      </c>
      <c r="I2702" t="s">
        <v>43</v>
      </c>
      <c r="J2702" t="s">
        <v>0</v>
      </c>
      <c r="K2702" s="9">
        <v>44846</v>
      </c>
      <c r="L2702" t="s">
        <v>29</v>
      </c>
      <c r="M2702"/>
      <c r="N2702" s="9">
        <v>44778</v>
      </c>
      <c r="O2702" s="9">
        <v>44834</v>
      </c>
      <c r="P2702"/>
      <c r="Q2702" s="9">
        <v>44846</v>
      </c>
      <c r="R2702"/>
      <c r="S2702"/>
      <c r="T2702"/>
      <c r="U2702"/>
    </row>
    <row r="2703" spans="1:21" hidden="1">
      <c r="A2703" s="7" t="s">
        <v>8768</v>
      </c>
      <c r="B2703" s="7" t="s">
        <v>6720</v>
      </c>
      <c r="C2703" s="8" t="s">
        <v>5319</v>
      </c>
      <c r="D2703" t="s">
        <v>272</v>
      </c>
      <c r="E2703" t="s">
        <v>750</v>
      </c>
      <c r="F2703" t="s">
        <v>103</v>
      </c>
      <c r="G2703" t="s">
        <v>2382</v>
      </c>
      <c r="H2703" s="9">
        <v>44733</v>
      </c>
      <c r="I2703" t="s">
        <v>43</v>
      </c>
      <c r="J2703" t="s">
        <v>0</v>
      </c>
      <c r="K2703" s="9">
        <v>44846</v>
      </c>
      <c r="L2703" t="s">
        <v>29</v>
      </c>
      <c r="M2703"/>
      <c r="N2703" s="9">
        <v>44778</v>
      </c>
      <c r="O2703" s="9">
        <v>44834</v>
      </c>
      <c r="P2703"/>
      <c r="Q2703" s="9">
        <v>44846</v>
      </c>
      <c r="R2703"/>
      <c r="S2703"/>
      <c r="T2703"/>
      <c r="U2703"/>
    </row>
    <row r="2704" spans="1:21" hidden="1">
      <c r="A2704" s="7" t="s">
        <v>8768</v>
      </c>
      <c r="B2704" s="7" t="s">
        <v>6720</v>
      </c>
      <c r="C2704" s="8" t="s">
        <v>5319</v>
      </c>
      <c r="D2704" t="s">
        <v>272</v>
      </c>
      <c r="E2704" t="s">
        <v>750</v>
      </c>
      <c r="F2704" t="s">
        <v>103</v>
      </c>
      <c r="G2704" t="s">
        <v>2383</v>
      </c>
      <c r="H2704" s="9">
        <v>44733</v>
      </c>
      <c r="I2704" t="s">
        <v>43</v>
      </c>
      <c r="J2704" t="s">
        <v>0</v>
      </c>
      <c r="K2704" s="9">
        <v>44846</v>
      </c>
      <c r="L2704" t="s">
        <v>29</v>
      </c>
      <c r="M2704"/>
      <c r="N2704" s="9">
        <v>44778</v>
      </c>
      <c r="O2704" s="9">
        <v>44834</v>
      </c>
      <c r="P2704"/>
      <c r="Q2704" s="9">
        <v>44846</v>
      </c>
      <c r="R2704"/>
      <c r="S2704"/>
      <c r="T2704"/>
      <c r="U2704"/>
    </row>
    <row r="2705" spans="1:21" hidden="1">
      <c r="A2705" s="7" t="s">
        <v>8752</v>
      </c>
      <c r="B2705" s="7" t="s">
        <v>6707</v>
      </c>
      <c r="C2705" s="8" t="s">
        <v>5319</v>
      </c>
      <c r="D2705" t="s">
        <v>272</v>
      </c>
      <c r="E2705" t="s">
        <v>439</v>
      </c>
      <c r="F2705" t="s">
        <v>117</v>
      </c>
      <c r="G2705" t="s">
        <v>2384</v>
      </c>
      <c r="H2705" s="9">
        <v>44733</v>
      </c>
      <c r="I2705" t="s">
        <v>181</v>
      </c>
      <c r="J2705" t="s">
        <v>0</v>
      </c>
      <c r="K2705" s="9">
        <v>44872</v>
      </c>
      <c r="L2705" t="s">
        <v>29</v>
      </c>
      <c r="M2705"/>
      <c r="N2705" s="9">
        <v>44778</v>
      </c>
      <c r="O2705" s="9">
        <v>44834</v>
      </c>
      <c r="P2705"/>
      <c r="Q2705" s="9">
        <v>44872</v>
      </c>
      <c r="R2705"/>
      <c r="S2705"/>
      <c r="T2705"/>
      <c r="U2705"/>
    </row>
    <row r="2706" spans="1:21" hidden="1">
      <c r="A2706" s="7" t="s">
        <v>8851</v>
      </c>
      <c r="B2706" s="7" t="s">
        <v>6668</v>
      </c>
      <c r="C2706" s="8" t="s">
        <v>5319</v>
      </c>
      <c r="D2706" t="s">
        <v>272</v>
      </c>
      <c r="E2706" t="s">
        <v>2183</v>
      </c>
      <c r="F2706" t="s">
        <v>75</v>
      </c>
      <c r="G2706" t="s">
        <v>2385</v>
      </c>
      <c r="H2706" s="9">
        <v>44733</v>
      </c>
      <c r="I2706" t="s">
        <v>2187</v>
      </c>
      <c r="J2706" t="s">
        <v>0</v>
      </c>
      <c r="K2706" s="9">
        <v>44792</v>
      </c>
      <c r="L2706" t="s">
        <v>29</v>
      </c>
      <c r="M2706"/>
      <c r="N2706" s="9">
        <v>44778</v>
      </c>
      <c r="O2706"/>
      <c r="P2706"/>
      <c r="Q2706" s="9">
        <v>44792</v>
      </c>
      <c r="R2706"/>
      <c r="S2706"/>
      <c r="T2706"/>
      <c r="U2706"/>
    </row>
    <row r="2707" spans="1:21" hidden="1">
      <c r="A2707" s="7" t="s">
        <v>8868</v>
      </c>
      <c r="B2707" s="7" t="s">
        <v>6764</v>
      </c>
      <c r="C2707" s="8" t="s">
        <v>5319</v>
      </c>
      <c r="D2707" t="s">
        <v>272</v>
      </c>
      <c r="E2707" t="s">
        <v>2386</v>
      </c>
      <c r="F2707" t="s">
        <v>83</v>
      </c>
      <c r="G2707" t="s">
        <v>2387</v>
      </c>
      <c r="H2707" s="9">
        <v>44733</v>
      </c>
      <c r="I2707" t="s">
        <v>2388</v>
      </c>
      <c r="J2707" t="s">
        <v>5330</v>
      </c>
      <c r="K2707" s="9">
        <v>44834</v>
      </c>
      <c r="L2707" t="s">
        <v>29</v>
      </c>
      <c r="M2707"/>
      <c r="N2707" s="9">
        <v>44778</v>
      </c>
      <c r="O2707" s="9">
        <v>44834</v>
      </c>
      <c r="P2707"/>
      <c r="Q2707"/>
      <c r="R2707"/>
      <c r="S2707"/>
      <c r="T2707"/>
      <c r="U2707"/>
    </row>
    <row r="2708" spans="1:21" hidden="1">
      <c r="A2708" s="7" t="s">
        <v>8868</v>
      </c>
      <c r="B2708" s="7" t="s">
        <v>6764</v>
      </c>
      <c r="C2708" s="8" t="s">
        <v>5319</v>
      </c>
      <c r="D2708" t="s">
        <v>272</v>
      </c>
      <c r="E2708" t="s">
        <v>2386</v>
      </c>
      <c r="F2708" t="s">
        <v>83</v>
      </c>
      <c r="G2708" t="s">
        <v>2389</v>
      </c>
      <c r="H2708" s="9">
        <v>44733</v>
      </c>
      <c r="I2708" t="s">
        <v>2388</v>
      </c>
      <c r="J2708" t="s">
        <v>5330</v>
      </c>
      <c r="K2708" s="9">
        <v>44834</v>
      </c>
      <c r="L2708" t="s">
        <v>29</v>
      </c>
      <c r="M2708"/>
      <c r="N2708" s="9">
        <v>44778</v>
      </c>
      <c r="O2708" s="9">
        <v>44834</v>
      </c>
      <c r="P2708"/>
      <c r="Q2708"/>
      <c r="R2708"/>
      <c r="S2708"/>
      <c r="T2708"/>
      <c r="U2708"/>
    </row>
    <row r="2709" spans="1:21" hidden="1">
      <c r="A2709" s="7" t="s">
        <v>8868</v>
      </c>
      <c r="B2709" s="7" t="s">
        <v>6764</v>
      </c>
      <c r="C2709" s="8" t="s">
        <v>5319</v>
      </c>
      <c r="D2709" t="s">
        <v>272</v>
      </c>
      <c r="E2709" t="s">
        <v>2386</v>
      </c>
      <c r="F2709" t="s">
        <v>83</v>
      </c>
      <c r="G2709" t="s">
        <v>2390</v>
      </c>
      <c r="H2709" s="9">
        <v>44733</v>
      </c>
      <c r="I2709" t="s">
        <v>2388</v>
      </c>
      <c r="J2709" t="s">
        <v>5330</v>
      </c>
      <c r="K2709" s="9">
        <v>44834</v>
      </c>
      <c r="L2709" t="s">
        <v>29</v>
      </c>
      <c r="M2709"/>
      <c r="N2709" s="9">
        <v>44778</v>
      </c>
      <c r="O2709" s="9">
        <v>44834</v>
      </c>
      <c r="P2709"/>
      <c r="Q2709"/>
      <c r="R2709"/>
      <c r="S2709"/>
      <c r="T2709"/>
      <c r="U2709"/>
    </row>
    <row r="2710" spans="1:21" hidden="1">
      <c r="A2710" s="7" t="s">
        <v>8868</v>
      </c>
      <c r="B2710" s="7" t="s">
        <v>6764</v>
      </c>
      <c r="C2710" s="8" t="s">
        <v>5319</v>
      </c>
      <c r="D2710" t="s">
        <v>272</v>
      </c>
      <c r="E2710" t="s">
        <v>2386</v>
      </c>
      <c r="F2710" t="s">
        <v>83</v>
      </c>
      <c r="G2710" t="s">
        <v>2391</v>
      </c>
      <c r="H2710" s="9">
        <v>44733</v>
      </c>
      <c r="I2710" t="s">
        <v>2388</v>
      </c>
      <c r="J2710" t="s">
        <v>5330</v>
      </c>
      <c r="K2710" s="9">
        <v>44834</v>
      </c>
      <c r="L2710" t="s">
        <v>29</v>
      </c>
      <c r="M2710"/>
      <c r="N2710" s="9">
        <v>44778</v>
      </c>
      <c r="O2710" s="9">
        <v>44834</v>
      </c>
      <c r="P2710"/>
      <c r="Q2710"/>
      <c r="R2710"/>
      <c r="S2710"/>
      <c r="T2710"/>
      <c r="U2710"/>
    </row>
    <row r="2711" spans="1:21" hidden="1">
      <c r="A2711" s="7" t="s">
        <v>8868</v>
      </c>
      <c r="B2711" s="7" t="s">
        <v>6764</v>
      </c>
      <c r="C2711" s="8" t="s">
        <v>5319</v>
      </c>
      <c r="D2711" t="s">
        <v>272</v>
      </c>
      <c r="E2711" t="s">
        <v>2386</v>
      </c>
      <c r="F2711" t="s">
        <v>83</v>
      </c>
      <c r="G2711" t="s">
        <v>2392</v>
      </c>
      <c r="H2711" s="9">
        <v>44733</v>
      </c>
      <c r="I2711" t="s">
        <v>2388</v>
      </c>
      <c r="J2711" t="s">
        <v>5330</v>
      </c>
      <c r="K2711" s="9">
        <v>44834</v>
      </c>
      <c r="L2711" t="s">
        <v>29</v>
      </c>
      <c r="M2711"/>
      <c r="N2711" s="9">
        <v>44778</v>
      </c>
      <c r="O2711" s="9">
        <v>44834</v>
      </c>
      <c r="P2711"/>
      <c r="Q2711"/>
      <c r="R2711"/>
      <c r="S2711"/>
      <c r="T2711"/>
      <c r="U2711"/>
    </row>
    <row r="2712" spans="1:21" hidden="1">
      <c r="A2712" s="7" t="s">
        <v>8868</v>
      </c>
      <c r="B2712" s="7" t="s">
        <v>6764</v>
      </c>
      <c r="C2712" s="8" t="s">
        <v>5319</v>
      </c>
      <c r="D2712" t="s">
        <v>272</v>
      </c>
      <c r="E2712" t="s">
        <v>2386</v>
      </c>
      <c r="F2712" t="s">
        <v>83</v>
      </c>
      <c r="G2712" t="s">
        <v>2393</v>
      </c>
      <c r="H2712" s="9">
        <v>44733</v>
      </c>
      <c r="I2712" t="s">
        <v>2388</v>
      </c>
      <c r="J2712" t="s">
        <v>5330</v>
      </c>
      <c r="K2712" s="9">
        <v>44834</v>
      </c>
      <c r="L2712" t="s">
        <v>29</v>
      </c>
      <c r="M2712"/>
      <c r="N2712" s="9">
        <v>44778</v>
      </c>
      <c r="O2712" s="9">
        <v>44834</v>
      </c>
      <c r="P2712"/>
      <c r="Q2712"/>
      <c r="R2712"/>
      <c r="S2712"/>
      <c r="T2712"/>
      <c r="U2712"/>
    </row>
    <row r="2713" spans="1:21" hidden="1">
      <c r="A2713" s="7" t="s">
        <v>8868</v>
      </c>
      <c r="B2713" s="7" t="s">
        <v>6764</v>
      </c>
      <c r="C2713" s="8" t="s">
        <v>5319</v>
      </c>
      <c r="D2713" t="s">
        <v>272</v>
      </c>
      <c r="E2713" t="s">
        <v>2386</v>
      </c>
      <c r="F2713" t="s">
        <v>83</v>
      </c>
      <c r="G2713" t="s">
        <v>2394</v>
      </c>
      <c r="H2713" s="9">
        <v>44733</v>
      </c>
      <c r="I2713" t="s">
        <v>2388</v>
      </c>
      <c r="J2713" t="s">
        <v>5330</v>
      </c>
      <c r="K2713" s="9">
        <v>44834</v>
      </c>
      <c r="L2713" t="s">
        <v>29</v>
      </c>
      <c r="M2713"/>
      <c r="N2713" s="9">
        <v>44778</v>
      </c>
      <c r="O2713" s="9">
        <v>44834</v>
      </c>
      <c r="P2713"/>
      <c r="Q2713"/>
      <c r="R2713"/>
      <c r="S2713"/>
      <c r="T2713"/>
      <c r="U2713"/>
    </row>
    <row r="2714" spans="1:21" hidden="1">
      <c r="A2714" s="7" t="s">
        <v>8868</v>
      </c>
      <c r="B2714" s="7" t="s">
        <v>6764</v>
      </c>
      <c r="C2714" s="8" t="s">
        <v>5319</v>
      </c>
      <c r="D2714" t="s">
        <v>272</v>
      </c>
      <c r="E2714" t="s">
        <v>2386</v>
      </c>
      <c r="F2714" t="s">
        <v>83</v>
      </c>
      <c r="G2714" t="s">
        <v>2395</v>
      </c>
      <c r="H2714" s="9">
        <v>44733</v>
      </c>
      <c r="I2714" t="s">
        <v>2388</v>
      </c>
      <c r="J2714" t="s">
        <v>5330</v>
      </c>
      <c r="K2714" s="9">
        <v>44834</v>
      </c>
      <c r="L2714" t="s">
        <v>29</v>
      </c>
      <c r="M2714"/>
      <c r="N2714" s="9">
        <v>44778</v>
      </c>
      <c r="O2714" s="9">
        <v>44834</v>
      </c>
      <c r="P2714"/>
      <c r="Q2714"/>
      <c r="R2714"/>
      <c r="S2714"/>
      <c r="T2714"/>
      <c r="U2714"/>
    </row>
    <row r="2715" spans="1:21" hidden="1">
      <c r="A2715" s="7" t="s">
        <v>8868</v>
      </c>
      <c r="B2715" s="7" t="s">
        <v>6764</v>
      </c>
      <c r="C2715" s="8" t="s">
        <v>5319</v>
      </c>
      <c r="D2715" t="s">
        <v>272</v>
      </c>
      <c r="E2715" t="s">
        <v>2386</v>
      </c>
      <c r="F2715" t="s">
        <v>83</v>
      </c>
      <c r="G2715" t="s">
        <v>2396</v>
      </c>
      <c r="H2715" s="9">
        <v>44733</v>
      </c>
      <c r="I2715" t="s">
        <v>2388</v>
      </c>
      <c r="J2715" t="s">
        <v>5330</v>
      </c>
      <c r="K2715" s="9">
        <v>44834</v>
      </c>
      <c r="L2715" t="s">
        <v>29</v>
      </c>
      <c r="M2715"/>
      <c r="N2715" s="9">
        <v>44778</v>
      </c>
      <c r="O2715" s="9">
        <v>44834</v>
      </c>
      <c r="P2715"/>
      <c r="Q2715"/>
      <c r="R2715"/>
      <c r="S2715"/>
      <c r="T2715"/>
      <c r="U2715"/>
    </row>
    <row r="2716" spans="1:21" hidden="1">
      <c r="A2716" s="7" t="s">
        <v>8868</v>
      </c>
      <c r="B2716" s="7" t="s">
        <v>6764</v>
      </c>
      <c r="C2716" s="8" t="s">
        <v>5319</v>
      </c>
      <c r="D2716" t="s">
        <v>272</v>
      </c>
      <c r="E2716" t="s">
        <v>2386</v>
      </c>
      <c r="F2716" t="s">
        <v>83</v>
      </c>
      <c r="G2716" t="s">
        <v>2397</v>
      </c>
      <c r="H2716" s="9">
        <v>44733</v>
      </c>
      <c r="I2716" t="s">
        <v>2388</v>
      </c>
      <c r="J2716" t="s">
        <v>5330</v>
      </c>
      <c r="K2716" s="9">
        <v>44834</v>
      </c>
      <c r="L2716" t="s">
        <v>29</v>
      </c>
      <c r="M2716"/>
      <c r="N2716" s="9">
        <v>44778</v>
      </c>
      <c r="O2716" s="9">
        <v>44834</v>
      </c>
      <c r="P2716"/>
      <c r="Q2716"/>
      <c r="R2716"/>
      <c r="S2716"/>
      <c r="T2716"/>
      <c r="U2716"/>
    </row>
    <row r="2717" spans="1:21" hidden="1">
      <c r="A2717" s="7" t="s">
        <v>8788</v>
      </c>
      <c r="B2717" s="7" t="s">
        <v>7708</v>
      </c>
      <c r="C2717" s="8" t="s">
        <v>5319</v>
      </c>
      <c r="D2717" t="s">
        <v>272</v>
      </c>
      <c r="E2717" t="s">
        <v>905</v>
      </c>
      <c r="F2717" t="s">
        <v>75</v>
      </c>
      <c r="G2717" t="s">
        <v>2398</v>
      </c>
      <c r="H2717" s="9">
        <v>44733</v>
      </c>
      <c r="I2717" t="s">
        <v>408</v>
      </c>
      <c r="J2717" t="s">
        <v>5330</v>
      </c>
      <c r="K2717" s="9">
        <v>44834</v>
      </c>
      <c r="L2717" t="s">
        <v>29</v>
      </c>
      <c r="M2717"/>
      <c r="N2717" s="9">
        <v>44778</v>
      </c>
      <c r="O2717" s="9">
        <v>44834</v>
      </c>
      <c r="P2717"/>
      <c r="Q2717"/>
      <c r="R2717"/>
      <c r="S2717"/>
      <c r="T2717"/>
      <c r="U2717"/>
    </row>
    <row r="2718" spans="1:21" hidden="1">
      <c r="A2718" s="7" t="s">
        <v>8788</v>
      </c>
      <c r="B2718" s="7" t="s">
        <v>7708</v>
      </c>
      <c r="C2718" s="8" t="s">
        <v>5319</v>
      </c>
      <c r="D2718" t="s">
        <v>272</v>
      </c>
      <c r="E2718" t="s">
        <v>905</v>
      </c>
      <c r="F2718" t="s">
        <v>75</v>
      </c>
      <c r="G2718" t="s">
        <v>2399</v>
      </c>
      <c r="H2718" s="9">
        <v>44733</v>
      </c>
      <c r="I2718" t="s">
        <v>408</v>
      </c>
      <c r="J2718" t="s">
        <v>5330</v>
      </c>
      <c r="K2718" s="9">
        <v>44834</v>
      </c>
      <c r="L2718" t="s">
        <v>29</v>
      </c>
      <c r="M2718"/>
      <c r="N2718" s="9">
        <v>44778</v>
      </c>
      <c r="O2718" s="9">
        <v>44834</v>
      </c>
      <c r="P2718"/>
      <c r="Q2718"/>
      <c r="R2718"/>
      <c r="S2718"/>
      <c r="T2718"/>
      <c r="U2718"/>
    </row>
    <row r="2719" spans="1:21" hidden="1">
      <c r="A2719" s="7" t="s">
        <v>8868</v>
      </c>
      <c r="B2719" s="7" t="s">
        <v>6764</v>
      </c>
      <c r="C2719" s="8" t="s">
        <v>5319</v>
      </c>
      <c r="D2719" t="s">
        <v>272</v>
      </c>
      <c r="E2719" t="s">
        <v>2386</v>
      </c>
      <c r="F2719" t="s">
        <v>83</v>
      </c>
      <c r="G2719" t="s">
        <v>2400</v>
      </c>
      <c r="H2719" s="9">
        <v>44733</v>
      </c>
      <c r="I2719" t="s">
        <v>2388</v>
      </c>
      <c r="J2719" t="s">
        <v>5330</v>
      </c>
      <c r="K2719" s="9">
        <v>44834</v>
      </c>
      <c r="L2719" t="s">
        <v>29</v>
      </c>
      <c r="M2719"/>
      <c r="N2719" s="9">
        <v>44778</v>
      </c>
      <c r="O2719" s="9">
        <v>44834</v>
      </c>
      <c r="P2719"/>
      <c r="Q2719"/>
      <c r="R2719"/>
      <c r="S2719"/>
      <c r="T2719"/>
      <c r="U2719"/>
    </row>
    <row r="2720" spans="1:21" hidden="1">
      <c r="A2720" s="7" t="s">
        <v>8868</v>
      </c>
      <c r="B2720" s="7" t="s">
        <v>6764</v>
      </c>
      <c r="C2720" s="8" t="s">
        <v>5319</v>
      </c>
      <c r="D2720" t="s">
        <v>272</v>
      </c>
      <c r="E2720" t="s">
        <v>2386</v>
      </c>
      <c r="F2720" t="s">
        <v>83</v>
      </c>
      <c r="G2720" t="s">
        <v>2401</v>
      </c>
      <c r="H2720" s="9">
        <v>44733</v>
      </c>
      <c r="I2720" t="s">
        <v>2388</v>
      </c>
      <c r="J2720" t="s">
        <v>5330</v>
      </c>
      <c r="K2720" s="9">
        <v>44834</v>
      </c>
      <c r="L2720" t="s">
        <v>29</v>
      </c>
      <c r="M2720"/>
      <c r="N2720" s="9">
        <v>44778</v>
      </c>
      <c r="O2720" s="9">
        <v>44834</v>
      </c>
      <c r="P2720"/>
      <c r="Q2720"/>
      <c r="R2720"/>
      <c r="S2720"/>
      <c r="T2720"/>
      <c r="U2720"/>
    </row>
    <row r="2721" spans="1:21" hidden="1">
      <c r="A2721" s="7" t="s">
        <v>8868</v>
      </c>
      <c r="B2721" s="7" t="s">
        <v>6764</v>
      </c>
      <c r="C2721" s="8" t="s">
        <v>5319</v>
      </c>
      <c r="D2721" t="s">
        <v>272</v>
      </c>
      <c r="E2721" t="s">
        <v>2386</v>
      </c>
      <c r="F2721" t="s">
        <v>83</v>
      </c>
      <c r="G2721" t="s">
        <v>2402</v>
      </c>
      <c r="H2721" s="9">
        <v>44733</v>
      </c>
      <c r="I2721" t="s">
        <v>2388</v>
      </c>
      <c r="J2721" t="s">
        <v>5330</v>
      </c>
      <c r="K2721" s="9">
        <v>44834</v>
      </c>
      <c r="L2721" t="s">
        <v>29</v>
      </c>
      <c r="M2721"/>
      <c r="N2721" s="9">
        <v>44778</v>
      </c>
      <c r="O2721" s="9">
        <v>44834</v>
      </c>
      <c r="P2721"/>
      <c r="Q2721"/>
      <c r="R2721"/>
      <c r="S2721"/>
      <c r="T2721"/>
      <c r="U2721"/>
    </row>
    <row r="2722" spans="1:21" hidden="1">
      <c r="A2722" s="7" t="s">
        <v>8868</v>
      </c>
      <c r="B2722" s="7" t="s">
        <v>6764</v>
      </c>
      <c r="C2722" s="8" t="s">
        <v>5319</v>
      </c>
      <c r="D2722" t="s">
        <v>272</v>
      </c>
      <c r="E2722" t="s">
        <v>2386</v>
      </c>
      <c r="F2722" t="s">
        <v>83</v>
      </c>
      <c r="G2722" t="s">
        <v>2403</v>
      </c>
      <c r="H2722" s="9">
        <v>44733</v>
      </c>
      <c r="I2722" t="s">
        <v>2388</v>
      </c>
      <c r="J2722" t="s">
        <v>5330</v>
      </c>
      <c r="K2722" s="9">
        <v>44834</v>
      </c>
      <c r="L2722" t="s">
        <v>29</v>
      </c>
      <c r="M2722"/>
      <c r="N2722" s="9">
        <v>44778</v>
      </c>
      <c r="O2722" s="9">
        <v>44834</v>
      </c>
      <c r="P2722"/>
      <c r="Q2722"/>
      <c r="R2722"/>
      <c r="S2722"/>
      <c r="T2722"/>
      <c r="U2722"/>
    </row>
    <row r="2723" spans="1:21" hidden="1">
      <c r="A2723" s="7" t="s">
        <v>8768</v>
      </c>
      <c r="B2723" s="7" t="s">
        <v>6720</v>
      </c>
      <c r="C2723" s="8" t="s">
        <v>5319</v>
      </c>
      <c r="D2723" t="s">
        <v>272</v>
      </c>
      <c r="E2723" t="s">
        <v>750</v>
      </c>
      <c r="F2723" t="s">
        <v>103</v>
      </c>
      <c r="G2723" t="s">
        <v>2404</v>
      </c>
      <c r="H2723" s="9">
        <v>44733</v>
      </c>
      <c r="I2723" t="s">
        <v>43</v>
      </c>
      <c r="J2723" t="s">
        <v>0</v>
      </c>
      <c r="K2723" s="9">
        <v>44846</v>
      </c>
      <c r="L2723" t="s">
        <v>29</v>
      </c>
      <c r="M2723"/>
      <c r="N2723" s="9">
        <v>44778</v>
      </c>
      <c r="O2723" s="9">
        <v>44834</v>
      </c>
      <c r="P2723"/>
      <c r="Q2723" s="9">
        <v>44846</v>
      </c>
      <c r="R2723"/>
      <c r="S2723"/>
      <c r="T2723"/>
      <c r="U2723"/>
    </row>
    <row r="2724" spans="1:21" hidden="1">
      <c r="A2724" s="7" t="s">
        <v>8768</v>
      </c>
      <c r="B2724" s="7" t="s">
        <v>6720</v>
      </c>
      <c r="C2724" s="8" t="s">
        <v>5319</v>
      </c>
      <c r="D2724" t="s">
        <v>272</v>
      </c>
      <c r="E2724" t="s">
        <v>750</v>
      </c>
      <c r="F2724" t="s">
        <v>103</v>
      </c>
      <c r="G2724" t="s">
        <v>2405</v>
      </c>
      <c r="H2724" s="9">
        <v>44733</v>
      </c>
      <c r="I2724" t="s">
        <v>43</v>
      </c>
      <c r="J2724" t="s">
        <v>0</v>
      </c>
      <c r="K2724" s="9">
        <v>44846</v>
      </c>
      <c r="L2724" t="s">
        <v>29</v>
      </c>
      <c r="M2724"/>
      <c r="N2724" s="9">
        <v>44778</v>
      </c>
      <c r="O2724" s="9">
        <v>44834</v>
      </c>
      <c r="P2724"/>
      <c r="Q2724" s="9">
        <v>44846</v>
      </c>
      <c r="R2724"/>
      <c r="S2724"/>
      <c r="T2724"/>
      <c r="U2724"/>
    </row>
    <row r="2725" spans="1:21" hidden="1">
      <c r="A2725" s="7" t="s">
        <v>8868</v>
      </c>
      <c r="B2725" s="7" t="s">
        <v>6764</v>
      </c>
      <c r="C2725" s="8" t="s">
        <v>5319</v>
      </c>
      <c r="D2725" t="s">
        <v>272</v>
      </c>
      <c r="E2725" t="s">
        <v>2386</v>
      </c>
      <c r="F2725" t="s">
        <v>83</v>
      </c>
      <c r="G2725" t="s">
        <v>2406</v>
      </c>
      <c r="H2725" s="9">
        <v>44733</v>
      </c>
      <c r="I2725" t="s">
        <v>2388</v>
      </c>
      <c r="J2725" t="s">
        <v>5330</v>
      </c>
      <c r="K2725" s="9">
        <v>44834</v>
      </c>
      <c r="L2725" t="s">
        <v>29</v>
      </c>
      <c r="M2725"/>
      <c r="N2725" s="9">
        <v>44778</v>
      </c>
      <c r="O2725" s="9">
        <v>44834</v>
      </c>
      <c r="P2725"/>
      <c r="Q2725"/>
      <c r="R2725"/>
      <c r="S2725"/>
      <c r="T2725"/>
      <c r="U2725"/>
    </row>
    <row r="2726" spans="1:21" hidden="1">
      <c r="A2726" s="7" t="s">
        <v>8869</v>
      </c>
      <c r="B2726" s="7" t="s">
        <v>7903</v>
      </c>
      <c r="C2726" s="8" t="s">
        <v>5319</v>
      </c>
      <c r="D2726" t="s">
        <v>272</v>
      </c>
      <c r="E2726" t="s">
        <v>2407</v>
      </c>
      <c r="F2726" t="s">
        <v>231</v>
      </c>
      <c r="G2726" t="s">
        <v>2408</v>
      </c>
      <c r="H2726" s="9">
        <v>44733</v>
      </c>
      <c r="I2726" t="s">
        <v>99</v>
      </c>
      <c r="J2726" t="s">
        <v>276</v>
      </c>
      <c r="K2726" s="9">
        <v>44839.503935185203</v>
      </c>
      <c r="L2726" t="s">
        <v>29</v>
      </c>
      <c r="M2726"/>
      <c r="N2726" s="9">
        <v>44778</v>
      </c>
      <c r="O2726" s="9">
        <v>44834</v>
      </c>
      <c r="P2726"/>
      <c r="Q2726"/>
      <c r="R2726" s="9">
        <v>44839.494907407403</v>
      </c>
      <c r="S2726"/>
      <c r="T2726"/>
      <c r="U2726"/>
    </row>
    <row r="2727" spans="1:21" hidden="1">
      <c r="A2727" s="7" t="s">
        <v>8869</v>
      </c>
      <c r="B2727" s="7" t="s">
        <v>7903</v>
      </c>
      <c r="C2727" s="8" t="s">
        <v>5319</v>
      </c>
      <c r="D2727" t="s">
        <v>272</v>
      </c>
      <c r="E2727" t="s">
        <v>2407</v>
      </c>
      <c r="F2727" t="s">
        <v>231</v>
      </c>
      <c r="G2727" t="s">
        <v>2409</v>
      </c>
      <c r="H2727" s="9">
        <v>44733</v>
      </c>
      <c r="I2727" t="s">
        <v>99</v>
      </c>
      <c r="J2727" t="s">
        <v>276</v>
      </c>
      <c r="K2727" s="9">
        <v>44839.503935185203</v>
      </c>
      <c r="L2727" t="s">
        <v>29</v>
      </c>
      <c r="M2727"/>
      <c r="N2727" s="9">
        <v>44778</v>
      </c>
      <c r="O2727" s="9">
        <v>44834</v>
      </c>
      <c r="P2727"/>
      <c r="Q2727"/>
      <c r="R2727" s="9">
        <v>44839.494907407403</v>
      </c>
      <c r="S2727"/>
      <c r="T2727"/>
      <c r="U2727"/>
    </row>
    <row r="2728" spans="1:21" hidden="1">
      <c r="A2728" s="7" t="s">
        <v>8869</v>
      </c>
      <c r="B2728" s="7" t="s">
        <v>7903</v>
      </c>
      <c r="C2728" s="8" t="s">
        <v>5319</v>
      </c>
      <c r="D2728" t="s">
        <v>272</v>
      </c>
      <c r="E2728" t="s">
        <v>2407</v>
      </c>
      <c r="F2728" t="s">
        <v>231</v>
      </c>
      <c r="G2728" t="s">
        <v>2410</v>
      </c>
      <c r="H2728" s="9">
        <v>44733</v>
      </c>
      <c r="I2728" t="s">
        <v>99</v>
      </c>
      <c r="J2728" t="s">
        <v>276</v>
      </c>
      <c r="K2728" s="9">
        <v>44839.503935185203</v>
      </c>
      <c r="L2728" t="s">
        <v>29</v>
      </c>
      <c r="M2728"/>
      <c r="N2728" s="9">
        <v>44778</v>
      </c>
      <c r="O2728" s="9">
        <v>44834</v>
      </c>
      <c r="P2728"/>
      <c r="Q2728"/>
      <c r="R2728" s="9">
        <v>44839.494907407403</v>
      </c>
      <c r="S2728"/>
      <c r="T2728"/>
      <c r="U2728"/>
    </row>
    <row r="2729" spans="1:21" hidden="1">
      <c r="A2729" s="7" t="s">
        <v>8869</v>
      </c>
      <c r="B2729" s="7" t="s">
        <v>7903</v>
      </c>
      <c r="C2729" s="8" t="s">
        <v>5319</v>
      </c>
      <c r="D2729" t="s">
        <v>272</v>
      </c>
      <c r="E2729" t="s">
        <v>2407</v>
      </c>
      <c r="F2729" t="s">
        <v>231</v>
      </c>
      <c r="G2729" t="s">
        <v>2411</v>
      </c>
      <c r="H2729" s="9">
        <v>44733</v>
      </c>
      <c r="I2729" t="s">
        <v>99</v>
      </c>
      <c r="J2729" t="s">
        <v>276</v>
      </c>
      <c r="K2729" s="9">
        <v>44839.503935185203</v>
      </c>
      <c r="L2729" t="s">
        <v>29</v>
      </c>
      <c r="M2729"/>
      <c r="N2729" s="9">
        <v>44778</v>
      </c>
      <c r="O2729" s="9">
        <v>44834</v>
      </c>
      <c r="P2729"/>
      <c r="Q2729"/>
      <c r="R2729" s="9">
        <v>44839.494907407403</v>
      </c>
      <c r="S2729"/>
      <c r="T2729"/>
      <c r="U2729"/>
    </row>
    <row r="2730" spans="1:21" hidden="1">
      <c r="A2730" s="7" t="s">
        <v>8869</v>
      </c>
      <c r="B2730" s="7" t="s">
        <v>7903</v>
      </c>
      <c r="C2730" s="8" t="s">
        <v>5319</v>
      </c>
      <c r="D2730" t="s">
        <v>272</v>
      </c>
      <c r="E2730" t="s">
        <v>2407</v>
      </c>
      <c r="F2730" t="s">
        <v>231</v>
      </c>
      <c r="G2730" t="s">
        <v>2412</v>
      </c>
      <c r="H2730" s="9">
        <v>44733</v>
      </c>
      <c r="I2730" t="s">
        <v>99</v>
      </c>
      <c r="J2730" t="s">
        <v>276</v>
      </c>
      <c r="K2730" s="9">
        <v>44839.503935185203</v>
      </c>
      <c r="L2730" t="s">
        <v>29</v>
      </c>
      <c r="M2730"/>
      <c r="N2730" s="9">
        <v>44778</v>
      </c>
      <c r="O2730" s="9">
        <v>44834</v>
      </c>
      <c r="P2730"/>
      <c r="Q2730"/>
      <c r="R2730" s="9">
        <v>44839.494907407403</v>
      </c>
      <c r="S2730"/>
      <c r="T2730"/>
      <c r="U2730"/>
    </row>
    <row r="2731" spans="1:21" hidden="1">
      <c r="A2731" s="7" t="s">
        <v>8869</v>
      </c>
      <c r="B2731" s="7" t="s">
        <v>7903</v>
      </c>
      <c r="C2731" s="8" t="s">
        <v>5319</v>
      </c>
      <c r="D2731" t="s">
        <v>272</v>
      </c>
      <c r="E2731" t="s">
        <v>2407</v>
      </c>
      <c r="F2731" t="s">
        <v>231</v>
      </c>
      <c r="G2731" t="s">
        <v>2413</v>
      </c>
      <c r="H2731" s="9">
        <v>44733</v>
      </c>
      <c r="I2731" t="s">
        <v>99</v>
      </c>
      <c r="J2731" t="s">
        <v>276</v>
      </c>
      <c r="K2731" s="9">
        <v>44839.503935185203</v>
      </c>
      <c r="L2731" t="s">
        <v>29</v>
      </c>
      <c r="M2731"/>
      <c r="N2731" s="9">
        <v>44778</v>
      </c>
      <c r="O2731" s="9">
        <v>44834</v>
      </c>
      <c r="P2731"/>
      <c r="Q2731"/>
      <c r="R2731" s="9">
        <v>44839.494907407403</v>
      </c>
      <c r="S2731"/>
      <c r="T2731"/>
      <c r="U2731"/>
    </row>
    <row r="2732" spans="1:21" hidden="1">
      <c r="A2732" s="7" t="s">
        <v>8851</v>
      </c>
      <c r="B2732" s="7" t="s">
        <v>6668</v>
      </c>
      <c r="C2732" s="8" t="s">
        <v>5319</v>
      </c>
      <c r="D2732" t="s">
        <v>272</v>
      </c>
      <c r="E2732" t="s">
        <v>2183</v>
      </c>
      <c r="F2732" t="s">
        <v>75</v>
      </c>
      <c r="G2732" t="s">
        <v>2414</v>
      </c>
      <c r="H2732" s="9">
        <v>44733</v>
      </c>
      <c r="I2732" t="s">
        <v>2187</v>
      </c>
      <c r="J2732" t="s">
        <v>0</v>
      </c>
      <c r="K2732" s="9">
        <v>44792</v>
      </c>
      <c r="L2732" t="s">
        <v>29</v>
      </c>
      <c r="M2732"/>
      <c r="N2732" s="9">
        <v>44778</v>
      </c>
      <c r="O2732"/>
      <c r="P2732"/>
      <c r="Q2732" s="9">
        <v>44792</v>
      </c>
      <c r="R2732"/>
      <c r="S2732"/>
      <c r="T2732"/>
      <c r="U2732"/>
    </row>
    <row r="2733" spans="1:21" hidden="1">
      <c r="A2733" s="7" t="s">
        <v>8851</v>
      </c>
      <c r="B2733" s="7" t="s">
        <v>6668</v>
      </c>
      <c r="C2733" s="8" t="s">
        <v>5319</v>
      </c>
      <c r="D2733" t="s">
        <v>272</v>
      </c>
      <c r="E2733" t="s">
        <v>2183</v>
      </c>
      <c r="F2733" t="s">
        <v>75</v>
      </c>
      <c r="G2733" t="s">
        <v>2415</v>
      </c>
      <c r="H2733" s="9">
        <v>44733</v>
      </c>
      <c r="I2733" t="s">
        <v>2187</v>
      </c>
      <c r="J2733" t="s">
        <v>0</v>
      </c>
      <c r="K2733" s="9">
        <v>44792</v>
      </c>
      <c r="L2733" t="s">
        <v>29</v>
      </c>
      <c r="M2733"/>
      <c r="N2733" s="9">
        <v>44778</v>
      </c>
      <c r="O2733"/>
      <c r="P2733"/>
      <c r="Q2733" s="9">
        <v>44792</v>
      </c>
      <c r="R2733"/>
      <c r="S2733"/>
      <c r="T2733"/>
      <c r="U2733"/>
    </row>
    <row r="2734" spans="1:21" hidden="1">
      <c r="A2734" s="7" t="s">
        <v>8851</v>
      </c>
      <c r="B2734" s="7" t="s">
        <v>6668</v>
      </c>
      <c r="C2734" s="8" t="s">
        <v>5319</v>
      </c>
      <c r="D2734" t="s">
        <v>272</v>
      </c>
      <c r="E2734" t="s">
        <v>2183</v>
      </c>
      <c r="F2734" t="s">
        <v>75</v>
      </c>
      <c r="G2734" t="s">
        <v>2416</v>
      </c>
      <c r="H2734" s="9">
        <v>44733</v>
      </c>
      <c r="I2734" t="s">
        <v>2187</v>
      </c>
      <c r="J2734" t="s">
        <v>0</v>
      </c>
      <c r="K2734" s="9">
        <v>44792</v>
      </c>
      <c r="L2734" t="s">
        <v>29</v>
      </c>
      <c r="M2734"/>
      <c r="N2734" s="9">
        <v>44778</v>
      </c>
      <c r="O2734"/>
      <c r="P2734"/>
      <c r="Q2734" s="9">
        <v>44792</v>
      </c>
      <c r="R2734"/>
      <c r="S2734"/>
      <c r="T2734"/>
      <c r="U2734"/>
    </row>
    <row r="2735" spans="1:21" hidden="1">
      <c r="A2735" s="7" t="s">
        <v>8851</v>
      </c>
      <c r="B2735" s="7" t="s">
        <v>6668</v>
      </c>
      <c r="C2735" s="8" t="s">
        <v>5319</v>
      </c>
      <c r="D2735" t="s">
        <v>272</v>
      </c>
      <c r="E2735" t="s">
        <v>2183</v>
      </c>
      <c r="F2735" t="s">
        <v>75</v>
      </c>
      <c r="G2735" t="s">
        <v>2417</v>
      </c>
      <c r="H2735" s="9">
        <v>44733</v>
      </c>
      <c r="I2735" t="s">
        <v>2187</v>
      </c>
      <c r="J2735" t="s">
        <v>0</v>
      </c>
      <c r="K2735" s="9">
        <v>44792</v>
      </c>
      <c r="L2735" t="s">
        <v>29</v>
      </c>
      <c r="M2735"/>
      <c r="N2735" s="9">
        <v>44778</v>
      </c>
      <c r="O2735"/>
      <c r="P2735"/>
      <c r="Q2735" s="9">
        <v>44792</v>
      </c>
      <c r="R2735"/>
      <c r="S2735"/>
      <c r="T2735"/>
      <c r="U2735"/>
    </row>
    <row r="2736" spans="1:21" hidden="1">
      <c r="A2736" s="7" t="s">
        <v>8851</v>
      </c>
      <c r="B2736" s="7" t="s">
        <v>6668</v>
      </c>
      <c r="C2736" s="8" t="s">
        <v>5319</v>
      </c>
      <c r="D2736" t="s">
        <v>272</v>
      </c>
      <c r="E2736" t="s">
        <v>2183</v>
      </c>
      <c r="F2736" t="s">
        <v>75</v>
      </c>
      <c r="G2736" t="s">
        <v>2418</v>
      </c>
      <c r="H2736" s="9">
        <v>44733</v>
      </c>
      <c r="I2736" t="s">
        <v>2187</v>
      </c>
      <c r="J2736" t="s">
        <v>0</v>
      </c>
      <c r="K2736" s="9">
        <v>44792</v>
      </c>
      <c r="L2736" t="s">
        <v>29</v>
      </c>
      <c r="M2736"/>
      <c r="N2736" s="9">
        <v>44778</v>
      </c>
      <c r="O2736"/>
      <c r="P2736"/>
      <c r="Q2736" s="9">
        <v>44792</v>
      </c>
      <c r="R2736"/>
      <c r="S2736"/>
      <c r="T2736"/>
      <c r="U2736"/>
    </row>
    <row r="2737" spans="1:21" hidden="1">
      <c r="A2737" s="7" t="s">
        <v>8851</v>
      </c>
      <c r="B2737" s="7" t="s">
        <v>6668</v>
      </c>
      <c r="C2737" s="8" t="s">
        <v>5319</v>
      </c>
      <c r="D2737" t="s">
        <v>272</v>
      </c>
      <c r="E2737" t="s">
        <v>2183</v>
      </c>
      <c r="F2737" t="s">
        <v>75</v>
      </c>
      <c r="G2737" t="s">
        <v>2419</v>
      </c>
      <c r="H2737" s="9">
        <v>44733</v>
      </c>
      <c r="I2737" t="s">
        <v>2187</v>
      </c>
      <c r="J2737" t="s">
        <v>0</v>
      </c>
      <c r="K2737" s="9">
        <v>44792</v>
      </c>
      <c r="L2737" t="s">
        <v>29</v>
      </c>
      <c r="M2737"/>
      <c r="N2737" s="9">
        <v>44778</v>
      </c>
      <c r="O2737"/>
      <c r="P2737"/>
      <c r="Q2737" s="9">
        <v>44792</v>
      </c>
      <c r="R2737"/>
      <c r="S2737"/>
      <c r="T2737"/>
      <c r="U2737"/>
    </row>
    <row r="2738" spans="1:21" hidden="1">
      <c r="A2738" s="7" t="s">
        <v>8851</v>
      </c>
      <c r="B2738" s="7" t="s">
        <v>6668</v>
      </c>
      <c r="C2738" s="8" t="s">
        <v>5319</v>
      </c>
      <c r="D2738" t="s">
        <v>272</v>
      </c>
      <c r="E2738" t="s">
        <v>2183</v>
      </c>
      <c r="F2738" t="s">
        <v>75</v>
      </c>
      <c r="G2738" t="s">
        <v>2420</v>
      </c>
      <c r="H2738" s="9">
        <v>44733</v>
      </c>
      <c r="I2738" t="s">
        <v>2187</v>
      </c>
      <c r="J2738" t="s">
        <v>0</v>
      </c>
      <c r="K2738" s="9">
        <v>44792</v>
      </c>
      <c r="L2738" t="s">
        <v>29</v>
      </c>
      <c r="M2738"/>
      <c r="N2738" s="9">
        <v>44778</v>
      </c>
      <c r="O2738"/>
      <c r="P2738"/>
      <c r="Q2738" s="9">
        <v>44792</v>
      </c>
      <c r="R2738"/>
      <c r="S2738"/>
      <c r="T2738"/>
      <c r="U2738"/>
    </row>
    <row r="2739" spans="1:21" hidden="1">
      <c r="A2739" s="7" t="s">
        <v>8851</v>
      </c>
      <c r="B2739" s="7" t="s">
        <v>6668</v>
      </c>
      <c r="C2739" s="8" t="s">
        <v>5319</v>
      </c>
      <c r="D2739" t="s">
        <v>272</v>
      </c>
      <c r="E2739" t="s">
        <v>2183</v>
      </c>
      <c r="F2739" t="s">
        <v>75</v>
      </c>
      <c r="G2739" t="s">
        <v>2421</v>
      </c>
      <c r="H2739" s="9">
        <v>44733</v>
      </c>
      <c r="I2739" t="s">
        <v>2187</v>
      </c>
      <c r="J2739" t="s">
        <v>0</v>
      </c>
      <c r="K2739" s="9">
        <v>44792</v>
      </c>
      <c r="L2739" t="s">
        <v>29</v>
      </c>
      <c r="M2739"/>
      <c r="N2739" s="9">
        <v>44778</v>
      </c>
      <c r="O2739"/>
      <c r="P2739"/>
      <c r="Q2739" s="9">
        <v>44792</v>
      </c>
      <c r="R2739"/>
      <c r="S2739"/>
      <c r="T2739"/>
      <c r="U2739"/>
    </row>
    <row r="2740" spans="1:21" hidden="1">
      <c r="A2740" s="7" t="s">
        <v>8851</v>
      </c>
      <c r="B2740" s="7" t="s">
        <v>6668</v>
      </c>
      <c r="C2740" s="8" t="s">
        <v>5319</v>
      </c>
      <c r="D2740" t="s">
        <v>272</v>
      </c>
      <c r="E2740" t="s">
        <v>2183</v>
      </c>
      <c r="F2740" t="s">
        <v>75</v>
      </c>
      <c r="G2740" t="s">
        <v>2422</v>
      </c>
      <c r="H2740" s="9">
        <v>44733</v>
      </c>
      <c r="I2740" t="s">
        <v>2187</v>
      </c>
      <c r="J2740" t="s">
        <v>0</v>
      </c>
      <c r="K2740" s="9">
        <v>44792</v>
      </c>
      <c r="L2740" t="s">
        <v>29</v>
      </c>
      <c r="M2740"/>
      <c r="N2740" s="9">
        <v>44778</v>
      </c>
      <c r="O2740"/>
      <c r="P2740"/>
      <c r="Q2740" s="9">
        <v>44792</v>
      </c>
      <c r="R2740"/>
      <c r="S2740"/>
      <c r="T2740"/>
      <c r="U2740"/>
    </row>
    <row r="2741" spans="1:21" hidden="1">
      <c r="A2741" s="7" t="s">
        <v>8768</v>
      </c>
      <c r="B2741" s="7" t="s">
        <v>6720</v>
      </c>
      <c r="C2741" s="8" t="s">
        <v>5319</v>
      </c>
      <c r="D2741" t="s">
        <v>272</v>
      </c>
      <c r="E2741" t="s">
        <v>750</v>
      </c>
      <c r="F2741" t="s">
        <v>103</v>
      </c>
      <c r="G2741" t="s">
        <v>2423</v>
      </c>
      <c r="H2741" s="9">
        <v>44733</v>
      </c>
      <c r="I2741" t="s">
        <v>43</v>
      </c>
      <c r="J2741" t="s">
        <v>0</v>
      </c>
      <c r="K2741" s="9">
        <v>44846</v>
      </c>
      <c r="L2741" t="s">
        <v>29</v>
      </c>
      <c r="M2741"/>
      <c r="N2741" s="9">
        <v>44778</v>
      </c>
      <c r="O2741" s="9">
        <v>44834</v>
      </c>
      <c r="P2741"/>
      <c r="Q2741" s="9">
        <v>44846</v>
      </c>
      <c r="R2741"/>
      <c r="S2741"/>
      <c r="T2741"/>
      <c r="U2741"/>
    </row>
    <row r="2742" spans="1:21" hidden="1">
      <c r="A2742" s="7" t="s">
        <v>8768</v>
      </c>
      <c r="B2742" s="7" t="s">
        <v>6720</v>
      </c>
      <c r="C2742" s="8" t="s">
        <v>5319</v>
      </c>
      <c r="D2742" t="s">
        <v>272</v>
      </c>
      <c r="E2742" t="s">
        <v>750</v>
      </c>
      <c r="F2742" t="s">
        <v>103</v>
      </c>
      <c r="G2742" t="s">
        <v>2424</v>
      </c>
      <c r="H2742" s="9">
        <v>44733</v>
      </c>
      <c r="I2742" t="s">
        <v>43</v>
      </c>
      <c r="J2742" t="s">
        <v>0</v>
      </c>
      <c r="K2742" s="9">
        <v>44846</v>
      </c>
      <c r="L2742" t="s">
        <v>29</v>
      </c>
      <c r="M2742"/>
      <c r="N2742" s="9">
        <v>44778</v>
      </c>
      <c r="O2742" s="9">
        <v>44834</v>
      </c>
      <c r="P2742"/>
      <c r="Q2742" s="9">
        <v>44846</v>
      </c>
      <c r="R2742"/>
      <c r="S2742"/>
      <c r="T2742"/>
      <c r="U2742"/>
    </row>
    <row r="2743" spans="1:21" hidden="1">
      <c r="A2743" s="7" t="s">
        <v>8768</v>
      </c>
      <c r="B2743" s="7" t="s">
        <v>6720</v>
      </c>
      <c r="C2743" s="8" t="s">
        <v>5319</v>
      </c>
      <c r="D2743" t="s">
        <v>272</v>
      </c>
      <c r="E2743" t="s">
        <v>750</v>
      </c>
      <c r="F2743" t="s">
        <v>103</v>
      </c>
      <c r="G2743" t="s">
        <v>2425</v>
      </c>
      <c r="H2743" s="9">
        <v>44733</v>
      </c>
      <c r="I2743" t="s">
        <v>43</v>
      </c>
      <c r="J2743" t="s">
        <v>0</v>
      </c>
      <c r="K2743" s="9">
        <v>44846</v>
      </c>
      <c r="L2743" t="s">
        <v>29</v>
      </c>
      <c r="M2743"/>
      <c r="N2743" s="9">
        <v>44778</v>
      </c>
      <c r="O2743" s="9">
        <v>44834</v>
      </c>
      <c r="P2743"/>
      <c r="Q2743" s="9">
        <v>44846</v>
      </c>
      <c r="R2743"/>
      <c r="S2743"/>
      <c r="T2743"/>
      <c r="U2743"/>
    </row>
    <row r="2744" spans="1:21" hidden="1">
      <c r="A2744" s="7" t="s">
        <v>8870</v>
      </c>
      <c r="B2744" s="7" t="s">
        <v>7246</v>
      </c>
      <c r="C2744" s="8" t="s">
        <v>5319</v>
      </c>
      <c r="D2744" t="s">
        <v>272</v>
      </c>
      <c r="E2744" t="s">
        <v>2426</v>
      </c>
      <c r="F2744" t="s">
        <v>117</v>
      </c>
      <c r="G2744" t="s">
        <v>2427</v>
      </c>
      <c r="H2744" s="9">
        <v>44733</v>
      </c>
      <c r="I2744" t="s">
        <v>171</v>
      </c>
      <c r="J2744" t="s">
        <v>0</v>
      </c>
      <c r="K2744" s="9">
        <v>44767</v>
      </c>
      <c r="L2744" t="s">
        <v>29</v>
      </c>
      <c r="M2744"/>
      <c r="N2744"/>
      <c r="O2744"/>
      <c r="P2744"/>
      <c r="Q2744" s="9">
        <v>44767</v>
      </c>
      <c r="R2744"/>
      <c r="S2744"/>
      <c r="T2744"/>
      <c r="U2744"/>
    </row>
    <row r="2745" spans="1:21" hidden="1">
      <c r="A2745" s="7" t="s">
        <v>8752</v>
      </c>
      <c r="B2745" s="7" t="s">
        <v>6707</v>
      </c>
      <c r="C2745" s="8" t="s">
        <v>5319</v>
      </c>
      <c r="D2745" t="s">
        <v>272</v>
      </c>
      <c r="E2745" t="s">
        <v>439</v>
      </c>
      <c r="F2745" t="s">
        <v>117</v>
      </c>
      <c r="G2745" t="s">
        <v>463</v>
      </c>
      <c r="H2745" s="9">
        <v>44733</v>
      </c>
      <c r="I2745" t="s">
        <v>181</v>
      </c>
      <c r="J2745" t="s">
        <v>0</v>
      </c>
      <c r="K2745" s="9">
        <v>44872</v>
      </c>
      <c r="L2745" t="s">
        <v>29</v>
      </c>
      <c r="M2745"/>
      <c r="N2745" s="9">
        <v>44778</v>
      </c>
      <c r="O2745" s="9">
        <v>44834</v>
      </c>
      <c r="P2745"/>
      <c r="Q2745" s="9">
        <v>44872</v>
      </c>
      <c r="R2745"/>
      <c r="S2745"/>
      <c r="T2745"/>
      <c r="U2745"/>
    </row>
    <row r="2746" spans="1:21" hidden="1">
      <c r="A2746" s="7" t="s">
        <v>8752</v>
      </c>
      <c r="B2746" s="7" t="s">
        <v>6707</v>
      </c>
      <c r="C2746" s="8" t="s">
        <v>5319</v>
      </c>
      <c r="D2746" t="s">
        <v>272</v>
      </c>
      <c r="E2746" t="s">
        <v>439</v>
      </c>
      <c r="F2746" t="s">
        <v>117</v>
      </c>
      <c r="G2746" t="s">
        <v>2428</v>
      </c>
      <c r="H2746" s="9">
        <v>44733</v>
      </c>
      <c r="I2746" t="s">
        <v>181</v>
      </c>
      <c r="J2746" t="s">
        <v>0</v>
      </c>
      <c r="K2746" s="9">
        <v>44872</v>
      </c>
      <c r="L2746" t="s">
        <v>29</v>
      </c>
      <c r="M2746"/>
      <c r="N2746" s="9">
        <v>44778</v>
      </c>
      <c r="O2746" s="9">
        <v>44834</v>
      </c>
      <c r="P2746"/>
      <c r="Q2746" s="9">
        <v>44872</v>
      </c>
      <c r="R2746"/>
      <c r="S2746"/>
      <c r="T2746"/>
      <c r="U2746"/>
    </row>
    <row r="2747" spans="1:21" hidden="1">
      <c r="A2747" s="7" t="s">
        <v>8849</v>
      </c>
      <c r="B2747" s="7" t="s">
        <v>6805</v>
      </c>
      <c r="C2747" s="8" t="s">
        <v>5319</v>
      </c>
      <c r="D2747" t="s">
        <v>272</v>
      </c>
      <c r="E2747" t="s">
        <v>2175</v>
      </c>
      <c r="F2747" t="s">
        <v>75</v>
      </c>
      <c r="G2747" t="s">
        <v>2429</v>
      </c>
      <c r="H2747" s="9">
        <v>44733</v>
      </c>
      <c r="I2747" t="s">
        <v>488</v>
      </c>
      <c r="J2747" t="s">
        <v>5330</v>
      </c>
      <c r="K2747" s="9">
        <v>44834</v>
      </c>
      <c r="L2747" t="s">
        <v>29</v>
      </c>
      <c r="M2747"/>
      <c r="N2747" s="9">
        <v>44778</v>
      </c>
      <c r="O2747" s="9">
        <v>44834</v>
      </c>
      <c r="P2747"/>
      <c r="Q2747"/>
      <c r="R2747"/>
      <c r="S2747"/>
      <c r="T2747"/>
      <c r="U2747"/>
    </row>
    <row r="2748" spans="1:21" hidden="1">
      <c r="A2748" s="7" t="s">
        <v>8849</v>
      </c>
      <c r="B2748" s="7" t="s">
        <v>6805</v>
      </c>
      <c r="C2748" s="8" t="s">
        <v>5319</v>
      </c>
      <c r="D2748" t="s">
        <v>272</v>
      </c>
      <c r="E2748" t="s">
        <v>2175</v>
      </c>
      <c r="F2748" t="s">
        <v>75</v>
      </c>
      <c r="G2748" t="s">
        <v>2430</v>
      </c>
      <c r="H2748" s="9">
        <v>44733</v>
      </c>
      <c r="I2748" t="s">
        <v>488</v>
      </c>
      <c r="J2748" t="s">
        <v>5330</v>
      </c>
      <c r="K2748" s="9">
        <v>44834</v>
      </c>
      <c r="L2748" t="s">
        <v>29</v>
      </c>
      <c r="M2748"/>
      <c r="N2748" s="9">
        <v>44778</v>
      </c>
      <c r="O2748" s="9">
        <v>44834</v>
      </c>
      <c r="P2748"/>
      <c r="Q2748"/>
      <c r="R2748"/>
      <c r="S2748"/>
      <c r="T2748"/>
      <c r="U2748"/>
    </row>
    <row r="2749" spans="1:21" hidden="1">
      <c r="A2749" s="7" t="s">
        <v>8768</v>
      </c>
      <c r="B2749" s="7" t="s">
        <v>6720</v>
      </c>
      <c r="C2749" s="8" t="s">
        <v>5319</v>
      </c>
      <c r="D2749" t="s">
        <v>272</v>
      </c>
      <c r="E2749" t="s">
        <v>750</v>
      </c>
      <c r="F2749" t="s">
        <v>103</v>
      </c>
      <c r="G2749" t="s">
        <v>2431</v>
      </c>
      <c r="H2749" s="9">
        <v>44733</v>
      </c>
      <c r="I2749" t="s">
        <v>43</v>
      </c>
      <c r="J2749" t="s">
        <v>0</v>
      </c>
      <c r="K2749" s="9">
        <v>44846</v>
      </c>
      <c r="L2749" t="s">
        <v>29</v>
      </c>
      <c r="M2749"/>
      <c r="N2749" s="9">
        <v>44778</v>
      </c>
      <c r="O2749" s="9">
        <v>44834</v>
      </c>
      <c r="P2749"/>
      <c r="Q2749" s="9">
        <v>44846</v>
      </c>
      <c r="R2749"/>
      <c r="S2749"/>
      <c r="T2749"/>
      <c r="U2749"/>
    </row>
    <row r="2750" spans="1:21" hidden="1">
      <c r="A2750" s="7" t="s">
        <v>8768</v>
      </c>
      <c r="B2750" s="7" t="s">
        <v>6720</v>
      </c>
      <c r="C2750" s="8" t="s">
        <v>5319</v>
      </c>
      <c r="D2750" t="s">
        <v>272</v>
      </c>
      <c r="E2750" t="s">
        <v>750</v>
      </c>
      <c r="F2750" t="s">
        <v>103</v>
      </c>
      <c r="G2750" t="s">
        <v>2432</v>
      </c>
      <c r="H2750" s="9">
        <v>44733</v>
      </c>
      <c r="I2750" t="s">
        <v>43</v>
      </c>
      <c r="J2750" t="s">
        <v>0</v>
      </c>
      <c r="K2750" s="9">
        <v>44846</v>
      </c>
      <c r="L2750" t="s">
        <v>29</v>
      </c>
      <c r="M2750"/>
      <c r="N2750" s="9">
        <v>44778</v>
      </c>
      <c r="O2750" s="9">
        <v>44834</v>
      </c>
      <c r="P2750"/>
      <c r="Q2750" s="9">
        <v>44846</v>
      </c>
      <c r="R2750"/>
      <c r="S2750"/>
      <c r="T2750"/>
      <c r="U2750"/>
    </row>
    <row r="2751" spans="1:21" hidden="1">
      <c r="A2751" s="7" t="s">
        <v>8768</v>
      </c>
      <c r="B2751" s="7" t="s">
        <v>6720</v>
      </c>
      <c r="C2751" s="8" t="s">
        <v>5319</v>
      </c>
      <c r="D2751" t="s">
        <v>272</v>
      </c>
      <c r="E2751" t="s">
        <v>750</v>
      </c>
      <c r="F2751" t="s">
        <v>103</v>
      </c>
      <c r="G2751" t="s">
        <v>2433</v>
      </c>
      <c r="H2751" s="9">
        <v>44733</v>
      </c>
      <c r="I2751" t="s">
        <v>43</v>
      </c>
      <c r="J2751" t="s">
        <v>0</v>
      </c>
      <c r="K2751" s="9">
        <v>44846</v>
      </c>
      <c r="L2751" t="s">
        <v>29</v>
      </c>
      <c r="M2751"/>
      <c r="N2751" s="9">
        <v>44778</v>
      </c>
      <c r="O2751" s="9">
        <v>44834</v>
      </c>
      <c r="P2751"/>
      <c r="Q2751" s="9">
        <v>44846</v>
      </c>
      <c r="R2751"/>
      <c r="S2751"/>
      <c r="T2751"/>
      <c r="U2751"/>
    </row>
    <row r="2752" spans="1:21" hidden="1">
      <c r="A2752" s="7" t="s">
        <v>8768</v>
      </c>
      <c r="B2752" s="7" t="s">
        <v>6720</v>
      </c>
      <c r="C2752" s="8" t="s">
        <v>5319</v>
      </c>
      <c r="D2752" t="s">
        <v>272</v>
      </c>
      <c r="E2752" t="s">
        <v>750</v>
      </c>
      <c r="F2752" t="s">
        <v>103</v>
      </c>
      <c r="G2752" t="s">
        <v>2434</v>
      </c>
      <c r="H2752" s="9">
        <v>44733</v>
      </c>
      <c r="I2752" t="s">
        <v>43</v>
      </c>
      <c r="J2752" t="s">
        <v>0</v>
      </c>
      <c r="K2752" s="9">
        <v>44846</v>
      </c>
      <c r="L2752" t="s">
        <v>29</v>
      </c>
      <c r="M2752"/>
      <c r="N2752" s="9">
        <v>44778</v>
      </c>
      <c r="O2752" s="9">
        <v>44834</v>
      </c>
      <c r="P2752"/>
      <c r="Q2752" s="9">
        <v>44846</v>
      </c>
      <c r="R2752"/>
      <c r="S2752"/>
      <c r="T2752"/>
      <c r="U2752"/>
    </row>
    <row r="2753" spans="1:21" hidden="1">
      <c r="A2753" s="7" t="s">
        <v>8768</v>
      </c>
      <c r="B2753" s="7" t="s">
        <v>6720</v>
      </c>
      <c r="C2753" s="8" t="s">
        <v>5319</v>
      </c>
      <c r="D2753" t="s">
        <v>272</v>
      </c>
      <c r="E2753" t="s">
        <v>750</v>
      </c>
      <c r="F2753" t="s">
        <v>103</v>
      </c>
      <c r="G2753" t="s">
        <v>2435</v>
      </c>
      <c r="H2753" s="9">
        <v>44733</v>
      </c>
      <c r="I2753" t="s">
        <v>43</v>
      </c>
      <c r="J2753" t="s">
        <v>0</v>
      </c>
      <c r="K2753" s="9">
        <v>44846</v>
      </c>
      <c r="L2753" t="s">
        <v>29</v>
      </c>
      <c r="M2753"/>
      <c r="N2753" s="9">
        <v>44778</v>
      </c>
      <c r="O2753" s="9">
        <v>44834</v>
      </c>
      <c r="P2753"/>
      <c r="Q2753" s="9">
        <v>44846</v>
      </c>
      <c r="R2753"/>
      <c r="S2753"/>
      <c r="T2753"/>
      <c r="U2753"/>
    </row>
    <row r="2754" spans="1:21" hidden="1">
      <c r="A2754" s="7" t="s">
        <v>8768</v>
      </c>
      <c r="B2754" s="7" t="s">
        <v>6720</v>
      </c>
      <c r="C2754" s="8" t="s">
        <v>5319</v>
      </c>
      <c r="D2754" t="s">
        <v>272</v>
      </c>
      <c r="E2754" t="s">
        <v>750</v>
      </c>
      <c r="F2754" t="s">
        <v>103</v>
      </c>
      <c r="G2754" t="s">
        <v>2436</v>
      </c>
      <c r="H2754" s="9">
        <v>44733</v>
      </c>
      <c r="I2754" t="s">
        <v>43</v>
      </c>
      <c r="J2754" t="s">
        <v>0</v>
      </c>
      <c r="K2754" s="9">
        <v>44846</v>
      </c>
      <c r="L2754" t="s">
        <v>29</v>
      </c>
      <c r="M2754"/>
      <c r="N2754" s="9">
        <v>44778</v>
      </c>
      <c r="O2754" s="9">
        <v>44834</v>
      </c>
      <c r="P2754"/>
      <c r="Q2754" s="9">
        <v>44846</v>
      </c>
      <c r="R2754"/>
      <c r="S2754"/>
      <c r="T2754"/>
      <c r="U2754"/>
    </row>
    <row r="2755" spans="1:21" hidden="1">
      <c r="A2755" s="7" t="s">
        <v>8768</v>
      </c>
      <c r="B2755" s="7" t="s">
        <v>6720</v>
      </c>
      <c r="C2755" s="8" t="s">
        <v>5319</v>
      </c>
      <c r="D2755" t="s">
        <v>272</v>
      </c>
      <c r="E2755" t="s">
        <v>750</v>
      </c>
      <c r="F2755" t="s">
        <v>103</v>
      </c>
      <c r="G2755" t="s">
        <v>2437</v>
      </c>
      <c r="H2755" s="9">
        <v>44733</v>
      </c>
      <c r="I2755" t="s">
        <v>43</v>
      </c>
      <c r="J2755" t="s">
        <v>0</v>
      </c>
      <c r="K2755" s="9">
        <v>44846</v>
      </c>
      <c r="L2755" t="s">
        <v>29</v>
      </c>
      <c r="M2755"/>
      <c r="N2755" s="9">
        <v>44778</v>
      </c>
      <c r="O2755" s="9">
        <v>44834</v>
      </c>
      <c r="P2755"/>
      <c r="Q2755" s="9">
        <v>44846</v>
      </c>
      <c r="R2755"/>
      <c r="S2755"/>
      <c r="T2755"/>
      <c r="U2755"/>
    </row>
    <row r="2756" spans="1:21" hidden="1">
      <c r="A2756" s="7" t="s">
        <v>8768</v>
      </c>
      <c r="B2756" s="7" t="s">
        <v>6720</v>
      </c>
      <c r="C2756" s="8" t="s">
        <v>5319</v>
      </c>
      <c r="D2756" t="s">
        <v>272</v>
      </c>
      <c r="E2756" t="s">
        <v>750</v>
      </c>
      <c r="F2756" t="s">
        <v>103</v>
      </c>
      <c r="G2756" t="s">
        <v>2438</v>
      </c>
      <c r="H2756" s="9">
        <v>44733</v>
      </c>
      <c r="I2756" t="s">
        <v>43</v>
      </c>
      <c r="J2756" t="s">
        <v>0</v>
      </c>
      <c r="K2756" s="9">
        <v>44846</v>
      </c>
      <c r="L2756" t="s">
        <v>29</v>
      </c>
      <c r="M2756"/>
      <c r="N2756" s="9">
        <v>44778</v>
      </c>
      <c r="O2756" s="9">
        <v>44834</v>
      </c>
      <c r="P2756"/>
      <c r="Q2756" s="9">
        <v>44846</v>
      </c>
      <c r="R2756"/>
      <c r="S2756"/>
      <c r="T2756"/>
      <c r="U2756"/>
    </row>
    <row r="2757" spans="1:21" hidden="1">
      <c r="A2757" s="7" t="s">
        <v>8768</v>
      </c>
      <c r="B2757" s="7" t="s">
        <v>6720</v>
      </c>
      <c r="C2757" s="8" t="s">
        <v>5319</v>
      </c>
      <c r="D2757" t="s">
        <v>272</v>
      </c>
      <c r="E2757" t="s">
        <v>750</v>
      </c>
      <c r="F2757" t="s">
        <v>103</v>
      </c>
      <c r="G2757" t="s">
        <v>2439</v>
      </c>
      <c r="H2757" s="9">
        <v>44733</v>
      </c>
      <c r="I2757" t="s">
        <v>43</v>
      </c>
      <c r="J2757" t="s">
        <v>0</v>
      </c>
      <c r="K2757" s="9">
        <v>44846</v>
      </c>
      <c r="L2757" t="s">
        <v>29</v>
      </c>
      <c r="M2757"/>
      <c r="N2757" s="9">
        <v>44778</v>
      </c>
      <c r="O2757" s="9">
        <v>44834</v>
      </c>
      <c r="P2757"/>
      <c r="Q2757" s="9">
        <v>44846</v>
      </c>
      <c r="R2757"/>
      <c r="S2757"/>
      <c r="T2757"/>
      <c r="U2757"/>
    </row>
    <row r="2758" spans="1:21" hidden="1">
      <c r="A2758" s="7" t="s">
        <v>8849</v>
      </c>
      <c r="B2758" s="7" t="s">
        <v>6805</v>
      </c>
      <c r="C2758" s="8" t="s">
        <v>5319</v>
      </c>
      <c r="D2758" t="s">
        <v>272</v>
      </c>
      <c r="E2758" t="s">
        <v>2175</v>
      </c>
      <c r="F2758" t="s">
        <v>75</v>
      </c>
      <c r="G2758" t="s">
        <v>2440</v>
      </c>
      <c r="H2758" s="9">
        <v>44733</v>
      </c>
      <c r="I2758" t="s">
        <v>488</v>
      </c>
      <c r="J2758" t="s">
        <v>5330</v>
      </c>
      <c r="K2758" s="9">
        <v>44834</v>
      </c>
      <c r="L2758" t="s">
        <v>29</v>
      </c>
      <c r="M2758"/>
      <c r="N2758" s="9">
        <v>44778</v>
      </c>
      <c r="O2758" s="9">
        <v>44834</v>
      </c>
      <c r="P2758"/>
      <c r="Q2758"/>
      <c r="R2758"/>
      <c r="S2758"/>
      <c r="T2758"/>
      <c r="U2758"/>
    </row>
    <row r="2759" spans="1:21" hidden="1">
      <c r="A2759" s="7" t="s">
        <v>8768</v>
      </c>
      <c r="B2759" s="7" t="s">
        <v>6720</v>
      </c>
      <c r="C2759" s="8" t="s">
        <v>5319</v>
      </c>
      <c r="D2759" t="s">
        <v>272</v>
      </c>
      <c r="E2759" t="s">
        <v>750</v>
      </c>
      <c r="F2759" t="s">
        <v>103</v>
      </c>
      <c r="G2759" t="s">
        <v>2441</v>
      </c>
      <c r="H2759" s="9">
        <v>44733</v>
      </c>
      <c r="I2759" t="s">
        <v>43</v>
      </c>
      <c r="J2759" t="s">
        <v>0</v>
      </c>
      <c r="K2759" s="9">
        <v>44846</v>
      </c>
      <c r="L2759" t="s">
        <v>29</v>
      </c>
      <c r="M2759"/>
      <c r="N2759" s="9">
        <v>44778</v>
      </c>
      <c r="O2759" s="9">
        <v>44834</v>
      </c>
      <c r="P2759"/>
      <c r="Q2759" s="9">
        <v>44846</v>
      </c>
      <c r="R2759"/>
      <c r="S2759"/>
      <c r="T2759"/>
      <c r="U2759"/>
    </row>
    <row r="2760" spans="1:21" hidden="1">
      <c r="A2760" s="7" t="s">
        <v>8768</v>
      </c>
      <c r="B2760" s="7" t="s">
        <v>6720</v>
      </c>
      <c r="C2760" s="8" t="s">
        <v>5319</v>
      </c>
      <c r="D2760" t="s">
        <v>272</v>
      </c>
      <c r="E2760" t="s">
        <v>750</v>
      </c>
      <c r="F2760" t="s">
        <v>103</v>
      </c>
      <c r="G2760" t="s">
        <v>2442</v>
      </c>
      <c r="H2760" s="9">
        <v>44733</v>
      </c>
      <c r="I2760" t="s">
        <v>43</v>
      </c>
      <c r="J2760" t="s">
        <v>0</v>
      </c>
      <c r="K2760" s="9">
        <v>44846</v>
      </c>
      <c r="L2760" t="s">
        <v>29</v>
      </c>
      <c r="M2760"/>
      <c r="N2760" s="9">
        <v>44778</v>
      </c>
      <c r="O2760" s="9">
        <v>44834</v>
      </c>
      <c r="P2760"/>
      <c r="Q2760" s="9">
        <v>44846</v>
      </c>
      <c r="R2760"/>
      <c r="S2760"/>
      <c r="T2760"/>
      <c r="U2760"/>
    </row>
    <row r="2761" spans="1:21" hidden="1">
      <c r="A2761" s="7" t="s">
        <v>8768</v>
      </c>
      <c r="B2761" s="7" t="s">
        <v>6720</v>
      </c>
      <c r="C2761" s="8" t="s">
        <v>5319</v>
      </c>
      <c r="D2761" t="s">
        <v>272</v>
      </c>
      <c r="E2761" t="s">
        <v>750</v>
      </c>
      <c r="F2761" t="s">
        <v>103</v>
      </c>
      <c r="G2761" t="s">
        <v>2443</v>
      </c>
      <c r="H2761" s="9">
        <v>44733</v>
      </c>
      <c r="I2761" t="s">
        <v>43</v>
      </c>
      <c r="J2761" t="s">
        <v>0</v>
      </c>
      <c r="K2761" s="9">
        <v>44846</v>
      </c>
      <c r="L2761" t="s">
        <v>29</v>
      </c>
      <c r="M2761"/>
      <c r="N2761" s="9">
        <v>44778</v>
      </c>
      <c r="O2761" s="9">
        <v>44834</v>
      </c>
      <c r="P2761"/>
      <c r="Q2761" s="9">
        <v>44846</v>
      </c>
      <c r="R2761"/>
      <c r="S2761"/>
      <c r="T2761"/>
      <c r="U2761"/>
    </row>
    <row r="2762" spans="1:21" hidden="1">
      <c r="A2762" s="7" t="s">
        <v>8768</v>
      </c>
      <c r="B2762" s="7" t="s">
        <v>6720</v>
      </c>
      <c r="C2762" s="8" t="s">
        <v>5319</v>
      </c>
      <c r="D2762" t="s">
        <v>272</v>
      </c>
      <c r="E2762" t="s">
        <v>750</v>
      </c>
      <c r="F2762" t="s">
        <v>103</v>
      </c>
      <c r="G2762" t="s">
        <v>2444</v>
      </c>
      <c r="H2762" s="9">
        <v>44733</v>
      </c>
      <c r="I2762" t="s">
        <v>43</v>
      </c>
      <c r="J2762" t="s">
        <v>0</v>
      </c>
      <c r="K2762" s="9">
        <v>44846</v>
      </c>
      <c r="L2762" t="s">
        <v>29</v>
      </c>
      <c r="M2762"/>
      <c r="N2762" s="9">
        <v>44778</v>
      </c>
      <c r="O2762" s="9">
        <v>44834</v>
      </c>
      <c r="P2762"/>
      <c r="Q2762" s="9">
        <v>44846</v>
      </c>
      <c r="R2762"/>
      <c r="S2762"/>
      <c r="T2762"/>
      <c r="U2762"/>
    </row>
    <row r="2763" spans="1:21" hidden="1">
      <c r="A2763" s="7" t="s">
        <v>8768</v>
      </c>
      <c r="B2763" s="7" t="s">
        <v>6720</v>
      </c>
      <c r="C2763" s="8" t="s">
        <v>5319</v>
      </c>
      <c r="D2763" t="s">
        <v>272</v>
      </c>
      <c r="E2763" t="s">
        <v>750</v>
      </c>
      <c r="F2763" t="s">
        <v>103</v>
      </c>
      <c r="G2763" t="s">
        <v>2445</v>
      </c>
      <c r="H2763" s="9">
        <v>44733</v>
      </c>
      <c r="I2763" t="s">
        <v>43</v>
      </c>
      <c r="J2763" t="s">
        <v>0</v>
      </c>
      <c r="K2763" s="9">
        <v>44846</v>
      </c>
      <c r="L2763" t="s">
        <v>29</v>
      </c>
      <c r="M2763"/>
      <c r="N2763" s="9">
        <v>44778</v>
      </c>
      <c r="O2763" s="9">
        <v>44834</v>
      </c>
      <c r="P2763"/>
      <c r="Q2763" s="9">
        <v>44846</v>
      </c>
      <c r="R2763"/>
      <c r="S2763"/>
      <c r="T2763"/>
      <c r="U2763"/>
    </row>
    <row r="2764" spans="1:21" hidden="1">
      <c r="A2764" s="7" t="s">
        <v>8768</v>
      </c>
      <c r="B2764" s="7" t="s">
        <v>6720</v>
      </c>
      <c r="C2764" s="8" t="s">
        <v>5319</v>
      </c>
      <c r="D2764" t="s">
        <v>272</v>
      </c>
      <c r="E2764" t="s">
        <v>750</v>
      </c>
      <c r="F2764" t="s">
        <v>103</v>
      </c>
      <c r="G2764" t="s">
        <v>2446</v>
      </c>
      <c r="H2764" s="9">
        <v>44733</v>
      </c>
      <c r="I2764" t="s">
        <v>43</v>
      </c>
      <c r="J2764" t="s">
        <v>0</v>
      </c>
      <c r="K2764" s="9">
        <v>44846</v>
      </c>
      <c r="L2764" t="s">
        <v>29</v>
      </c>
      <c r="M2764"/>
      <c r="N2764" s="9">
        <v>44778</v>
      </c>
      <c r="O2764" s="9">
        <v>44834</v>
      </c>
      <c r="P2764"/>
      <c r="Q2764" s="9">
        <v>44846</v>
      </c>
      <c r="R2764"/>
      <c r="S2764"/>
      <c r="T2764"/>
      <c r="U2764"/>
    </row>
    <row r="2765" spans="1:21" hidden="1">
      <c r="A2765" s="7" t="s">
        <v>8768</v>
      </c>
      <c r="B2765" s="7" t="s">
        <v>6720</v>
      </c>
      <c r="C2765" s="8" t="s">
        <v>5319</v>
      </c>
      <c r="D2765" t="s">
        <v>272</v>
      </c>
      <c r="E2765" t="s">
        <v>750</v>
      </c>
      <c r="F2765" t="s">
        <v>103</v>
      </c>
      <c r="G2765" t="s">
        <v>2447</v>
      </c>
      <c r="H2765" s="9">
        <v>44733</v>
      </c>
      <c r="I2765" t="s">
        <v>43</v>
      </c>
      <c r="J2765" t="s">
        <v>0</v>
      </c>
      <c r="K2765" s="9">
        <v>44846</v>
      </c>
      <c r="L2765" t="s">
        <v>29</v>
      </c>
      <c r="M2765"/>
      <c r="N2765" s="9">
        <v>44778</v>
      </c>
      <c r="O2765" s="9">
        <v>44834</v>
      </c>
      <c r="P2765"/>
      <c r="Q2765" s="9">
        <v>44846</v>
      </c>
      <c r="R2765"/>
      <c r="S2765"/>
      <c r="T2765"/>
      <c r="U2765"/>
    </row>
    <row r="2766" spans="1:21" hidden="1">
      <c r="A2766" s="7" t="s">
        <v>8768</v>
      </c>
      <c r="B2766" s="7" t="s">
        <v>6720</v>
      </c>
      <c r="C2766" s="8" t="s">
        <v>5319</v>
      </c>
      <c r="D2766" t="s">
        <v>272</v>
      </c>
      <c r="E2766" t="s">
        <v>750</v>
      </c>
      <c r="F2766" t="s">
        <v>103</v>
      </c>
      <c r="G2766" t="s">
        <v>2448</v>
      </c>
      <c r="H2766" s="9">
        <v>44733</v>
      </c>
      <c r="I2766" t="s">
        <v>43</v>
      </c>
      <c r="J2766" t="s">
        <v>0</v>
      </c>
      <c r="K2766" s="9">
        <v>44846</v>
      </c>
      <c r="L2766" t="s">
        <v>29</v>
      </c>
      <c r="M2766"/>
      <c r="N2766" s="9">
        <v>44778</v>
      </c>
      <c r="O2766" s="9">
        <v>44834</v>
      </c>
      <c r="P2766"/>
      <c r="Q2766" s="9">
        <v>44846</v>
      </c>
      <c r="R2766"/>
      <c r="S2766"/>
      <c r="T2766"/>
      <c r="U2766"/>
    </row>
    <row r="2767" spans="1:21" hidden="1">
      <c r="A2767" s="7" t="s">
        <v>8768</v>
      </c>
      <c r="B2767" s="7" t="s">
        <v>6720</v>
      </c>
      <c r="C2767" s="8" t="s">
        <v>5319</v>
      </c>
      <c r="D2767" t="s">
        <v>272</v>
      </c>
      <c r="E2767" t="s">
        <v>750</v>
      </c>
      <c r="F2767" t="s">
        <v>103</v>
      </c>
      <c r="G2767" t="s">
        <v>2449</v>
      </c>
      <c r="H2767" s="9">
        <v>44733</v>
      </c>
      <c r="I2767" t="s">
        <v>43</v>
      </c>
      <c r="J2767" t="s">
        <v>0</v>
      </c>
      <c r="K2767" s="9">
        <v>44846</v>
      </c>
      <c r="L2767" t="s">
        <v>29</v>
      </c>
      <c r="M2767"/>
      <c r="N2767" s="9">
        <v>44778</v>
      </c>
      <c r="O2767" s="9">
        <v>44834</v>
      </c>
      <c r="P2767"/>
      <c r="Q2767" s="9">
        <v>44846</v>
      </c>
      <c r="R2767"/>
      <c r="S2767"/>
      <c r="T2767"/>
      <c r="U2767"/>
    </row>
    <row r="2768" spans="1:21" hidden="1">
      <c r="A2768" s="7" t="s">
        <v>8768</v>
      </c>
      <c r="B2768" s="7" t="s">
        <v>6720</v>
      </c>
      <c r="C2768" s="8" t="s">
        <v>5319</v>
      </c>
      <c r="D2768" t="s">
        <v>272</v>
      </c>
      <c r="E2768" t="s">
        <v>750</v>
      </c>
      <c r="F2768" t="s">
        <v>103</v>
      </c>
      <c r="G2768" t="s">
        <v>2450</v>
      </c>
      <c r="H2768" s="9">
        <v>44733</v>
      </c>
      <c r="I2768" t="s">
        <v>43</v>
      </c>
      <c r="J2768" t="s">
        <v>0</v>
      </c>
      <c r="K2768" s="9">
        <v>44846</v>
      </c>
      <c r="L2768" t="s">
        <v>29</v>
      </c>
      <c r="M2768"/>
      <c r="N2768" s="9">
        <v>44778</v>
      </c>
      <c r="O2768" s="9">
        <v>44834</v>
      </c>
      <c r="P2768"/>
      <c r="Q2768" s="9">
        <v>44846</v>
      </c>
      <c r="R2768"/>
      <c r="S2768"/>
      <c r="T2768"/>
      <c r="U2768"/>
    </row>
    <row r="2769" spans="1:21" hidden="1">
      <c r="A2769" s="7" t="s">
        <v>8768</v>
      </c>
      <c r="B2769" s="7" t="s">
        <v>6720</v>
      </c>
      <c r="C2769" s="8" t="s">
        <v>5319</v>
      </c>
      <c r="D2769" t="s">
        <v>272</v>
      </c>
      <c r="E2769" t="s">
        <v>750</v>
      </c>
      <c r="F2769" t="s">
        <v>103</v>
      </c>
      <c r="G2769" t="s">
        <v>2451</v>
      </c>
      <c r="H2769" s="9">
        <v>44733</v>
      </c>
      <c r="I2769" t="s">
        <v>43</v>
      </c>
      <c r="J2769" t="s">
        <v>0</v>
      </c>
      <c r="K2769" s="9">
        <v>44846</v>
      </c>
      <c r="L2769" t="s">
        <v>29</v>
      </c>
      <c r="M2769"/>
      <c r="N2769" s="9">
        <v>44778</v>
      </c>
      <c r="O2769" s="9">
        <v>44834</v>
      </c>
      <c r="P2769"/>
      <c r="Q2769" s="9">
        <v>44846</v>
      </c>
      <c r="R2769"/>
      <c r="S2769"/>
      <c r="T2769"/>
      <c r="U2769"/>
    </row>
    <row r="2770" spans="1:21" hidden="1">
      <c r="A2770" s="7" t="s">
        <v>8768</v>
      </c>
      <c r="B2770" s="7" t="s">
        <v>6720</v>
      </c>
      <c r="C2770" s="8" t="s">
        <v>5319</v>
      </c>
      <c r="D2770" t="s">
        <v>272</v>
      </c>
      <c r="E2770" t="s">
        <v>750</v>
      </c>
      <c r="F2770" t="s">
        <v>103</v>
      </c>
      <c r="G2770" t="s">
        <v>2452</v>
      </c>
      <c r="H2770" s="9">
        <v>44733</v>
      </c>
      <c r="I2770" t="s">
        <v>43</v>
      </c>
      <c r="J2770" t="s">
        <v>0</v>
      </c>
      <c r="K2770" s="9">
        <v>44846</v>
      </c>
      <c r="L2770" t="s">
        <v>29</v>
      </c>
      <c r="M2770"/>
      <c r="N2770" s="9">
        <v>44778</v>
      </c>
      <c r="O2770" s="9">
        <v>44834</v>
      </c>
      <c r="P2770"/>
      <c r="Q2770" s="9">
        <v>44846</v>
      </c>
      <c r="R2770"/>
      <c r="S2770"/>
      <c r="T2770"/>
      <c r="U2770"/>
    </row>
    <row r="2771" spans="1:21" hidden="1">
      <c r="A2771" s="7" t="s">
        <v>8768</v>
      </c>
      <c r="B2771" s="7" t="s">
        <v>6720</v>
      </c>
      <c r="C2771" s="8" t="s">
        <v>5319</v>
      </c>
      <c r="D2771" t="s">
        <v>272</v>
      </c>
      <c r="E2771" t="s">
        <v>750</v>
      </c>
      <c r="F2771" t="s">
        <v>103</v>
      </c>
      <c r="G2771" t="s">
        <v>2453</v>
      </c>
      <c r="H2771" s="9">
        <v>44733</v>
      </c>
      <c r="I2771" t="s">
        <v>43</v>
      </c>
      <c r="J2771" t="s">
        <v>0</v>
      </c>
      <c r="K2771" s="9">
        <v>44846</v>
      </c>
      <c r="L2771" t="s">
        <v>29</v>
      </c>
      <c r="M2771"/>
      <c r="N2771" s="9">
        <v>44778</v>
      </c>
      <c r="O2771" s="9">
        <v>44834</v>
      </c>
      <c r="P2771"/>
      <c r="Q2771" s="9">
        <v>44846</v>
      </c>
      <c r="R2771"/>
      <c r="S2771"/>
      <c r="T2771"/>
      <c r="U2771"/>
    </row>
    <row r="2772" spans="1:21" hidden="1">
      <c r="A2772" s="7" t="s">
        <v>8768</v>
      </c>
      <c r="B2772" s="7" t="s">
        <v>6720</v>
      </c>
      <c r="C2772" s="8" t="s">
        <v>5319</v>
      </c>
      <c r="D2772" t="s">
        <v>272</v>
      </c>
      <c r="E2772" t="s">
        <v>750</v>
      </c>
      <c r="F2772" t="s">
        <v>103</v>
      </c>
      <c r="G2772" t="s">
        <v>2454</v>
      </c>
      <c r="H2772" s="9">
        <v>44733</v>
      </c>
      <c r="I2772" t="s">
        <v>43</v>
      </c>
      <c r="J2772" t="s">
        <v>0</v>
      </c>
      <c r="K2772" s="9">
        <v>44846</v>
      </c>
      <c r="L2772" t="s">
        <v>29</v>
      </c>
      <c r="M2772"/>
      <c r="N2772" s="9">
        <v>44778</v>
      </c>
      <c r="O2772" s="9">
        <v>44834</v>
      </c>
      <c r="P2772"/>
      <c r="Q2772" s="9">
        <v>44846</v>
      </c>
      <c r="R2772"/>
      <c r="S2772"/>
      <c r="T2772"/>
      <c r="U2772"/>
    </row>
    <row r="2773" spans="1:21" hidden="1">
      <c r="A2773" s="7" t="s">
        <v>8768</v>
      </c>
      <c r="B2773" s="7" t="s">
        <v>6720</v>
      </c>
      <c r="C2773" s="8" t="s">
        <v>5319</v>
      </c>
      <c r="D2773" t="s">
        <v>272</v>
      </c>
      <c r="E2773" t="s">
        <v>750</v>
      </c>
      <c r="F2773" t="s">
        <v>103</v>
      </c>
      <c r="G2773" t="s">
        <v>2455</v>
      </c>
      <c r="H2773" s="9">
        <v>44733</v>
      </c>
      <c r="I2773" t="s">
        <v>43</v>
      </c>
      <c r="J2773" t="s">
        <v>0</v>
      </c>
      <c r="K2773" s="9">
        <v>44846</v>
      </c>
      <c r="L2773" t="s">
        <v>29</v>
      </c>
      <c r="M2773"/>
      <c r="N2773" s="9">
        <v>44778</v>
      </c>
      <c r="O2773" s="9">
        <v>44834</v>
      </c>
      <c r="P2773"/>
      <c r="Q2773" s="9">
        <v>44846</v>
      </c>
      <c r="R2773"/>
      <c r="S2773"/>
      <c r="T2773"/>
      <c r="U2773"/>
    </row>
    <row r="2774" spans="1:21" hidden="1">
      <c r="A2774" s="7" t="s">
        <v>8768</v>
      </c>
      <c r="B2774" s="7" t="s">
        <v>6720</v>
      </c>
      <c r="C2774" s="8" t="s">
        <v>5319</v>
      </c>
      <c r="D2774" t="s">
        <v>272</v>
      </c>
      <c r="E2774" t="s">
        <v>750</v>
      </c>
      <c r="F2774" t="s">
        <v>103</v>
      </c>
      <c r="G2774" t="s">
        <v>2456</v>
      </c>
      <c r="H2774" s="9">
        <v>44733</v>
      </c>
      <c r="I2774" t="s">
        <v>43</v>
      </c>
      <c r="J2774" t="s">
        <v>0</v>
      </c>
      <c r="K2774" s="9">
        <v>44846</v>
      </c>
      <c r="L2774" t="s">
        <v>29</v>
      </c>
      <c r="M2774"/>
      <c r="N2774" s="9">
        <v>44778</v>
      </c>
      <c r="O2774" s="9">
        <v>44834</v>
      </c>
      <c r="P2774"/>
      <c r="Q2774" s="9">
        <v>44846</v>
      </c>
      <c r="R2774"/>
      <c r="S2774"/>
      <c r="T2774"/>
      <c r="U2774"/>
    </row>
    <row r="2775" spans="1:21" hidden="1">
      <c r="A2775" s="7" t="s">
        <v>8768</v>
      </c>
      <c r="B2775" s="7" t="s">
        <v>6720</v>
      </c>
      <c r="C2775" s="8" t="s">
        <v>5319</v>
      </c>
      <c r="D2775" t="s">
        <v>272</v>
      </c>
      <c r="E2775" t="s">
        <v>750</v>
      </c>
      <c r="F2775" t="s">
        <v>103</v>
      </c>
      <c r="G2775" t="s">
        <v>2457</v>
      </c>
      <c r="H2775" s="9">
        <v>44733</v>
      </c>
      <c r="I2775" t="s">
        <v>43</v>
      </c>
      <c r="J2775" t="s">
        <v>0</v>
      </c>
      <c r="K2775" s="9">
        <v>44846</v>
      </c>
      <c r="L2775" t="s">
        <v>29</v>
      </c>
      <c r="M2775"/>
      <c r="N2775" s="9">
        <v>44778</v>
      </c>
      <c r="O2775" s="9">
        <v>44834</v>
      </c>
      <c r="P2775"/>
      <c r="Q2775" s="9">
        <v>44846</v>
      </c>
      <c r="R2775"/>
      <c r="S2775"/>
      <c r="T2775"/>
      <c r="U2775"/>
    </row>
    <row r="2776" spans="1:21" hidden="1">
      <c r="A2776" s="7" t="s">
        <v>8768</v>
      </c>
      <c r="B2776" s="7" t="s">
        <v>6720</v>
      </c>
      <c r="C2776" s="8" t="s">
        <v>5319</v>
      </c>
      <c r="D2776" t="s">
        <v>272</v>
      </c>
      <c r="E2776" t="s">
        <v>750</v>
      </c>
      <c r="F2776" t="s">
        <v>103</v>
      </c>
      <c r="G2776" t="s">
        <v>2458</v>
      </c>
      <c r="H2776" s="9">
        <v>44733</v>
      </c>
      <c r="I2776" t="s">
        <v>43</v>
      </c>
      <c r="J2776" t="s">
        <v>0</v>
      </c>
      <c r="K2776" s="9">
        <v>44846</v>
      </c>
      <c r="L2776" t="s">
        <v>29</v>
      </c>
      <c r="M2776"/>
      <c r="N2776" s="9">
        <v>44778</v>
      </c>
      <c r="O2776" s="9">
        <v>44834</v>
      </c>
      <c r="P2776"/>
      <c r="Q2776" s="9">
        <v>44846</v>
      </c>
      <c r="R2776"/>
      <c r="S2776"/>
      <c r="T2776"/>
      <c r="U2776"/>
    </row>
    <row r="2777" spans="1:21" hidden="1">
      <c r="A2777" s="7" t="s">
        <v>8768</v>
      </c>
      <c r="B2777" s="7" t="s">
        <v>6720</v>
      </c>
      <c r="C2777" s="8" t="s">
        <v>5319</v>
      </c>
      <c r="D2777" t="s">
        <v>272</v>
      </c>
      <c r="E2777" t="s">
        <v>750</v>
      </c>
      <c r="F2777" t="s">
        <v>103</v>
      </c>
      <c r="G2777" t="s">
        <v>2459</v>
      </c>
      <c r="H2777" s="9">
        <v>44733</v>
      </c>
      <c r="I2777" t="s">
        <v>43</v>
      </c>
      <c r="J2777" t="s">
        <v>0</v>
      </c>
      <c r="K2777" s="9">
        <v>44846</v>
      </c>
      <c r="L2777" t="s">
        <v>29</v>
      </c>
      <c r="M2777"/>
      <c r="N2777" s="9">
        <v>44778</v>
      </c>
      <c r="O2777" s="9">
        <v>44834</v>
      </c>
      <c r="P2777"/>
      <c r="Q2777" s="9">
        <v>44846</v>
      </c>
      <c r="R2777"/>
      <c r="S2777"/>
      <c r="T2777"/>
      <c r="U2777"/>
    </row>
    <row r="2778" spans="1:21" hidden="1">
      <c r="A2778" s="7" t="s">
        <v>8768</v>
      </c>
      <c r="B2778" s="7" t="s">
        <v>6720</v>
      </c>
      <c r="C2778" s="8" t="s">
        <v>5319</v>
      </c>
      <c r="D2778" t="s">
        <v>272</v>
      </c>
      <c r="E2778" t="s">
        <v>750</v>
      </c>
      <c r="F2778" t="s">
        <v>103</v>
      </c>
      <c r="G2778" t="s">
        <v>2460</v>
      </c>
      <c r="H2778" s="9">
        <v>44733</v>
      </c>
      <c r="I2778" t="s">
        <v>43</v>
      </c>
      <c r="J2778" t="s">
        <v>0</v>
      </c>
      <c r="K2778" s="9">
        <v>44846</v>
      </c>
      <c r="L2778" t="s">
        <v>29</v>
      </c>
      <c r="M2778"/>
      <c r="N2778" s="9">
        <v>44778</v>
      </c>
      <c r="O2778" s="9">
        <v>44834</v>
      </c>
      <c r="P2778"/>
      <c r="Q2778" s="9">
        <v>44846</v>
      </c>
      <c r="R2778"/>
      <c r="S2778"/>
      <c r="T2778"/>
      <c r="U2778"/>
    </row>
    <row r="2779" spans="1:21" hidden="1">
      <c r="A2779" s="7" t="s">
        <v>8768</v>
      </c>
      <c r="B2779" s="7" t="s">
        <v>6720</v>
      </c>
      <c r="C2779" s="8" t="s">
        <v>5319</v>
      </c>
      <c r="D2779" t="s">
        <v>272</v>
      </c>
      <c r="E2779" t="s">
        <v>750</v>
      </c>
      <c r="F2779" t="s">
        <v>103</v>
      </c>
      <c r="G2779" t="s">
        <v>2461</v>
      </c>
      <c r="H2779" s="9">
        <v>44733</v>
      </c>
      <c r="I2779" t="s">
        <v>43</v>
      </c>
      <c r="J2779" t="s">
        <v>0</v>
      </c>
      <c r="K2779" s="9">
        <v>44846</v>
      </c>
      <c r="L2779" t="s">
        <v>29</v>
      </c>
      <c r="M2779"/>
      <c r="N2779" s="9">
        <v>44778</v>
      </c>
      <c r="O2779" s="9">
        <v>44834</v>
      </c>
      <c r="P2779"/>
      <c r="Q2779" s="9">
        <v>44846</v>
      </c>
      <c r="R2779"/>
      <c r="S2779"/>
      <c r="T2779"/>
      <c r="U2779"/>
    </row>
    <row r="2780" spans="1:21" hidden="1">
      <c r="A2780" s="7" t="s">
        <v>8768</v>
      </c>
      <c r="B2780" s="7" t="s">
        <v>6720</v>
      </c>
      <c r="C2780" s="8" t="s">
        <v>5319</v>
      </c>
      <c r="D2780" t="s">
        <v>272</v>
      </c>
      <c r="E2780" t="s">
        <v>750</v>
      </c>
      <c r="F2780" t="s">
        <v>103</v>
      </c>
      <c r="G2780" t="s">
        <v>2462</v>
      </c>
      <c r="H2780" s="9">
        <v>44733</v>
      </c>
      <c r="I2780" t="s">
        <v>43</v>
      </c>
      <c r="J2780" t="s">
        <v>0</v>
      </c>
      <c r="K2780" s="9">
        <v>44846</v>
      </c>
      <c r="L2780" t="s">
        <v>29</v>
      </c>
      <c r="M2780"/>
      <c r="N2780" s="9">
        <v>44778</v>
      </c>
      <c r="O2780" s="9">
        <v>44834</v>
      </c>
      <c r="P2780"/>
      <c r="Q2780" s="9">
        <v>44846</v>
      </c>
      <c r="R2780"/>
      <c r="S2780"/>
      <c r="T2780"/>
      <c r="U2780"/>
    </row>
    <row r="2781" spans="1:21" hidden="1">
      <c r="A2781" s="7" t="s">
        <v>8871</v>
      </c>
      <c r="B2781" s="7" t="s">
        <v>8280</v>
      </c>
      <c r="C2781" s="8" t="s">
        <v>5319</v>
      </c>
      <c r="D2781" t="s">
        <v>272</v>
      </c>
      <c r="E2781" t="s">
        <v>2463</v>
      </c>
      <c r="F2781" t="s">
        <v>231</v>
      </c>
      <c r="G2781" t="s">
        <v>2464</v>
      </c>
      <c r="H2781" s="9">
        <v>44733</v>
      </c>
      <c r="I2781" t="s">
        <v>903</v>
      </c>
      <c r="J2781" t="s">
        <v>212</v>
      </c>
      <c r="K2781" s="9">
        <v>44806.4850925926</v>
      </c>
      <c r="L2781" t="s">
        <v>29</v>
      </c>
      <c r="M2781"/>
      <c r="N2781" s="9">
        <v>44778</v>
      </c>
      <c r="O2781"/>
      <c r="P2781"/>
      <c r="Q2781"/>
      <c r="R2781" s="9">
        <v>44806.484525462998</v>
      </c>
      <c r="S2781"/>
      <c r="T2781"/>
      <c r="U2781"/>
    </row>
    <row r="2782" spans="1:21" hidden="1">
      <c r="A2782" s="7" t="s">
        <v>8871</v>
      </c>
      <c r="B2782" s="7" t="s">
        <v>8280</v>
      </c>
      <c r="C2782" s="8" t="s">
        <v>5319</v>
      </c>
      <c r="D2782" t="s">
        <v>272</v>
      </c>
      <c r="E2782" t="s">
        <v>2463</v>
      </c>
      <c r="F2782" t="s">
        <v>231</v>
      </c>
      <c r="G2782" t="s">
        <v>2465</v>
      </c>
      <c r="H2782" s="9">
        <v>44733</v>
      </c>
      <c r="I2782" t="s">
        <v>903</v>
      </c>
      <c r="J2782" t="s">
        <v>212</v>
      </c>
      <c r="K2782" s="9">
        <v>44806.4850925926</v>
      </c>
      <c r="L2782" t="s">
        <v>29</v>
      </c>
      <c r="M2782"/>
      <c r="N2782" s="9">
        <v>44778</v>
      </c>
      <c r="O2782"/>
      <c r="P2782"/>
      <c r="Q2782"/>
      <c r="R2782" s="9">
        <v>44806.484525462998</v>
      </c>
      <c r="S2782"/>
      <c r="T2782"/>
      <c r="U2782"/>
    </row>
    <row r="2783" spans="1:21" hidden="1">
      <c r="A2783" s="7" t="s">
        <v>8871</v>
      </c>
      <c r="B2783" s="7" t="s">
        <v>8280</v>
      </c>
      <c r="C2783" s="8" t="s">
        <v>5319</v>
      </c>
      <c r="D2783" t="s">
        <v>272</v>
      </c>
      <c r="E2783" t="s">
        <v>2463</v>
      </c>
      <c r="F2783" t="s">
        <v>231</v>
      </c>
      <c r="G2783" t="s">
        <v>2466</v>
      </c>
      <c r="H2783" s="9">
        <v>44733</v>
      </c>
      <c r="I2783" t="s">
        <v>903</v>
      </c>
      <c r="J2783" t="s">
        <v>212</v>
      </c>
      <c r="K2783" s="9">
        <v>44806.4850925926</v>
      </c>
      <c r="L2783" t="s">
        <v>29</v>
      </c>
      <c r="M2783"/>
      <c r="N2783" s="9">
        <v>44778</v>
      </c>
      <c r="O2783"/>
      <c r="P2783"/>
      <c r="Q2783"/>
      <c r="R2783" s="9">
        <v>44806.484525462998</v>
      </c>
      <c r="S2783"/>
      <c r="T2783"/>
      <c r="U2783"/>
    </row>
    <row r="2784" spans="1:21" hidden="1">
      <c r="A2784" s="7" t="s">
        <v>8871</v>
      </c>
      <c r="B2784" s="7" t="s">
        <v>8280</v>
      </c>
      <c r="C2784" s="8" t="s">
        <v>5319</v>
      </c>
      <c r="D2784" t="s">
        <v>272</v>
      </c>
      <c r="E2784" t="s">
        <v>2463</v>
      </c>
      <c r="F2784" t="s">
        <v>231</v>
      </c>
      <c r="G2784" t="s">
        <v>2467</v>
      </c>
      <c r="H2784" s="9">
        <v>44733</v>
      </c>
      <c r="I2784" t="s">
        <v>903</v>
      </c>
      <c r="J2784" t="s">
        <v>212</v>
      </c>
      <c r="K2784" s="9">
        <v>44806.4850925926</v>
      </c>
      <c r="L2784" t="s">
        <v>29</v>
      </c>
      <c r="M2784"/>
      <c r="N2784" s="9">
        <v>44778</v>
      </c>
      <c r="O2784"/>
      <c r="P2784"/>
      <c r="Q2784"/>
      <c r="R2784" s="9">
        <v>44806.484525462998</v>
      </c>
      <c r="S2784"/>
      <c r="T2784"/>
      <c r="U2784"/>
    </row>
    <row r="2785" spans="1:21" hidden="1">
      <c r="A2785" s="7" t="s">
        <v>8871</v>
      </c>
      <c r="B2785" s="7" t="s">
        <v>8280</v>
      </c>
      <c r="C2785" s="8" t="s">
        <v>5319</v>
      </c>
      <c r="D2785" t="s">
        <v>272</v>
      </c>
      <c r="E2785" t="s">
        <v>2463</v>
      </c>
      <c r="F2785" t="s">
        <v>231</v>
      </c>
      <c r="G2785" t="s">
        <v>2468</v>
      </c>
      <c r="H2785" s="9">
        <v>44733</v>
      </c>
      <c r="I2785" t="s">
        <v>903</v>
      </c>
      <c r="J2785" t="s">
        <v>212</v>
      </c>
      <c r="K2785" s="9">
        <v>44806.4850925926</v>
      </c>
      <c r="L2785" t="s">
        <v>29</v>
      </c>
      <c r="M2785"/>
      <c r="N2785" s="9">
        <v>44778</v>
      </c>
      <c r="O2785"/>
      <c r="P2785"/>
      <c r="Q2785"/>
      <c r="R2785" s="9">
        <v>44806.484525462998</v>
      </c>
      <c r="S2785"/>
      <c r="T2785"/>
      <c r="U2785"/>
    </row>
    <row r="2786" spans="1:21" hidden="1">
      <c r="A2786" s="7" t="s">
        <v>8868</v>
      </c>
      <c r="B2786" s="7" t="s">
        <v>6764</v>
      </c>
      <c r="C2786" s="8" t="s">
        <v>5319</v>
      </c>
      <c r="D2786" t="s">
        <v>272</v>
      </c>
      <c r="E2786" t="s">
        <v>2386</v>
      </c>
      <c r="F2786" t="s">
        <v>83</v>
      </c>
      <c r="G2786" t="s">
        <v>2469</v>
      </c>
      <c r="H2786" s="9">
        <v>44733</v>
      </c>
      <c r="I2786" t="s">
        <v>2388</v>
      </c>
      <c r="J2786" t="s">
        <v>5330</v>
      </c>
      <c r="K2786" s="9">
        <v>44834</v>
      </c>
      <c r="L2786" t="s">
        <v>29</v>
      </c>
      <c r="M2786"/>
      <c r="N2786" s="9">
        <v>44778</v>
      </c>
      <c r="O2786" s="9">
        <v>44834</v>
      </c>
      <c r="P2786"/>
      <c r="Q2786"/>
      <c r="R2786"/>
      <c r="S2786"/>
      <c r="T2786"/>
      <c r="U2786"/>
    </row>
    <row r="2787" spans="1:21" hidden="1">
      <c r="A2787" s="7" t="s">
        <v>8752</v>
      </c>
      <c r="B2787" s="7" t="s">
        <v>6707</v>
      </c>
      <c r="C2787" s="8" t="s">
        <v>5319</v>
      </c>
      <c r="D2787" t="s">
        <v>272</v>
      </c>
      <c r="E2787" t="s">
        <v>439</v>
      </c>
      <c r="F2787" t="s">
        <v>117</v>
      </c>
      <c r="G2787" t="s">
        <v>464</v>
      </c>
      <c r="H2787" s="9">
        <v>44733</v>
      </c>
      <c r="I2787" t="s">
        <v>181</v>
      </c>
      <c r="J2787" t="s">
        <v>0</v>
      </c>
      <c r="K2787" s="9">
        <v>44872</v>
      </c>
      <c r="L2787" t="s">
        <v>29</v>
      </c>
      <c r="M2787"/>
      <c r="N2787" s="9">
        <v>44778</v>
      </c>
      <c r="O2787" s="9">
        <v>44834</v>
      </c>
      <c r="P2787"/>
      <c r="Q2787" s="9">
        <v>44872</v>
      </c>
      <c r="R2787"/>
      <c r="S2787"/>
      <c r="T2787"/>
      <c r="U2787"/>
    </row>
    <row r="2788" spans="1:21" hidden="1">
      <c r="A2788" s="7" t="s">
        <v>8768</v>
      </c>
      <c r="B2788" s="7" t="s">
        <v>6720</v>
      </c>
      <c r="C2788" s="8" t="s">
        <v>5319</v>
      </c>
      <c r="D2788" t="s">
        <v>272</v>
      </c>
      <c r="E2788" t="s">
        <v>750</v>
      </c>
      <c r="F2788" t="s">
        <v>103</v>
      </c>
      <c r="G2788" t="s">
        <v>2470</v>
      </c>
      <c r="H2788" s="9">
        <v>44733</v>
      </c>
      <c r="I2788" t="s">
        <v>43</v>
      </c>
      <c r="J2788" t="s">
        <v>0</v>
      </c>
      <c r="K2788" s="9">
        <v>44846</v>
      </c>
      <c r="L2788" t="s">
        <v>29</v>
      </c>
      <c r="M2788"/>
      <c r="N2788" s="9">
        <v>44778</v>
      </c>
      <c r="O2788" s="9">
        <v>44834</v>
      </c>
      <c r="P2788"/>
      <c r="Q2788" s="9">
        <v>44846</v>
      </c>
      <c r="R2788"/>
      <c r="S2788"/>
      <c r="T2788"/>
      <c r="U2788"/>
    </row>
    <row r="2789" spans="1:21" hidden="1">
      <c r="A2789" s="7" t="s">
        <v>8768</v>
      </c>
      <c r="B2789" s="7" t="s">
        <v>6720</v>
      </c>
      <c r="C2789" s="8" t="s">
        <v>5319</v>
      </c>
      <c r="D2789" t="s">
        <v>272</v>
      </c>
      <c r="E2789" t="s">
        <v>750</v>
      </c>
      <c r="F2789" t="s">
        <v>103</v>
      </c>
      <c r="G2789" t="s">
        <v>2471</v>
      </c>
      <c r="H2789" s="9">
        <v>44733</v>
      </c>
      <c r="I2789" t="s">
        <v>43</v>
      </c>
      <c r="J2789" t="s">
        <v>0</v>
      </c>
      <c r="K2789" s="9">
        <v>44846</v>
      </c>
      <c r="L2789" t="s">
        <v>29</v>
      </c>
      <c r="M2789"/>
      <c r="N2789" s="9">
        <v>44778</v>
      </c>
      <c r="O2789" s="9">
        <v>44834</v>
      </c>
      <c r="P2789"/>
      <c r="Q2789" s="9">
        <v>44846</v>
      </c>
      <c r="R2789"/>
      <c r="S2789"/>
      <c r="T2789"/>
      <c r="U2789"/>
    </row>
    <row r="2790" spans="1:21" hidden="1">
      <c r="A2790" s="7" t="s">
        <v>8768</v>
      </c>
      <c r="B2790" s="7" t="s">
        <v>6720</v>
      </c>
      <c r="C2790" s="8" t="s">
        <v>5319</v>
      </c>
      <c r="D2790" t="s">
        <v>272</v>
      </c>
      <c r="E2790" t="s">
        <v>750</v>
      </c>
      <c r="F2790" t="s">
        <v>103</v>
      </c>
      <c r="G2790" t="s">
        <v>2472</v>
      </c>
      <c r="H2790" s="9">
        <v>44733</v>
      </c>
      <c r="I2790" t="s">
        <v>43</v>
      </c>
      <c r="J2790" t="s">
        <v>0</v>
      </c>
      <c r="K2790" s="9">
        <v>44846</v>
      </c>
      <c r="L2790" t="s">
        <v>29</v>
      </c>
      <c r="M2790"/>
      <c r="N2790" s="9">
        <v>44778</v>
      </c>
      <c r="O2790" s="9">
        <v>44834</v>
      </c>
      <c r="P2790"/>
      <c r="Q2790" s="9">
        <v>44846</v>
      </c>
      <c r="R2790"/>
      <c r="S2790"/>
      <c r="T2790"/>
      <c r="U2790"/>
    </row>
    <row r="2791" spans="1:21" hidden="1">
      <c r="A2791" s="7" t="s">
        <v>8752</v>
      </c>
      <c r="B2791" s="7" t="s">
        <v>6707</v>
      </c>
      <c r="C2791" s="8" t="s">
        <v>5319</v>
      </c>
      <c r="D2791" t="s">
        <v>272</v>
      </c>
      <c r="E2791" t="s">
        <v>439</v>
      </c>
      <c r="F2791" t="s">
        <v>117</v>
      </c>
      <c r="G2791" t="s">
        <v>465</v>
      </c>
      <c r="H2791" s="9">
        <v>44733</v>
      </c>
      <c r="I2791" t="s">
        <v>181</v>
      </c>
      <c r="J2791" t="s">
        <v>0</v>
      </c>
      <c r="K2791" s="9">
        <v>44872</v>
      </c>
      <c r="L2791" t="s">
        <v>29</v>
      </c>
      <c r="M2791"/>
      <c r="N2791" s="9">
        <v>44778</v>
      </c>
      <c r="O2791" s="9">
        <v>44834</v>
      </c>
      <c r="P2791"/>
      <c r="Q2791" s="9">
        <v>44872</v>
      </c>
      <c r="R2791"/>
      <c r="S2791"/>
      <c r="T2791"/>
      <c r="U2791"/>
    </row>
    <row r="2792" spans="1:21" hidden="1">
      <c r="A2792" s="7" t="s">
        <v>8752</v>
      </c>
      <c r="B2792" s="7" t="s">
        <v>6707</v>
      </c>
      <c r="C2792" s="8" t="s">
        <v>5319</v>
      </c>
      <c r="D2792" t="s">
        <v>272</v>
      </c>
      <c r="E2792" t="s">
        <v>439</v>
      </c>
      <c r="F2792" t="s">
        <v>117</v>
      </c>
      <c r="G2792" t="s">
        <v>2473</v>
      </c>
      <c r="H2792" s="9">
        <v>44733</v>
      </c>
      <c r="I2792" t="s">
        <v>181</v>
      </c>
      <c r="J2792" t="s">
        <v>0</v>
      </c>
      <c r="K2792" s="9">
        <v>44872</v>
      </c>
      <c r="L2792" t="s">
        <v>29</v>
      </c>
      <c r="M2792"/>
      <c r="N2792" s="9">
        <v>44778</v>
      </c>
      <c r="O2792" s="9">
        <v>44834</v>
      </c>
      <c r="P2792"/>
      <c r="Q2792" s="9">
        <v>44872</v>
      </c>
      <c r="R2792"/>
      <c r="S2792"/>
      <c r="T2792"/>
      <c r="U2792"/>
    </row>
    <row r="2793" spans="1:21" hidden="1">
      <c r="A2793" s="7" t="s">
        <v>8752</v>
      </c>
      <c r="B2793" s="7" t="s">
        <v>6707</v>
      </c>
      <c r="C2793" s="8" t="s">
        <v>5319</v>
      </c>
      <c r="D2793" t="s">
        <v>272</v>
      </c>
      <c r="E2793" t="s">
        <v>439</v>
      </c>
      <c r="F2793" t="s">
        <v>117</v>
      </c>
      <c r="G2793" t="s">
        <v>2474</v>
      </c>
      <c r="H2793" s="9">
        <v>44733</v>
      </c>
      <c r="I2793" t="s">
        <v>181</v>
      </c>
      <c r="J2793" t="s">
        <v>0</v>
      </c>
      <c r="K2793" s="9">
        <v>44872</v>
      </c>
      <c r="L2793" t="s">
        <v>29</v>
      </c>
      <c r="M2793"/>
      <c r="N2793" s="9">
        <v>44778</v>
      </c>
      <c r="O2793" s="9">
        <v>44834</v>
      </c>
      <c r="P2793"/>
      <c r="Q2793" s="9">
        <v>44872</v>
      </c>
      <c r="R2793"/>
      <c r="S2793"/>
      <c r="T2793"/>
      <c r="U2793"/>
    </row>
    <row r="2794" spans="1:21" hidden="1">
      <c r="A2794" s="7" t="s">
        <v>8851</v>
      </c>
      <c r="B2794" s="7" t="s">
        <v>6668</v>
      </c>
      <c r="C2794" s="8" t="s">
        <v>5319</v>
      </c>
      <c r="D2794" t="s">
        <v>272</v>
      </c>
      <c r="E2794" t="s">
        <v>2183</v>
      </c>
      <c r="F2794" t="s">
        <v>75</v>
      </c>
      <c r="G2794" t="s">
        <v>2475</v>
      </c>
      <c r="H2794" s="9">
        <v>44733</v>
      </c>
      <c r="I2794" t="s">
        <v>2187</v>
      </c>
      <c r="J2794" t="s">
        <v>0</v>
      </c>
      <c r="K2794" s="9">
        <v>44792</v>
      </c>
      <c r="L2794" t="s">
        <v>29</v>
      </c>
      <c r="M2794"/>
      <c r="N2794" s="9">
        <v>44778</v>
      </c>
      <c r="O2794"/>
      <c r="P2794"/>
      <c r="Q2794" s="9">
        <v>44792</v>
      </c>
      <c r="R2794"/>
      <c r="S2794"/>
      <c r="T2794"/>
      <c r="U2794"/>
    </row>
    <row r="2795" spans="1:21" hidden="1">
      <c r="A2795" s="7" t="s">
        <v>8851</v>
      </c>
      <c r="B2795" s="7" t="s">
        <v>6668</v>
      </c>
      <c r="C2795" s="8" t="s">
        <v>5319</v>
      </c>
      <c r="D2795" t="s">
        <v>272</v>
      </c>
      <c r="E2795" t="s">
        <v>2183</v>
      </c>
      <c r="F2795" t="s">
        <v>75</v>
      </c>
      <c r="G2795" t="s">
        <v>2476</v>
      </c>
      <c r="H2795" s="9">
        <v>44733</v>
      </c>
      <c r="I2795" t="s">
        <v>2187</v>
      </c>
      <c r="J2795" t="s">
        <v>0</v>
      </c>
      <c r="K2795" s="9">
        <v>44792</v>
      </c>
      <c r="L2795" t="s">
        <v>29</v>
      </c>
      <c r="M2795"/>
      <c r="N2795" s="9">
        <v>44778</v>
      </c>
      <c r="O2795"/>
      <c r="P2795"/>
      <c r="Q2795" s="9">
        <v>44792</v>
      </c>
      <c r="R2795"/>
      <c r="S2795"/>
      <c r="T2795"/>
      <c r="U2795"/>
    </row>
    <row r="2796" spans="1:21" hidden="1">
      <c r="A2796" s="7" t="s">
        <v>8851</v>
      </c>
      <c r="B2796" s="7" t="s">
        <v>6668</v>
      </c>
      <c r="C2796" s="8" t="s">
        <v>5319</v>
      </c>
      <c r="D2796" t="s">
        <v>272</v>
      </c>
      <c r="E2796" t="s">
        <v>2183</v>
      </c>
      <c r="F2796" t="s">
        <v>75</v>
      </c>
      <c r="G2796" t="s">
        <v>2477</v>
      </c>
      <c r="H2796" s="9">
        <v>44733</v>
      </c>
      <c r="I2796" t="s">
        <v>2187</v>
      </c>
      <c r="J2796" t="s">
        <v>0</v>
      </c>
      <c r="K2796" s="9">
        <v>44792</v>
      </c>
      <c r="L2796" t="s">
        <v>29</v>
      </c>
      <c r="M2796"/>
      <c r="N2796" s="9">
        <v>44778</v>
      </c>
      <c r="O2796"/>
      <c r="P2796"/>
      <c r="Q2796" s="9">
        <v>44792</v>
      </c>
      <c r="R2796"/>
      <c r="S2796"/>
      <c r="T2796"/>
      <c r="U2796"/>
    </row>
    <row r="2797" spans="1:21" hidden="1">
      <c r="A2797" s="7" t="s">
        <v>8851</v>
      </c>
      <c r="B2797" s="7" t="s">
        <v>6668</v>
      </c>
      <c r="C2797" s="8" t="s">
        <v>5319</v>
      </c>
      <c r="D2797" t="s">
        <v>272</v>
      </c>
      <c r="E2797" t="s">
        <v>2183</v>
      </c>
      <c r="F2797" t="s">
        <v>75</v>
      </c>
      <c r="G2797" t="s">
        <v>2478</v>
      </c>
      <c r="H2797" s="9">
        <v>44733</v>
      </c>
      <c r="I2797" t="s">
        <v>2187</v>
      </c>
      <c r="J2797" t="s">
        <v>0</v>
      </c>
      <c r="K2797" s="9">
        <v>44792</v>
      </c>
      <c r="L2797" t="s">
        <v>29</v>
      </c>
      <c r="M2797"/>
      <c r="N2797" s="9">
        <v>44778</v>
      </c>
      <c r="O2797"/>
      <c r="P2797"/>
      <c r="Q2797" s="9">
        <v>44792</v>
      </c>
      <c r="R2797"/>
      <c r="S2797"/>
      <c r="T2797"/>
      <c r="U2797"/>
    </row>
    <row r="2798" spans="1:21" hidden="1">
      <c r="A2798" s="7" t="s">
        <v>8851</v>
      </c>
      <c r="B2798" s="7" t="s">
        <v>6668</v>
      </c>
      <c r="C2798" s="8" t="s">
        <v>5319</v>
      </c>
      <c r="D2798" t="s">
        <v>272</v>
      </c>
      <c r="E2798" t="s">
        <v>2183</v>
      </c>
      <c r="F2798" t="s">
        <v>75</v>
      </c>
      <c r="G2798" t="s">
        <v>2479</v>
      </c>
      <c r="H2798" s="9">
        <v>44733</v>
      </c>
      <c r="I2798" t="s">
        <v>2187</v>
      </c>
      <c r="J2798" t="s">
        <v>0</v>
      </c>
      <c r="K2798" s="9">
        <v>44792</v>
      </c>
      <c r="L2798" t="s">
        <v>29</v>
      </c>
      <c r="M2798"/>
      <c r="N2798" s="9">
        <v>44778</v>
      </c>
      <c r="O2798"/>
      <c r="P2798"/>
      <c r="Q2798" s="9">
        <v>44792</v>
      </c>
      <c r="R2798"/>
      <c r="S2798"/>
      <c r="T2798"/>
      <c r="U2798"/>
    </row>
    <row r="2799" spans="1:21" hidden="1">
      <c r="A2799" s="7" t="s">
        <v>8851</v>
      </c>
      <c r="B2799" s="7" t="s">
        <v>6668</v>
      </c>
      <c r="C2799" s="8" t="s">
        <v>5319</v>
      </c>
      <c r="D2799" t="s">
        <v>272</v>
      </c>
      <c r="E2799" t="s">
        <v>2183</v>
      </c>
      <c r="F2799" t="s">
        <v>75</v>
      </c>
      <c r="G2799" t="s">
        <v>2480</v>
      </c>
      <c r="H2799" s="9">
        <v>44733</v>
      </c>
      <c r="I2799" t="s">
        <v>2187</v>
      </c>
      <c r="J2799" t="s">
        <v>0</v>
      </c>
      <c r="K2799" s="9">
        <v>44792</v>
      </c>
      <c r="L2799" t="s">
        <v>29</v>
      </c>
      <c r="M2799"/>
      <c r="N2799" s="9">
        <v>44778</v>
      </c>
      <c r="O2799"/>
      <c r="P2799"/>
      <c r="Q2799" s="9">
        <v>44792</v>
      </c>
      <c r="R2799"/>
      <c r="S2799"/>
      <c r="T2799"/>
      <c r="U2799"/>
    </row>
    <row r="2800" spans="1:21" hidden="1">
      <c r="A2800" s="7" t="s">
        <v>8851</v>
      </c>
      <c r="B2800" s="7" t="s">
        <v>6668</v>
      </c>
      <c r="C2800" s="8" t="s">
        <v>5319</v>
      </c>
      <c r="D2800" t="s">
        <v>272</v>
      </c>
      <c r="E2800" t="s">
        <v>2183</v>
      </c>
      <c r="F2800" t="s">
        <v>75</v>
      </c>
      <c r="G2800" t="s">
        <v>2481</v>
      </c>
      <c r="H2800" s="9">
        <v>44733</v>
      </c>
      <c r="I2800" t="s">
        <v>2187</v>
      </c>
      <c r="J2800" t="s">
        <v>0</v>
      </c>
      <c r="K2800" s="9">
        <v>44792</v>
      </c>
      <c r="L2800" t="s">
        <v>29</v>
      </c>
      <c r="M2800"/>
      <c r="N2800" s="9">
        <v>44778</v>
      </c>
      <c r="O2800"/>
      <c r="P2800"/>
      <c r="Q2800" s="9">
        <v>44792</v>
      </c>
      <c r="R2800"/>
      <c r="S2800"/>
      <c r="T2800"/>
      <c r="U2800"/>
    </row>
    <row r="2801" spans="1:21" hidden="1">
      <c r="A2801" s="7" t="s">
        <v>8851</v>
      </c>
      <c r="B2801" s="7" t="s">
        <v>6668</v>
      </c>
      <c r="C2801" s="8" t="s">
        <v>5319</v>
      </c>
      <c r="D2801" t="s">
        <v>272</v>
      </c>
      <c r="E2801" t="s">
        <v>2183</v>
      </c>
      <c r="F2801" t="s">
        <v>75</v>
      </c>
      <c r="G2801" t="s">
        <v>2482</v>
      </c>
      <c r="H2801" s="9">
        <v>44733</v>
      </c>
      <c r="I2801" t="s">
        <v>2187</v>
      </c>
      <c r="J2801" t="s">
        <v>0</v>
      </c>
      <c r="K2801" s="9">
        <v>44792</v>
      </c>
      <c r="L2801" t="s">
        <v>29</v>
      </c>
      <c r="M2801"/>
      <c r="N2801" s="9">
        <v>44778</v>
      </c>
      <c r="O2801"/>
      <c r="P2801"/>
      <c r="Q2801" s="9">
        <v>44792</v>
      </c>
      <c r="R2801"/>
      <c r="S2801"/>
      <c r="T2801"/>
      <c r="U2801"/>
    </row>
    <row r="2802" spans="1:21" hidden="1">
      <c r="A2802" s="7" t="s">
        <v>8851</v>
      </c>
      <c r="B2802" s="7" t="s">
        <v>6668</v>
      </c>
      <c r="C2802" s="8" t="s">
        <v>5319</v>
      </c>
      <c r="D2802" t="s">
        <v>272</v>
      </c>
      <c r="E2802" t="s">
        <v>2183</v>
      </c>
      <c r="F2802" t="s">
        <v>75</v>
      </c>
      <c r="G2802" t="s">
        <v>2483</v>
      </c>
      <c r="H2802" s="9">
        <v>44733</v>
      </c>
      <c r="I2802" t="s">
        <v>2187</v>
      </c>
      <c r="J2802" t="s">
        <v>0</v>
      </c>
      <c r="K2802" s="9">
        <v>44792</v>
      </c>
      <c r="L2802" t="s">
        <v>29</v>
      </c>
      <c r="M2802"/>
      <c r="N2802" s="9">
        <v>44778</v>
      </c>
      <c r="O2802"/>
      <c r="P2802"/>
      <c r="Q2802" s="9">
        <v>44792</v>
      </c>
      <c r="R2802"/>
      <c r="S2802"/>
      <c r="T2802"/>
      <c r="U2802"/>
    </row>
    <row r="2803" spans="1:21" hidden="1">
      <c r="A2803" s="7" t="s">
        <v>8851</v>
      </c>
      <c r="B2803" s="7" t="s">
        <v>6668</v>
      </c>
      <c r="C2803" s="8" t="s">
        <v>5319</v>
      </c>
      <c r="D2803" t="s">
        <v>272</v>
      </c>
      <c r="E2803" t="s">
        <v>2183</v>
      </c>
      <c r="F2803" t="s">
        <v>75</v>
      </c>
      <c r="G2803" t="s">
        <v>2484</v>
      </c>
      <c r="H2803" s="9">
        <v>44733</v>
      </c>
      <c r="I2803" t="s">
        <v>2187</v>
      </c>
      <c r="J2803" t="s">
        <v>0</v>
      </c>
      <c r="K2803" s="9">
        <v>44792</v>
      </c>
      <c r="L2803" t="s">
        <v>29</v>
      </c>
      <c r="M2803"/>
      <c r="N2803" s="9">
        <v>44778</v>
      </c>
      <c r="O2803"/>
      <c r="P2803"/>
      <c r="Q2803" s="9">
        <v>44792</v>
      </c>
      <c r="R2803"/>
      <c r="S2803"/>
      <c r="T2803"/>
      <c r="U2803"/>
    </row>
    <row r="2804" spans="1:21" hidden="1">
      <c r="A2804" s="7" t="s">
        <v>8851</v>
      </c>
      <c r="B2804" s="7" t="s">
        <v>6668</v>
      </c>
      <c r="C2804" s="8" t="s">
        <v>5319</v>
      </c>
      <c r="D2804" t="s">
        <v>272</v>
      </c>
      <c r="E2804" t="s">
        <v>2183</v>
      </c>
      <c r="F2804" t="s">
        <v>75</v>
      </c>
      <c r="G2804" t="s">
        <v>2485</v>
      </c>
      <c r="H2804" s="9">
        <v>44733</v>
      </c>
      <c r="I2804" t="s">
        <v>2187</v>
      </c>
      <c r="J2804" t="s">
        <v>0</v>
      </c>
      <c r="K2804" s="9">
        <v>44792</v>
      </c>
      <c r="L2804" t="s">
        <v>29</v>
      </c>
      <c r="M2804"/>
      <c r="N2804" s="9">
        <v>44778</v>
      </c>
      <c r="O2804"/>
      <c r="P2804"/>
      <c r="Q2804" s="9">
        <v>44792</v>
      </c>
      <c r="R2804"/>
      <c r="S2804"/>
      <c r="T2804"/>
      <c r="U2804"/>
    </row>
    <row r="2805" spans="1:21" hidden="1">
      <c r="A2805" s="7" t="s">
        <v>8844</v>
      </c>
      <c r="B2805" s="7" t="s">
        <v>5466</v>
      </c>
      <c r="C2805" s="8" t="s">
        <v>5319</v>
      </c>
      <c r="D2805" t="s">
        <v>272</v>
      </c>
      <c r="E2805" t="s">
        <v>2119</v>
      </c>
      <c r="F2805" t="s">
        <v>83</v>
      </c>
      <c r="G2805" t="s">
        <v>2486</v>
      </c>
      <c r="H2805" s="9">
        <v>44733</v>
      </c>
      <c r="I2805" t="s">
        <v>2121</v>
      </c>
      <c r="J2805" t="s">
        <v>5330</v>
      </c>
      <c r="K2805" s="9">
        <v>44834</v>
      </c>
      <c r="L2805" t="s">
        <v>29</v>
      </c>
      <c r="M2805"/>
      <c r="N2805" s="9">
        <v>44778</v>
      </c>
      <c r="O2805" s="9">
        <v>44834</v>
      </c>
      <c r="P2805"/>
      <c r="Q2805"/>
      <c r="R2805"/>
      <c r="S2805"/>
      <c r="T2805"/>
      <c r="U2805"/>
    </row>
    <row r="2806" spans="1:21" hidden="1">
      <c r="A2806" s="7" t="s">
        <v>8844</v>
      </c>
      <c r="B2806" s="7" t="s">
        <v>5466</v>
      </c>
      <c r="C2806" s="8" t="s">
        <v>5319</v>
      </c>
      <c r="D2806" t="s">
        <v>272</v>
      </c>
      <c r="E2806" t="s">
        <v>2119</v>
      </c>
      <c r="F2806" t="s">
        <v>83</v>
      </c>
      <c r="G2806" t="s">
        <v>2487</v>
      </c>
      <c r="H2806" s="9">
        <v>44733</v>
      </c>
      <c r="I2806" t="s">
        <v>2121</v>
      </c>
      <c r="J2806" t="s">
        <v>5330</v>
      </c>
      <c r="K2806" s="9">
        <v>44834</v>
      </c>
      <c r="L2806" t="s">
        <v>29</v>
      </c>
      <c r="M2806"/>
      <c r="N2806" s="9">
        <v>44778</v>
      </c>
      <c r="O2806" s="9">
        <v>44834</v>
      </c>
      <c r="P2806"/>
      <c r="Q2806"/>
      <c r="R2806"/>
      <c r="S2806"/>
      <c r="T2806"/>
      <c r="U2806"/>
    </row>
    <row r="2807" spans="1:21" hidden="1">
      <c r="A2807" s="7" t="s">
        <v>8851</v>
      </c>
      <c r="B2807" s="7" t="s">
        <v>6668</v>
      </c>
      <c r="C2807" s="8" t="s">
        <v>5319</v>
      </c>
      <c r="D2807" t="s">
        <v>272</v>
      </c>
      <c r="E2807" t="s">
        <v>2183</v>
      </c>
      <c r="F2807" t="s">
        <v>75</v>
      </c>
      <c r="G2807" t="s">
        <v>2488</v>
      </c>
      <c r="H2807" s="9">
        <v>44733</v>
      </c>
      <c r="I2807" t="s">
        <v>2187</v>
      </c>
      <c r="J2807" t="s">
        <v>0</v>
      </c>
      <c r="K2807" s="9">
        <v>44792</v>
      </c>
      <c r="L2807" t="s">
        <v>29</v>
      </c>
      <c r="M2807"/>
      <c r="N2807" s="9">
        <v>44778</v>
      </c>
      <c r="O2807"/>
      <c r="P2807"/>
      <c r="Q2807" s="9">
        <v>44792</v>
      </c>
      <c r="R2807"/>
      <c r="S2807"/>
      <c r="T2807"/>
      <c r="U2807"/>
    </row>
    <row r="2808" spans="1:21" hidden="1">
      <c r="A2808" s="7" t="s">
        <v>8752</v>
      </c>
      <c r="B2808" s="7" t="s">
        <v>6707</v>
      </c>
      <c r="C2808" s="8" t="s">
        <v>5319</v>
      </c>
      <c r="D2808" t="s">
        <v>272</v>
      </c>
      <c r="E2808" t="s">
        <v>439</v>
      </c>
      <c r="F2808" t="s">
        <v>117</v>
      </c>
      <c r="G2808" t="s">
        <v>466</v>
      </c>
      <c r="H2808" s="9">
        <v>44733</v>
      </c>
      <c r="I2808" t="s">
        <v>181</v>
      </c>
      <c r="J2808" t="s">
        <v>0</v>
      </c>
      <c r="K2808" s="9">
        <v>44872</v>
      </c>
      <c r="L2808" t="s">
        <v>29</v>
      </c>
      <c r="M2808"/>
      <c r="N2808" s="9">
        <v>44778</v>
      </c>
      <c r="O2808" s="9">
        <v>44834</v>
      </c>
      <c r="P2808"/>
      <c r="Q2808" s="9">
        <v>44872</v>
      </c>
      <c r="R2808"/>
      <c r="S2808"/>
      <c r="T2808"/>
      <c r="U2808"/>
    </row>
    <row r="2809" spans="1:21" hidden="1">
      <c r="A2809" s="7" t="s">
        <v>8752</v>
      </c>
      <c r="B2809" s="7" t="s">
        <v>6707</v>
      </c>
      <c r="C2809" s="8" t="s">
        <v>5319</v>
      </c>
      <c r="D2809" t="s">
        <v>272</v>
      </c>
      <c r="E2809" t="s">
        <v>439</v>
      </c>
      <c r="F2809" t="s">
        <v>117</v>
      </c>
      <c r="G2809" t="s">
        <v>467</v>
      </c>
      <c r="H2809" s="9">
        <v>44733</v>
      </c>
      <c r="I2809" t="s">
        <v>181</v>
      </c>
      <c r="J2809" t="s">
        <v>0</v>
      </c>
      <c r="K2809" s="9">
        <v>44872</v>
      </c>
      <c r="L2809" t="s">
        <v>29</v>
      </c>
      <c r="M2809"/>
      <c r="N2809" s="9">
        <v>44778</v>
      </c>
      <c r="O2809" s="9">
        <v>44834</v>
      </c>
      <c r="P2809"/>
      <c r="Q2809" s="9">
        <v>44872</v>
      </c>
      <c r="R2809"/>
      <c r="S2809"/>
      <c r="T2809"/>
      <c r="U2809"/>
    </row>
    <row r="2810" spans="1:21" hidden="1">
      <c r="A2810" s="7" t="s">
        <v>8752</v>
      </c>
      <c r="B2810" s="7" t="s">
        <v>6707</v>
      </c>
      <c r="C2810" s="8" t="s">
        <v>5319</v>
      </c>
      <c r="D2810" t="s">
        <v>272</v>
      </c>
      <c r="E2810" t="s">
        <v>439</v>
      </c>
      <c r="F2810" t="s">
        <v>117</v>
      </c>
      <c r="G2810" t="s">
        <v>468</v>
      </c>
      <c r="H2810" s="9">
        <v>44733</v>
      </c>
      <c r="I2810" t="s">
        <v>181</v>
      </c>
      <c r="J2810" t="s">
        <v>0</v>
      </c>
      <c r="K2810" s="9">
        <v>44872</v>
      </c>
      <c r="L2810" t="s">
        <v>29</v>
      </c>
      <c r="M2810"/>
      <c r="N2810" s="9">
        <v>44778</v>
      </c>
      <c r="O2810" s="9">
        <v>44834</v>
      </c>
      <c r="P2810"/>
      <c r="Q2810" s="9">
        <v>44872</v>
      </c>
      <c r="R2810"/>
      <c r="S2810"/>
      <c r="T2810"/>
      <c r="U2810"/>
    </row>
    <row r="2811" spans="1:21" hidden="1">
      <c r="A2811" s="7" t="s">
        <v>8752</v>
      </c>
      <c r="B2811" s="7" t="s">
        <v>6707</v>
      </c>
      <c r="C2811" s="8" t="s">
        <v>5319</v>
      </c>
      <c r="D2811" t="s">
        <v>272</v>
      </c>
      <c r="E2811" t="s">
        <v>439</v>
      </c>
      <c r="F2811" t="s">
        <v>117</v>
      </c>
      <c r="G2811" t="s">
        <v>469</v>
      </c>
      <c r="H2811" s="9">
        <v>44733</v>
      </c>
      <c r="I2811" t="s">
        <v>181</v>
      </c>
      <c r="J2811" t="s">
        <v>0</v>
      </c>
      <c r="K2811" s="9">
        <v>44872</v>
      </c>
      <c r="L2811" t="s">
        <v>29</v>
      </c>
      <c r="M2811"/>
      <c r="N2811" s="9">
        <v>44778</v>
      </c>
      <c r="O2811" s="9">
        <v>44834</v>
      </c>
      <c r="P2811"/>
      <c r="Q2811" s="9">
        <v>44872</v>
      </c>
      <c r="R2811"/>
      <c r="S2811"/>
      <c r="T2811"/>
      <c r="U2811"/>
    </row>
    <row r="2812" spans="1:21" hidden="1">
      <c r="A2812" s="7" t="s">
        <v>8868</v>
      </c>
      <c r="B2812" s="7" t="s">
        <v>6764</v>
      </c>
      <c r="C2812" s="8" t="s">
        <v>5319</v>
      </c>
      <c r="D2812" t="s">
        <v>272</v>
      </c>
      <c r="E2812" t="s">
        <v>2386</v>
      </c>
      <c r="F2812" t="s">
        <v>83</v>
      </c>
      <c r="G2812" t="s">
        <v>2489</v>
      </c>
      <c r="H2812" s="9">
        <v>44733</v>
      </c>
      <c r="I2812" t="s">
        <v>2388</v>
      </c>
      <c r="J2812" t="s">
        <v>5330</v>
      </c>
      <c r="K2812" s="9">
        <v>44834</v>
      </c>
      <c r="L2812" t="s">
        <v>29</v>
      </c>
      <c r="M2812"/>
      <c r="N2812" s="9">
        <v>44778</v>
      </c>
      <c r="O2812" s="9">
        <v>44834</v>
      </c>
      <c r="P2812"/>
      <c r="Q2812"/>
      <c r="R2812"/>
      <c r="S2812"/>
      <c r="T2812"/>
      <c r="U2812"/>
    </row>
    <row r="2813" spans="1:21" hidden="1">
      <c r="A2813" s="7" t="s">
        <v>8868</v>
      </c>
      <c r="B2813" s="7" t="s">
        <v>6764</v>
      </c>
      <c r="C2813" s="8" t="s">
        <v>5319</v>
      </c>
      <c r="D2813" t="s">
        <v>272</v>
      </c>
      <c r="E2813" t="s">
        <v>2386</v>
      </c>
      <c r="F2813" t="s">
        <v>83</v>
      </c>
      <c r="G2813" t="s">
        <v>2490</v>
      </c>
      <c r="H2813" s="9">
        <v>44733</v>
      </c>
      <c r="I2813" t="s">
        <v>2388</v>
      </c>
      <c r="J2813" t="s">
        <v>5330</v>
      </c>
      <c r="K2813" s="9">
        <v>44834</v>
      </c>
      <c r="L2813" t="s">
        <v>29</v>
      </c>
      <c r="M2813"/>
      <c r="N2813" s="9">
        <v>44778</v>
      </c>
      <c r="O2813" s="9">
        <v>44834</v>
      </c>
      <c r="P2813"/>
      <c r="Q2813"/>
      <c r="R2813"/>
      <c r="S2813"/>
      <c r="T2813"/>
      <c r="U2813"/>
    </row>
    <row r="2814" spans="1:21" hidden="1">
      <c r="A2814" s="7" t="s">
        <v>8868</v>
      </c>
      <c r="B2814" s="7" t="s">
        <v>6764</v>
      </c>
      <c r="C2814" s="8" t="s">
        <v>5319</v>
      </c>
      <c r="D2814" t="s">
        <v>272</v>
      </c>
      <c r="E2814" t="s">
        <v>2386</v>
      </c>
      <c r="F2814" t="s">
        <v>83</v>
      </c>
      <c r="G2814" t="s">
        <v>2491</v>
      </c>
      <c r="H2814" s="9">
        <v>44733</v>
      </c>
      <c r="I2814" t="s">
        <v>2388</v>
      </c>
      <c r="J2814" t="s">
        <v>5330</v>
      </c>
      <c r="K2814" s="9">
        <v>44834</v>
      </c>
      <c r="L2814" t="s">
        <v>29</v>
      </c>
      <c r="M2814"/>
      <c r="N2814" s="9">
        <v>44778</v>
      </c>
      <c r="O2814" s="9">
        <v>44834</v>
      </c>
      <c r="P2814"/>
      <c r="Q2814"/>
      <c r="R2814"/>
      <c r="S2814"/>
      <c r="T2814"/>
      <c r="U2814"/>
    </row>
    <row r="2815" spans="1:21" hidden="1">
      <c r="A2815" s="7" t="s">
        <v>8844</v>
      </c>
      <c r="B2815" s="7" t="s">
        <v>5466</v>
      </c>
      <c r="C2815" s="8" t="s">
        <v>5319</v>
      </c>
      <c r="D2815" t="s">
        <v>272</v>
      </c>
      <c r="E2815" t="s">
        <v>2119</v>
      </c>
      <c r="F2815" t="s">
        <v>83</v>
      </c>
      <c r="G2815" t="s">
        <v>2492</v>
      </c>
      <c r="H2815" s="9">
        <v>44733</v>
      </c>
      <c r="I2815" t="s">
        <v>2121</v>
      </c>
      <c r="J2815" t="s">
        <v>5330</v>
      </c>
      <c r="K2815" s="9">
        <v>44834</v>
      </c>
      <c r="L2815" t="s">
        <v>29</v>
      </c>
      <c r="M2815"/>
      <c r="N2815" s="9">
        <v>44778</v>
      </c>
      <c r="O2815" s="9">
        <v>44834</v>
      </c>
      <c r="P2815"/>
      <c r="Q2815"/>
      <c r="R2815"/>
      <c r="S2815"/>
      <c r="T2815"/>
      <c r="U2815"/>
    </row>
    <row r="2816" spans="1:21" hidden="1">
      <c r="A2816" s="7" t="s">
        <v>8844</v>
      </c>
      <c r="B2816" s="7" t="s">
        <v>5466</v>
      </c>
      <c r="C2816" s="8" t="s">
        <v>5319</v>
      </c>
      <c r="D2816" t="s">
        <v>272</v>
      </c>
      <c r="E2816" t="s">
        <v>2119</v>
      </c>
      <c r="F2816" t="s">
        <v>83</v>
      </c>
      <c r="G2816" t="s">
        <v>2493</v>
      </c>
      <c r="H2816" s="9">
        <v>44733</v>
      </c>
      <c r="I2816" t="s">
        <v>2121</v>
      </c>
      <c r="J2816" t="s">
        <v>5330</v>
      </c>
      <c r="K2816" s="9">
        <v>44834</v>
      </c>
      <c r="L2816" t="s">
        <v>29</v>
      </c>
      <c r="M2816"/>
      <c r="N2816" s="9">
        <v>44778</v>
      </c>
      <c r="O2816" s="9">
        <v>44834</v>
      </c>
      <c r="P2816"/>
      <c r="Q2816"/>
      <c r="R2816"/>
      <c r="S2816"/>
      <c r="T2816"/>
      <c r="U2816"/>
    </row>
    <row r="2817" spans="1:21" hidden="1">
      <c r="A2817" s="7" t="s">
        <v>8844</v>
      </c>
      <c r="B2817" s="7" t="s">
        <v>5466</v>
      </c>
      <c r="C2817" s="8" t="s">
        <v>5319</v>
      </c>
      <c r="D2817" t="s">
        <v>272</v>
      </c>
      <c r="E2817" t="s">
        <v>2119</v>
      </c>
      <c r="F2817" t="s">
        <v>83</v>
      </c>
      <c r="G2817" t="s">
        <v>2494</v>
      </c>
      <c r="H2817" s="9">
        <v>44733</v>
      </c>
      <c r="I2817" t="s">
        <v>2121</v>
      </c>
      <c r="J2817" t="s">
        <v>5330</v>
      </c>
      <c r="K2817" s="9">
        <v>44834</v>
      </c>
      <c r="L2817" t="s">
        <v>29</v>
      </c>
      <c r="M2817"/>
      <c r="N2817" s="9">
        <v>44778</v>
      </c>
      <c r="O2817" s="9">
        <v>44834</v>
      </c>
      <c r="P2817"/>
      <c r="Q2817"/>
      <c r="R2817"/>
      <c r="S2817"/>
      <c r="T2817"/>
      <c r="U2817"/>
    </row>
    <row r="2818" spans="1:21" hidden="1">
      <c r="A2818" s="7" t="s">
        <v>8788</v>
      </c>
      <c r="B2818" s="7" t="s">
        <v>7708</v>
      </c>
      <c r="C2818" s="8" t="s">
        <v>5319</v>
      </c>
      <c r="D2818" t="s">
        <v>272</v>
      </c>
      <c r="E2818" t="s">
        <v>905</v>
      </c>
      <c r="F2818" t="s">
        <v>75</v>
      </c>
      <c r="G2818" t="s">
        <v>2495</v>
      </c>
      <c r="H2818" s="9">
        <v>44733</v>
      </c>
      <c r="I2818" t="s">
        <v>408</v>
      </c>
      <c r="J2818" t="s">
        <v>5330</v>
      </c>
      <c r="K2818" s="9">
        <v>44834</v>
      </c>
      <c r="L2818" t="s">
        <v>29</v>
      </c>
      <c r="M2818"/>
      <c r="N2818" s="9">
        <v>44778</v>
      </c>
      <c r="O2818" s="9">
        <v>44834</v>
      </c>
      <c r="P2818"/>
      <c r="Q2818"/>
      <c r="R2818"/>
      <c r="S2818"/>
      <c r="T2818"/>
      <c r="U2818"/>
    </row>
    <row r="2819" spans="1:21" hidden="1">
      <c r="A2819" s="7" t="s">
        <v>8872</v>
      </c>
      <c r="B2819" s="7" t="s">
        <v>5428</v>
      </c>
      <c r="C2819" s="8" t="s">
        <v>5319</v>
      </c>
      <c r="D2819" t="s">
        <v>272</v>
      </c>
      <c r="E2819" t="s">
        <v>2496</v>
      </c>
      <c r="F2819" t="s">
        <v>75</v>
      </c>
      <c r="G2819" t="s">
        <v>2497</v>
      </c>
      <c r="H2819" s="9">
        <v>44733</v>
      </c>
      <c r="I2819" t="s">
        <v>408</v>
      </c>
      <c r="J2819" t="s">
        <v>5330</v>
      </c>
      <c r="K2819" s="9">
        <v>44834</v>
      </c>
      <c r="L2819" t="s">
        <v>29</v>
      </c>
      <c r="M2819"/>
      <c r="N2819" s="9">
        <v>44778</v>
      </c>
      <c r="O2819" s="9">
        <v>44834</v>
      </c>
      <c r="P2819"/>
      <c r="Q2819"/>
      <c r="R2819"/>
      <c r="S2819"/>
      <c r="T2819"/>
      <c r="U2819"/>
    </row>
    <row r="2820" spans="1:21" hidden="1">
      <c r="A2820" s="7" t="s">
        <v>8872</v>
      </c>
      <c r="B2820" s="7" t="s">
        <v>5428</v>
      </c>
      <c r="C2820" s="8" t="s">
        <v>5319</v>
      </c>
      <c r="D2820" t="s">
        <v>272</v>
      </c>
      <c r="E2820" t="s">
        <v>2496</v>
      </c>
      <c r="F2820" t="s">
        <v>75</v>
      </c>
      <c r="G2820" t="s">
        <v>2498</v>
      </c>
      <c r="H2820" s="9">
        <v>44733</v>
      </c>
      <c r="I2820" t="s">
        <v>408</v>
      </c>
      <c r="J2820" t="s">
        <v>5330</v>
      </c>
      <c r="K2820" s="9">
        <v>44834</v>
      </c>
      <c r="L2820" t="s">
        <v>29</v>
      </c>
      <c r="M2820"/>
      <c r="N2820" s="9">
        <v>44778</v>
      </c>
      <c r="O2820" s="9">
        <v>44834</v>
      </c>
      <c r="P2820"/>
      <c r="Q2820"/>
      <c r="R2820"/>
      <c r="S2820"/>
      <c r="T2820"/>
      <c r="U2820"/>
    </row>
    <row r="2821" spans="1:21" hidden="1">
      <c r="A2821" s="7" t="s">
        <v>8735</v>
      </c>
      <c r="B2821" s="7" t="s">
        <v>7743</v>
      </c>
      <c r="C2821" s="8" t="s">
        <v>5319</v>
      </c>
      <c r="D2821" t="s">
        <v>272</v>
      </c>
      <c r="E2821" t="s">
        <v>243</v>
      </c>
      <c r="F2821" t="s">
        <v>117</v>
      </c>
      <c r="G2821" t="s">
        <v>244</v>
      </c>
      <c r="H2821" s="9">
        <v>44733</v>
      </c>
      <c r="I2821" t="s">
        <v>171</v>
      </c>
      <c r="J2821" t="s">
        <v>0</v>
      </c>
      <c r="K2821" s="9">
        <v>44889</v>
      </c>
      <c r="L2821" t="s">
        <v>29</v>
      </c>
      <c r="M2821"/>
      <c r="N2821" s="9">
        <v>44778</v>
      </c>
      <c r="O2821" s="9">
        <v>44834</v>
      </c>
      <c r="P2821"/>
      <c r="Q2821" s="9">
        <v>44889</v>
      </c>
      <c r="R2821"/>
      <c r="S2821"/>
      <c r="T2821"/>
      <c r="U2821"/>
    </row>
    <row r="2822" spans="1:21" hidden="1">
      <c r="A2822" s="7" t="s">
        <v>8735</v>
      </c>
      <c r="B2822" s="7" t="s">
        <v>7743</v>
      </c>
      <c r="C2822" s="8" t="s">
        <v>5319</v>
      </c>
      <c r="D2822" t="s">
        <v>272</v>
      </c>
      <c r="E2822" t="s">
        <v>243</v>
      </c>
      <c r="F2822" t="s">
        <v>117</v>
      </c>
      <c r="G2822" t="s">
        <v>245</v>
      </c>
      <c r="H2822" s="9">
        <v>44733</v>
      </c>
      <c r="I2822" t="s">
        <v>171</v>
      </c>
      <c r="J2822" t="s">
        <v>0</v>
      </c>
      <c r="K2822" s="9">
        <v>44889</v>
      </c>
      <c r="L2822" t="s">
        <v>29</v>
      </c>
      <c r="M2822"/>
      <c r="N2822" s="9">
        <v>44778</v>
      </c>
      <c r="O2822" s="9">
        <v>44834</v>
      </c>
      <c r="P2822"/>
      <c r="Q2822" s="9">
        <v>44889</v>
      </c>
      <c r="R2822"/>
      <c r="S2822"/>
      <c r="T2822"/>
      <c r="U2822"/>
    </row>
    <row r="2823" spans="1:21" hidden="1">
      <c r="A2823" s="7" t="s">
        <v>8735</v>
      </c>
      <c r="B2823" s="7" t="s">
        <v>7743</v>
      </c>
      <c r="C2823" s="8" t="s">
        <v>5319</v>
      </c>
      <c r="D2823" t="s">
        <v>272</v>
      </c>
      <c r="E2823" t="s">
        <v>243</v>
      </c>
      <c r="F2823" t="s">
        <v>117</v>
      </c>
      <c r="G2823" t="s">
        <v>246</v>
      </c>
      <c r="H2823" s="9">
        <v>44733</v>
      </c>
      <c r="I2823" t="s">
        <v>171</v>
      </c>
      <c r="J2823" t="s">
        <v>0</v>
      </c>
      <c r="K2823" s="9">
        <v>44889</v>
      </c>
      <c r="L2823" t="s">
        <v>29</v>
      </c>
      <c r="M2823"/>
      <c r="N2823" s="9">
        <v>44778</v>
      </c>
      <c r="O2823" s="9">
        <v>44834</v>
      </c>
      <c r="P2823"/>
      <c r="Q2823" s="9">
        <v>44889</v>
      </c>
      <c r="R2823"/>
      <c r="S2823"/>
      <c r="T2823"/>
      <c r="U2823"/>
    </row>
    <row r="2824" spans="1:21" hidden="1">
      <c r="A2824" s="7" t="s">
        <v>8735</v>
      </c>
      <c r="B2824" s="7" t="s">
        <v>7743</v>
      </c>
      <c r="C2824" s="8" t="s">
        <v>5319</v>
      </c>
      <c r="D2824" t="s">
        <v>272</v>
      </c>
      <c r="E2824" t="s">
        <v>243</v>
      </c>
      <c r="F2824" t="s">
        <v>117</v>
      </c>
      <c r="G2824" t="s">
        <v>247</v>
      </c>
      <c r="H2824" s="9">
        <v>44733</v>
      </c>
      <c r="I2824" t="s">
        <v>171</v>
      </c>
      <c r="J2824" t="s">
        <v>0</v>
      </c>
      <c r="K2824" s="9">
        <v>44889</v>
      </c>
      <c r="L2824" t="s">
        <v>29</v>
      </c>
      <c r="M2824"/>
      <c r="N2824" s="9">
        <v>44778</v>
      </c>
      <c r="O2824" s="9">
        <v>44834</v>
      </c>
      <c r="P2824"/>
      <c r="Q2824" s="9">
        <v>44889</v>
      </c>
      <c r="R2824"/>
      <c r="S2824"/>
      <c r="T2824"/>
      <c r="U2824"/>
    </row>
    <row r="2825" spans="1:21" hidden="1">
      <c r="A2825" s="7" t="s">
        <v>8735</v>
      </c>
      <c r="B2825" s="7" t="s">
        <v>7743</v>
      </c>
      <c r="C2825" s="8" t="s">
        <v>5319</v>
      </c>
      <c r="D2825" t="s">
        <v>272</v>
      </c>
      <c r="E2825" t="s">
        <v>243</v>
      </c>
      <c r="F2825" t="s">
        <v>117</v>
      </c>
      <c r="G2825" t="s">
        <v>248</v>
      </c>
      <c r="H2825" s="9">
        <v>44733</v>
      </c>
      <c r="I2825" t="s">
        <v>171</v>
      </c>
      <c r="J2825" t="s">
        <v>0</v>
      </c>
      <c r="K2825" s="9">
        <v>44889</v>
      </c>
      <c r="L2825" t="s">
        <v>29</v>
      </c>
      <c r="M2825"/>
      <c r="N2825" s="9">
        <v>44778</v>
      </c>
      <c r="O2825" s="9">
        <v>44834</v>
      </c>
      <c r="P2825"/>
      <c r="Q2825" s="9">
        <v>44889</v>
      </c>
      <c r="R2825"/>
      <c r="S2825"/>
      <c r="T2825"/>
      <c r="U2825"/>
    </row>
    <row r="2826" spans="1:21" hidden="1">
      <c r="A2826" s="7" t="s">
        <v>8735</v>
      </c>
      <c r="B2826" s="7" t="s">
        <v>7743</v>
      </c>
      <c r="C2826" s="8" t="s">
        <v>5319</v>
      </c>
      <c r="D2826" t="s">
        <v>272</v>
      </c>
      <c r="E2826" t="s">
        <v>243</v>
      </c>
      <c r="F2826" t="s">
        <v>117</v>
      </c>
      <c r="G2826" t="s">
        <v>249</v>
      </c>
      <c r="H2826" s="9">
        <v>44733</v>
      </c>
      <c r="I2826" t="s">
        <v>171</v>
      </c>
      <c r="J2826" t="s">
        <v>0</v>
      </c>
      <c r="K2826" s="9">
        <v>44889</v>
      </c>
      <c r="L2826" t="s">
        <v>29</v>
      </c>
      <c r="M2826"/>
      <c r="N2826" s="9">
        <v>44778</v>
      </c>
      <c r="O2826" s="9">
        <v>44834</v>
      </c>
      <c r="P2826"/>
      <c r="Q2826" s="9">
        <v>44889</v>
      </c>
      <c r="R2826"/>
      <c r="S2826"/>
      <c r="T2826"/>
      <c r="U2826"/>
    </row>
    <row r="2827" spans="1:21" hidden="1">
      <c r="A2827" s="7" t="s">
        <v>8735</v>
      </c>
      <c r="B2827" s="7" t="s">
        <v>7743</v>
      </c>
      <c r="C2827" s="8" t="s">
        <v>5319</v>
      </c>
      <c r="D2827" t="s">
        <v>272</v>
      </c>
      <c r="E2827" t="s">
        <v>243</v>
      </c>
      <c r="F2827" t="s">
        <v>117</v>
      </c>
      <c r="G2827" t="s">
        <v>250</v>
      </c>
      <c r="H2827" s="9">
        <v>44733</v>
      </c>
      <c r="I2827" t="s">
        <v>171</v>
      </c>
      <c r="J2827" t="s">
        <v>0</v>
      </c>
      <c r="K2827" s="9">
        <v>44889</v>
      </c>
      <c r="L2827" t="s">
        <v>29</v>
      </c>
      <c r="M2827"/>
      <c r="N2827" s="9">
        <v>44778</v>
      </c>
      <c r="O2827" s="9">
        <v>44834</v>
      </c>
      <c r="P2827"/>
      <c r="Q2827" s="9">
        <v>44889</v>
      </c>
      <c r="R2827"/>
      <c r="S2827"/>
      <c r="T2827"/>
      <c r="U2827"/>
    </row>
    <row r="2828" spans="1:21" hidden="1">
      <c r="A2828" s="7" t="s">
        <v>8735</v>
      </c>
      <c r="B2828" s="7" t="s">
        <v>7743</v>
      </c>
      <c r="C2828" s="8" t="s">
        <v>5319</v>
      </c>
      <c r="D2828" t="s">
        <v>272</v>
      </c>
      <c r="E2828" t="s">
        <v>243</v>
      </c>
      <c r="F2828" t="s">
        <v>117</v>
      </c>
      <c r="G2828" t="s">
        <v>251</v>
      </c>
      <c r="H2828" s="9">
        <v>44733</v>
      </c>
      <c r="I2828" t="s">
        <v>171</v>
      </c>
      <c r="J2828" t="s">
        <v>0</v>
      </c>
      <c r="K2828" s="9">
        <v>44889</v>
      </c>
      <c r="L2828" t="s">
        <v>29</v>
      </c>
      <c r="M2828"/>
      <c r="N2828" s="9">
        <v>44778</v>
      </c>
      <c r="O2828" s="9">
        <v>44834</v>
      </c>
      <c r="P2828"/>
      <c r="Q2828" s="9">
        <v>44889</v>
      </c>
      <c r="R2828"/>
      <c r="S2828"/>
      <c r="T2828"/>
      <c r="U2828"/>
    </row>
    <row r="2829" spans="1:21" hidden="1">
      <c r="A2829" s="7" t="s">
        <v>8735</v>
      </c>
      <c r="B2829" s="7" t="s">
        <v>7743</v>
      </c>
      <c r="C2829" s="8" t="s">
        <v>5319</v>
      </c>
      <c r="D2829" t="s">
        <v>272</v>
      </c>
      <c r="E2829" t="s">
        <v>243</v>
      </c>
      <c r="F2829" t="s">
        <v>117</v>
      </c>
      <c r="G2829" t="s">
        <v>252</v>
      </c>
      <c r="H2829" s="9">
        <v>44733</v>
      </c>
      <c r="I2829" t="s">
        <v>171</v>
      </c>
      <c r="J2829" t="s">
        <v>0</v>
      </c>
      <c r="K2829" s="9">
        <v>44889</v>
      </c>
      <c r="L2829" t="s">
        <v>29</v>
      </c>
      <c r="M2829"/>
      <c r="N2829" s="9">
        <v>44778</v>
      </c>
      <c r="O2829" s="9">
        <v>44834</v>
      </c>
      <c r="P2829"/>
      <c r="Q2829" s="9">
        <v>44889</v>
      </c>
      <c r="R2829"/>
      <c r="S2829"/>
      <c r="T2829"/>
      <c r="U2829"/>
    </row>
    <row r="2830" spans="1:21" hidden="1">
      <c r="A2830" s="7" t="s">
        <v>8735</v>
      </c>
      <c r="B2830" s="7" t="s">
        <v>7743</v>
      </c>
      <c r="C2830" s="8" t="s">
        <v>5319</v>
      </c>
      <c r="D2830" t="s">
        <v>272</v>
      </c>
      <c r="E2830" t="s">
        <v>243</v>
      </c>
      <c r="F2830" t="s">
        <v>117</v>
      </c>
      <c r="G2830" t="s">
        <v>253</v>
      </c>
      <c r="H2830" s="9">
        <v>44733</v>
      </c>
      <c r="I2830" t="s">
        <v>171</v>
      </c>
      <c r="J2830" t="s">
        <v>0</v>
      </c>
      <c r="K2830" s="9">
        <v>44889</v>
      </c>
      <c r="L2830" t="s">
        <v>29</v>
      </c>
      <c r="M2830"/>
      <c r="N2830" s="9">
        <v>44778</v>
      </c>
      <c r="O2830" s="9">
        <v>44834</v>
      </c>
      <c r="P2830"/>
      <c r="Q2830" s="9">
        <v>44889</v>
      </c>
      <c r="R2830"/>
      <c r="S2830"/>
      <c r="T2830"/>
      <c r="U2830"/>
    </row>
    <row r="2831" spans="1:21" hidden="1">
      <c r="A2831" s="7" t="s">
        <v>8735</v>
      </c>
      <c r="B2831" s="7" t="s">
        <v>7743</v>
      </c>
      <c r="C2831" s="8" t="s">
        <v>5319</v>
      </c>
      <c r="D2831" t="s">
        <v>272</v>
      </c>
      <c r="E2831" t="s">
        <v>243</v>
      </c>
      <c r="F2831" t="s">
        <v>117</v>
      </c>
      <c r="G2831" t="s">
        <v>254</v>
      </c>
      <c r="H2831" s="9">
        <v>44733</v>
      </c>
      <c r="I2831" t="s">
        <v>171</v>
      </c>
      <c r="J2831" t="s">
        <v>0</v>
      </c>
      <c r="K2831" s="9">
        <v>44889</v>
      </c>
      <c r="L2831" t="s">
        <v>29</v>
      </c>
      <c r="M2831"/>
      <c r="N2831" s="9">
        <v>44778</v>
      </c>
      <c r="O2831" s="9">
        <v>44834</v>
      </c>
      <c r="P2831"/>
      <c r="Q2831" s="9">
        <v>44889</v>
      </c>
      <c r="R2831"/>
      <c r="S2831"/>
      <c r="T2831"/>
      <c r="U2831"/>
    </row>
    <row r="2832" spans="1:21" hidden="1">
      <c r="A2832" s="7" t="s">
        <v>8746</v>
      </c>
      <c r="B2832" s="7" t="s">
        <v>7556</v>
      </c>
      <c r="C2832" s="8" t="s">
        <v>5319</v>
      </c>
      <c r="D2832" t="s">
        <v>272</v>
      </c>
      <c r="E2832" t="s">
        <v>406</v>
      </c>
      <c r="F2832" t="s">
        <v>117</v>
      </c>
      <c r="G2832" t="s">
        <v>2499</v>
      </c>
      <c r="H2832" s="9">
        <v>44733</v>
      </c>
      <c r="I2832" t="s">
        <v>408</v>
      </c>
      <c r="J2832" t="s">
        <v>0</v>
      </c>
      <c r="K2832" s="9">
        <v>44867</v>
      </c>
      <c r="L2832" t="s">
        <v>29</v>
      </c>
      <c r="M2832"/>
      <c r="N2832" s="9">
        <v>44778</v>
      </c>
      <c r="O2832"/>
      <c r="P2832"/>
      <c r="Q2832" s="9">
        <v>44867</v>
      </c>
      <c r="R2832" s="9">
        <v>44781.583344907398</v>
      </c>
      <c r="S2832"/>
      <c r="T2832"/>
      <c r="U2832"/>
    </row>
    <row r="2833" spans="1:21" hidden="1">
      <c r="A2833" s="7" t="s">
        <v>8752</v>
      </c>
      <c r="B2833" s="7" t="s">
        <v>6707</v>
      </c>
      <c r="C2833" s="8" t="s">
        <v>5319</v>
      </c>
      <c r="D2833" t="s">
        <v>272</v>
      </c>
      <c r="E2833" t="s">
        <v>439</v>
      </c>
      <c r="F2833" t="s">
        <v>117</v>
      </c>
      <c r="G2833" t="s">
        <v>479</v>
      </c>
      <c r="H2833" s="9">
        <v>44733</v>
      </c>
      <c r="I2833" t="s">
        <v>181</v>
      </c>
      <c r="J2833" t="s">
        <v>0</v>
      </c>
      <c r="K2833" s="9">
        <v>44872</v>
      </c>
      <c r="L2833" t="s">
        <v>29</v>
      </c>
      <c r="M2833"/>
      <c r="N2833" s="9">
        <v>44778</v>
      </c>
      <c r="O2833" s="9">
        <v>44834</v>
      </c>
      <c r="P2833"/>
      <c r="Q2833" s="9">
        <v>44872</v>
      </c>
      <c r="R2833"/>
      <c r="S2833"/>
      <c r="T2833"/>
      <c r="U2833"/>
    </row>
    <row r="2834" spans="1:21" hidden="1">
      <c r="A2834" s="7" t="s">
        <v>8752</v>
      </c>
      <c r="B2834" s="7" t="s">
        <v>6707</v>
      </c>
      <c r="C2834" s="8" t="s">
        <v>5319</v>
      </c>
      <c r="D2834" t="s">
        <v>272</v>
      </c>
      <c r="E2834" t="s">
        <v>439</v>
      </c>
      <c r="F2834" t="s">
        <v>117</v>
      </c>
      <c r="G2834" t="s">
        <v>2500</v>
      </c>
      <c r="H2834" s="9">
        <v>44733</v>
      </c>
      <c r="I2834" t="s">
        <v>181</v>
      </c>
      <c r="J2834" t="s">
        <v>0</v>
      </c>
      <c r="K2834" s="9">
        <v>44872</v>
      </c>
      <c r="L2834" t="s">
        <v>29</v>
      </c>
      <c r="M2834"/>
      <c r="N2834" s="9">
        <v>44778</v>
      </c>
      <c r="O2834" s="9">
        <v>44834</v>
      </c>
      <c r="P2834"/>
      <c r="Q2834" s="9">
        <v>44872</v>
      </c>
      <c r="R2834"/>
      <c r="S2834"/>
      <c r="T2834"/>
      <c r="U2834"/>
    </row>
    <row r="2835" spans="1:21" hidden="1">
      <c r="A2835" s="7" t="s">
        <v>8752</v>
      </c>
      <c r="B2835" s="7" t="s">
        <v>6707</v>
      </c>
      <c r="C2835" s="8" t="s">
        <v>5319</v>
      </c>
      <c r="D2835" t="s">
        <v>272</v>
      </c>
      <c r="E2835" t="s">
        <v>439</v>
      </c>
      <c r="F2835" t="s">
        <v>117</v>
      </c>
      <c r="G2835" t="s">
        <v>480</v>
      </c>
      <c r="H2835" s="9">
        <v>44733</v>
      </c>
      <c r="I2835" t="s">
        <v>181</v>
      </c>
      <c r="J2835" t="s">
        <v>0</v>
      </c>
      <c r="K2835" s="9">
        <v>44872</v>
      </c>
      <c r="L2835" t="s">
        <v>29</v>
      </c>
      <c r="M2835"/>
      <c r="N2835" s="9">
        <v>44778</v>
      </c>
      <c r="O2835" s="9">
        <v>44834</v>
      </c>
      <c r="P2835"/>
      <c r="Q2835" s="9">
        <v>44872</v>
      </c>
      <c r="R2835"/>
      <c r="S2835"/>
      <c r="T2835"/>
      <c r="U2835"/>
    </row>
    <row r="2836" spans="1:21" hidden="1">
      <c r="A2836" s="7" t="s">
        <v>8752</v>
      </c>
      <c r="B2836" s="7" t="s">
        <v>6707</v>
      </c>
      <c r="C2836" s="8" t="s">
        <v>5319</v>
      </c>
      <c r="D2836" t="s">
        <v>272</v>
      </c>
      <c r="E2836" t="s">
        <v>439</v>
      </c>
      <c r="F2836" t="s">
        <v>117</v>
      </c>
      <c r="G2836" t="s">
        <v>2501</v>
      </c>
      <c r="H2836" s="9">
        <v>44733</v>
      </c>
      <c r="I2836" t="s">
        <v>181</v>
      </c>
      <c r="J2836" t="s">
        <v>0</v>
      </c>
      <c r="K2836" s="9">
        <v>44872</v>
      </c>
      <c r="L2836" t="s">
        <v>29</v>
      </c>
      <c r="M2836"/>
      <c r="N2836" s="9">
        <v>44778</v>
      </c>
      <c r="O2836" s="9">
        <v>44834</v>
      </c>
      <c r="P2836"/>
      <c r="Q2836" s="9">
        <v>44872</v>
      </c>
      <c r="R2836"/>
      <c r="S2836"/>
      <c r="T2836"/>
      <c r="U2836"/>
    </row>
    <row r="2837" spans="1:21" hidden="1">
      <c r="A2837" s="7" t="s">
        <v>8873</v>
      </c>
      <c r="B2837" s="7" t="s">
        <v>7140</v>
      </c>
      <c r="C2837" s="8" t="s">
        <v>5319</v>
      </c>
      <c r="D2837" t="s">
        <v>272</v>
      </c>
      <c r="E2837" t="s">
        <v>2360</v>
      </c>
      <c r="F2837" t="s">
        <v>209</v>
      </c>
      <c r="G2837" t="s">
        <v>2502</v>
      </c>
      <c r="H2837" s="9">
        <v>44733</v>
      </c>
      <c r="I2837" t="s">
        <v>2362</v>
      </c>
      <c r="J2837" t="s">
        <v>5330</v>
      </c>
      <c r="K2837" s="9">
        <v>44834</v>
      </c>
      <c r="L2837" t="s">
        <v>29</v>
      </c>
      <c r="M2837"/>
      <c r="N2837" s="9">
        <v>44778</v>
      </c>
      <c r="O2837" s="9">
        <v>44834</v>
      </c>
      <c r="P2837"/>
      <c r="Q2837"/>
      <c r="R2837"/>
      <c r="S2837"/>
      <c r="T2837"/>
      <c r="U2837"/>
    </row>
    <row r="2838" spans="1:21" hidden="1">
      <c r="A2838" s="7" t="s">
        <v>8874</v>
      </c>
      <c r="B2838" s="7" t="s">
        <v>7053</v>
      </c>
      <c r="C2838" s="8" t="s">
        <v>5319</v>
      </c>
      <c r="D2838" t="s">
        <v>272</v>
      </c>
      <c r="E2838" t="s">
        <v>2503</v>
      </c>
      <c r="F2838" t="s">
        <v>280</v>
      </c>
      <c r="G2838" t="s">
        <v>2504</v>
      </c>
      <c r="H2838" s="9">
        <v>44733</v>
      </c>
      <c r="I2838" t="s">
        <v>903</v>
      </c>
      <c r="J2838" t="s">
        <v>0</v>
      </c>
      <c r="K2838" s="9">
        <v>44882</v>
      </c>
      <c r="L2838" t="s">
        <v>29</v>
      </c>
      <c r="M2838"/>
      <c r="N2838" s="9">
        <v>44778</v>
      </c>
      <c r="O2838" s="9">
        <v>44834</v>
      </c>
      <c r="P2838"/>
      <c r="Q2838" s="9">
        <v>44882</v>
      </c>
      <c r="R2838"/>
      <c r="S2838"/>
      <c r="T2838"/>
      <c r="U2838"/>
    </row>
    <row r="2839" spans="1:21" hidden="1">
      <c r="A2839" s="7" t="s">
        <v>8874</v>
      </c>
      <c r="B2839" s="7" t="s">
        <v>7053</v>
      </c>
      <c r="C2839" s="8" t="s">
        <v>5319</v>
      </c>
      <c r="D2839" t="s">
        <v>272</v>
      </c>
      <c r="E2839" t="s">
        <v>2503</v>
      </c>
      <c r="F2839" t="s">
        <v>280</v>
      </c>
      <c r="G2839" t="s">
        <v>2505</v>
      </c>
      <c r="H2839" s="9">
        <v>44733</v>
      </c>
      <c r="I2839" t="s">
        <v>903</v>
      </c>
      <c r="J2839" t="s">
        <v>0</v>
      </c>
      <c r="K2839" s="9">
        <v>44882</v>
      </c>
      <c r="L2839" t="s">
        <v>29</v>
      </c>
      <c r="M2839"/>
      <c r="N2839" s="9">
        <v>44778</v>
      </c>
      <c r="O2839" s="9">
        <v>44834</v>
      </c>
      <c r="P2839"/>
      <c r="Q2839" s="9">
        <v>44882</v>
      </c>
      <c r="R2839"/>
      <c r="S2839"/>
      <c r="T2839"/>
      <c r="U2839"/>
    </row>
    <row r="2840" spans="1:21" hidden="1">
      <c r="A2840" s="7" t="s">
        <v>8874</v>
      </c>
      <c r="B2840" s="7" t="s">
        <v>7053</v>
      </c>
      <c r="C2840" s="8" t="s">
        <v>5319</v>
      </c>
      <c r="D2840" t="s">
        <v>272</v>
      </c>
      <c r="E2840" t="s">
        <v>2503</v>
      </c>
      <c r="F2840" t="s">
        <v>280</v>
      </c>
      <c r="G2840" t="s">
        <v>2506</v>
      </c>
      <c r="H2840" s="9">
        <v>44733</v>
      </c>
      <c r="I2840" t="s">
        <v>903</v>
      </c>
      <c r="J2840" t="s">
        <v>0</v>
      </c>
      <c r="K2840" s="9">
        <v>44882</v>
      </c>
      <c r="L2840" t="s">
        <v>29</v>
      </c>
      <c r="M2840"/>
      <c r="N2840" s="9">
        <v>44778</v>
      </c>
      <c r="O2840" s="9">
        <v>44834</v>
      </c>
      <c r="P2840"/>
      <c r="Q2840" s="9">
        <v>44882</v>
      </c>
      <c r="R2840"/>
      <c r="S2840"/>
      <c r="T2840"/>
      <c r="U2840"/>
    </row>
    <row r="2841" spans="1:21" hidden="1">
      <c r="A2841" s="7" t="s">
        <v>8868</v>
      </c>
      <c r="B2841" s="7" t="s">
        <v>6764</v>
      </c>
      <c r="C2841" s="8" t="s">
        <v>5319</v>
      </c>
      <c r="D2841" t="s">
        <v>272</v>
      </c>
      <c r="E2841" t="s">
        <v>2386</v>
      </c>
      <c r="F2841" t="s">
        <v>83</v>
      </c>
      <c r="G2841" t="s">
        <v>2507</v>
      </c>
      <c r="H2841" s="9">
        <v>44733</v>
      </c>
      <c r="I2841" t="s">
        <v>2388</v>
      </c>
      <c r="J2841" t="s">
        <v>5330</v>
      </c>
      <c r="K2841" s="9">
        <v>44834</v>
      </c>
      <c r="L2841" t="s">
        <v>29</v>
      </c>
      <c r="M2841"/>
      <c r="N2841" s="9">
        <v>44778</v>
      </c>
      <c r="O2841" s="9">
        <v>44834</v>
      </c>
      <c r="P2841"/>
      <c r="Q2841"/>
      <c r="R2841"/>
      <c r="S2841"/>
      <c r="T2841"/>
      <c r="U2841"/>
    </row>
    <row r="2842" spans="1:21" hidden="1">
      <c r="A2842" s="7" t="s">
        <v>8868</v>
      </c>
      <c r="B2842" s="7" t="s">
        <v>6764</v>
      </c>
      <c r="C2842" s="8" t="s">
        <v>5319</v>
      </c>
      <c r="D2842" t="s">
        <v>272</v>
      </c>
      <c r="E2842" t="s">
        <v>2386</v>
      </c>
      <c r="F2842" t="s">
        <v>83</v>
      </c>
      <c r="G2842" t="s">
        <v>2508</v>
      </c>
      <c r="H2842" s="9">
        <v>44733</v>
      </c>
      <c r="I2842" t="s">
        <v>2388</v>
      </c>
      <c r="J2842" t="s">
        <v>5330</v>
      </c>
      <c r="K2842" s="9">
        <v>44834</v>
      </c>
      <c r="L2842" t="s">
        <v>29</v>
      </c>
      <c r="M2842"/>
      <c r="N2842" s="9">
        <v>44778</v>
      </c>
      <c r="O2842" s="9">
        <v>44834</v>
      </c>
      <c r="P2842"/>
      <c r="Q2842"/>
      <c r="R2842"/>
      <c r="S2842"/>
      <c r="T2842"/>
      <c r="U2842"/>
    </row>
    <row r="2843" spans="1:21" hidden="1">
      <c r="A2843" s="7" t="s">
        <v>8768</v>
      </c>
      <c r="B2843" s="7" t="s">
        <v>6720</v>
      </c>
      <c r="C2843" s="8" t="s">
        <v>5319</v>
      </c>
      <c r="D2843" t="s">
        <v>272</v>
      </c>
      <c r="E2843" t="s">
        <v>750</v>
      </c>
      <c r="F2843" t="s">
        <v>103</v>
      </c>
      <c r="G2843" t="s">
        <v>2509</v>
      </c>
      <c r="H2843" s="9">
        <v>44733</v>
      </c>
      <c r="I2843" t="s">
        <v>43</v>
      </c>
      <c r="J2843" t="s">
        <v>0</v>
      </c>
      <c r="K2843" s="9">
        <v>44846</v>
      </c>
      <c r="L2843" t="s">
        <v>29</v>
      </c>
      <c r="M2843"/>
      <c r="N2843" s="9">
        <v>44778</v>
      </c>
      <c r="O2843" s="9">
        <v>44834</v>
      </c>
      <c r="P2843"/>
      <c r="Q2843" s="9">
        <v>44846</v>
      </c>
      <c r="R2843"/>
      <c r="S2843"/>
      <c r="T2843"/>
      <c r="U2843"/>
    </row>
    <row r="2844" spans="1:21" hidden="1">
      <c r="A2844" s="7" t="s">
        <v>8768</v>
      </c>
      <c r="B2844" s="7" t="s">
        <v>6720</v>
      </c>
      <c r="C2844" s="8" t="s">
        <v>5319</v>
      </c>
      <c r="D2844" t="s">
        <v>272</v>
      </c>
      <c r="E2844" t="s">
        <v>750</v>
      </c>
      <c r="F2844" t="s">
        <v>103</v>
      </c>
      <c r="G2844" t="s">
        <v>2510</v>
      </c>
      <c r="H2844" s="9">
        <v>44733</v>
      </c>
      <c r="I2844" t="s">
        <v>43</v>
      </c>
      <c r="J2844" t="s">
        <v>0</v>
      </c>
      <c r="K2844" s="9">
        <v>44846</v>
      </c>
      <c r="L2844" t="s">
        <v>29</v>
      </c>
      <c r="M2844"/>
      <c r="N2844" s="9">
        <v>44778</v>
      </c>
      <c r="O2844" s="9">
        <v>44834</v>
      </c>
      <c r="P2844"/>
      <c r="Q2844" s="9">
        <v>44846</v>
      </c>
      <c r="R2844"/>
      <c r="S2844"/>
      <c r="T2844"/>
      <c r="U2844"/>
    </row>
    <row r="2845" spans="1:21" hidden="1">
      <c r="A2845" s="7" t="s">
        <v>8768</v>
      </c>
      <c r="B2845" s="7" t="s">
        <v>6720</v>
      </c>
      <c r="C2845" s="8" t="s">
        <v>5319</v>
      </c>
      <c r="D2845" t="s">
        <v>272</v>
      </c>
      <c r="E2845" t="s">
        <v>750</v>
      </c>
      <c r="F2845" t="s">
        <v>103</v>
      </c>
      <c r="G2845" t="s">
        <v>2511</v>
      </c>
      <c r="H2845" s="9">
        <v>44733</v>
      </c>
      <c r="I2845" t="s">
        <v>43</v>
      </c>
      <c r="J2845" t="s">
        <v>0</v>
      </c>
      <c r="K2845" s="9">
        <v>44846</v>
      </c>
      <c r="L2845" t="s">
        <v>29</v>
      </c>
      <c r="M2845"/>
      <c r="N2845" s="9">
        <v>44778</v>
      </c>
      <c r="O2845" s="9">
        <v>44834</v>
      </c>
      <c r="P2845"/>
      <c r="Q2845" s="9">
        <v>44846</v>
      </c>
      <c r="R2845"/>
      <c r="S2845"/>
      <c r="T2845"/>
      <c r="U2845"/>
    </row>
    <row r="2846" spans="1:21" hidden="1">
      <c r="A2846" s="7" t="s">
        <v>8768</v>
      </c>
      <c r="B2846" s="7" t="s">
        <v>6720</v>
      </c>
      <c r="C2846" s="8" t="s">
        <v>5319</v>
      </c>
      <c r="D2846" t="s">
        <v>272</v>
      </c>
      <c r="E2846" t="s">
        <v>750</v>
      </c>
      <c r="F2846" t="s">
        <v>103</v>
      </c>
      <c r="G2846" t="s">
        <v>2512</v>
      </c>
      <c r="H2846" s="9">
        <v>44733</v>
      </c>
      <c r="I2846" t="s">
        <v>43</v>
      </c>
      <c r="J2846" t="s">
        <v>0</v>
      </c>
      <c r="K2846" s="9">
        <v>44846</v>
      </c>
      <c r="L2846" t="s">
        <v>29</v>
      </c>
      <c r="M2846"/>
      <c r="N2846" s="9">
        <v>44778</v>
      </c>
      <c r="O2846" s="9">
        <v>44834</v>
      </c>
      <c r="P2846"/>
      <c r="Q2846" s="9">
        <v>44846</v>
      </c>
      <c r="R2846"/>
      <c r="S2846"/>
      <c r="T2846"/>
      <c r="U2846"/>
    </row>
    <row r="2847" spans="1:21" hidden="1">
      <c r="A2847" s="7" t="s">
        <v>8768</v>
      </c>
      <c r="B2847" s="7" t="s">
        <v>6720</v>
      </c>
      <c r="C2847" s="8" t="s">
        <v>5319</v>
      </c>
      <c r="D2847" t="s">
        <v>272</v>
      </c>
      <c r="E2847" t="s">
        <v>750</v>
      </c>
      <c r="F2847" t="s">
        <v>103</v>
      </c>
      <c r="G2847" t="s">
        <v>2513</v>
      </c>
      <c r="H2847" s="9">
        <v>44733</v>
      </c>
      <c r="I2847" t="s">
        <v>43</v>
      </c>
      <c r="J2847" t="s">
        <v>0</v>
      </c>
      <c r="K2847" s="9">
        <v>44846</v>
      </c>
      <c r="L2847" t="s">
        <v>29</v>
      </c>
      <c r="M2847"/>
      <c r="N2847" s="9">
        <v>44778</v>
      </c>
      <c r="O2847" s="9">
        <v>44834</v>
      </c>
      <c r="P2847"/>
      <c r="Q2847" s="9">
        <v>44846</v>
      </c>
      <c r="R2847"/>
      <c r="S2847"/>
      <c r="T2847"/>
      <c r="U2847"/>
    </row>
    <row r="2848" spans="1:21" hidden="1">
      <c r="A2848" s="7" t="s">
        <v>8768</v>
      </c>
      <c r="B2848" s="7" t="s">
        <v>6720</v>
      </c>
      <c r="C2848" s="8" t="s">
        <v>5319</v>
      </c>
      <c r="D2848" t="s">
        <v>272</v>
      </c>
      <c r="E2848" t="s">
        <v>750</v>
      </c>
      <c r="F2848" t="s">
        <v>103</v>
      </c>
      <c r="G2848" t="s">
        <v>2514</v>
      </c>
      <c r="H2848" s="9">
        <v>44733</v>
      </c>
      <c r="I2848" t="s">
        <v>43</v>
      </c>
      <c r="J2848" t="s">
        <v>0</v>
      </c>
      <c r="K2848" s="9">
        <v>44846</v>
      </c>
      <c r="L2848" t="s">
        <v>29</v>
      </c>
      <c r="M2848"/>
      <c r="N2848" s="9">
        <v>44778</v>
      </c>
      <c r="O2848" s="9">
        <v>44834</v>
      </c>
      <c r="P2848"/>
      <c r="Q2848" s="9">
        <v>44846</v>
      </c>
      <c r="R2848"/>
      <c r="S2848"/>
      <c r="T2848"/>
      <c r="U2848"/>
    </row>
    <row r="2849" spans="1:21" hidden="1">
      <c r="A2849" s="7" t="s">
        <v>8768</v>
      </c>
      <c r="B2849" s="7" t="s">
        <v>6720</v>
      </c>
      <c r="C2849" s="8" t="s">
        <v>5319</v>
      </c>
      <c r="D2849" t="s">
        <v>272</v>
      </c>
      <c r="E2849" t="s">
        <v>750</v>
      </c>
      <c r="F2849" t="s">
        <v>103</v>
      </c>
      <c r="G2849" t="s">
        <v>2515</v>
      </c>
      <c r="H2849" s="9">
        <v>44733</v>
      </c>
      <c r="I2849" t="s">
        <v>43</v>
      </c>
      <c r="J2849" t="s">
        <v>0</v>
      </c>
      <c r="K2849" s="9">
        <v>44846</v>
      </c>
      <c r="L2849" t="s">
        <v>29</v>
      </c>
      <c r="M2849"/>
      <c r="N2849" s="9">
        <v>44778</v>
      </c>
      <c r="O2849" s="9">
        <v>44834</v>
      </c>
      <c r="P2849"/>
      <c r="Q2849" s="9">
        <v>44846</v>
      </c>
      <c r="R2849"/>
      <c r="S2849"/>
      <c r="T2849"/>
      <c r="U2849"/>
    </row>
    <row r="2850" spans="1:21" hidden="1">
      <c r="A2850" s="7" t="s">
        <v>8768</v>
      </c>
      <c r="B2850" s="7" t="s">
        <v>6720</v>
      </c>
      <c r="C2850" s="8" t="s">
        <v>5319</v>
      </c>
      <c r="D2850" t="s">
        <v>272</v>
      </c>
      <c r="E2850" t="s">
        <v>750</v>
      </c>
      <c r="F2850" t="s">
        <v>103</v>
      </c>
      <c r="G2850" t="s">
        <v>2516</v>
      </c>
      <c r="H2850" s="9">
        <v>44733</v>
      </c>
      <c r="I2850" t="s">
        <v>43</v>
      </c>
      <c r="J2850" t="s">
        <v>0</v>
      </c>
      <c r="K2850" s="9">
        <v>44846</v>
      </c>
      <c r="L2850" t="s">
        <v>29</v>
      </c>
      <c r="M2850"/>
      <c r="N2850" s="9">
        <v>44778</v>
      </c>
      <c r="O2850" s="9">
        <v>44834</v>
      </c>
      <c r="P2850"/>
      <c r="Q2850" s="9">
        <v>44846</v>
      </c>
      <c r="R2850"/>
      <c r="S2850"/>
      <c r="T2850"/>
      <c r="U2850"/>
    </row>
    <row r="2851" spans="1:21" hidden="1">
      <c r="A2851" s="7" t="s">
        <v>8768</v>
      </c>
      <c r="B2851" s="7" t="s">
        <v>6720</v>
      </c>
      <c r="C2851" s="8" t="s">
        <v>5319</v>
      </c>
      <c r="D2851" t="s">
        <v>272</v>
      </c>
      <c r="E2851" t="s">
        <v>750</v>
      </c>
      <c r="F2851" t="s">
        <v>103</v>
      </c>
      <c r="G2851" t="s">
        <v>2517</v>
      </c>
      <c r="H2851" s="9">
        <v>44733</v>
      </c>
      <c r="I2851" t="s">
        <v>43</v>
      </c>
      <c r="J2851" t="s">
        <v>0</v>
      </c>
      <c r="K2851" s="9">
        <v>44846</v>
      </c>
      <c r="L2851" t="s">
        <v>29</v>
      </c>
      <c r="M2851"/>
      <c r="N2851" s="9">
        <v>44778</v>
      </c>
      <c r="O2851" s="9">
        <v>44834</v>
      </c>
      <c r="P2851"/>
      <c r="Q2851" s="9">
        <v>44846</v>
      </c>
      <c r="R2851"/>
      <c r="S2851"/>
      <c r="T2851"/>
      <c r="U2851"/>
    </row>
    <row r="2852" spans="1:21" hidden="1">
      <c r="A2852" s="7" t="s">
        <v>8768</v>
      </c>
      <c r="B2852" s="7" t="s">
        <v>6720</v>
      </c>
      <c r="C2852" s="8" t="s">
        <v>5319</v>
      </c>
      <c r="D2852" t="s">
        <v>272</v>
      </c>
      <c r="E2852" t="s">
        <v>750</v>
      </c>
      <c r="F2852" t="s">
        <v>103</v>
      </c>
      <c r="G2852" t="s">
        <v>2518</v>
      </c>
      <c r="H2852" s="9">
        <v>44733</v>
      </c>
      <c r="I2852" t="s">
        <v>43</v>
      </c>
      <c r="J2852" t="s">
        <v>0</v>
      </c>
      <c r="K2852" s="9">
        <v>44846</v>
      </c>
      <c r="L2852" t="s">
        <v>29</v>
      </c>
      <c r="M2852"/>
      <c r="N2852" s="9">
        <v>44778</v>
      </c>
      <c r="O2852" s="9">
        <v>44834</v>
      </c>
      <c r="P2852"/>
      <c r="Q2852" s="9">
        <v>44846</v>
      </c>
      <c r="R2852"/>
      <c r="S2852"/>
      <c r="T2852"/>
      <c r="U2852"/>
    </row>
    <row r="2853" spans="1:21" hidden="1">
      <c r="A2853" s="7" t="s">
        <v>8768</v>
      </c>
      <c r="B2853" s="7" t="s">
        <v>6720</v>
      </c>
      <c r="C2853" s="8" t="s">
        <v>5319</v>
      </c>
      <c r="D2853" t="s">
        <v>272</v>
      </c>
      <c r="E2853" t="s">
        <v>750</v>
      </c>
      <c r="F2853" t="s">
        <v>103</v>
      </c>
      <c r="G2853" t="s">
        <v>2519</v>
      </c>
      <c r="H2853" s="9">
        <v>44733</v>
      </c>
      <c r="I2853" t="s">
        <v>43</v>
      </c>
      <c r="J2853" t="s">
        <v>0</v>
      </c>
      <c r="K2853" s="9">
        <v>44846</v>
      </c>
      <c r="L2853" t="s">
        <v>29</v>
      </c>
      <c r="M2853"/>
      <c r="N2853" s="9">
        <v>44778</v>
      </c>
      <c r="O2853" s="9">
        <v>44834</v>
      </c>
      <c r="P2853"/>
      <c r="Q2853" s="9">
        <v>44846</v>
      </c>
      <c r="R2853"/>
      <c r="S2853"/>
      <c r="T2853"/>
      <c r="U2853"/>
    </row>
    <row r="2854" spans="1:21" hidden="1">
      <c r="A2854" s="7" t="s">
        <v>8768</v>
      </c>
      <c r="B2854" s="7" t="s">
        <v>6720</v>
      </c>
      <c r="C2854" s="8" t="s">
        <v>5319</v>
      </c>
      <c r="D2854" t="s">
        <v>272</v>
      </c>
      <c r="E2854" t="s">
        <v>750</v>
      </c>
      <c r="F2854" t="s">
        <v>103</v>
      </c>
      <c r="G2854" t="s">
        <v>2520</v>
      </c>
      <c r="H2854" s="9">
        <v>44733</v>
      </c>
      <c r="I2854" t="s">
        <v>43</v>
      </c>
      <c r="J2854" t="s">
        <v>0</v>
      </c>
      <c r="K2854" s="9">
        <v>44846</v>
      </c>
      <c r="L2854" t="s">
        <v>29</v>
      </c>
      <c r="M2854"/>
      <c r="N2854" s="9">
        <v>44778</v>
      </c>
      <c r="O2854" s="9">
        <v>44834</v>
      </c>
      <c r="P2854"/>
      <c r="Q2854" s="9">
        <v>44846</v>
      </c>
      <c r="R2854"/>
      <c r="S2854"/>
      <c r="T2854"/>
      <c r="U2854"/>
    </row>
    <row r="2855" spans="1:21" hidden="1">
      <c r="A2855" s="7" t="s">
        <v>8768</v>
      </c>
      <c r="B2855" s="7" t="s">
        <v>6720</v>
      </c>
      <c r="C2855" s="8" t="s">
        <v>5319</v>
      </c>
      <c r="D2855" t="s">
        <v>272</v>
      </c>
      <c r="E2855" t="s">
        <v>750</v>
      </c>
      <c r="F2855" t="s">
        <v>103</v>
      </c>
      <c r="G2855" t="s">
        <v>2521</v>
      </c>
      <c r="H2855" s="9">
        <v>44733</v>
      </c>
      <c r="I2855" t="s">
        <v>43</v>
      </c>
      <c r="J2855" t="s">
        <v>0</v>
      </c>
      <c r="K2855" s="9">
        <v>44846</v>
      </c>
      <c r="L2855" t="s">
        <v>29</v>
      </c>
      <c r="M2855"/>
      <c r="N2855" s="9">
        <v>44778</v>
      </c>
      <c r="O2855" s="9">
        <v>44834</v>
      </c>
      <c r="P2855"/>
      <c r="Q2855" s="9">
        <v>44846</v>
      </c>
      <c r="R2855"/>
      <c r="S2855"/>
      <c r="T2855"/>
      <c r="U2855"/>
    </row>
    <row r="2856" spans="1:21" hidden="1">
      <c r="A2856" s="7" t="s">
        <v>8768</v>
      </c>
      <c r="B2856" s="7" t="s">
        <v>6720</v>
      </c>
      <c r="C2856" s="8" t="s">
        <v>5319</v>
      </c>
      <c r="D2856" t="s">
        <v>272</v>
      </c>
      <c r="E2856" t="s">
        <v>750</v>
      </c>
      <c r="F2856" t="s">
        <v>103</v>
      </c>
      <c r="G2856" t="s">
        <v>2522</v>
      </c>
      <c r="H2856" s="9">
        <v>44733</v>
      </c>
      <c r="I2856" t="s">
        <v>43</v>
      </c>
      <c r="J2856" t="s">
        <v>0</v>
      </c>
      <c r="K2856" s="9">
        <v>44846</v>
      </c>
      <c r="L2856" t="s">
        <v>29</v>
      </c>
      <c r="M2856"/>
      <c r="N2856" s="9">
        <v>44778</v>
      </c>
      <c r="O2856" s="9">
        <v>44834</v>
      </c>
      <c r="P2856"/>
      <c r="Q2856" s="9">
        <v>44846</v>
      </c>
      <c r="R2856"/>
      <c r="S2856"/>
      <c r="T2856"/>
      <c r="U2856"/>
    </row>
    <row r="2857" spans="1:21" hidden="1">
      <c r="A2857" s="7" t="s">
        <v>8768</v>
      </c>
      <c r="B2857" s="7" t="s">
        <v>6720</v>
      </c>
      <c r="C2857" s="8" t="s">
        <v>5319</v>
      </c>
      <c r="D2857" t="s">
        <v>272</v>
      </c>
      <c r="E2857" t="s">
        <v>750</v>
      </c>
      <c r="F2857" t="s">
        <v>103</v>
      </c>
      <c r="G2857" t="s">
        <v>2523</v>
      </c>
      <c r="H2857" s="9">
        <v>44733</v>
      </c>
      <c r="I2857" t="s">
        <v>43</v>
      </c>
      <c r="J2857" t="s">
        <v>0</v>
      </c>
      <c r="K2857" s="9">
        <v>44846</v>
      </c>
      <c r="L2857" t="s">
        <v>29</v>
      </c>
      <c r="M2857"/>
      <c r="N2857" s="9">
        <v>44778</v>
      </c>
      <c r="O2857" s="9">
        <v>44834</v>
      </c>
      <c r="P2857"/>
      <c r="Q2857" s="9">
        <v>44846</v>
      </c>
      <c r="R2857"/>
      <c r="S2857"/>
      <c r="T2857"/>
      <c r="U2857"/>
    </row>
    <row r="2858" spans="1:21" hidden="1">
      <c r="A2858" s="7" t="s">
        <v>8768</v>
      </c>
      <c r="B2858" s="7" t="s">
        <v>6720</v>
      </c>
      <c r="C2858" s="8" t="s">
        <v>5319</v>
      </c>
      <c r="D2858" t="s">
        <v>272</v>
      </c>
      <c r="E2858" t="s">
        <v>750</v>
      </c>
      <c r="F2858" t="s">
        <v>103</v>
      </c>
      <c r="G2858" t="s">
        <v>2524</v>
      </c>
      <c r="H2858" s="9">
        <v>44733</v>
      </c>
      <c r="I2858" t="s">
        <v>43</v>
      </c>
      <c r="J2858" t="s">
        <v>0</v>
      </c>
      <c r="K2858" s="9">
        <v>44846</v>
      </c>
      <c r="L2858" t="s">
        <v>29</v>
      </c>
      <c r="M2858"/>
      <c r="N2858" s="9">
        <v>44778</v>
      </c>
      <c r="O2858" s="9">
        <v>44834</v>
      </c>
      <c r="P2858"/>
      <c r="Q2858" s="9">
        <v>44846</v>
      </c>
      <c r="R2858"/>
      <c r="S2858"/>
      <c r="T2858"/>
      <c r="U2858"/>
    </row>
    <row r="2859" spans="1:21" hidden="1">
      <c r="A2859" s="7" t="s">
        <v>8768</v>
      </c>
      <c r="B2859" s="7" t="s">
        <v>6720</v>
      </c>
      <c r="C2859" s="8" t="s">
        <v>5319</v>
      </c>
      <c r="D2859" t="s">
        <v>272</v>
      </c>
      <c r="E2859" t="s">
        <v>750</v>
      </c>
      <c r="F2859" t="s">
        <v>103</v>
      </c>
      <c r="G2859" t="s">
        <v>2525</v>
      </c>
      <c r="H2859" s="9">
        <v>44733</v>
      </c>
      <c r="I2859" t="s">
        <v>43</v>
      </c>
      <c r="J2859" t="s">
        <v>0</v>
      </c>
      <c r="K2859" s="9">
        <v>44846</v>
      </c>
      <c r="L2859" t="s">
        <v>29</v>
      </c>
      <c r="M2859"/>
      <c r="N2859" s="9">
        <v>44778</v>
      </c>
      <c r="O2859" s="9">
        <v>44834</v>
      </c>
      <c r="P2859"/>
      <c r="Q2859" s="9">
        <v>44846</v>
      </c>
      <c r="R2859"/>
      <c r="S2859"/>
      <c r="T2859"/>
      <c r="U2859"/>
    </row>
    <row r="2860" spans="1:21" hidden="1">
      <c r="A2860" s="7" t="s">
        <v>8768</v>
      </c>
      <c r="B2860" s="7" t="s">
        <v>6720</v>
      </c>
      <c r="C2860" s="8" t="s">
        <v>5319</v>
      </c>
      <c r="D2860" t="s">
        <v>272</v>
      </c>
      <c r="E2860" t="s">
        <v>750</v>
      </c>
      <c r="F2860" t="s">
        <v>103</v>
      </c>
      <c r="G2860" t="s">
        <v>2526</v>
      </c>
      <c r="H2860" s="9">
        <v>44733</v>
      </c>
      <c r="I2860" t="s">
        <v>43</v>
      </c>
      <c r="J2860" t="s">
        <v>0</v>
      </c>
      <c r="K2860" s="9">
        <v>44846</v>
      </c>
      <c r="L2860" t="s">
        <v>29</v>
      </c>
      <c r="M2860"/>
      <c r="N2860" s="9">
        <v>44778</v>
      </c>
      <c r="O2860" s="9">
        <v>44834</v>
      </c>
      <c r="P2860"/>
      <c r="Q2860" s="9">
        <v>44846</v>
      </c>
      <c r="R2860"/>
      <c r="S2860"/>
      <c r="T2860"/>
      <c r="U2860"/>
    </row>
    <row r="2861" spans="1:21" hidden="1">
      <c r="A2861" s="7" t="s">
        <v>8768</v>
      </c>
      <c r="B2861" s="7" t="s">
        <v>6720</v>
      </c>
      <c r="C2861" s="8" t="s">
        <v>5319</v>
      </c>
      <c r="D2861" t="s">
        <v>272</v>
      </c>
      <c r="E2861" t="s">
        <v>750</v>
      </c>
      <c r="F2861" t="s">
        <v>103</v>
      </c>
      <c r="G2861" t="s">
        <v>2527</v>
      </c>
      <c r="H2861" s="9">
        <v>44733</v>
      </c>
      <c r="I2861" t="s">
        <v>43</v>
      </c>
      <c r="J2861" t="s">
        <v>0</v>
      </c>
      <c r="K2861" s="9">
        <v>44846</v>
      </c>
      <c r="L2861" t="s">
        <v>29</v>
      </c>
      <c r="M2861"/>
      <c r="N2861" s="9">
        <v>44778</v>
      </c>
      <c r="O2861" s="9">
        <v>44834</v>
      </c>
      <c r="P2861"/>
      <c r="Q2861" s="9">
        <v>44846</v>
      </c>
      <c r="R2861"/>
      <c r="S2861"/>
      <c r="T2861"/>
      <c r="U2861"/>
    </row>
    <row r="2862" spans="1:21" hidden="1">
      <c r="A2862" s="7" t="s">
        <v>8768</v>
      </c>
      <c r="B2862" s="7" t="s">
        <v>6720</v>
      </c>
      <c r="C2862" s="8" t="s">
        <v>5319</v>
      </c>
      <c r="D2862" t="s">
        <v>272</v>
      </c>
      <c r="E2862" t="s">
        <v>750</v>
      </c>
      <c r="F2862" t="s">
        <v>103</v>
      </c>
      <c r="G2862" t="s">
        <v>2528</v>
      </c>
      <c r="H2862" s="9">
        <v>44733</v>
      </c>
      <c r="I2862" t="s">
        <v>43</v>
      </c>
      <c r="J2862" t="s">
        <v>0</v>
      </c>
      <c r="K2862" s="9">
        <v>44846</v>
      </c>
      <c r="L2862" t="s">
        <v>29</v>
      </c>
      <c r="M2862"/>
      <c r="N2862" s="9">
        <v>44778</v>
      </c>
      <c r="O2862" s="9">
        <v>44834</v>
      </c>
      <c r="P2862"/>
      <c r="Q2862" s="9">
        <v>44846</v>
      </c>
      <c r="R2862"/>
      <c r="S2862"/>
      <c r="T2862"/>
      <c r="U2862"/>
    </row>
    <row r="2863" spans="1:21" hidden="1">
      <c r="A2863" s="7" t="s">
        <v>8768</v>
      </c>
      <c r="B2863" s="7" t="s">
        <v>6720</v>
      </c>
      <c r="C2863" s="8" t="s">
        <v>5319</v>
      </c>
      <c r="D2863" t="s">
        <v>272</v>
      </c>
      <c r="E2863" t="s">
        <v>750</v>
      </c>
      <c r="F2863" t="s">
        <v>103</v>
      </c>
      <c r="G2863" t="s">
        <v>2529</v>
      </c>
      <c r="H2863" s="9">
        <v>44733</v>
      </c>
      <c r="I2863" t="s">
        <v>43</v>
      </c>
      <c r="J2863" t="s">
        <v>0</v>
      </c>
      <c r="K2863" s="9">
        <v>44846</v>
      </c>
      <c r="L2863" t="s">
        <v>29</v>
      </c>
      <c r="M2863"/>
      <c r="N2863" s="9">
        <v>44778</v>
      </c>
      <c r="O2863" s="9">
        <v>44834</v>
      </c>
      <c r="P2863"/>
      <c r="Q2863" s="9">
        <v>44846</v>
      </c>
      <c r="R2863"/>
      <c r="S2863"/>
      <c r="T2863"/>
      <c r="U2863"/>
    </row>
    <row r="2864" spans="1:21" hidden="1">
      <c r="A2864" s="7" t="s">
        <v>8768</v>
      </c>
      <c r="B2864" s="7" t="s">
        <v>6720</v>
      </c>
      <c r="C2864" s="8" t="s">
        <v>5319</v>
      </c>
      <c r="D2864" t="s">
        <v>272</v>
      </c>
      <c r="E2864" t="s">
        <v>750</v>
      </c>
      <c r="F2864" t="s">
        <v>103</v>
      </c>
      <c r="G2864" t="s">
        <v>2530</v>
      </c>
      <c r="H2864" s="9">
        <v>44733</v>
      </c>
      <c r="I2864" t="s">
        <v>43</v>
      </c>
      <c r="J2864" t="s">
        <v>0</v>
      </c>
      <c r="K2864" s="9">
        <v>44846</v>
      </c>
      <c r="L2864" t="s">
        <v>29</v>
      </c>
      <c r="M2864"/>
      <c r="N2864" s="9">
        <v>44778</v>
      </c>
      <c r="O2864" s="9">
        <v>44834</v>
      </c>
      <c r="P2864"/>
      <c r="Q2864" s="9">
        <v>44846</v>
      </c>
      <c r="R2864"/>
      <c r="S2864"/>
      <c r="T2864"/>
      <c r="U2864"/>
    </row>
    <row r="2865" spans="1:21" hidden="1">
      <c r="A2865" s="7" t="s">
        <v>8768</v>
      </c>
      <c r="B2865" s="7" t="s">
        <v>6720</v>
      </c>
      <c r="C2865" s="8" t="s">
        <v>5319</v>
      </c>
      <c r="D2865" t="s">
        <v>272</v>
      </c>
      <c r="E2865" t="s">
        <v>750</v>
      </c>
      <c r="F2865" t="s">
        <v>103</v>
      </c>
      <c r="G2865" t="s">
        <v>2531</v>
      </c>
      <c r="H2865" s="9">
        <v>44733</v>
      </c>
      <c r="I2865" t="s">
        <v>43</v>
      </c>
      <c r="J2865" t="s">
        <v>0</v>
      </c>
      <c r="K2865" s="9">
        <v>44846</v>
      </c>
      <c r="L2865" t="s">
        <v>29</v>
      </c>
      <c r="M2865"/>
      <c r="N2865" s="9">
        <v>44778</v>
      </c>
      <c r="O2865" s="9">
        <v>44834</v>
      </c>
      <c r="P2865"/>
      <c r="Q2865" s="9">
        <v>44846</v>
      </c>
      <c r="R2865"/>
      <c r="S2865"/>
      <c r="T2865"/>
      <c r="U2865"/>
    </row>
    <row r="2866" spans="1:21" hidden="1">
      <c r="A2866" s="7" t="s">
        <v>8768</v>
      </c>
      <c r="B2866" s="7" t="s">
        <v>6720</v>
      </c>
      <c r="C2866" s="8" t="s">
        <v>5319</v>
      </c>
      <c r="D2866" t="s">
        <v>272</v>
      </c>
      <c r="E2866" t="s">
        <v>750</v>
      </c>
      <c r="F2866" t="s">
        <v>103</v>
      </c>
      <c r="G2866" t="s">
        <v>2532</v>
      </c>
      <c r="H2866" s="9">
        <v>44733</v>
      </c>
      <c r="I2866" t="s">
        <v>43</v>
      </c>
      <c r="J2866" t="s">
        <v>0</v>
      </c>
      <c r="K2866" s="9">
        <v>44846</v>
      </c>
      <c r="L2866" t="s">
        <v>29</v>
      </c>
      <c r="M2866"/>
      <c r="N2866" s="9">
        <v>44778</v>
      </c>
      <c r="O2866" s="9">
        <v>44834</v>
      </c>
      <c r="P2866"/>
      <c r="Q2866" s="9">
        <v>44846</v>
      </c>
      <c r="R2866"/>
      <c r="S2866"/>
      <c r="T2866"/>
      <c r="U2866"/>
    </row>
    <row r="2867" spans="1:21" hidden="1">
      <c r="A2867" s="7" t="s">
        <v>8768</v>
      </c>
      <c r="B2867" s="7" t="s">
        <v>6720</v>
      </c>
      <c r="C2867" s="8" t="s">
        <v>5319</v>
      </c>
      <c r="D2867" t="s">
        <v>272</v>
      </c>
      <c r="E2867" t="s">
        <v>750</v>
      </c>
      <c r="F2867" t="s">
        <v>103</v>
      </c>
      <c r="G2867" t="s">
        <v>2533</v>
      </c>
      <c r="H2867" s="9">
        <v>44733</v>
      </c>
      <c r="I2867" t="s">
        <v>43</v>
      </c>
      <c r="J2867" t="s">
        <v>0</v>
      </c>
      <c r="K2867" s="9">
        <v>44846</v>
      </c>
      <c r="L2867" t="s">
        <v>29</v>
      </c>
      <c r="M2867"/>
      <c r="N2867" s="9">
        <v>44778</v>
      </c>
      <c r="O2867" s="9">
        <v>44834</v>
      </c>
      <c r="P2867"/>
      <c r="Q2867" s="9">
        <v>44846</v>
      </c>
      <c r="R2867"/>
      <c r="S2867"/>
      <c r="T2867"/>
      <c r="U2867"/>
    </row>
    <row r="2868" spans="1:21" hidden="1">
      <c r="A2868" s="7" t="s">
        <v>8768</v>
      </c>
      <c r="B2868" s="7" t="s">
        <v>6720</v>
      </c>
      <c r="C2868" s="8" t="s">
        <v>5319</v>
      </c>
      <c r="D2868" t="s">
        <v>272</v>
      </c>
      <c r="E2868" t="s">
        <v>750</v>
      </c>
      <c r="F2868" t="s">
        <v>103</v>
      </c>
      <c r="G2868" t="s">
        <v>2534</v>
      </c>
      <c r="H2868" s="9">
        <v>44733</v>
      </c>
      <c r="I2868" t="s">
        <v>43</v>
      </c>
      <c r="J2868" t="s">
        <v>0</v>
      </c>
      <c r="K2868" s="9">
        <v>44846</v>
      </c>
      <c r="L2868" t="s">
        <v>29</v>
      </c>
      <c r="M2868"/>
      <c r="N2868" s="9">
        <v>44778</v>
      </c>
      <c r="O2868" s="9">
        <v>44834</v>
      </c>
      <c r="P2868"/>
      <c r="Q2868" s="9">
        <v>44846</v>
      </c>
      <c r="R2868"/>
      <c r="S2868"/>
      <c r="T2868"/>
      <c r="U2868"/>
    </row>
    <row r="2869" spans="1:21" hidden="1">
      <c r="A2869" s="7" t="s">
        <v>8768</v>
      </c>
      <c r="B2869" s="7" t="s">
        <v>6720</v>
      </c>
      <c r="C2869" s="8" t="s">
        <v>5319</v>
      </c>
      <c r="D2869" t="s">
        <v>272</v>
      </c>
      <c r="E2869" t="s">
        <v>750</v>
      </c>
      <c r="F2869" t="s">
        <v>103</v>
      </c>
      <c r="G2869" t="s">
        <v>2535</v>
      </c>
      <c r="H2869" s="9">
        <v>44733</v>
      </c>
      <c r="I2869" t="s">
        <v>43</v>
      </c>
      <c r="J2869" t="s">
        <v>0</v>
      </c>
      <c r="K2869" s="9">
        <v>44846</v>
      </c>
      <c r="L2869" t="s">
        <v>29</v>
      </c>
      <c r="M2869"/>
      <c r="N2869" s="9">
        <v>44778</v>
      </c>
      <c r="O2869" s="9">
        <v>44834</v>
      </c>
      <c r="P2869"/>
      <c r="Q2869" s="9">
        <v>44846</v>
      </c>
      <c r="R2869"/>
      <c r="S2869"/>
      <c r="T2869"/>
      <c r="U2869"/>
    </row>
    <row r="2870" spans="1:21" hidden="1">
      <c r="A2870" s="7" t="s">
        <v>8768</v>
      </c>
      <c r="B2870" s="7" t="s">
        <v>6720</v>
      </c>
      <c r="C2870" s="8" t="s">
        <v>5319</v>
      </c>
      <c r="D2870" t="s">
        <v>272</v>
      </c>
      <c r="E2870" t="s">
        <v>750</v>
      </c>
      <c r="F2870" t="s">
        <v>103</v>
      </c>
      <c r="G2870" t="s">
        <v>2536</v>
      </c>
      <c r="H2870" s="9">
        <v>44733</v>
      </c>
      <c r="I2870" t="s">
        <v>43</v>
      </c>
      <c r="J2870" t="s">
        <v>0</v>
      </c>
      <c r="K2870" s="9">
        <v>44846</v>
      </c>
      <c r="L2870" t="s">
        <v>29</v>
      </c>
      <c r="M2870"/>
      <c r="N2870" s="9">
        <v>44778</v>
      </c>
      <c r="O2870" s="9">
        <v>44834</v>
      </c>
      <c r="P2870"/>
      <c r="Q2870" s="9">
        <v>44846</v>
      </c>
      <c r="R2870"/>
      <c r="S2870"/>
      <c r="T2870"/>
      <c r="U2870"/>
    </row>
    <row r="2871" spans="1:21" hidden="1">
      <c r="A2871" s="7" t="s">
        <v>8768</v>
      </c>
      <c r="B2871" s="7" t="s">
        <v>6720</v>
      </c>
      <c r="C2871" s="8" t="s">
        <v>5319</v>
      </c>
      <c r="D2871" t="s">
        <v>272</v>
      </c>
      <c r="E2871" t="s">
        <v>750</v>
      </c>
      <c r="F2871" t="s">
        <v>103</v>
      </c>
      <c r="G2871" t="s">
        <v>2537</v>
      </c>
      <c r="H2871" s="9">
        <v>44733</v>
      </c>
      <c r="I2871" t="s">
        <v>43</v>
      </c>
      <c r="J2871" t="s">
        <v>0</v>
      </c>
      <c r="K2871" s="9">
        <v>44846</v>
      </c>
      <c r="L2871" t="s">
        <v>29</v>
      </c>
      <c r="M2871"/>
      <c r="N2871" s="9">
        <v>44778</v>
      </c>
      <c r="O2871" s="9">
        <v>44834</v>
      </c>
      <c r="P2871"/>
      <c r="Q2871" s="9">
        <v>44846</v>
      </c>
      <c r="R2871"/>
      <c r="S2871"/>
      <c r="T2871"/>
      <c r="U2871"/>
    </row>
    <row r="2872" spans="1:21" hidden="1">
      <c r="A2872" s="7" t="s">
        <v>8768</v>
      </c>
      <c r="B2872" s="7" t="s">
        <v>6720</v>
      </c>
      <c r="C2872" s="8" t="s">
        <v>5319</v>
      </c>
      <c r="D2872" t="s">
        <v>272</v>
      </c>
      <c r="E2872" t="s">
        <v>750</v>
      </c>
      <c r="F2872" t="s">
        <v>103</v>
      </c>
      <c r="G2872" t="s">
        <v>2538</v>
      </c>
      <c r="H2872" s="9">
        <v>44733</v>
      </c>
      <c r="I2872" t="s">
        <v>43</v>
      </c>
      <c r="J2872" t="s">
        <v>0</v>
      </c>
      <c r="K2872" s="9">
        <v>44846</v>
      </c>
      <c r="L2872" t="s">
        <v>29</v>
      </c>
      <c r="M2872"/>
      <c r="N2872" s="9">
        <v>44778</v>
      </c>
      <c r="O2872" s="9">
        <v>44834</v>
      </c>
      <c r="P2872"/>
      <c r="Q2872" s="9">
        <v>44846</v>
      </c>
      <c r="R2872"/>
      <c r="S2872"/>
      <c r="T2872"/>
      <c r="U2872"/>
    </row>
    <row r="2873" spans="1:21" hidden="1">
      <c r="A2873" s="7" t="s">
        <v>8768</v>
      </c>
      <c r="B2873" s="7" t="s">
        <v>6720</v>
      </c>
      <c r="C2873" s="8" t="s">
        <v>5319</v>
      </c>
      <c r="D2873" t="s">
        <v>272</v>
      </c>
      <c r="E2873" t="s">
        <v>750</v>
      </c>
      <c r="F2873" t="s">
        <v>103</v>
      </c>
      <c r="G2873" t="s">
        <v>2539</v>
      </c>
      <c r="H2873" s="9">
        <v>44733</v>
      </c>
      <c r="I2873" t="s">
        <v>43</v>
      </c>
      <c r="J2873" t="s">
        <v>0</v>
      </c>
      <c r="K2873" s="9">
        <v>44846</v>
      </c>
      <c r="L2873" t="s">
        <v>29</v>
      </c>
      <c r="M2873"/>
      <c r="N2873" s="9">
        <v>44778</v>
      </c>
      <c r="O2873" s="9">
        <v>44834</v>
      </c>
      <c r="P2873"/>
      <c r="Q2873" s="9">
        <v>44846</v>
      </c>
      <c r="R2873"/>
      <c r="S2873"/>
      <c r="T2873"/>
      <c r="U2873"/>
    </row>
    <row r="2874" spans="1:21" hidden="1">
      <c r="A2874" s="7" t="s">
        <v>8768</v>
      </c>
      <c r="B2874" s="7" t="s">
        <v>6720</v>
      </c>
      <c r="C2874" s="8" t="s">
        <v>5319</v>
      </c>
      <c r="D2874" t="s">
        <v>272</v>
      </c>
      <c r="E2874" t="s">
        <v>750</v>
      </c>
      <c r="F2874" t="s">
        <v>103</v>
      </c>
      <c r="G2874" t="s">
        <v>2540</v>
      </c>
      <c r="H2874" s="9">
        <v>44733</v>
      </c>
      <c r="I2874" t="s">
        <v>43</v>
      </c>
      <c r="J2874" t="s">
        <v>0</v>
      </c>
      <c r="K2874" s="9">
        <v>44846</v>
      </c>
      <c r="L2874" t="s">
        <v>29</v>
      </c>
      <c r="M2874"/>
      <c r="N2874" s="9">
        <v>44778</v>
      </c>
      <c r="O2874" s="9">
        <v>44834</v>
      </c>
      <c r="P2874"/>
      <c r="Q2874" s="9">
        <v>44846</v>
      </c>
      <c r="R2874"/>
      <c r="S2874"/>
      <c r="T2874"/>
      <c r="U2874"/>
    </row>
    <row r="2875" spans="1:21" hidden="1">
      <c r="A2875" s="7" t="s">
        <v>8768</v>
      </c>
      <c r="B2875" s="7" t="s">
        <v>6720</v>
      </c>
      <c r="C2875" s="8" t="s">
        <v>5319</v>
      </c>
      <c r="D2875" t="s">
        <v>272</v>
      </c>
      <c r="E2875" t="s">
        <v>750</v>
      </c>
      <c r="F2875" t="s">
        <v>103</v>
      </c>
      <c r="G2875" t="s">
        <v>2541</v>
      </c>
      <c r="H2875" s="9">
        <v>44733</v>
      </c>
      <c r="I2875" t="s">
        <v>43</v>
      </c>
      <c r="J2875" t="s">
        <v>0</v>
      </c>
      <c r="K2875" s="9">
        <v>44846</v>
      </c>
      <c r="L2875" t="s">
        <v>29</v>
      </c>
      <c r="M2875"/>
      <c r="N2875" s="9">
        <v>44778</v>
      </c>
      <c r="O2875" s="9">
        <v>44834</v>
      </c>
      <c r="P2875"/>
      <c r="Q2875" s="9">
        <v>44846</v>
      </c>
      <c r="R2875"/>
      <c r="S2875"/>
      <c r="T2875"/>
      <c r="U2875"/>
    </row>
    <row r="2876" spans="1:21" hidden="1">
      <c r="A2876" s="7" t="s">
        <v>8768</v>
      </c>
      <c r="B2876" s="7" t="s">
        <v>6720</v>
      </c>
      <c r="C2876" s="8" t="s">
        <v>5319</v>
      </c>
      <c r="D2876" t="s">
        <v>272</v>
      </c>
      <c r="E2876" t="s">
        <v>750</v>
      </c>
      <c r="F2876" t="s">
        <v>103</v>
      </c>
      <c r="G2876" t="s">
        <v>2542</v>
      </c>
      <c r="H2876" s="9">
        <v>44733</v>
      </c>
      <c r="I2876" t="s">
        <v>43</v>
      </c>
      <c r="J2876" t="s">
        <v>0</v>
      </c>
      <c r="K2876" s="9">
        <v>44846</v>
      </c>
      <c r="L2876" t="s">
        <v>29</v>
      </c>
      <c r="M2876"/>
      <c r="N2876" s="9">
        <v>44778</v>
      </c>
      <c r="O2876" s="9">
        <v>44834</v>
      </c>
      <c r="P2876"/>
      <c r="Q2876" s="9">
        <v>44846</v>
      </c>
      <c r="R2876"/>
      <c r="S2876"/>
      <c r="T2876"/>
      <c r="U2876"/>
    </row>
    <row r="2877" spans="1:21" hidden="1">
      <c r="A2877" s="7" t="s">
        <v>8768</v>
      </c>
      <c r="B2877" s="7" t="s">
        <v>6720</v>
      </c>
      <c r="C2877" s="8" t="s">
        <v>5319</v>
      </c>
      <c r="D2877" t="s">
        <v>272</v>
      </c>
      <c r="E2877" t="s">
        <v>750</v>
      </c>
      <c r="F2877" t="s">
        <v>103</v>
      </c>
      <c r="G2877" t="s">
        <v>2543</v>
      </c>
      <c r="H2877" s="9">
        <v>44733</v>
      </c>
      <c r="I2877" t="s">
        <v>43</v>
      </c>
      <c r="J2877" t="s">
        <v>0</v>
      </c>
      <c r="K2877" s="9">
        <v>44846</v>
      </c>
      <c r="L2877" t="s">
        <v>29</v>
      </c>
      <c r="M2877"/>
      <c r="N2877" s="9">
        <v>44778</v>
      </c>
      <c r="O2877" s="9">
        <v>44834</v>
      </c>
      <c r="P2877"/>
      <c r="Q2877" s="9">
        <v>44846</v>
      </c>
      <c r="R2877"/>
      <c r="S2877"/>
      <c r="T2877"/>
      <c r="U2877"/>
    </row>
    <row r="2878" spans="1:21" hidden="1">
      <c r="A2878" s="7" t="s">
        <v>8768</v>
      </c>
      <c r="B2878" s="7" t="s">
        <v>6720</v>
      </c>
      <c r="C2878" s="8" t="s">
        <v>5319</v>
      </c>
      <c r="D2878" t="s">
        <v>272</v>
      </c>
      <c r="E2878" t="s">
        <v>750</v>
      </c>
      <c r="F2878" t="s">
        <v>103</v>
      </c>
      <c r="G2878" t="s">
        <v>2544</v>
      </c>
      <c r="H2878" s="9">
        <v>44733</v>
      </c>
      <c r="I2878" t="s">
        <v>43</v>
      </c>
      <c r="J2878" t="s">
        <v>0</v>
      </c>
      <c r="K2878" s="9">
        <v>44846</v>
      </c>
      <c r="L2878" t="s">
        <v>29</v>
      </c>
      <c r="M2878"/>
      <c r="N2878" s="9">
        <v>44778</v>
      </c>
      <c r="O2878" s="9">
        <v>44834</v>
      </c>
      <c r="P2878"/>
      <c r="Q2878" s="9">
        <v>44846</v>
      </c>
      <c r="R2878"/>
      <c r="S2878"/>
      <c r="T2878"/>
      <c r="U2878"/>
    </row>
    <row r="2879" spans="1:21" hidden="1">
      <c r="A2879" s="7" t="s">
        <v>8768</v>
      </c>
      <c r="B2879" s="7" t="s">
        <v>6720</v>
      </c>
      <c r="C2879" s="8" t="s">
        <v>5319</v>
      </c>
      <c r="D2879" t="s">
        <v>272</v>
      </c>
      <c r="E2879" t="s">
        <v>750</v>
      </c>
      <c r="F2879" t="s">
        <v>103</v>
      </c>
      <c r="G2879" t="s">
        <v>2545</v>
      </c>
      <c r="H2879" s="9">
        <v>44733</v>
      </c>
      <c r="I2879" t="s">
        <v>43</v>
      </c>
      <c r="J2879" t="s">
        <v>0</v>
      </c>
      <c r="K2879" s="9">
        <v>44846</v>
      </c>
      <c r="L2879" t="s">
        <v>29</v>
      </c>
      <c r="M2879"/>
      <c r="N2879" s="9">
        <v>44778</v>
      </c>
      <c r="O2879" s="9">
        <v>44834</v>
      </c>
      <c r="P2879"/>
      <c r="Q2879" s="9">
        <v>44846</v>
      </c>
      <c r="R2879"/>
      <c r="S2879"/>
      <c r="T2879"/>
      <c r="U2879"/>
    </row>
    <row r="2880" spans="1:21" hidden="1">
      <c r="A2880" s="7" t="s">
        <v>8768</v>
      </c>
      <c r="B2880" s="7" t="s">
        <v>6720</v>
      </c>
      <c r="C2880" s="8" t="s">
        <v>5319</v>
      </c>
      <c r="D2880" t="s">
        <v>272</v>
      </c>
      <c r="E2880" t="s">
        <v>750</v>
      </c>
      <c r="F2880" t="s">
        <v>103</v>
      </c>
      <c r="G2880" t="s">
        <v>2546</v>
      </c>
      <c r="H2880" s="9">
        <v>44733</v>
      </c>
      <c r="I2880" t="s">
        <v>43</v>
      </c>
      <c r="J2880" t="s">
        <v>0</v>
      </c>
      <c r="K2880" s="9">
        <v>44846</v>
      </c>
      <c r="L2880" t="s">
        <v>29</v>
      </c>
      <c r="M2880"/>
      <c r="N2880" s="9">
        <v>44778</v>
      </c>
      <c r="O2880" s="9">
        <v>44834</v>
      </c>
      <c r="P2880"/>
      <c r="Q2880" s="9">
        <v>44846</v>
      </c>
      <c r="R2880"/>
      <c r="S2880"/>
      <c r="T2880"/>
      <c r="U2880"/>
    </row>
    <row r="2881" spans="1:21" hidden="1">
      <c r="A2881" s="7" t="s">
        <v>8868</v>
      </c>
      <c r="B2881" s="7" t="s">
        <v>6764</v>
      </c>
      <c r="C2881" s="8" t="s">
        <v>5319</v>
      </c>
      <c r="D2881" t="s">
        <v>272</v>
      </c>
      <c r="E2881" t="s">
        <v>2386</v>
      </c>
      <c r="F2881" t="s">
        <v>83</v>
      </c>
      <c r="G2881" t="s">
        <v>2547</v>
      </c>
      <c r="H2881" s="9">
        <v>44733</v>
      </c>
      <c r="I2881" t="s">
        <v>2388</v>
      </c>
      <c r="J2881" t="s">
        <v>5330</v>
      </c>
      <c r="K2881" s="9">
        <v>44834</v>
      </c>
      <c r="L2881" t="s">
        <v>29</v>
      </c>
      <c r="M2881"/>
      <c r="N2881" s="9">
        <v>44778</v>
      </c>
      <c r="O2881" s="9">
        <v>44834</v>
      </c>
      <c r="P2881"/>
      <c r="Q2881"/>
      <c r="R2881"/>
      <c r="S2881"/>
      <c r="T2881"/>
      <c r="U2881"/>
    </row>
    <row r="2882" spans="1:21" hidden="1">
      <c r="A2882" s="7" t="s">
        <v>8868</v>
      </c>
      <c r="B2882" s="7" t="s">
        <v>6764</v>
      </c>
      <c r="C2882" s="8" t="s">
        <v>5319</v>
      </c>
      <c r="D2882" t="s">
        <v>272</v>
      </c>
      <c r="E2882" t="s">
        <v>2386</v>
      </c>
      <c r="F2882" t="s">
        <v>83</v>
      </c>
      <c r="G2882" t="s">
        <v>2548</v>
      </c>
      <c r="H2882" s="9">
        <v>44733</v>
      </c>
      <c r="I2882" t="s">
        <v>2388</v>
      </c>
      <c r="J2882" t="s">
        <v>5330</v>
      </c>
      <c r="K2882" s="9">
        <v>44834</v>
      </c>
      <c r="L2882" t="s">
        <v>29</v>
      </c>
      <c r="M2882"/>
      <c r="N2882" s="9">
        <v>44778</v>
      </c>
      <c r="O2882" s="9">
        <v>44834</v>
      </c>
      <c r="P2882"/>
      <c r="Q2882"/>
      <c r="R2882"/>
      <c r="S2882"/>
      <c r="T2882"/>
      <c r="U2882"/>
    </row>
    <row r="2883" spans="1:21" hidden="1">
      <c r="A2883" s="7" t="s">
        <v>8868</v>
      </c>
      <c r="B2883" s="7" t="s">
        <v>6764</v>
      </c>
      <c r="C2883" s="8" t="s">
        <v>5319</v>
      </c>
      <c r="D2883" t="s">
        <v>272</v>
      </c>
      <c r="E2883" t="s">
        <v>2386</v>
      </c>
      <c r="F2883" t="s">
        <v>83</v>
      </c>
      <c r="G2883" t="s">
        <v>2549</v>
      </c>
      <c r="H2883" s="9">
        <v>44733</v>
      </c>
      <c r="I2883" t="s">
        <v>2388</v>
      </c>
      <c r="J2883" t="s">
        <v>5330</v>
      </c>
      <c r="K2883" s="9">
        <v>44834</v>
      </c>
      <c r="L2883" t="s">
        <v>29</v>
      </c>
      <c r="M2883"/>
      <c r="N2883" s="9">
        <v>44778</v>
      </c>
      <c r="O2883" s="9">
        <v>44834</v>
      </c>
      <c r="P2883"/>
      <c r="Q2883"/>
      <c r="R2883"/>
      <c r="S2883"/>
      <c r="T2883"/>
      <c r="U2883"/>
    </row>
    <row r="2884" spans="1:21" hidden="1">
      <c r="A2884" s="7" t="s">
        <v>8868</v>
      </c>
      <c r="B2884" s="7" t="s">
        <v>6764</v>
      </c>
      <c r="C2884" s="8" t="s">
        <v>5319</v>
      </c>
      <c r="D2884" t="s">
        <v>272</v>
      </c>
      <c r="E2884" t="s">
        <v>2386</v>
      </c>
      <c r="F2884" t="s">
        <v>83</v>
      </c>
      <c r="G2884" t="s">
        <v>2550</v>
      </c>
      <c r="H2884" s="9">
        <v>44733</v>
      </c>
      <c r="I2884" t="s">
        <v>2388</v>
      </c>
      <c r="J2884" t="s">
        <v>5330</v>
      </c>
      <c r="K2884" s="9">
        <v>44834</v>
      </c>
      <c r="L2884" t="s">
        <v>29</v>
      </c>
      <c r="M2884"/>
      <c r="N2884" s="9">
        <v>44778</v>
      </c>
      <c r="O2884" s="9">
        <v>44834</v>
      </c>
      <c r="P2884"/>
      <c r="Q2884"/>
      <c r="R2884"/>
      <c r="S2884"/>
      <c r="T2884"/>
      <c r="U2884"/>
    </row>
    <row r="2885" spans="1:21" hidden="1">
      <c r="A2885" s="7" t="s">
        <v>8758</v>
      </c>
      <c r="B2885" s="7" t="s">
        <v>5405</v>
      </c>
      <c r="C2885" s="8" t="s">
        <v>5319</v>
      </c>
      <c r="D2885" t="s">
        <v>272</v>
      </c>
      <c r="E2885" t="s">
        <v>25</v>
      </c>
      <c r="F2885" t="s">
        <v>493</v>
      </c>
      <c r="G2885" t="s">
        <v>2551</v>
      </c>
      <c r="H2885" s="9">
        <v>44733</v>
      </c>
      <c r="I2885" t="s">
        <v>8634</v>
      </c>
      <c r="J2885" t="s">
        <v>0</v>
      </c>
      <c r="K2885" s="9">
        <v>44862</v>
      </c>
      <c r="L2885" t="s">
        <v>29</v>
      </c>
      <c r="M2885"/>
      <c r="N2885" s="9">
        <v>44778</v>
      </c>
      <c r="O2885" s="9">
        <v>44834</v>
      </c>
      <c r="P2885"/>
      <c r="Q2885" s="9">
        <v>44862</v>
      </c>
      <c r="R2885"/>
      <c r="S2885"/>
      <c r="T2885"/>
      <c r="U2885"/>
    </row>
    <row r="2886" spans="1:21" hidden="1">
      <c r="A2886" s="7" t="s">
        <v>8758</v>
      </c>
      <c r="B2886" s="7" t="s">
        <v>5405</v>
      </c>
      <c r="C2886" s="8" t="s">
        <v>5319</v>
      </c>
      <c r="D2886" t="s">
        <v>272</v>
      </c>
      <c r="E2886" t="s">
        <v>25</v>
      </c>
      <c r="F2886" t="s">
        <v>493</v>
      </c>
      <c r="G2886" t="s">
        <v>2552</v>
      </c>
      <c r="H2886" s="9">
        <v>44733</v>
      </c>
      <c r="I2886" t="s">
        <v>8634</v>
      </c>
      <c r="J2886" t="s">
        <v>0</v>
      </c>
      <c r="K2886" s="9">
        <v>44862</v>
      </c>
      <c r="L2886" t="s">
        <v>29</v>
      </c>
      <c r="M2886"/>
      <c r="N2886" s="9">
        <v>44778</v>
      </c>
      <c r="O2886" s="9">
        <v>44834</v>
      </c>
      <c r="P2886"/>
      <c r="Q2886" s="9">
        <v>44862</v>
      </c>
      <c r="R2886"/>
      <c r="S2886"/>
      <c r="T2886"/>
      <c r="U2886"/>
    </row>
    <row r="2887" spans="1:21" hidden="1">
      <c r="A2887" s="7" t="s">
        <v>8758</v>
      </c>
      <c r="B2887" s="7" t="s">
        <v>5405</v>
      </c>
      <c r="C2887" s="8" t="s">
        <v>5319</v>
      </c>
      <c r="D2887" t="s">
        <v>272</v>
      </c>
      <c r="E2887" t="s">
        <v>25</v>
      </c>
      <c r="F2887" t="s">
        <v>493</v>
      </c>
      <c r="G2887" t="s">
        <v>2553</v>
      </c>
      <c r="H2887" s="9">
        <v>44733</v>
      </c>
      <c r="I2887" t="s">
        <v>8634</v>
      </c>
      <c r="J2887" t="s">
        <v>0</v>
      </c>
      <c r="K2887" s="9">
        <v>44862</v>
      </c>
      <c r="L2887" t="s">
        <v>29</v>
      </c>
      <c r="M2887"/>
      <c r="N2887" s="9">
        <v>44778</v>
      </c>
      <c r="O2887" s="9">
        <v>44834</v>
      </c>
      <c r="P2887"/>
      <c r="Q2887" s="9">
        <v>44862</v>
      </c>
      <c r="R2887"/>
      <c r="S2887"/>
      <c r="T2887"/>
      <c r="U2887"/>
    </row>
    <row r="2888" spans="1:21" hidden="1">
      <c r="A2888" s="7" t="s">
        <v>8758</v>
      </c>
      <c r="B2888" s="7" t="s">
        <v>5405</v>
      </c>
      <c r="C2888" s="8" t="s">
        <v>5319</v>
      </c>
      <c r="D2888" t="s">
        <v>272</v>
      </c>
      <c r="E2888" t="s">
        <v>25</v>
      </c>
      <c r="F2888" t="s">
        <v>493</v>
      </c>
      <c r="G2888" t="s">
        <v>2554</v>
      </c>
      <c r="H2888" s="9">
        <v>44733</v>
      </c>
      <c r="I2888" t="s">
        <v>8634</v>
      </c>
      <c r="J2888" t="s">
        <v>0</v>
      </c>
      <c r="K2888" s="9">
        <v>44862</v>
      </c>
      <c r="L2888" t="s">
        <v>29</v>
      </c>
      <c r="M2888"/>
      <c r="N2888" s="9">
        <v>44778</v>
      </c>
      <c r="O2888" s="9">
        <v>44834</v>
      </c>
      <c r="P2888"/>
      <c r="Q2888" s="9">
        <v>44862</v>
      </c>
      <c r="R2888"/>
      <c r="S2888"/>
      <c r="T2888"/>
      <c r="U2888"/>
    </row>
    <row r="2889" spans="1:21" hidden="1">
      <c r="A2889" s="7" t="s">
        <v>8758</v>
      </c>
      <c r="B2889" s="7" t="s">
        <v>5405</v>
      </c>
      <c r="C2889" s="8" t="s">
        <v>5319</v>
      </c>
      <c r="D2889" t="s">
        <v>272</v>
      </c>
      <c r="E2889" t="s">
        <v>25</v>
      </c>
      <c r="F2889" t="s">
        <v>493</v>
      </c>
      <c r="G2889" t="s">
        <v>2555</v>
      </c>
      <c r="H2889" s="9">
        <v>44733</v>
      </c>
      <c r="I2889" t="s">
        <v>8634</v>
      </c>
      <c r="J2889" t="s">
        <v>0</v>
      </c>
      <c r="K2889" s="9">
        <v>44862</v>
      </c>
      <c r="L2889" t="s">
        <v>29</v>
      </c>
      <c r="M2889"/>
      <c r="N2889" s="9">
        <v>44778</v>
      </c>
      <c r="O2889" s="9">
        <v>44834</v>
      </c>
      <c r="P2889"/>
      <c r="Q2889" s="9">
        <v>44862</v>
      </c>
      <c r="R2889"/>
      <c r="S2889"/>
      <c r="T2889"/>
      <c r="U2889"/>
    </row>
    <row r="2890" spans="1:21" hidden="1">
      <c r="A2890" s="7" t="s">
        <v>8758</v>
      </c>
      <c r="B2890" s="7" t="s">
        <v>5405</v>
      </c>
      <c r="C2890" s="8" t="s">
        <v>5319</v>
      </c>
      <c r="D2890" t="s">
        <v>272</v>
      </c>
      <c r="E2890" t="s">
        <v>25</v>
      </c>
      <c r="F2890" t="s">
        <v>493</v>
      </c>
      <c r="G2890" t="s">
        <v>2556</v>
      </c>
      <c r="H2890" s="9">
        <v>44733</v>
      </c>
      <c r="I2890" t="s">
        <v>8634</v>
      </c>
      <c r="J2890" t="s">
        <v>0</v>
      </c>
      <c r="K2890" s="9">
        <v>44862</v>
      </c>
      <c r="L2890" t="s">
        <v>29</v>
      </c>
      <c r="M2890"/>
      <c r="N2890" s="9">
        <v>44778</v>
      </c>
      <c r="O2890" s="9">
        <v>44834</v>
      </c>
      <c r="P2890"/>
      <c r="Q2890" s="9">
        <v>44862</v>
      </c>
      <c r="R2890"/>
      <c r="S2890"/>
      <c r="T2890"/>
      <c r="U2890"/>
    </row>
    <row r="2891" spans="1:21" hidden="1">
      <c r="A2891" s="7" t="s">
        <v>8758</v>
      </c>
      <c r="B2891" s="7" t="s">
        <v>5405</v>
      </c>
      <c r="C2891" s="8" t="s">
        <v>5319</v>
      </c>
      <c r="D2891" t="s">
        <v>272</v>
      </c>
      <c r="E2891" t="s">
        <v>25</v>
      </c>
      <c r="F2891" t="s">
        <v>493</v>
      </c>
      <c r="G2891" t="s">
        <v>2557</v>
      </c>
      <c r="H2891" s="9">
        <v>44733</v>
      </c>
      <c r="I2891" t="s">
        <v>8634</v>
      </c>
      <c r="J2891" t="s">
        <v>0</v>
      </c>
      <c r="K2891" s="9">
        <v>44862</v>
      </c>
      <c r="L2891" t="s">
        <v>29</v>
      </c>
      <c r="M2891"/>
      <c r="N2891" s="9">
        <v>44778</v>
      </c>
      <c r="O2891" s="9">
        <v>44834</v>
      </c>
      <c r="P2891"/>
      <c r="Q2891" s="9">
        <v>44862</v>
      </c>
      <c r="R2891"/>
      <c r="S2891"/>
      <c r="T2891"/>
      <c r="U2891"/>
    </row>
    <row r="2892" spans="1:21" hidden="1">
      <c r="A2892" s="7" t="s">
        <v>8825</v>
      </c>
      <c r="B2892" s="7" t="s">
        <v>5405</v>
      </c>
      <c r="C2892" s="8" t="s">
        <v>5319</v>
      </c>
      <c r="D2892" t="s">
        <v>272</v>
      </c>
      <c r="E2892" t="s">
        <v>25</v>
      </c>
      <c r="F2892" t="s">
        <v>111</v>
      </c>
      <c r="G2892" t="s">
        <v>2558</v>
      </c>
      <c r="H2892" s="9">
        <v>44733</v>
      </c>
      <c r="I2892" t="s">
        <v>8634</v>
      </c>
      <c r="J2892" t="s">
        <v>0</v>
      </c>
      <c r="K2892" s="9">
        <v>44881</v>
      </c>
      <c r="L2892" t="s">
        <v>29</v>
      </c>
      <c r="M2892"/>
      <c r="N2892" s="9">
        <v>44778</v>
      </c>
      <c r="O2892" s="9">
        <v>44834</v>
      </c>
      <c r="P2892"/>
      <c r="Q2892" s="9">
        <v>44881</v>
      </c>
      <c r="R2892"/>
      <c r="S2892"/>
      <c r="T2892"/>
      <c r="U2892"/>
    </row>
    <row r="2893" spans="1:21" hidden="1">
      <c r="A2893" s="7" t="s">
        <v>8825</v>
      </c>
      <c r="B2893" s="7" t="s">
        <v>5405</v>
      </c>
      <c r="C2893" s="8" t="s">
        <v>5319</v>
      </c>
      <c r="D2893" t="s">
        <v>272</v>
      </c>
      <c r="E2893" t="s">
        <v>25</v>
      </c>
      <c r="F2893" t="s">
        <v>111</v>
      </c>
      <c r="G2893" t="s">
        <v>2559</v>
      </c>
      <c r="H2893" s="9">
        <v>44733</v>
      </c>
      <c r="I2893" t="s">
        <v>8634</v>
      </c>
      <c r="J2893" t="s">
        <v>0</v>
      </c>
      <c r="K2893" s="9">
        <v>44881</v>
      </c>
      <c r="L2893" t="s">
        <v>29</v>
      </c>
      <c r="M2893"/>
      <c r="N2893" s="9">
        <v>44778</v>
      </c>
      <c r="O2893" s="9">
        <v>44834</v>
      </c>
      <c r="P2893"/>
      <c r="Q2893" s="9">
        <v>44881</v>
      </c>
      <c r="R2893"/>
      <c r="S2893"/>
      <c r="T2893"/>
      <c r="U2893"/>
    </row>
    <row r="2894" spans="1:21" hidden="1">
      <c r="A2894" s="7" t="s">
        <v>8758</v>
      </c>
      <c r="B2894" s="7" t="s">
        <v>5405</v>
      </c>
      <c r="C2894" s="8" t="s">
        <v>5319</v>
      </c>
      <c r="D2894" t="s">
        <v>272</v>
      </c>
      <c r="E2894" t="s">
        <v>25</v>
      </c>
      <c r="F2894" t="s">
        <v>493</v>
      </c>
      <c r="G2894" t="s">
        <v>2560</v>
      </c>
      <c r="H2894" s="9">
        <v>44733</v>
      </c>
      <c r="I2894" t="s">
        <v>8634</v>
      </c>
      <c r="J2894" t="s">
        <v>0</v>
      </c>
      <c r="K2894" s="9">
        <v>44862</v>
      </c>
      <c r="L2894" t="s">
        <v>29</v>
      </c>
      <c r="M2894"/>
      <c r="N2894" s="9">
        <v>44778</v>
      </c>
      <c r="O2894" s="9">
        <v>44834</v>
      </c>
      <c r="P2894"/>
      <c r="Q2894" s="9">
        <v>44862</v>
      </c>
      <c r="R2894"/>
      <c r="S2894"/>
      <c r="T2894"/>
      <c r="U2894"/>
    </row>
    <row r="2895" spans="1:21" hidden="1">
      <c r="A2895" s="7" t="s">
        <v>8758</v>
      </c>
      <c r="B2895" s="7" t="s">
        <v>5405</v>
      </c>
      <c r="C2895" s="8" t="s">
        <v>5319</v>
      </c>
      <c r="D2895" t="s">
        <v>272</v>
      </c>
      <c r="E2895" t="s">
        <v>25</v>
      </c>
      <c r="F2895" t="s">
        <v>493</v>
      </c>
      <c r="G2895" t="s">
        <v>2561</v>
      </c>
      <c r="H2895" s="9">
        <v>44733</v>
      </c>
      <c r="I2895" t="s">
        <v>8634</v>
      </c>
      <c r="J2895" t="s">
        <v>0</v>
      </c>
      <c r="K2895" s="9">
        <v>44862</v>
      </c>
      <c r="L2895" t="s">
        <v>29</v>
      </c>
      <c r="M2895"/>
      <c r="N2895" s="9">
        <v>44778</v>
      </c>
      <c r="O2895" s="9">
        <v>44834</v>
      </c>
      <c r="P2895"/>
      <c r="Q2895" s="9">
        <v>44862</v>
      </c>
      <c r="R2895"/>
      <c r="S2895"/>
      <c r="T2895"/>
      <c r="U2895"/>
    </row>
    <row r="2896" spans="1:21" hidden="1">
      <c r="A2896" s="7" t="s">
        <v>8758</v>
      </c>
      <c r="B2896" s="7" t="s">
        <v>5405</v>
      </c>
      <c r="C2896" s="8" t="s">
        <v>5319</v>
      </c>
      <c r="D2896" t="s">
        <v>272</v>
      </c>
      <c r="E2896" t="s">
        <v>25</v>
      </c>
      <c r="F2896" t="s">
        <v>493</v>
      </c>
      <c r="G2896" t="s">
        <v>2562</v>
      </c>
      <c r="H2896" s="9">
        <v>44733</v>
      </c>
      <c r="I2896" t="s">
        <v>8634</v>
      </c>
      <c r="J2896" t="s">
        <v>0</v>
      </c>
      <c r="K2896" s="9">
        <v>44862</v>
      </c>
      <c r="L2896" t="s">
        <v>29</v>
      </c>
      <c r="M2896"/>
      <c r="N2896" s="9">
        <v>44778</v>
      </c>
      <c r="O2896" s="9">
        <v>44834</v>
      </c>
      <c r="P2896"/>
      <c r="Q2896" s="9">
        <v>44862</v>
      </c>
      <c r="R2896"/>
      <c r="S2896"/>
      <c r="T2896"/>
      <c r="U2896"/>
    </row>
    <row r="2897" spans="1:21" hidden="1">
      <c r="A2897" s="7" t="s">
        <v>8758</v>
      </c>
      <c r="B2897" s="7" t="s">
        <v>5405</v>
      </c>
      <c r="C2897" s="8" t="s">
        <v>5319</v>
      </c>
      <c r="D2897" t="s">
        <v>272</v>
      </c>
      <c r="E2897" t="s">
        <v>25</v>
      </c>
      <c r="F2897" t="s">
        <v>493</v>
      </c>
      <c r="G2897" t="s">
        <v>2563</v>
      </c>
      <c r="H2897" s="9">
        <v>44733</v>
      </c>
      <c r="I2897" t="s">
        <v>8634</v>
      </c>
      <c r="J2897" t="s">
        <v>0</v>
      </c>
      <c r="K2897" s="9">
        <v>44862</v>
      </c>
      <c r="L2897" t="s">
        <v>29</v>
      </c>
      <c r="M2897"/>
      <c r="N2897" s="9">
        <v>44778</v>
      </c>
      <c r="O2897" s="9">
        <v>44834</v>
      </c>
      <c r="P2897"/>
      <c r="Q2897" s="9">
        <v>44862</v>
      </c>
      <c r="R2897"/>
      <c r="S2897"/>
      <c r="T2897"/>
      <c r="U2897"/>
    </row>
    <row r="2898" spans="1:21" hidden="1">
      <c r="A2898" s="7" t="s">
        <v>8758</v>
      </c>
      <c r="B2898" s="7" t="s">
        <v>5405</v>
      </c>
      <c r="C2898" s="8" t="s">
        <v>5319</v>
      </c>
      <c r="D2898" t="s">
        <v>272</v>
      </c>
      <c r="E2898" t="s">
        <v>25</v>
      </c>
      <c r="F2898" t="s">
        <v>493</v>
      </c>
      <c r="G2898" t="s">
        <v>2564</v>
      </c>
      <c r="H2898" s="9">
        <v>44733</v>
      </c>
      <c r="I2898" t="s">
        <v>8634</v>
      </c>
      <c r="J2898" t="s">
        <v>0</v>
      </c>
      <c r="K2898" s="9">
        <v>44862</v>
      </c>
      <c r="L2898" t="s">
        <v>29</v>
      </c>
      <c r="M2898"/>
      <c r="N2898" s="9">
        <v>44778</v>
      </c>
      <c r="O2898" s="9">
        <v>44834</v>
      </c>
      <c r="P2898"/>
      <c r="Q2898" s="9">
        <v>44862</v>
      </c>
      <c r="R2898"/>
      <c r="S2898"/>
      <c r="T2898"/>
      <c r="U2898"/>
    </row>
    <row r="2899" spans="1:21" hidden="1">
      <c r="A2899" s="7" t="s">
        <v>8825</v>
      </c>
      <c r="B2899" s="7" t="s">
        <v>5405</v>
      </c>
      <c r="C2899" s="8" t="s">
        <v>5319</v>
      </c>
      <c r="D2899" t="s">
        <v>272</v>
      </c>
      <c r="E2899" t="s">
        <v>25</v>
      </c>
      <c r="F2899" t="s">
        <v>111</v>
      </c>
      <c r="G2899" t="s">
        <v>2565</v>
      </c>
      <c r="H2899" s="9">
        <v>44733</v>
      </c>
      <c r="I2899" t="s">
        <v>8634</v>
      </c>
      <c r="J2899" t="s">
        <v>0</v>
      </c>
      <c r="K2899" s="9">
        <v>44881</v>
      </c>
      <c r="L2899" t="s">
        <v>29</v>
      </c>
      <c r="M2899"/>
      <c r="N2899" s="9">
        <v>44778</v>
      </c>
      <c r="O2899" s="9">
        <v>44834</v>
      </c>
      <c r="P2899"/>
      <c r="Q2899" s="9">
        <v>44881</v>
      </c>
      <c r="R2899"/>
      <c r="S2899"/>
      <c r="T2899"/>
      <c r="U2899"/>
    </row>
    <row r="2900" spans="1:21" hidden="1">
      <c r="A2900" s="7" t="s">
        <v>8825</v>
      </c>
      <c r="B2900" s="7" t="s">
        <v>5405</v>
      </c>
      <c r="C2900" s="8" t="s">
        <v>5319</v>
      </c>
      <c r="D2900" t="s">
        <v>272</v>
      </c>
      <c r="E2900" t="s">
        <v>25</v>
      </c>
      <c r="F2900" t="s">
        <v>111</v>
      </c>
      <c r="G2900" t="s">
        <v>2566</v>
      </c>
      <c r="H2900" s="9">
        <v>44733</v>
      </c>
      <c r="I2900" t="s">
        <v>8634</v>
      </c>
      <c r="J2900" t="s">
        <v>0</v>
      </c>
      <c r="K2900" s="9">
        <v>44881</v>
      </c>
      <c r="L2900" t="s">
        <v>29</v>
      </c>
      <c r="M2900"/>
      <c r="N2900" s="9">
        <v>44778</v>
      </c>
      <c r="O2900" s="9">
        <v>44834</v>
      </c>
      <c r="P2900"/>
      <c r="Q2900" s="9">
        <v>44881</v>
      </c>
      <c r="R2900"/>
      <c r="S2900"/>
      <c r="T2900"/>
      <c r="U2900"/>
    </row>
    <row r="2901" spans="1:21" hidden="1">
      <c r="A2901" s="7" t="s">
        <v>8758</v>
      </c>
      <c r="B2901" s="7" t="s">
        <v>5405</v>
      </c>
      <c r="C2901" s="8" t="s">
        <v>5319</v>
      </c>
      <c r="D2901" t="s">
        <v>272</v>
      </c>
      <c r="E2901" t="s">
        <v>25</v>
      </c>
      <c r="F2901" t="s">
        <v>493</v>
      </c>
      <c r="G2901" t="s">
        <v>2567</v>
      </c>
      <c r="H2901" s="9">
        <v>44733</v>
      </c>
      <c r="I2901" t="s">
        <v>8634</v>
      </c>
      <c r="J2901" t="s">
        <v>5330</v>
      </c>
      <c r="K2901" s="9">
        <v>44834</v>
      </c>
      <c r="L2901" t="s">
        <v>29</v>
      </c>
      <c r="M2901"/>
      <c r="N2901" s="9">
        <v>44778</v>
      </c>
      <c r="O2901" s="9">
        <v>44834</v>
      </c>
      <c r="P2901"/>
      <c r="Q2901"/>
      <c r="R2901"/>
      <c r="S2901"/>
      <c r="T2901"/>
      <c r="U2901"/>
    </row>
    <row r="2902" spans="1:21" hidden="1">
      <c r="A2902" s="7" t="s">
        <v>8861</v>
      </c>
      <c r="B2902" s="7" t="s">
        <v>8218</v>
      </c>
      <c r="C2902" s="8" t="s">
        <v>5319</v>
      </c>
      <c r="D2902" t="s">
        <v>272</v>
      </c>
      <c r="E2902" t="s">
        <v>2260</v>
      </c>
      <c r="F2902" t="s">
        <v>117</v>
      </c>
      <c r="G2902" t="s">
        <v>2568</v>
      </c>
      <c r="H2902" s="9">
        <v>44733</v>
      </c>
      <c r="I2902" t="s">
        <v>2262</v>
      </c>
      <c r="J2902" t="s">
        <v>0</v>
      </c>
      <c r="K2902" s="9">
        <v>44882</v>
      </c>
      <c r="L2902" t="s">
        <v>29</v>
      </c>
      <c r="M2902"/>
      <c r="N2902" s="9">
        <v>44778</v>
      </c>
      <c r="O2902" s="9">
        <v>44834</v>
      </c>
      <c r="P2902"/>
      <c r="Q2902" s="9">
        <v>44882</v>
      </c>
      <c r="R2902" s="9">
        <v>44879.703275462998</v>
      </c>
      <c r="S2902"/>
      <c r="T2902"/>
      <c r="U2902"/>
    </row>
    <row r="2903" spans="1:21" hidden="1">
      <c r="A2903" s="7" t="s">
        <v>8861</v>
      </c>
      <c r="B2903" s="7" t="s">
        <v>8218</v>
      </c>
      <c r="C2903" s="8" t="s">
        <v>5319</v>
      </c>
      <c r="D2903" t="s">
        <v>272</v>
      </c>
      <c r="E2903" t="s">
        <v>2260</v>
      </c>
      <c r="F2903" t="s">
        <v>117</v>
      </c>
      <c r="G2903" t="s">
        <v>2569</v>
      </c>
      <c r="H2903" s="9">
        <v>44733</v>
      </c>
      <c r="I2903" t="s">
        <v>2262</v>
      </c>
      <c r="J2903" t="s">
        <v>0</v>
      </c>
      <c r="K2903" s="9">
        <v>44882</v>
      </c>
      <c r="L2903" t="s">
        <v>29</v>
      </c>
      <c r="M2903"/>
      <c r="N2903" s="9">
        <v>44778</v>
      </c>
      <c r="O2903" s="9">
        <v>44834</v>
      </c>
      <c r="P2903"/>
      <c r="Q2903" s="9">
        <v>44882</v>
      </c>
      <c r="R2903" s="9">
        <v>44879.703275462998</v>
      </c>
      <c r="S2903"/>
      <c r="T2903"/>
      <c r="U2903"/>
    </row>
    <row r="2904" spans="1:21" hidden="1">
      <c r="A2904" s="7" t="s">
        <v>8861</v>
      </c>
      <c r="B2904" s="7" t="s">
        <v>8218</v>
      </c>
      <c r="C2904" s="8" t="s">
        <v>5319</v>
      </c>
      <c r="D2904" t="s">
        <v>272</v>
      </c>
      <c r="E2904" t="s">
        <v>2260</v>
      </c>
      <c r="F2904" t="s">
        <v>117</v>
      </c>
      <c r="G2904" t="s">
        <v>2570</v>
      </c>
      <c r="H2904" s="9">
        <v>44733</v>
      </c>
      <c r="I2904" t="s">
        <v>2262</v>
      </c>
      <c r="J2904" t="s">
        <v>0</v>
      </c>
      <c r="K2904" s="9">
        <v>44882</v>
      </c>
      <c r="L2904" t="s">
        <v>29</v>
      </c>
      <c r="M2904"/>
      <c r="N2904" s="9">
        <v>44778</v>
      </c>
      <c r="O2904" s="9">
        <v>44834</v>
      </c>
      <c r="P2904"/>
      <c r="Q2904" s="9">
        <v>44882</v>
      </c>
      <c r="R2904" s="9">
        <v>44879.703275462998</v>
      </c>
      <c r="S2904"/>
      <c r="T2904"/>
      <c r="U2904"/>
    </row>
    <row r="2905" spans="1:21" hidden="1">
      <c r="A2905" s="7" t="s">
        <v>8861</v>
      </c>
      <c r="B2905" s="7" t="s">
        <v>8218</v>
      </c>
      <c r="C2905" s="8" t="s">
        <v>5319</v>
      </c>
      <c r="D2905" t="s">
        <v>272</v>
      </c>
      <c r="E2905" t="s">
        <v>2260</v>
      </c>
      <c r="F2905" t="s">
        <v>117</v>
      </c>
      <c r="G2905" t="s">
        <v>2571</v>
      </c>
      <c r="H2905" s="9">
        <v>44733</v>
      </c>
      <c r="I2905" t="s">
        <v>2262</v>
      </c>
      <c r="J2905" t="s">
        <v>0</v>
      </c>
      <c r="K2905" s="9">
        <v>44882</v>
      </c>
      <c r="L2905" t="s">
        <v>29</v>
      </c>
      <c r="M2905"/>
      <c r="N2905" s="9">
        <v>44778</v>
      </c>
      <c r="O2905" s="9">
        <v>44834</v>
      </c>
      <c r="P2905"/>
      <c r="Q2905" s="9">
        <v>44882</v>
      </c>
      <c r="R2905" s="9">
        <v>44879.703275462998</v>
      </c>
      <c r="S2905"/>
      <c r="T2905"/>
      <c r="U2905"/>
    </row>
    <row r="2906" spans="1:21" hidden="1">
      <c r="A2906" s="7" t="s">
        <v>8861</v>
      </c>
      <c r="B2906" s="7" t="s">
        <v>8218</v>
      </c>
      <c r="C2906" s="8" t="s">
        <v>5319</v>
      </c>
      <c r="D2906" t="s">
        <v>272</v>
      </c>
      <c r="E2906" t="s">
        <v>2260</v>
      </c>
      <c r="F2906" t="s">
        <v>117</v>
      </c>
      <c r="G2906" t="s">
        <v>2572</v>
      </c>
      <c r="H2906" s="9">
        <v>44733</v>
      </c>
      <c r="I2906" t="s">
        <v>2262</v>
      </c>
      <c r="J2906" t="s">
        <v>0</v>
      </c>
      <c r="K2906" s="9">
        <v>44882</v>
      </c>
      <c r="L2906" t="s">
        <v>29</v>
      </c>
      <c r="M2906"/>
      <c r="N2906" s="9">
        <v>44778</v>
      </c>
      <c r="O2906" s="9">
        <v>44834</v>
      </c>
      <c r="P2906"/>
      <c r="Q2906" s="9">
        <v>44882</v>
      </c>
      <c r="R2906" s="9">
        <v>44879.703275462998</v>
      </c>
      <c r="S2906"/>
      <c r="T2906"/>
      <c r="U2906"/>
    </row>
    <row r="2907" spans="1:21" hidden="1">
      <c r="A2907" s="7" t="s">
        <v>8764</v>
      </c>
      <c r="B2907" s="7" t="s">
        <v>5405</v>
      </c>
      <c r="C2907" s="8" t="s">
        <v>5319</v>
      </c>
      <c r="D2907" t="s">
        <v>272</v>
      </c>
      <c r="E2907" t="s">
        <v>25</v>
      </c>
      <c r="F2907" t="s">
        <v>75</v>
      </c>
      <c r="G2907" t="s">
        <v>2573</v>
      </c>
      <c r="H2907" s="9">
        <v>44733</v>
      </c>
      <c r="I2907" t="s">
        <v>8634</v>
      </c>
      <c r="J2907" t="s">
        <v>5330</v>
      </c>
      <c r="K2907" s="9">
        <v>44834</v>
      </c>
      <c r="L2907" t="s">
        <v>29</v>
      </c>
      <c r="M2907"/>
      <c r="N2907" s="9">
        <v>44778</v>
      </c>
      <c r="O2907" s="9">
        <v>44834</v>
      </c>
      <c r="P2907"/>
      <c r="Q2907"/>
      <c r="R2907"/>
      <c r="S2907"/>
      <c r="T2907"/>
      <c r="U2907"/>
    </row>
    <row r="2908" spans="1:21" hidden="1">
      <c r="A2908" s="7" t="s">
        <v>8742</v>
      </c>
      <c r="B2908" s="7" t="s">
        <v>6943</v>
      </c>
      <c r="C2908" s="8" t="s">
        <v>5319</v>
      </c>
      <c r="D2908" t="s">
        <v>272</v>
      </c>
      <c r="E2908" t="s">
        <v>324</v>
      </c>
      <c r="F2908" t="s">
        <v>75</v>
      </c>
      <c r="G2908" t="s">
        <v>2574</v>
      </c>
      <c r="H2908" s="9">
        <v>44733</v>
      </c>
      <c r="I2908" t="s">
        <v>282</v>
      </c>
      <c r="J2908" t="s">
        <v>0</v>
      </c>
      <c r="K2908" s="9">
        <v>44817</v>
      </c>
      <c r="L2908" t="s">
        <v>29</v>
      </c>
      <c r="M2908"/>
      <c r="N2908" s="9">
        <v>44778</v>
      </c>
      <c r="O2908"/>
      <c r="P2908"/>
      <c r="Q2908" s="9">
        <v>44817</v>
      </c>
      <c r="R2908" s="9">
        <v>44816.486284722203</v>
      </c>
      <c r="S2908"/>
      <c r="T2908"/>
      <c r="U2908"/>
    </row>
    <row r="2909" spans="1:21" hidden="1">
      <c r="A2909" s="7" t="s">
        <v>8758</v>
      </c>
      <c r="B2909" s="7" t="s">
        <v>5405</v>
      </c>
      <c r="C2909" s="8" t="s">
        <v>5319</v>
      </c>
      <c r="D2909" t="s">
        <v>272</v>
      </c>
      <c r="E2909" t="s">
        <v>25</v>
      </c>
      <c r="F2909" t="s">
        <v>493</v>
      </c>
      <c r="G2909" t="s">
        <v>505</v>
      </c>
      <c r="H2909" s="9">
        <v>44733</v>
      </c>
      <c r="I2909" t="s">
        <v>8634</v>
      </c>
      <c r="J2909" t="s">
        <v>5330</v>
      </c>
      <c r="K2909" s="9">
        <v>44834</v>
      </c>
      <c r="L2909" t="s">
        <v>29</v>
      </c>
      <c r="M2909"/>
      <c r="N2909" s="9">
        <v>44778</v>
      </c>
      <c r="O2909" s="9">
        <v>44834</v>
      </c>
      <c r="P2909"/>
      <c r="Q2909"/>
      <c r="R2909"/>
      <c r="S2909"/>
      <c r="T2909"/>
      <c r="U2909"/>
    </row>
    <row r="2910" spans="1:21" hidden="1">
      <c r="A2910" s="7" t="s">
        <v>8875</v>
      </c>
      <c r="B2910" s="7" t="s">
        <v>6942</v>
      </c>
      <c r="C2910" s="8" t="s">
        <v>5319</v>
      </c>
      <c r="D2910" t="s">
        <v>272</v>
      </c>
      <c r="E2910" t="s">
        <v>2575</v>
      </c>
      <c r="F2910" t="s">
        <v>75</v>
      </c>
      <c r="G2910" t="s">
        <v>2576</v>
      </c>
      <c r="H2910" s="9">
        <v>44733</v>
      </c>
      <c r="I2910" t="s">
        <v>1435</v>
      </c>
      <c r="J2910" t="s">
        <v>5330</v>
      </c>
      <c r="K2910" s="9">
        <v>44834</v>
      </c>
      <c r="L2910" t="s">
        <v>29</v>
      </c>
      <c r="M2910"/>
      <c r="N2910" s="9">
        <v>44778</v>
      </c>
      <c r="O2910" s="9">
        <v>44834</v>
      </c>
      <c r="P2910"/>
      <c r="Q2910"/>
      <c r="R2910"/>
      <c r="S2910"/>
      <c r="T2910"/>
      <c r="U2910"/>
    </row>
    <row r="2911" spans="1:21" hidden="1">
      <c r="A2911" s="7" t="s">
        <v>8875</v>
      </c>
      <c r="B2911" s="7" t="s">
        <v>6942</v>
      </c>
      <c r="C2911" s="8" t="s">
        <v>5319</v>
      </c>
      <c r="D2911" t="s">
        <v>272</v>
      </c>
      <c r="E2911" t="s">
        <v>2575</v>
      </c>
      <c r="F2911" t="s">
        <v>75</v>
      </c>
      <c r="G2911" t="s">
        <v>2577</v>
      </c>
      <c r="H2911" s="9">
        <v>44733</v>
      </c>
      <c r="I2911" t="s">
        <v>1435</v>
      </c>
      <c r="J2911" t="s">
        <v>5330</v>
      </c>
      <c r="K2911" s="9">
        <v>44834</v>
      </c>
      <c r="L2911" t="s">
        <v>29</v>
      </c>
      <c r="M2911"/>
      <c r="N2911" s="9">
        <v>44778</v>
      </c>
      <c r="O2911" s="9">
        <v>44834</v>
      </c>
      <c r="P2911"/>
      <c r="Q2911"/>
      <c r="R2911"/>
      <c r="S2911"/>
      <c r="T2911"/>
      <c r="U2911"/>
    </row>
    <row r="2912" spans="1:21" hidden="1">
      <c r="A2912" s="7" t="s">
        <v>8875</v>
      </c>
      <c r="B2912" s="7" t="s">
        <v>6942</v>
      </c>
      <c r="C2912" s="8" t="s">
        <v>5319</v>
      </c>
      <c r="D2912" t="s">
        <v>272</v>
      </c>
      <c r="E2912" t="s">
        <v>2575</v>
      </c>
      <c r="F2912" t="s">
        <v>75</v>
      </c>
      <c r="G2912" t="s">
        <v>2578</v>
      </c>
      <c r="H2912" s="9">
        <v>44733</v>
      </c>
      <c r="I2912" t="s">
        <v>1435</v>
      </c>
      <c r="J2912" t="s">
        <v>5330</v>
      </c>
      <c r="K2912" s="9">
        <v>44834</v>
      </c>
      <c r="L2912" t="s">
        <v>29</v>
      </c>
      <c r="M2912"/>
      <c r="N2912" s="9">
        <v>44778</v>
      </c>
      <c r="O2912" s="9">
        <v>44834</v>
      </c>
      <c r="P2912"/>
      <c r="Q2912"/>
      <c r="R2912"/>
      <c r="S2912"/>
      <c r="T2912"/>
      <c r="U2912"/>
    </row>
    <row r="2913" spans="1:21" hidden="1">
      <c r="A2913" s="7" t="s">
        <v>8875</v>
      </c>
      <c r="B2913" s="7" t="s">
        <v>6942</v>
      </c>
      <c r="C2913" s="8" t="s">
        <v>5319</v>
      </c>
      <c r="D2913" t="s">
        <v>272</v>
      </c>
      <c r="E2913" t="s">
        <v>2575</v>
      </c>
      <c r="F2913" t="s">
        <v>75</v>
      </c>
      <c r="G2913" t="s">
        <v>2579</v>
      </c>
      <c r="H2913" s="9">
        <v>44733</v>
      </c>
      <c r="I2913" t="s">
        <v>1435</v>
      </c>
      <c r="J2913" t="s">
        <v>5330</v>
      </c>
      <c r="K2913" s="9">
        <v>44834</v>
      </c>
      <c r="L2913" t="s">
        <v>29</v>
      </c>
      <c r="M2913"/>
      <c r="N2913" s="9">
        <v>44778</v>
      </c>
      <c r="O2913" s="9">
        <v>44834</v>
      </c>
      <c r="P2913"/>
      <c r="Q2913"/>
      <c r="R2913"/>
      <c r="S2913"/>
      <c r="T2913"/>
      <c r="U2913"/>
    </row>
    <row r="2914" spans="1:21" hidden="1">
      <c r="A2914" s="7" t="s">
        <v>8875</v>
      </c>
      <c r="B2914" s="7" t="s">
        <v>6942</v>
      </c>
      <c r="C2914" s="8" t="s">
        <v>5319</v>
      </c>
      <c r="D2914" t="s">
        <v>272</v>
      </c>
      <c r="E2914" t="s">
        <v>2575</v>
      </c>
      <c r="F2914" t="s">
        <v>75</v>
      </c>
      <c r="G2914" t="s">
        <v>2580</v>
      </c>
      <c r="H2914" s="9">
        <v>44733</v>
      </c>
      <c r="I2914" t="s">
        <v>1435</v>
      </c>
      <c r="J2914" t="s">
        <v>5330</v>
      </c>
      <c r="K2914" s="9">
        <v>44834</v>
      </c>
      <c r="L2914" t="s">
        <v>29</v>
      </c>
      <c r="M2914"/>
      <c r="N2914" s="9">
        <v>44778</v>
      </c>
      <c r="O2914" s="9">
        <v>44834</v>
      </c>
      <c r="P2914"/>
      <c r="Q2914"/>
      <c r="R2914"/>
      <c r="S2914"/>
      <c r="T2914"/>
      <c r="U2914"/>
    </row>
    <row r="2915" spans="1:21" hidden="1">
      <c r="A2915" s="7" t="s">
        <v>8875</v>
      </c>
      <c r="B2915" s="7" t="s">
        <v>6942</v>
      </c>
      <c r="C2915" s="8" t="s">
        <v>5319</v>
      </c>
      <c r="D2915" t="s">
        <v>272</v>
      </c>
      <c r="E2915" t="s">
        <v>2575</v>
      </c>
      <c r="F2915" t="s">
        <v>75</v>
      </c>
      <c r="G2915" t="s">
        <v>2581</v>
      </c>
      <c r="H2915" s="9">
        <v>44733</v>
      </c>
      <c r="I2915" t="s">
        <v>1435</v>
      </c>
      <c r="J2915" t="s">
        <v>5330</v>
      </c>
      <c r="K2915" s="9">
        <v>44834</v>
      </c>
      <c r="L2915" t="s">
        <v>29</v>
      </c>
      <c r="M2915"/>
      <c r="N2915" s="9">
        <v>44778</v>
      </c>
      <c r="O2915" s="9">
        <v>44834</v>
      </c>
      <c r="P2915"/>
      <c r="Q2915"/>
      <c r="R2915"/>
      <c r="S2915"/>
      <c r="T2915"/>
      <c r="U2915"/>
    </row>
    <row r="2916" spans="1:21" hidden="1">
      <c r="A2916" s="7" t="s">
        <v>8875</v>
      </c>
      <c r="B2916" s="7" t="s">
        <v>6942</v>
      </c>
      <c r="C2916" s="8" t="s">
        <v>5319</v>
      </c>
      <c r="D2916" t="s">
        <v>272</v>
      </c>
      <c r="E2916" t="s">
        <v>2575</v>
      </c>
      <c r="F2916" t="s">
        <v>75</v>
      </c>
      <c r="G2916" t="s">
        <v>2582</v>
      </c>
      <c r="H2916" s="9">
        <v>44733</v>
      </c>
      <c r="I2916" t="s">
        <v>1435</v>
      </c>
      <c r="J2916" t="s">
        <v>5330</v>
      </c>
      <c r="K2916" s="9">
        <v>44834</v>
      </c>
      <c r="L2916" t="s">
        <v>29</v>
      </c>
      <c r="M2916"/>
      <c r="N2916" s="9">
        <v>44778</v>
      </c>
      <c r="O2916" s="9">
        <v>44834</v>
      </c>
      <c r="P2916"/>
      <c r="Q2916"/>
      <c r="R2916"/>
      <c r="S2916"/>
      <c r="T2916"/>
      <c r="U2916"/>
    </row>
    <row r="2917" spans="1:21" hidden="1">
      <c r="A2917" s="7" t="s">
        <v>8875</v>
      </c>
      <c r="B2917" s="7" t="s">
        <v>6942</v>
      </c>
      <c r="C2917" s="8" t="s">
        <v>5319</v>
      </c>
      <c r="D2917" t="s">
        <v>272</v>
      </c>
      <c r="E2917" t="s">
        <v>2575</v>
      </c>
      <c r="F2917" t="s">
        <v>75</v>
      </c>
      <c r="G2917" t="s">
        <v>2583</v>
      </c>
      <c r="H2917" s="9">
        <v>44733</v>
      </c>
      <c r="I2917" t="s">
        <v>1435</v>
      </c>
      <c r="J2917" t="s">
        <v>5330</v>
      </c>
      <c r="K2917" s="9">
        <v>44834</v>
      </c>
      <c r="L2917" t="s">
        <v>29</v>
      </c>
      <c r="M2917"/>
      <c r="N2917" s="9">
        <v>44778</v>
      </c>
      <c r="O2917" s="9">
        <v>44834</v>
      </c>
      <c r="P2917"/>
      <c r="Q2917"/>
      <c r="R2917"/>
      <c r="S2917"/>
      <c r="T2917"/>
      <c r="U2917"/>
    </row>
    <row r="2918" spans="1:21" hidden="1">
      <c r="A2918" s="7" t="s">
        <v>8875</v>
      </c>
      <c r="B2918" s="7" t="s">
        <v>6942</v>
      </c>
      <c r="C2918" s="8" t="s">
        <v>5319</v>
      </c>
      <c r="D2918" t="s">
        <v>272</v>
      </c>
      <c r="E2918" t="s">
        <v>2575</v>
      </c>
      <c r="F2918" t="s">
        <v>75</v>
      </c>
      <c r="G2918" t="s">
        <v>2584</v>
      </c>
      <c r="H2918" s="9">
        <v>44733</v>
      </c>
      <c r="I2918" t="s">
        <v>1435</v>
      </c>
      <c r="J2918" t="s">
        <v>5330</v>
      </c>
      <c r="K2918" s="9">
        <v>44834</v>
      </c>
      <c r="L2918" t="s">
        <v>29</v>
      </c>
      <c r="M2918"/>
      <c r="N2918" s="9">
        <v>44778</v>
      </c>
      <c r="O2918" s="9">
        <v>44834</v>
      </c>
      <c r="P2918"/>
      <c r="Q2918"/>
      <c r="R2918"/>
      <c r="S2918"/>
      <c r="T2918"/>
      <c r="U2918"/>
    </row>
    <row r="2919" spans="1:21" hidden="1">
      <c r="A2919" s="7" t="s">
        <v>8875</v>
      </c>
      <c r="B2919" s="7" t="s">
        <v>6942</v>
      </c>
      <c r="C2919" s="8" t="s">
        <v>5319</v>
      </c>
      <c r="D2919" t="s">
        <v>272</v>
      </c>
      <c r="E2919" t="s">
        <v>2575</v>
      </c>
      <c r="F2919" t="s">
        <v>75</v>
      </c>
      <c r="G2919" t="s">
        <v>2585</v>
      </c>
      <c r="H2919" s="9">
        <v>44733</v>
      </c>
      <c r="I2919" t="s">
        <v>1435</v>
      </c>
      <c r="J2919" t="s">
        <v>5330</v>
      </c>
      <c r="K2919" s="9">
        <v>44834</v>
      </c>
      <c r="L2919" t="s">
        <v>29</v>
      </c>
      <c r="M2919"/>
      <c r="N2919" s="9">
        <v>44778</v>
      </c>
      <c r="O2919" s="9">
        <v>44834</v>
      </c>
      <c r="P2919"/>
      <c r="Q2919"/>
      <c r="R2919"/>
      <c r="S2919"/>
      <c r="T2919"/>
      <c r="U2919"/>
    </row>
    <row r="2920" spans="1:21" hidden="1">
      <c r="A2920" s="7" t="s">
        <v>8875</v>
      </c>
      <c r="B2920" s="7" t="s">
        <v>6942</v>
      </c>
      <c r="C2920" s="8" t="s">
        <v>5319</v>
      </c>
      <c r="D2920" t="s">
        <v>272</v>
      </c>
      <c r="E2920" t="s">
        <v>2575</v>
      </c>
      <c r="F2920" t="s">
        <v>75</v>
      </c>
      <c r="G2920" t="s">
        <v>2586</v>
      </c>
      <c r="H2920" s="9">
        <v>44733</v>
      </c>
      <c r="I2920" t="s">
        <v>1435</v>
      </c>
      <c r="J2920" t="s">
        <v>5330</v>
      </c>
      <c r="K2920" s="9">
        <v>44834</v>
      </c>
      <c r="L2920" t="s">
        <v>29</v>
      </c>
      <c r="M2920"/>
      <c r="N2920" s="9">
        <v>44778</v>
      </c>
      <c r="O2920" s="9">
        <v>44834</v>
      </c>
      <c r="P2920"/>
      <c r="Q2920"/>
      <c r="R2920"/>
      <c r="S2920"/>
      <c r="T2920"/>
      <c r="U2920"/>
    </row>
    <row r="2921" spans="1:21" hidden="1">
      <c r="A2921" s="7" t="s">
        <v>8875</v>
      </c>
      <c r="B2921" s="7" t="s">
        <v>6942</v>
      </c>
      <c r="C2921" s="8" t="s">
        <v>5319</v>
      </c>
      <c r="D2921" t="s">
        <v>272</v>
      </c>
      <c r="E2921" t="s">
        <v>2575</v>
      </c>
      <c r="F2921" t="s">
        <v>75</v>
      </c>
      <c r="G2921" t="s">
        <v>2587</v>
      </c>
      <c r="H2921" s="9">
        <v>44733</v>
      </c>
      <c r="I2921" t="s">
        <v>1435</v>
      </c>
      <c r="J2921" t="s">
        <v>5330</v>
      </c>
      <c r="K2921" s="9">
        <v>44834</v>
      </c>
      <c r="L2921" t="s">
        <v>29</v>
      </c>
      <c r="M2921"/>
      <c r="N2921" s="9">
        <v>44778</v>
      </c>
      <c r="O2921" s="9">
        <v>44834</v>
      </c>
      <c r="P2921"/>
      <c r="Q2921"/>
      <c r="R2921"/>
      <c r="S2921"/>
      <c r="T2921"/>
      <c r="U2921"/>
    </row>
    <row r="2922" spans="1:21" hidden="1">
      <c r="A2922" s="7" t="s">
        <v>8875</v>
      </c>
      <c r="B2922" s="7" t="s">
        <v>6942</v>
      </c>
      <c r="C2922" s="8" t="s">
        <v>5319</v>
      </c>
      <c r="D2922" t="s">
        <v>272</v>
      </c>
      <c r="E2922" t="s">
        <v>2575</v>
      </c>
      <c r="F2922" t="s">
        <v>75</v>
      </c>
      <c r="G2922" t="s">
        <v>2588</v>
      </c>
      <c r="H2922" s="9">
        <v>44733</v>
      </c>
      <c r="I2922" t="s">
        <v>1435</v>
      </c>
      <c r="J2922" t="s">
        <v>5330</v>
      </c>
      <c r="K2922" s="9">
        <v>44834</v>
      </c>
      <c r="L2922" t="s">
        <v>29</v>
      </c>
      <c r="M2922"/>
      <c r="N2922" s="9">
        <v>44778</v>
      </c>
      <c r="O2922" s="9">
        <v>44834</v>
      </c>
      <c r="P2922"/>
      <c r="Q2922"/>
      <c r="R2922"/>
      <c r="S2922"/>
      <c r="T2922"/>
      <c r="U2922"/>
    </row>
    <row r="2923" spans="1:21" hidden="1">
      <c r="A2923" s="7" t="s">
        <v>8875</v>
      </c>
      <c r="B2923" s="7" t="s">
        <v>6942</v>
      </c>
      <c r="C2923" s="8" t="s">
        <v>5319</v>
      </c>
      <c r="D2923" t="s">
        <v>272</v>
      </c>
      <c r="E2923" t="s">
        <v>2575</v>
      </c>
      <c r="F2923" t="s">
        <v>75</v>
      </c>
      <c r="G2923" t="s">
        <v>2589</v>
      </c>
      <c r="H2923" s="9">
        <v>44733</v>
      </c>
      <c r="I2923" t="s">
        <v>1435</v>
      </c>
      <c r="J2923" t="s">
        <v>5330</v>
      </c>
      <c r="K2923" s="9">
        <v>44834</v>
      </c>
      <c r="L2923" t="s">
        <v>29</v>
      </c>
      <c r="M2923"/>
      <c r="N2923" s="9">
        <v>44778</v>
      </c>
      <c r="O2923" s="9">
        <v>44834</v>
      </c>
      <c r="P2923"/>
      <c r="Q2923"/>
      <c r="R2923"/>
      <c r="S2923"/>
      <c r="T2923"/>
      <c r="U2923"/>
    </row>
    <row r="2924" spans="1:21" hidden="1">
      <c r="A2924" s="7" t="s">
        <v>8875</v>
      </c>
      <c r="B2924" s="7" t="s">
        <v>6942</v>
      </c>
      <c r="C2924" s="8" t="s">
        <v>5319</v>
      </c>
      <c r="D2924" t="s">
        <v>272</v>
      </c>
      <c r="E2924" t="s">
        <v>2575</v>
      </c>
      <c r="F2924" t="s">
        <v>75</v>
      </c>
      <c r="G2924" t="s">
        <v>2590</v>
      </c>
      <c r="H2924" s="9">
        <v>44733</v>
      </c>
      <c r="I2924" t="s">
        <v>1435</v>
      </c>
      <c r="J2924" t="s">
        <v>5330</v>
      </c>
      <c r="K2924" s="9">
        <v>44834</v>
      </c>
      <c r="L2924" t="s">
        <v>29</v>
      </c>
      <c r="M2924"/>
      <c r="N2924" s="9">
        <v>44778</v>
      </c>
      <c r="O2924" s="9">
        <v>44834</v>
      </c>
      <c r="P2924"/>
      <c r="Q2924"/>
      <c r="R2924"/>
      <c r="S2924"/>
      <c r="T2924"/>
      <c r="U2924"/>
    </row>
    <row r="2925" spans="1:21" hidden="1">
      <c r="A2925" s="7" t="s">
        <v>8875</v>
      </c>
      <c r="B2925" s="7" t="s">
        <v>6942</v>
      </c>
      <c r="C2925" s="8" t="s">
        <v>5319</v>
      </c>
      <c r="D2925" t="s">
        <v>272</v>
      </c>
      <c r="E2925" t="s">
        <v>2575</v>
      </c>
      <c r="F2925" t="s">
        <v>75</v>
      </c>
      <c r="G2925" t="s">
        <v>2591</v>
      </c>
      <c r="H2925" s="9">
        <v>44733</v>
      </c>
      <c r="I2925" t="s">
        <v>1435</v>
      </c>
      <c r="J2925" t="s">
        <v>5330</v>
      </c>
      <c r="K2925" s="9">
        <v>44834</v>
      </c>
      <c r="L2925" t="s">
        <v>29</v>
      </c>
      <c r="M2925"/>
      <c r="N2925" s="9">
        <v>44778</v>
      </c>
      <c r="O2925" s="9">
        <v>44834</v>
      </c>
      <c r="P2925"/>
      <c r="Q2925"/>
      <c r="R2925"/>
      <c r="S2925"/>
      <c r="T2925"/>
      <c r="U2925"/>
    </row>
    <row r="2926" spans="1:21" hidden="1">
      <c r="A2926" s="7" t="s">
        <v>8875</v>
      </c>
      <c r="B2926" s="7" t="s">
        <v>6942</v>
      </c>
      <c r="C2926" s="8" t="s">
        <v>5319</v>
      </c>
      <c r="D2926" t="s">
        <v>272</v>
      </c>
      <c r="E2926" t="s">
        <v>2575</v>
      </c>
      <c r="F2926" t="s">
        <v>75</v>
      </c>
      <c r="G2926" t="s">
        <v>2592</v>
      </c>
      <c r="H2926" s="9">
        <v>44733</v>
      </c>
      <c r="I2926" t="s">
        <v>1435</v>
      </c>
      <c r="J2926" t="s">
        <v>5330</v>
      </c>
      <c r="K2926" s="9">
        <v>44834</v>
      </c>
      <c r="L2926" t="s">
        <v>29</v>
      </c>
      <c r="M2926"/>
      <c r="N2926" s="9">
        <v>44778</v>
      </c>
      <c r="O2926" s="9">
        <v>44834</v>
      </c>
      <c r="P2926"/>
      <c r="Q2926"/>
      <c r="R2926"/>
      <c r="S2926"/>
      <c r="T2926"/>
      <c r="U2926"/>
    </row>
    <row r="2927" spans="1:21" hidden="1">
      <c r="A2927" s="7" t="s">
        <v>8741</v>
      </c>
      <c r="B2927" s="7" t="s">
        <v>6723</v>
      </c>
      <c r="C2927" s="8" t="s">
        <v>5319</v>
      </c>
      <c r="D2927" t="s">
        <v>272</v>
      </c>
      <c r="E2927" t="s">
        <v>320</v>
      </c>
      <c r="F2927" t="s">
        <v>231</v>
      </c>
      <c r="G2927" t="s">
        <v>2593</v>
      </c>
      <c r="H2927" s="9">
        <v>44733</v>
      </c>
      <c r="I2927" t="s">
        <v>322</v>
      </c>
      <c r="J2927" t="s">
        <v>5330</v>
      </c>
      <c r="K2927" s="9">
        <v>44834</v>
      </c>
      <c r="L2927" t="s">
        <v>29</v>
      </c>
      <c r="M2927"/>
      <c r="N2927" s="9">
        <v>44778</v>
      </c>
      <c r="O2927" s="9">
        <v>44834</v>
      </c>
      <c r="P2927"/>
      <c r="Q2927"/>
      <c r="R2927"/>
      <c r="S2927"/>
      <c r="T2927"/>
      <c r="U2927"/>
    </row>
    <row r="2928" spans="1:21" hidden="1">
      <c r="A2928" s="7" t="s">
        <v>8741</v>
      </c>
      <c r="B2928" s="7" t="s">
        <v>6723</v>
      </c>
      <c r="C2928" s="8" t="s">
        <v>5319</v>
      </c>
      <c r="D2928" t="s">
        <v>272</v>
      </c>
      <c r="E2928" t="s">
        <v>320</v>
      </c>
      <c r="F2928" t="s">
        <v>231</v>
      </c>
      <c r="G2928" t="s">
        <v>2594</v>
      </c>
      <c r="H2928" s="9">
        <v>44733</v>
      </c>
      <c r="I2928" t="s">
        <v>322</v>
      </c>
      <c r="J2928" t="s">
        <v>5330</v>
      </c>
      <c r="K2928" s="9">
        <v>44834</v>
      </c>
      <c r="L2928" t="s">
        <v>29</v>
      </c>
      <c r="M2928"/>
      <c r="N2928" s="9">
        <v>44778</v>
      </c>
      <c r="O2928" s="9">
        <v>44834</v>
      </c>
      <c r="P2928"/>
      <c r="Q2928"/>
      <c r="R2928"/>
      <c r="S2928"/>
      <c r="T2928"/>
      <c r="U2928"/>
    </row>
    <row r="2929" spans="1:21" hidden="1">
      <c r="A2929" s="7" t="s">
        <v>8741</v>
      </c>
      <c r="B2929" s="7" t="s">
        <v>6723</v>
      </c>
      <c r="C2929" s="8" t="s">
        <v>5319</v>
      </c>
      <c r="D2929" t="s">
        <v>272</v>
      </c>
      <c r="E2929" t="s">
        <v>320</v>
      </c>
      <c r="F2929" t="s">
        <v>231</v>
      </c>
      <c r="G2929" t="s">
        <v>2595</v>
      </c>
      <c r="H2929" s="9">
        <v>44733</v>
      </c>
      <c r="I2929" t="s">
        <v>322</v>
      </c>
      <c r="J2929" t="s">
        <v>5330</v>
      </c>
      <c r="K2929" s="9">
        <v>44834</v>
      </c>
      <c r="L2929" t="s">
        <v>29</v>
      </c>
      <c r="M2929"/>
      <c r="N2929" s="9">
        <v>44778</v>
      </c>
      <c r="O2929" s="9">
        <v>44834</v>
      </c>
      <c r="P2929"/>
      <c r="Q2929"/>
      <c r="R2929"/>
      <c r="S2929"/>
      <c r="T2929"/>
      <c r="U2929"/>
    </row>
    <row r="2930" spans="1:21" hidden="1">
      <c r="A2930" s="7" t="s">
        <v>8741</v>
      </c>
      <c r="B2930" s="7" t="s">
        <v>6723</v>
      </c>
      <c r="C2930" s="8" t="s">
        <v>5319</v>
      </c>
      <c r="D2930" t="s">
        <v>272</v>
      </c>
      <c r="E2930" t="s">
        <v>320</v>
      </c>
      <c r="F2930" t="s">
        <v>231</v>
      </c>
      <c r="G2930" t="s">
        <v>2596</v>
      </c>
      <c r="H2930" s="9">
        <v>44733</v>
      </c>
      <c r="I2930" t="s">
        <v>322</v>
      </c>
      <c r="J2930" t="s">
        <v>5330</v>
      </c>
      <c r="K2930" s="9">
        <v>44834</v>
      </c>
      <c r="L2930" t="s">
        <v>29</v>
      </c>
      <c r="M2930"/>
      <c r="N2930" s="9">
        <v>44778</v>
      </c>
      <c r="O2930" s="9">
        <v>44834</v>
      </c>
      <c r="P2930"/>
      <c r="Q2930"/>
      <c r="R2930"/>
      <c r="S2930"/>
      <c r="T2930"/>
      <c r="U2930"/>
    </row>
    <row r="2931" spans="1:21" hidden="1">
      <c r="A2931" s="7" t="s">
        <v>8741</v>
      </c>
      <c r="B2931" s="7" t="s">
        <v>6723</v>
      </c>
      <c r="C2931" s="8" t="s">
        <v>5319</v>
      </c>
      <c r="D2931" t="s">
        <v>272</v>
      </c>
      <c r="E2931" t="s">
        <v>320</v>
      </c>
      <c r="F2931" t="s">
        <v>231</v>
      </c>
      <c r="G2931" t="s">
        <v>2597</v>
      </c>
      <c r="H2931" s="9">
        <v>44733</v>
      </c>
      <c r="I2931" t="s">
        <v>322</v>
      </c>
      <c r="J2931" t="s">
        <v>5330</v>
      </c>
      <c r="K2931" s="9">
        <v>44834</v>
      </c>
      <c r="L2931" t="s">
        <v>29</v>
      </c>
      <c r="M2931"/>
      <c r="N2931" s="9">
        <v>44778</v>
      </c>
      <c r="O2931" s="9">
        <v>44834</v>
      </c>
      <c r="P2931"/>
      <c r="Q2931"/>
      <c r="R2931"/>
      <c r="S2931"/>
      <c r="T2931"/>
      <c r="U2931"/>
    </row>
    <row r="2932" spans="1:21" hidden="1">
      <c r="A2932" s="7" t="s">
        <v>8741</v>
      </c>
      <c r="B2932" s="7" t="s">
        <v>6723</v>
      </c>
      <c r="C2932" s="8" t="s">
        <v>5319</v>
      </c>
      <c r="D2932" t="s">
        <v>272</v>
      </c>
      <c r="E2932" t="s">
        <v>320</v>
      </c>
      <c r="F2932" t="s">
        <v>231</v>
      </c>
      <c r="G2932" t="s">
        <v>2598</v>
      </c>
      <c r="H2932" s="9">
        <v>44733</v>
      </c>
      <c r="I2932" t="s">
        <v>322</v>
      </c>
      <c r="J2932" t="s">
        <v>5330</v>
      </c>
      <c r="K2932" s="9">
        <v>44834</v>
      </c>
      <c r="L2932" t="s">
        <v>29</v>
      </c>
      <c r="M2932"/>
      <c r="N2932" s="9">
        <v>44778</v>
      </c>
      <c r="O2932" s="9">
        <v>44834</v>
      </c>
      <c r="P2932"/>
      <c r="Q2932"/>
      <c r="R2932"/>
      <c r="S2932"/>
      <c r="T2932"/>
      <c r="U2932"/>
    </row>
    <row r="2933" spans="1:21" hidden="1">
      <c r="A2933" s="7" t="s">
        <v>8741</v>
      </c>
      <c r="B2933" s="7" t="s">
        <v>6723</v>
      </c>
      <c r="C2933" s="8" t="s">
        <v>5319</v>
      </c>
      <c r="D2933" t="s">
        <v>272</v>
      </c>
      <c r="E2933" t="s">
        <v>320</v>
      </c>
      <c r="F2933" t="s">
        <v>231</v>
      </c>
      <c r="G2933" t="s">
        <v>2599</v>
      </c>
      <c r="H2933" s="9">
        <v>44733</v>
      </c>
      <c r="I2933" t="s">
        <v>322</v>
      </c>
      <c r="J2933" t="s">
        <v>5330</v>
      </c>
      <c r="K2933" s="9">
        <v>44834</v>
      </c>
      <c r="L2933" t="s">
        <v>29</v>
      </c>
      <c r="M2933"/>
      <c r="N2933" s="9">
        <v>44778</v>
      </c>
      <c r="O2933" s="9">
        <v>44834</v>
      </c>
      <c r="P2933"/>
      <c r="Q2933"/>
      <c r="R2933"/>
      <c r="S2933"/>
      <c r="T2933"/>
      <c r="U2933"/>
    </row>
    <row r="2934" spans="1:21" hidden="1">
      <c r="A2934" s="7" t="s">
        <v>8741</v>
      </c>
      <c r="B2934" s="7" t="s">
        <v>6723</v>
      </c>
      <c r="C2934" s="8" t="s">
        <v>5319</v>
      </c>
      <c r="D2934" t="s">
        <v>272</v>
      </c>
      <c r="E2934" t="s">
        <v>320</v>
      </c>
      <c r="F2934" t="s">
        <v>231</v>
      </c>
      <c r="G2934" t="s">
        <v>2600</v>
      </c>
      <c r="H2934" s="9">
        <v>44733</v>
      </c>
      <c r="I2934" t="s">
        <v>322</v>
      </c>
      <c r="J2934" t="s">
        <v>5330</v>
      </c>
      <c r="K2934" s="9">
        <v>44834</v>
      </c>
      <c r="L2934" t="s">
        <v>29</v>
      </c>
      <c r="M2934"/>
      <c r="N2934" s="9">
        <v>44778</v>
      </c>
      <c r="O2934" s="9">
        <v>44834</v>
      </c>
      <c r="P2934"/>
      <c r="Q2934"/>
      <c r="R2934"/>
      <c r="S2934"/>
      <c r="T2934"/>
      <c r="U2934"/>
    </row>
    <row r="2935" spans="1:21" hidden="1">
      <c r="A2935" s="7" t="s">
        <v>8841</v>
      </c>
      <c r="B2935" s="7" t="s">
        <v>7703</v>
      </c>
      <c r="C2935" s="8" t="s">
        <v>5319</v>
      </c>
      <c r="D2935" t="s">
        <v>272</v>
      </c>
      <c r="E2935" t="s">
        <v>2095</v>
      </c>
      <c r="F2935" t="s">
        <v>117</v>
      </c>
      <c r="G2935" t="s">
        <v>2601</v>
      </c>
      <c r="H2935" s="9">
        <v>44733</v>
      </c>
      <c r="I2935" t="s">
        <v>509</v>
      </c>
      <c r="J2935" t="s">
        <v>276</v>
      </c>
      <c r="K2935" s="9">
        <v>44883.786504629599</v>
      </c>
      <c r="L2935" t="s">
        <v>29</v>
      </c>
      <c r="M2935"/>
      <c r="N2935" s="9">
        <v>44778</v>
      </c>
      <c r="O2935" s="9">
        <v>44834</v>
      </c>
      <c r="P2935"/>
      <c r="Q2935"/>
      <c r="R2935" s="9">
        <v>44883.785590277803</v>
      </c>
      <c r="S2935"/>
      <c r="T2935"/>
      <c r="U2935"/>
    </row>
    <row r="2936" spans="1:21" hidden="1">
      <c r="A2936" s="7" t="s">
        <v>8759</v>
      </c>
      <c r="B2936" s="7" t="s">
        <v>7777</v>
      </c>
      <c r="C2936" s="8" t="s">
        <v>5319</v>
      </c>
      <c r="D2936" t="s">
        <v>272</v>
      </c>
      <c r="E2936" t="s">
        <v>507</v>
      </c>
      <c r="F2936" t="s">
        <v>117</v>
      </c>
      <c r="G2936" t="s">
        <v>2602</v>
      </c>
      <c r="H2936" s="9">
        <v>44733</v>
      </c>
      <c r="I2936" t="s">
        <v>509</v>
      </c>
      <c r="J2936" t="s">
        <v>5330</v>
      </c>
      <c r="K2936" s="9">
        <v>44834</v>
      </c>
      <c r="L2936" t="s">
        <v>29</v>
      </c>
      <c r="M2936"/>
      <c r="N2936" s="9">
        <v>44778</v>
      </c>
      <c r="O2936" s="9">
        <v>44834</v>
      </c>
      <c r="P2936"/>
      <c r="Q2936"/>
      <c r="R2936"/>
      <c r="S2936"/>
      <c r="T2936"/>
      <c r="U2936"/>
    </row>
    <row r="2937" spans="1:21" hidden="1">
      <c r="A2937" s="7" t="s">
        <v>8712</v>
      </c>
      <c r="B2937" s="7" t="s">
        <v>5405</v>
      </c>
      <c r="C2937" s="8" t="s">
        <v>5319</v>
      </c>
      <c r="D2937" t="s">
        <v>272</v>
      </c>
      <c r="E2937" t="s">
        <v>25</v>
      </c>
      <c r="F2937" t="s">
        <v>26</v>
      </c>
      <c r="G2937" t="s">
        <v>2603</v>
      </c>
      <c r="H2937" s="9">
        <v>44733</v>
      </c>
      <c r="I2937" t="s">
        <v>8634</v>
      </c>
      <c r="J2937" t="s">
        <v>0</v>
      </c>
      <c r="K2937" s="9">
        <v>44882</v>
      </c>
      <c r="L2937" t="s">
        <v>29</v>
      </c>
      <c r="M2937"/>
      <c r="N2937" s="9">
        <v>44778</v>
      </c>
      <c r="O2937"/>
      <c r="P2937"/>
      <c r="Q2937" s="9">
        <v>44882</v>
      </c>
      <c r="R2937"/>
      <c r="S2937"/>
      <c r="T2937"/>
      <c r="U2937"/>
    </row>
    <row r="2938" spans="1:21" hidden="1">
      <c r="A2938" s="7" t="s">
        <v>8728</v>
      </c>
      <c r="B2938" s="7" t="s">
        <v>5405</v>
      </c>
      <c r="C2938" s="8" t="s">
        <v>5319</v>
      </c>
      <c r="D2938" t="s">
        <v>272</v>
      </c>
      <c r="E2938" t="s">
        <v>25</v>
      </c>
      <c r="F2938" t="s">
        <v>200</v>
      </c>
      <c r="G2938" t="s">
        <v>2604</v>
      </c>
      <c r="H2938" s="9">
        <v>44733</v>
      </c>
      <c r="I2938" t="s">
        <v>8634</v>
      </c>
      <c r="J2938" t="s">
        <v>0</v>
      </c>
      <c r="K2938" s="9">
        <v>44862</v>
      </c>
      <c r="L2938" t="s">
        <v>29</v>
      </c>
      <c r="M2938"/>
      <c r="N2938" s="9">
        <v>44778</v>
      </c>
      <c r="O2938"/>
      <c r="P2938"/>
      <c r="Q2938" s="9">
        <v>44862</v>
      </c>
      <c r="R2938"/>
      <c r="S2938"/>
      <c r="T2938"/>
      <c r="U2938"/>
    </row>
    <row r="2939" spans="1:21" hidden="1">
      <c r="A2939" s="7" t="s">
        <v>8876</v>
      </c>
      <c r="B2939" s="7" t="s">
        <v>7184</v>
      </c>
      <c r="C2939" s="8" t="s">
        <v>5319</v>
      </c>
      <c r="D2939" t="s">
        <v>272</v>
      </c>
      <c r="E2939" t="s">
        <v>2605</v>
      </c>
      <c r="F2939" t="s">
        <v>209</v>
      </c>
      <c r="G2939" t="s">
        <v>2606</v>
      </c>
      <c r="H2939" s="9">
        <v>44733</v>
      </c>
      <c r="I2939" t="s">
        <v>758</v>
      </c>
      <c r="J2939" t="s">
        <v>0</v>
      </c>
      <c r="K2939" s="9">
        <v>44743</v>
      </c>
      <c r="L2939" t="s">
        <v>29</v>
      </c>
      <c r="M2939"/>
      <c r="N2939"/>
      <c r="O2939"/>
      <c r="P2939"/>
      <c r="Q2939" s="9">
        <v>44743</v>
      </c>
      <c r="R2939"/>
      <c r="S2939"/>
      <c r="T2939"/>
      <c r="U2939"/>
    </row>
    <row r="2940" spans="1:21" hidden="1">
      <c r="A2940" s="7" t="s">
        <v>8876</v>
      </c>
      <c r="B2940" s="7" t="s">
        <v>7184</v>
      </c>
      <c r="C2940" s="8" t="s">
        <v>5319</v>
      </c>
      <c r="D2940" t="s">
        <v>272</v>
      </c>
      <c r="E2940" t="s">
        <v>2605</v>
      </c>
      <c r="F2940" t="s">
        <v>209</v>
      </c>
      <c r="G2940" t="s">
        <v>2607</v>
      </c>
      <c r="H2940" s="9">
        <v>44733</v>
      </c>
      <c r="I2940" t="s">
        <v>758</v>
      </c>
      <c r="J2940" t="s">
        <v>0</v>
      </c>
      <c r="K2940" s="9">
        <v>44743</v>
      </c>
      <c r="L2940" t="s">
        <v>29</v>
      </c>
      <c r="M2940"/>
      <c r="N2940"/>
      <c r="O2940"/>
      <c r="P2940"/>
      <c r="Q2940" s="9">
        <v>44743</v>
      </c>
      <c r="R2940"/>
      <c r="S2940"/>
      <c r="T2940"/>
      <c r="U2940"/>
    </row>
    <row r="2941" spans="1:21" hidden="1">
      <c r="A2941" s="7" t="s">
        <v>8876</v>
      </c>
      <c r="B2941" s="7" t="s">
        <v>7184</v>
      </c>
      <c r="C2941" s="8" t="s">
        <v>5319</v>
      </c>
      <c r="D2941" t="s">
        <v>272</v>
      </c>
      <c r="E2941" t="s">
        <v>2605</v>
      </c>
      <c r="F2941" t="s">
        <v>209</v>
      </c>
      <c r="G2941" t="s">
        <v>2608</v>
      </c>
      <c r="H2941" s="9">
        <v>44733</v>
      </c>
      <c r="I2941" t="s">
        <v>758</v>
      </c>
      <c r="J2941" t="s">
        <v>0</v>
      </c>
      <c r="K2941" s="9">
        <v>44743</v>
      </c>
      <c r="L2941" t="s">
        <v>29</v>
      </c>
      <c r="M2941"/>
      <c r="N2941"/>
      <c r="O2941"/>
      <c r="P2941"/>
      <c r="Q2941" s="9">
        <v>44743</v>
      </c>
      <c r="R2941"/>
      <c r="S2941"/>
      <c r="T2941"/>
      <c r="U2941"/>
    </row>
    <row r="2942" spans="1:21" hidden="1">
      <c r="A2942" s="7" t="s">
        <v>8877</v>
      </c>
      <c r="B2942" s="7" t="s">
        <v>8360</v>
      </c>
      <c r="C2942" s="8" t="s">
        <v>5319</v>
      </c>
      <c r="D2942" t="s">
        <v>272</v>
      </c>
      <c r="E2942" t="s">
        <v>2609</v>
      </c>
      <c r="F2942" t="s">
        <v>117</v>
      </c>
      <c r="G2942" t="s">
        <v>2610</v>
      </c>
      <c r="H2942" s="9">
        <v>44733</v>
      </c>
      <c r="I2942" t="s">
        <v>322</v>
      </c>
      <c r="J2942" t="s">
        <v>5330</v>
      </c>
      <c r="K2942" s="9">
        <v>44834</v>
      </c>
      <c r="L2942" t="s">
        <v>29</v>
      </c>
      <c r="M2942"/>
      <c r="N2942" s="9">
        <v>44778</v>
      </c>
      <c r="O2942" s="9">
        <v>44834</v>
      </c>
      <c r="P2942"/>
      <c r="Q2942"/>
      <c r="R2942"/>
      <c r="S2942"/>
      <c r="T2942"/>
      <c r="U2942"/>
    </row>
    <row r="2943" spans="1:21" hidden="1">
      <c r="A2943" s="7" t="s">
        <v>8878</v>
      </c>
      <c r="B2943" s="7" t="s">
        <v>7298</v>
      </c>
      <c r="C2943" s="8" t="s">
        <v>5319</v>
      </c>
      <c r="D2943" t="s">
        <v>272</v>
      </c>
      <c r="E2943" t="s">
        <v>2611</v>
      </c>
      <c r="F2943" t="s">
        <v>117</v>
      </c>
      <c r="G2943" t="s">
        <v>2612</v>
      </c>
      <c r="H2943" s="9">
        <v>44733</v>
      </c>
      <c r="I2943" t="s">
        <v>85</v>
      </c>
      <c r="J2943" t="s">
        <v>0</v>
      </c>
      <c r="K2943" s="9">
        <v>44810</v>
      </c>
      <c r="L2943" t="s">
        <v>29</v>
      </c>
      <c r="M2943"/>
      <c r="N2943" s="9">
        <v>44778</v>
      </c>
      <c r="O2943"/>
      <c r="P2943"/>
      <c r="Q2943" s="9">
        <v>44810</v>
      </c>
      <c r="R2943" s="9">
        <v>44789.589328703703</v>
      </c>
      <c r="S2943"/>
      <c r="T2943"/>
      <c r="U2943"/>
    </row>
    <row r="2944" spans="1:21" hidden="1">
      <c r="A2944" s="7" t="s">
        <v>8878</v>
      </c>
      <c r="B2944" s="7" t="s">
        <v>7298</v>
      </c>
      <c r="C2944" s="8" t="s">
        <v>5319</v>
      </c>
      <c r="D2944" t="s">
        <v>272</v>
      </c>
      <c r="E2944" t="s">
        <v>2611</v>
      </c>
      <c r="F2944" t="s">
        <v>117</v>
      </c>
      <c r="G2944" t="s">
        <v>2613</v>
      </c>
      <c r="H2944" s="9">
        <v>44733</v>
      </c>
      <c r="I2944" t="s">
        <v>85</v>
      </c>
      <c r="J2944" t="s">
        <v>0</v>
      </c>
      <c r="K2944" s="9">
        <v>44810</v>
      </c>
      <c r="L2944" t="s">
        <v>29</v>
      </c>
      <c r="M2944"/>
      <c r="N2944" s="9">
        <v>44778</v>
      </c>
      <c r="O2944"/>
      <c r="P2944"/>
      <c r="Q2944" s="9">
        <v>44810</v>
      </c>
      <c r="R2944"/>
      <c r="S2944"/>
      <c r="T2944"/>
      <c r="U2944"/>
    </row>
    <row r="2945" spans="1:21" hidden="1">
      <c r="A2945" s="7" t="s">
        <v>8832</v>
      </c>
      <c r="B2945" s="7" t="s">
        <v>8356</v>
      </c>
      <c r="C2945" s="8" t="s">
        <v>5319</v>
      </c>
      <c r="D2945" t="s">
        <v>272</v>
      </c>
      <c r="E2945" t="s">
        <v>1780</v>
      </c>
      <c r="F2945" t="s">
        <v>117</v>
      </c>
      <c r="G2945" t="s">
        <v>1782</v>
      </c>
      <c r="H2945" s="9">
        <v>44733</v>
      </c>
      <c r="I2945" t="s">
        <v>330</v>
      </c>
      <c r="J2945" t="s">
        <v>0</v>
      </c>
      <c r="K2945" s="9">
        <v>44882</v>
      </c>
      <c r="L2945" t="s">
        <v>29</v>
      </c>
      <c r="M2945"/>
      <c r="N2945" s="9">
        <v>44778</v>
      </c>
      <c r="O2945" s="9">
        <v>44834</v>
      </c>
      <c r="P2945"/>
      <c r="Q2945" s="9">
        <v>44882</v>
      </c>
      <c r="R2945"/>
      <c r="S2945"/>
      <c r="T2945"/>
      <c r="U2945"/>
    </row>
    <row r="2946" spans="1:21" hidden="1">
      <c r="A2946" s="7" t="s">
        <v>8832</v>
      </c>
      <c r="B2946" s="7" t="s">
        <v>8356</v>
      </c>
      <c r="C2946" s="8" t="s">
        <v>5319</v>
      </c>
      <c r="D2946" t="s">
        <v>272</v>
      </c>
      <c r="E2946" t="s">
        <v>1780</v>
      </c>
      <c r="F2946" t="s">
        <v>117</v>
      </c>
      <c r="G2946" t="s">
        <v>2614</v>
      </c>
      <c r="H2946" s="9">
        <v>44733</v>
      </c>
      <c r="I2946" t="s">
        <v>330</v>
      </c>
      <c r="J2946" t="s">
        <v>0</v>
      </c>
      <c r="K2946" s="9">
        <v>44882</v>
      </c>
      <c r="L2946" t="s">
        <v>29</v>
      </c>
      <c r="M2946"/>
      <c r="N2946" s="9">
        <v>44778</v>
      </c>
      <c r="O2946" s="9">
        <v>44834</v>
      </c>
      <c r="P2946"/>
      <c r="Q2946" s="9">
        <v>44882</v>
      </c>
      <c r="R2946"/>
      <c r="S2946"/>
      <c r="T2946"/>
      <c r="U2946"/>
    </row>
    <row r="2947" spans="1:21" hidden="1">
      <c r="A2947" s="7" t="s">
        <v>8832</v>
      </c>
      <c r="B2947" s="7" t="s">
        <v>8356</v>
      </c>
      <c r="C2947" s="8" t="s">
        <v>5319</v>
      </c>
      <c r="D2947" t="s">
        <v>272</v>
      </c>
      <c r="E2947" t="s">
        <v>1780</v>
      </c>
      <c r="F2947" t="s">
        <v>117</v>
      </c>
      <c r="G2947" t="s">
        <v>1786</v>
      </c>
      <c r="H2947" s="9">
        <v>44733</v>
      </c>
      <c r="I2947" t="s">
        <v>330</v>
      </c>
      <c r="J2947" t="s">
        <v>0</v>
      </c>
      <c r="K2947" s="9">
        <v>44882</v>
      </c>
      <c r="L2947" t="s">
        <v>29</v>
      </c>
      <c r="M2947"/>
      <c r="N2947" s="9">
        <v>44778</v>
      </c>
      <c r="O2947" s="9">
        <v>44834</v>
      </c>
      <c r="P2947"/>
      <c r="Q2947" s="9">
        <v>44882</v>
      </c>
      <c r="R2947"/>
      <c r="S2947"/>
      <c r="T2947"/>
      <c r="U2947"/>
    </row>
    <row r="2948" spans="1:21" hidden="1">
      <c r="A2948" s="7" t="s">
        <v>8832</v>
      </c>
      <c r="B2948" s="7" t="s">
        <v>8356</v>
      </c>
      <c r="C2948" s="8" t="s">
        <v>5319</v>
      </c>
      <c r="D2948" t="s">
        <v>272</v>
      </c>
      <c r="E2948" t="s">
        <v>1780</v>
      </c>
      <c r="F2948" t="s">
        <v>117</v>
      </c>
      <c r="G2948" t="s">
        <v>1787</v>
      </c>
      <c r="H2948" s="9">
        <v>44733</v>
      </c>
      <c r="I2948" t="s">
        <v>330</v>
      </c>
      <c r="J2948" t="s">
        <v>0</v>
      </c>
      <c r="K2948" s="9">
        <v>44882</v>
      </c>
      <c r="L2948" t="s">
        <v>29</v>
      </c>
      <c r="M2948"/>
      <c r="N2948" s="9">
        <v>44778</v>
      </c>
      <c r="O2948" s="9">
        <v>44834</v>
      </c>
      <c r="P2948"/>
      <c r="Q2948" s="9">
        <v>44882</v>
      </c>
      <c r="R2948"/>
      <c r="S2948"/>
      <c r="T2948"/>
      <c r="U2948"/>
    </row>
    <row r="2949" spans="1:21" hidden="1">
      <c r="A2949" s="7" t="s">
        <v>8832</v>
      </c>
      <c r="B2949" s="7" t="s">
        <v>8356</v>
      </c>
      <c r="C2949" s="8" t="s">
        <v>5319</v>
      </c>
      <c r="D2949" t="s">
        <v>272</v>
      </c>
      <c r="E2949" t="s">
        <v>1780</v>
      </c>
      <c r="F2949" t="s">
        <v>117</v>
      </c>
      <c r="G2949" t="s">
        <v>1788</v>
      </c>
      <c r="H2949" s="9">
        <v>44733</v>
      </c>
      <c r="I2949" t="s">
        <v>330</v>
      </c>
      <c r="J2949" t="s">
        <v>0</v>
      </c>
      <c r="K2949" s="9">
        <v>44882</v>
      </c>
      <c r="L2949" t="s">
        <v>29</v>
      </c>
      <c r="M2949"/>
      <c r="N2949" s="9">
        <v>44778</v>
      </c>
      <c r="O2949" s="9">
        <v>44834</v>
      </c>
      <c r="P2949"/>
      <c r="Q2949" s="9">
        <v>44882</v>
      </c>
      <c r="R2949"/>
      <c r="S2949"/>
      <c r="T2949"/>
      <c r="U2949"/>
    </row>
    <row r="2950" spans="1:21" hidden="1">
      <c r="A2950" s="7" t="s">
        <v>8832</v>
      </c>
      <c r="B2950" s="7" t="s">
        <v>8356</v>
      </c>
      <c r="C2950" s="8" t="s">
        <v>5319</v>
      </c>
      <c r="D2950" t="s">
        <v>272</v>
      </c>
      <c r="E2950" t="s">
        <v>1780</v>
      </c>
      <c r="F2950" t="s">
        <v>117</v>
      </c>
      <c r="G2950" t="s">
        <v>1789</v>
      </c>
      <c r="H2950" s="9">
        <v>44733</v>
      </c>
      <c r="I2950" t="s">
        <v>330</v>
      </c>
      <c r="J2950" t="s">
        <v>0</v>
      </c>
      <c r="K2950" s="9">
        <v>44882</v>
      </c>
      <c r="L2950" t="s">
        <v>29</v>
      </c>
      <c r="M2950"/>
      <c r="N2950" s="9">
        <v>44778</v>
      </c>
      <c r="O2950" s="9">
        <v>44834</v>
      </c>
      <c r="P2950"/>
      <c r="Q2950" s="9">
        <v>44882</v>
      </c>
      <c r="R2950"/>
      <c r="S2950"/>
      <c r="T2950"/>
      <c r="U2950"/>
    </row>
    <row r="2951" spans="1:21" hidden="1">
      <c r="A2951" s="7" t="s">
        <v>8765</v>
      </c>
      <c r="B2951" s="7" t="s">
        <v>5405</v>
      </c>
      <c r="C2951" s="8" t="s">
        <v>5319</v>
      </c>
      <c r="D2951" t="s">
        <v>272</v>
      </c>
      <c r="E2951" t="s">
        <v>25</v>
      </c>
      <c r="F2951" t="s">
        <v>231</v>
      </c>
      <c r="G2951" t="s">
        <v>2615</v>
      </c>
      <c r="H2951" s="9">
        <v>44733</v>
      </c>
      <c r="I2951" t="s">
        <v>8634</v>
      </c>
      <c r="J2951" t="s">
        <v>0</v>
      </c>
      <c r="K2951" s="9">
        <v>44862</v>
      </c>
      <c r="L2951" t="s">
        <v>29</v>
      </c>
      <c r="M2951"/>
      <c r="N2951" s="9">
        <v>44778</v>
      </c>
      <c r="O2951"/>
      <c r="P2951"/>
      <c r="Q2951" s="9">
        <v>44862</v>
      </c>
      <c r="R2951"/>
      <c r="S2951"/>
      <c r="T2951"/>
      <c r="U2951"/>
    </row>
    <row r="2952" spans="1:21" hidden="1">
      <c r="A2952" s="7" t="s">
        <v>8765</v>
      </c>
      <c r="B2952" s="7" t="s">
        <v>5405</v>
      </c>
      <c r="C2952" s="8" t="s">
        <v>5319</v>
      </c>
      <c r="D2952" t="s">
        <v>272</v>
      </c>
      <c r="E2952" t="s">
        <v>25</v>
      </c>
      <c r="F2952" t="s">
        <v>231</v>
      </c>
      <c r="G2952" t="s">
        <v>2616</v>
      </c>
      <c r="H2952" s="9">
        <v>44733</v>
      </c>
      <c r="I2952" t="s">
        <v>8634</v>
      </c>
      <c r="J2952" t="s">
        <v>0</v>
      </c>
      <c r="K2952" s="9">
        <v>44862</v>
      </c>
      <c r="L2952" t="s">
        <v>29</v>
      </c>
      <c r="M2952"/>
      <c r="N2952" s="9">
        <v>44778</v>
      </c>
      <c r="O2952"/>
      <c r="P2952"/>
      <c r="Q2952" s="9">
        <v>44862</v>
      </c>
      <c r="R2952"/>
      <c r="S2952"/>
      <c r="T2952"/>
      <c r="U2952"/>
    </row>
    <row r="2953" spans="1:21" hidden="1">
      <c r="A2953" s="7" t="s">
        <v>8840</v>
      </c>
      <c r="B2953" s="7" t="s">
        <v>7494</v>
      </c>
      <c r="C2953" s="8" t="s">
        <v>5319</v>
      </c>
      <c r="D2953" t="s">
        <v>272</v>
      </c>
      <c r="E2953" t="s">
        <v>1957</v>
      </c>
      <c r="F2953" t="s">
        <v>75</v>
      </c>
      <c r="G2953" t="s">
        <v>2617</v>
      </c>
      <c r="H2953" s="9">
        <v>44733</v>
      </c>
      <c r="I2953" t="s">
        <v>509</v>
      </c>
      <c r="J2953" t="s">
        <v>0</v>
      </c>
      <c r="K2953" s="9">
        <v>44844</v>
      </c>
      <c r="L2953" t="s">
        <v>29</v>
      </c>
      <c r="M2953"/>
      <c r="N2953" s="9">
        <v>44778</v>
      </c>
      <c r="O2953" s="9">
        <v>44834</v>
      </c>
      <c r="P2953"/>
      <c r="Q2953" s="9">
        <v>44844</v>
      </c>
      <c r="R2953"/>
      <c r="S2953"/>
      <c r="T2953"/>
      <c r="U2953"/>
    </row>
    <row r="2954" spans="1:21" hidden="1">
      <c r="A2954" s="7" t="s">
        <v>8840</v>
      </c>
      <c r="B2954" s="7" t="s">
        <v>7494</v>
      </c>
      <c r="C2954" s="8" t="s">
        <v>5319</v>
      </c>
      <c r="D2954" t="s">
        <v>272</v>
      </c>
      <c r="E2954" t="s">
        <v>1957</v>
      </c>
      <c r="F2954" t="s">
        <v>75</v>
      </c>
      <c r="G2954" t="s">
        <v>2618</v>
      </c>
      <c r="H2954" s="9">
        <v>44733</v>
      </c>
      <c r="I2954" t="s">
        <v>509</v>
      </c>
      <c r="J2954" t="s">
        <v>0</v>
      </c>
      <c r="K2954" s="9">
        <v>44844</v>
      </c>
      <c r="L2954" t="s">
        <v>29</v>
      </c>
      <c r="M2954"/>
      <c r="N2954" s="9">
        <v>44778</v>
      </c>
      <c r="O2954" s="9">
        <v>44834</v>
      </c>
      <c r="P2954"/>
      <c r="Q2954" s="9">
        <v>44844</v>
      </c>
      <c r="R2954"/>
      <c r="S2954"/>
      <c r="T2954"/>
      <c r="U2954"/>
    </row>
    <row r="2955" spans="1:21" hidden="1">
      <c r="A2955" s="7" t="s">
        <v>8840</v>
      </c>
      <c r="B2955" s="7" t="s">
        <v>7494</v>
      </c>
      <c r="C2955" s="8" t="s">
        <v>5319</v>
      </c>
      <c r="D2955" t="s">
        <v>272</v>
      </c>
      <c r="E2955" t="s">
        <v>1957</v>
      </c>
      <c r="F2955" t="s">
        <v>75</v>
      </c>
      <c r="G2955" t="s">
        <v>2619</v>
      </c>
      <c r="H2955" s="9">
        <v>44733</v>
      </c>
      <c r="I2955" t="s">
        <v>509</v>
      </c>
      <c r="J2955" t="s">
        <v>0</v>
      </c>
      <c r="K2955" s="9">
        <v>44844</v>
      </c>
      <c r="L2955" t="s">
        <v>29</v>
      </c>
      <c r="M2955"/>
      <c r="N2955" s="9">
        <v>44778</v>
      </c>
      <c r="O2955" s="9">
        <v>44834</v>
      </c>
      <c r="P2955"/>
      <c r="Q2955" s="9">
        <v>44844</v>
      </c>
      <c r="R2955"/>
      <c r="S2955"/>
      <c r="T2955"/>
      <c r="U2955"/>
    </row>
    <row r="2956" spans="1:21" hidden="1">
      <c r="A2956" s="7" t="s">
        <v>8840</v>
      </c>
      <c r="B2956" s="7" t="s">
        <v>7494</v>
      </c>
      <c r="C2956" s="8" t="s">
        <v>5319</v>
      </c>
      <c r="D2956" t="s">
        <v>272</v>
      </c>
      <c r="E2956" t="s">
        <v>1957</v>
      </c>
      <c r="F2956" t="s">
        <v>75</v>
      </c>
      <c r="G2956" t="s">
        <v>2620</v>
      </c>
      <c r="H2956" s="9">
        <v>44733</v>
      </c>
      <c r="I2956" t="s">
        <v>509</v>
      </c>
      <c r="J2956" t="s">
        <v>0</v>
      </c>
      <c r="K2956" s="9">
        <v>44844</v>
      </c>
      <c r="L2956" t="s">
        <v>29</v>
      </c>
      <c r="M2956"/>
      <c r="N2956" s="9">
        <v>44778</v>
      </c>
      <c r="O2956" s="9">
        <v>44834</v>
      </c>
      <c r="P2956"/>
      <c r="Q2956" s="9">
        <v>44844</v>
      </c>
      <c r="R2956"/>
      <c r="S2956"/>
      <c r="T2956"/>
      <c r="U2956"/>
    </row>
    <row r="2957" spans="1:21" hidden="1">
      <c r="A2957" s="7" t="s">
        <v>8758</v>
      </c>
      <c r="B2957" s="7" t="s">
        <v>5405</v>
      </c>
      <c r="C2957" s="8" t="s">
        <v>5319</v>
      </c>
      <c r="D2957" t="s">
        <v>272</v>
      </c>
      <c r="E2957" t="s">
        <v>25</v>
      </c>
      <c r="F2957" t="s">
        <v>493</v>
      </c>
      <c r="G2957" t="s">
        <v>796</v>
      </c>
      <c r="H2957" s="9">
        <v>44733</v>
      </c>
      <c r="I2957" t="s">
        <v>8634</v>
      </c>
      <c r="J2957" t="s">
        <v>0</v>
      </c>
      <c r="K2957" s="9">
        <v>44862</v>
      </c>
      <c r="L2957" t="s">
        <v>29</v>
      </c>
      <c r="M2957"/>
      <c r="N2957" s="9">
        <v>44778</v>
      </c>
      <c r="O2957"/>
      <c r="P2957"/>
      <c r="Q2957" s="9">
        <v>44862</v>
      </c>
      <c r="R2957"/>
      <c r="S2957"/>
      <c r="T2957"/>
      <c r="U2957"/>
    </row>
    <row r="2958" spans="1:21" hidden="1">
      <c r="A2958" s="7" t="s">
        <v>8758</v>
      </c>
      <c r="B2958" s="7" t="s">
        <v>5405</v>
      </c>
      <c r="C2958" s="8" t="s">
        <v>5319</v>
      </c>
      <c r="D2958" t="s">
        <v>272</v>
      </c>
      <c r="E2958" t="s">
        <v>25</v>
      </c>
      <c r="F2958" t="s">
        <v>493</v>
      </c>
      <c r="G2958" t="s">
        <v>797</v>
      </c>
      <c r="H2958" s="9">
        <v>44733</v>
      </c>
      <c r="I2958" t="s">
        <v>8634</v>
      </c>
      <c r="J2958" t="s">
        <v>0</v>
      </c>
      <c r="K2958" s="9">
        <v>44862</v>
      </c>
      <c r="L2958" t="s">
        <v>29</v>
      </c>
      <c r="M2958"/>
      <c r="N2958" s="9">
        <v>44778</v>
      </c>
      <c r="O2958"/>
      <c r="P2958"/>
      <c r="Q2958" s="9">
        <v>44862</v>
      </c>
      <c r="R2958"/>
      <c r="S2958"/>
      <c r="T2958"/>
      <c r="U2958"/>
    </row>
    <row r="2959" spans="1:21" hidden="1">
      <c r="A2959" s="7" t="s">
        <v>8731</v>
      </c>
      <c r="B2959" s="7" t="s">
        <v>7478</v>
      </c>
      <c r="C2959" s="8" t="s">
        <v>5319</v>
      </c>
      <c r="D2959" t="s">
        <v>272</v>
      </c>
      <c r="E2959" t="s">
        <v>218</v>
      </c>
      <c r="F2959" t="s">
        <v>117</v>
      </c>
      <c r="G2959" t="s">
        <v>224</v>
      </c>
      <c r="H2959" s="9">
        <v>44735</v>
      </c>
      <c r="I2959" t="s">
        <v>2621</v>
      </c>
      <c r="J2959" t="s">
        <v>5330</v>
      </c>
      <c r="K2959" s="9">
        <v>44834</v>
      </c>
      <c r="L2959" t="s">
        <v>29</v>
      </c>
      <c r="M2959"/>
      <c r="N2959" s="9">
        <v>44778</v>
      </c>
      <c r="O2959" s="9">
        <v>44834</v>
      </c>
      <c r="P2959"/>
      <c r="Q2959"/>
      <c r="R2959"/>
      <c r="S2959"/>
      <c r="T2959"/>
      <c r="U2959"/>
    </row>
    <row r="2960" spans="1:21" hidden="1">
      <c r="A2960" s="7" t="s">
        <v>8879</v>
      </c>
      <c r="B2960" s="7" t="s">
        <v>6044</v>
      </c>
      <c r="C2960" s="8" t="s">
        <v>5319</v>
      </c>
      <c r="D2960" t="s">
        <v>272</v>
      </c>
      <c r="E2960" t="s">
        <v>2622</v>
      </c>
      <c r="F2960" t="s">
        <v>280</v>
      </c>
      <c r="G2960" t="s">
        <v>2623</v>
      </c>
      <c r="H2960" s="9">
        <v>44733</v>
      </c>
      <c r="I2960" t="s">
        <v>28</v>
      </c>
      <c r="J2960" t="s">
        <v>5330</v>
      </c>
      <c r="K2960" s="9">
        <v>44834</v>
      </c>
      <c r="L2960" t="s">
        <v>29</v>
      </c>
      <c r="M2960"/>
      <c r="N2960" s="9">
        <v>44778</v>
      </c>
      <c r="O2960" s="9">
        <v>44834</v>
      </c>
      <c r="P2960"/>
      <c r="Q2960"/>
      <c r="R2960"/>
      <c r="S2960"/>
      <c r="T2960"/>
      <c r="U2960"/>
    </row>
    <row r="2961" spans="1:21" hidden="1">
      <c r="A2961" s="7" t="s">
        <v>8879</v>
      </c>
      <c r="B2961" s="7" t="s">
        <v>6044</v>
      </c>
      <c r="C2961" s="8" t="s">
        <v>5319</v>
      </c>
      <c r="D2961" t="s">
        <v>272</v>
      </c>
      <c r="E2961" t="s">
        <v>2622</v>
      </c>
      <c r="F2961" t="s">
        <v>280</v>
      </c>
      <c r="G2961" t="s">
        <v>2624</v>
      </c>
      <c r="H2961" s="9">
        <v>44733</v>
      </c>
      <c r="I2961" t="s">
        <v>28</v>
      </c>
      <c r="J2961" t="s">
        <v>5330</v>
      </c>
      <c r="K2961" s="9">
        <v>44834</v>
      </c>
      <c r="L2961" t="s">
        <v>29</v>
      </c>
      <c r="M2961"/>
      <c r="N2961" s="9">
        <v>44778</v>
      </c>
      <c r="O2961" s="9">
        <v>44834</v>
      </c>
      <c r="P2961"/>
      <c r="Q2961"/>
      <c r="R2961"/>
      <c r="S2961"/>
      <c r="T2961"/>
      <c r="U2961"/>
    </row>
    <row r="2962" spans="1:21" hidden="1">
      <c r="A2962" s="7" t="s">
        <v>8879</v>
      </c>
      <c r="B2962" s="7" t="s">
        <v>6044</v>
      </c>
      <c r="C2962" s="8" t="s">
        <v>5319</v>
      </c>
      <c r="D2962" t="s">
        <v>272</v>
      </c>
      <c r="E2962" t="s">
        <v>2622</v>
      </c>
      <c r="F2962" t="s">
        <v>280</v>
      </c>
      <c r="G2962" t="s">
        <v>2625</v>
      </c>
      <c r="H2962" s="9">
        <v>44733</v>
      </c>
      <c r="I2962" t="s">
        <v>28</v>
      </c>
      <c r="J2962" t="s">
        <v>5330</v>
      </c>
      <c r="K2962" s="9">
        <v>44834</v>
      </c>
      <c r="L2962" t="s">
        <v>29</v>
      </c>
      <c r="M2962"/>
      <c r="N2962" s="9">
        <v>44778</v>
      </c>
      <c r="O2962" s="9">
        <v>44834</v>
      </c>
      <c r="P2962"/>
      <c r="Q2962"/>
      <c r="R2962"/>
      <c r="S2962"/>
      <c r="T2962"/>
      <c r="U2962"/>
    </row>
    <row r="2963" spans="1:21" hidden="1">
      <c r="A2963" s="7" t="s">
        <v>8879</v>
      </c>
      <c r="B2963" s="7" t="s">
        <v>6044</v>
      </c>
      <c r="C2963" s="8" t="s">
        <v>5319</v>
      </c>
      <c r="D2963" t="s">
        <v>272</v>
      </c>
      <c r="E2963" t="s">
        <v>2622</v>
      </c>
      <c r="F2963" t="s">
        <v>280</v>
      </c>
      <c r="G2963" t="s">
        <v>2626</v>
      </c>
      <c r="H2963" s="9">
        <v>44733</v>
      </c>
      <c r="I2963" t="s">
        <v>28</v>
      </c>
      <c r="J2963" t="s">
        <v>5330</v>
      </c>
      <c r="K2963" s="9">
        <v>44834</v>
      </c>
      <c r="L2963" t="s">
        <v>29</v>
      </c>
      <c r="M2963"/>
      <c r="N2963" s="9">
        <v>44778</v>
      </c>
      <c r="O2963" s="9">
        <v>44834</v>
      </c>
      <c r="P2963"/>
      <c r="Q2963"/>
      <c r="R2963"/>
      <c r="S2963"/>
      <c r="T2963"/>
      <c r="U2963"/>
    </row>
    <row r="2964" spans="1:21" hidden="1">
      <c r="A2964" s="7" t="s">
        <v>8879</v>
      </c>
      <c r="B2964" s="7" t="s">
        <v>6044</v>
      </c>
      <c r="C2964" s="8" t="s">
        <v>5319</v>
      </c>
      <c r="D2964" t="s">
        <v>272</v>
      </c>
      <c r="E2964" t="s">
        <v>2622</v>
      </c>
      <c r="F2964" t="s">
        <v>280</v>
      </c>
      <c r="G2964" t="s">
        <v>2627</v>
      </c>
      <c r="H2964" s="9">
        <v>44733</v>
      </c>
      <c r="I2964" t="s">
        <v>28</v>
      </c>
      <c r="J2964" t="s">
        <v>5330</v>
      </c>
      <c r="K2964" s="9">
        <v>44834</v>
      </c>
      <c r="L2964" t="s">
        <v>29</v>
      </c>
      <c r="M2964"/>
      <c r="N2964" s="9">
        <v>44778</v>
      </c>
      <c r="O2964" s="9">
        <v>44834</v>
      </c>
      <c r="P2964"/>
      <c r="Q2964"/>
      <c r="R2964"/>
      <c r="S2964"/>
      <c r="T2964"/>
      <c r="U2964"/>
    </row>
    <row r="2965" spans="1:21" hidden="1">
      <c r="A2965" s="7" t="s">
        <v>8879</v>
      </c>
      <c r="B2965" s="7" t="s">
        <v>6044</v>
      </c>
      <c r="C2965" s="8" t="s">
        <v>5319</v>
      </c>
      <c r="D2965" t="s">
        <v>272</v>
      </c>
      <c r="E2965" t="s">
        <v>2622</v>
      </c>
      <c r="F2965" t="s">
        <v>280</v>
      </c>
      <c r="G2965" t="s">
        <v>2628</v>
      </c>
      <c r="H2965" s="9">
        <v>44733</v>
      </c>
      <c r="I2965" t="s">
        <v>28</v>
      </c>
      <c r="J2965" t="s">
        <v>5330</v>
      </c>
      <c r="K2965" s="9">
        <v>44834</v>
      </c>
      <c r="L2965" t="s">
        <v>29</v>
      </c>
      <c r="M2965"/>
      <c r="N2965" s="9">
        <v>44778</v>
      </c>
      <c r="O2965" s="9">
        <v>44834</v>
      </c>
      <c r="P2965"/>
      <c r="Q2965"/>
      <c r="R2965"/>
      <c r="S2965"/>
      <c r="T2965"/>
      <c r="U2965"/>
    </row>
    <row r="2966" spans="1:21" hidden="1">
      <c r="A2966" s="7" t="s">
        <v>8880</v>
      </c>
      <c r="B2966" s="7" t="s">
        <v>6940</v>
      </c>
      <c r="C2966" s="8" t="s">
        <v>5319</v>
      </c>
      <c r="D2966" t="s">
        <v>272</v>
      </c>
      <c r="E2966" t="s">
        <v>2629</v>
      </c>
      <c r="F2966" t="s">
        <v>75</v>
      </c>
      <c r="G2966" t="s">
        <v>2630</v>
      </c>
      <c r="H2966" s="9">
        <v>44733</v>
      </c>
      <c r="I2966" t="s">
        <v>85</v>
      </c>
      <c r="J2966" t="s">
        <v>276</v>
      </c>
      <c r="K2966" s="9">
        <v>44804.500659722202</v>
      </c>
      <c r="L2966" t="s">
        <v>29</v>
      </c>
      <c r="M2966"/>
      <c r="N2966" s="9">
        <v>44778</v>
      </c>
      <c r="O2966"/>
      <c r="P2966"/>
      <c r="Q2966"/>
      <c r="R2966" s="9">
        <v>44804.499444444402</v>
      </c>
      <c r="S2966"/>
      <c r="T2966"/>
      <c r="U2966"/>
    </row>
    <row r="2967" spans="1:21" hidden="1">
      <c r="A2967" s="7" t="s">
        <v>8845</v>
      </c>
      <c r="B2967" s="7" t="s">
        <v>6307</v>
      </c>
      <c r="C2967" s="8" t="s">
        <v>5319</v>
      </c>
      <c r="D2967" t="s">
        <v>272</v>
      </c>
      <c r="E2967" t="s">
        <v>78</v>
      </c>
      <c r="F2967" t="s">
        <v>2123</v>
      </c>
      <c r="G2967" t="s">
        <v>2631</v>
      </c>
      <c r="H2967" s="9">
        <v>44733</v>
      </c>
      <c r="I2967" t="s">
        <v>81</v>
      </c>
      <c r="J2967" t="s">
        <v>5330</v>
      </c>
      <c r="K2967" s="9">
        <v>44834</v>
      </c>
      <c r="L2967" t="s">
        <v>29</v>
      </c>
      <c r="M2967"/>
      <c r="N2967" s="9">
        <v>44778</v>
      </c>
      <c r="O2967" s="9">
        <v>44834</v>
      </c>
      <c r="P2967"/>
      <c r="Q2967"/>
      <c r="R2967"/>
      <c r="S2967"/>
      <c r="T2967"/>
      <c r="U2967"/>
    </row>
    <row r="2968" spans="1:21" hidden="1">
      <c r="A2968" s="7" t="s">
        <v>8758</v>
      </c>
      <c r="B2968" s="7" t="s">
        <v>5405</v>
      </c>
      <c r="C2968" s="8" t="s">
        <v>5319</v>
      </c>
      <c r="D2968" t="s">
        <v>272</v>
      </c>
      <c r="E2968" t="s">
        <v>25</v>
      </c>
      <c r="F2968" t="s">
        <v>493</v>
      </c>
      <c r="G2968" t="s">
        <v>2632</v>
      </c>
      <c r="H2968" s="9">
        <v>44733</v>
      </c>
      <c r="I2968" t="s">
        <v>8634</v>
      </c>
      <c r="J2968" t="s">
        <v>0</v>
      </c>
      <c r="K2968" s="9">
        <v>44862</v>
      </c>
      <c r="L2968" t="s">
        <v>29</v>
      </c>
      <c r="M2968"/>
      <c r="N2968" s="9">
        <v>44778</v>
      </c>
      <c r="O2968"/>
      <c r="P2968"/>
      <c r="Q2968" s="9">
        <v>44862</v>
      </c>
      <c r="R2968"/>
      <c r="S2968"/>
      <c r="T2968"/>
      <c r="U2968"/>
    </row>
    <row r="2969" spans="1:21" hidden="1">
      <c r="A2969" s="7" t="s">
        <v>8732</v>
      </c>
      <c r="B2969" s="7" t="s">
        <v>6619</v>
      </c>
      <c r="C2969" s="8" t="s">
        <v>5319</v>
      </c>
      <c r="D2969" t="s">
        <v>272</v>
      </c>
      <c r="E2969" t="s">
        <v>226</v>
      </c>
      <c r="F2969" t="s">
        <v>227</v>
      </c>
      <c r="G2969" t="s">
        <v>2633</v>
      </c>
      <c r="H2969" s="9">
        <v>44733</v>
      </c>
      <c r="I2969" t="s">
        <v>229</v>
      </c>
      <c r="J2969" t="s">
        <v>0</v>
      </c>
      <c r="K2969" s="9">
        <v>44748</v>
      </c>
      <c r="L2969" t="s">
        <v>29</v>
      </c>
      <c r="M2969"/>
      <c r="N2969"/>
      <c r="O2969"/>
      <c r="P2969"/>
      <c r="Q2969" s="9">
        <v>44748</v>
      </c>
      <c r="R2969"/>
      <c r="S2969"/>
      <c r="T2969"/>
      <c r="U2969"/>
    </row>
    <row r="2970" spans="1:21" hidden="1">
      <c r="A2970" s="7" t="s">
        <v>8732</v>
      </c>
      <c r="B2970" s="7" t="s">
        <v>6619</v>
      </c>
      <c r="C2970" s="8" t="s">
        <v>5319</v>
      </c>
      <c r="D2970" t="s">
        <v>272</v>
      </c>
      <c r="E2970" t="s">
        <v>226</v>
      </c>
      <c r="F2970" t="s">
        <v>227</v>
      </c>
      <c r="G2970" t="s">
        <v>2634</v>
      </c>
      <c r="H2970" s="9">
        <v>44733</v>
      </c>
      <c r="I2970" t="s">
        <v>229</v>
      </c>
      <c r="J2970" t="s">
        <v>0</v>
      </c>
      <c r="K2970" s="9">
        <v>44748</v>
      </c>
      <c r="L2970" t="s">
        <v>29</v>
      </c>
      <c r="M2970"/>
      <c r="N2970"/>
      <c r="O2970"/>
      <c r="P2970"/>
      <c r="Q2970" s="9">
        <v>44748</v>
      </c>
      <c r="R2970"/>
      <c r="S2970"/>
      <c r="T2970"/>
      <c r="U2970"/>
    </row>
    <row r="2971" spans="1:21" hidden="1">
      <c r="A2971" s="7" t="s">
        <v>8732</v>
      </c>
      <c r="B2971" s="7" t="s">
        <v>6619</v>
      </c>
      <c r="C2971" s="8" t="s">
        <v>5319</v>
      </c>
      <c r="D2971" t="s">
        <v>272</v>
      </c>
      <c r="E2971" t="s">
        <v>226</v>
      </c>
      <c r="F2971" t="s">
        <v>227</v>
      </c>
      <c r="G2971" t="s">
        <v>2635</v>
      </c>
      <c r="H2971" s="9">
        <v>44733</v>
      </c>
      <c r="I2971" t="s">
        <v>229</v>
      </c>
      <c r="J2971" t="s">
        <v>0</v>
      </c>
      <c r="K2971" s="9">
        <v>44748</v>
      </c>
      <c r="L2971" t="s">
        <v>29</v>
      </c>
      <c r="M2971"/>
      <c r="N2971"/>
      <c r="O2971"/>
      <c r="P2971"/>
      <c r="Q2971" s="9">
        <v>44748</v>
      </c>
      <c r="R2971"/>
      <c r="S2971"/>
      <c r="T2971"/>
      <c r="U2971"/>
    </row>
    <row r="2972" spans="1:21" hidden="1">
      <c r="A2972" s="7" t="s">
        <v>8732</v>
      </c>
      <c r="B2972" s="7" t="s">
        <v>6619</v>
      </c>
      <c r="C2972" s="8" t="s">
        <v>5319</v>
      </c>
      <c r="D2972" t="s">
        <v>272</v>
      </c>
      <c r="E2972" t="s">
        <v>226</v>
      </c>
      <c r="F2972" t="s">
        <v>227</v>
      </c>
      <c r="G2972" t="s">
        <v>228</v>
      </c>
      <c r="H2972" s="9">
        <v>44733</v>
      </c>
      <c r="I2972" t="s">
        <v>229</v>
      </c>
      <c r="J2972" t="s">
        <v>0</v>
      </c>
      <c r="K2972" s="9">
        <v>44748</v>
      </c>
      <c r="L2972" t="s">
        <v>29</v>
      </c>
      <c r="M2972"/>
      <c r="N2972"/>
      <c r="O2972"/>
      <c r="P2972"/>
      <c r="Q2972" s="9">
        <v>44748</v>
      </c>
      <c r="R2972"/>
      <c r="S2972"/>
      <c r="T2972"/>
      <c r="U2972"/>
    </row>
    <row r="2973" spans="1:21" hidden="1">
      <c r="A2973" s="7" t="s">
        <v>8732</v>
      </c>
      <c r="B2973" s="7" t="s">
        <v>6619</v>
      </c>
      <c r="C2973" s="8" t="s">
        <v>5319</v>
      </c>
      <c r="D2973" t="s">
        <v>272</v>
      </c>
      <c r="E2973" t="s">
        <v>226</v>
      </c>
      <c r="F2973" t="s">
        <v>227</v>
      </c>
      <c r="G2973" t="s">
        <v>2636</v>
      </c>
      <c r="H2973" s="9">
        <v>44733</v>
      </c>
      <c r="I2973" t="s">
        <v>229</v>
      </c>
      <c r="J2973" t="s">
        <v>0</v>
      </c>
      <c r="K2973" s="9">
        <v>44748</v>
      </c>
      <c r="L2973" t="s">
        <v>29</v>
      </c>
      <c r="M2973"/>
      <c r="N2973"/>
      <c r="O2973"/>
      <c r="P2973"/>
      <c r="Q2973" s="9">
        <v>44748</v>
      </c>
      <c r="R2973"/>
      <c r="S2973"/>
      <c r="T2973"/>
      <c r="U2973"/>
    </row>
    <row r="2974" spans="1:21" hidden="1">
      <c r="A2974" s="7" t="s">
        <v>8732</v>
      </c>
      <c r="B2974" s="7" t="s">
        <v>6619</v>
      </c>
      <c r="C2974" s="8" t="s">
        <v>5319</v>
      </c>
      <c r="D2974" t="s">
        <v>272</v>
      </c>
      <c r="E2974" t="s">
        <v>226</v>
      </c>
      <c r="F2974" t="s">
        <v>227</v>
      </c>
      <c r="G2974" t="s">
        <v>2637</v>
      </c>
      <c r="H2974" s="9">
        <v>44733</v>
      </c>
      <c r="I2974" t="s">
        <v>229</v>
      </c>
      <c r="J2974" t="s">
        <v>0</v>
      </c>
      <c r="K2974" s="9">
        <v>44748</v>
      </c>
      <c r="L2974" t="s">
        <v>29</v>
      </c>
      <c r="M2974"/>
      <c r="N2974"/>
      <c r="O2974"/>
      <c r="P2974"/>
      <c r="Q2974" s="9">
        <v>44748</v>
      </c>
      <c r="R2974"/>
      <c r="S2974"/>
      <c r="T2974"/>
      <c r="U2974"/>
    </row>
    <row r="2975" spans="1:21" hidden="1">
      <c r="A2975" s="7" t="s">
        <v>8732</v>
      </c>
      <c r="B2975" s="7" t="s">
        <v>6619</v>
      </c>
      <c r="C2975" s="8" t="s">
        <v>5319</v>
      </c>
      <c r="D2975" t="s">
        <v>272</v>
      </c>
      <c r="E2975" t="s">
        <v>226</v>
      </c>
      <c r="F2975" t="s">
        <v>227</v>
      </c>
      <c r="G2975" t="s">
        <v>2638</v>
      </c>
      <c r="H2975" s="9">
        <v>44733</v>
      </c>
      <c r="I2975" t="s">
        <v>229</v>
      </c>
      <c r="J2975" t="s">
        <v>0</v>
      </c>
      <c r="K2975" s="9">
        <v>44748</v>
      </c>
      <c r="L2975" t="s">
        <v>29</v>
      </c>
      <c r="M2975"/>
      <c r="N2975"/>
      <c r="O2975"/>
      <c r="P2975"/>
      <c r="Q2975" s="9">
        <v>44748</v>
      </c>
      <c r="R2975"/>
      <c r="S2975"/>
      <c r="T2975"/>
      <c r="U2975"/>
    </row>
    <row r="2976" spans="1:21" hidden="1">
      <c r="A2976" s="7" t="s">
        <v>8732</v>
      </c>
      <c r="B2976" s="7" t="s">
        <v>6619</v>
      </c>
      <c r="C2976" s="8" t="s">
        <v>5319</v>
      </c>
      <c r="D2976" t="s">
        <v>272</v>
      </c>
      <c r="E2976" t="s">
        <v>226</v>
      </c>
      <c r="F2976" t="s">
        <v>227</v>
      </c>
      <c r="G2976" t="s">
        <v>2639</v>
      </c>
      <c r="H2976" s="9">
        <v>44733</v>
      </c>
      <c r="I2976" t="s">
        <v>229</v>
      </c>
      <c r="J2976" t="s">
        <v>0</v>
      </c>
      <c r="K2976" s="9">
        <v>44748</v>
      </c>
      <c r="L2976" t="s">
        <v>29</v>
      </c>
      <c r="M2976"/>
      <c r="N2976"/>
      <c r="O2976"/>
      <c r="P2976"/>
      <c r="Q2976" s="9">
        <v>44748</v>
      </c>
      <c r="R2976"/>
      <c r="S2976"/>
      <c r="T2976"/>
      <c r="U2976"/>
    </row>
    <row r="2977" spans="1:21" hidden="1">
      <c r="A2977" s="7" t="s">
        <v>8732</v>
      </c>
      <c r="B2977" s="7" t="s">
        <v>6619</v>
      </c>
      <c r="C2977" s="8" t="s">
        <v>5319</v>
      </c>
      <c r="D2977" t="s">
        <v>272</v>
      </c>
      <c r="E2977" t="s">
        <v>226</v>
      </c>
      <c r="F2977" t="s">
        <v>227</v>
      </c>
      <c r="G2977" t="s">
        <v>2640</v>
      </c>
      <c r="H2977" s="9">
        <v>44733</v>
      </c>
      <c r="I2977" t="s">
        <v>229</v>
      </c>
      <c r="J2977" t="s">
        <v>0</v>
      </c>
      <c r="K2977" s="9">
        <v>44748</v>
      </c>
      <c r="L2977" t="s">
        <v>29</v>
      </c>
      <c r="M2977"/>
      <c r="N2977"/>
      <c r="O2977"/>
      <c r="P2977"/>
      <c r="Q2977" s="9">
        <v>44748</v>
      </c>
      <c r="R2977"/>
      <c r="S2977"/>
      <c r="T2977"/>
      <c r="U2977"/>
    </row>
    <row r="2978" spans="1:21" hidden="1">
      <c r="A2978" s="7" t="s">
        <v>8732</v>
      </c>
      <c r="B2978" s="7" t="s">
        <v>6619</v>
      </c>
      <c r="C2978" s="8" t="s">
        <v>5319</v>
      </c>
      <c r="D2978" t="s">
        <v>272</v>
      </c>
      <c r="E2978" t="s">
        <v>226</v>
      </c>
      <c r="F2978" t="s">
        <v>227</v>
      </c>
      <c r="G2978" t="s">
        <v>2641</v>
      </c>
      <c r="H2978" s="9">
        <v>44733</v>
      </c>
      <c r="I2978" t="s">
        <v>229</v>
      </c>
      <c r="J2978" t="s">
        <v>0</v>
      </c>
      <c r="K2978" s="9">
        <v>44748</v>
      </c>
      <c r="L2978" t="s">
        <v>29</v>
      </c>
      <c r="M2978"/>
      <c r="N2978"/>
      <c r="O2978"/>
      <c r="P2978"/>
      <c r="Q2978" s="9">
        <v>44748</v>
      </c>
      <c r="R2978"/>
      <c r="S2978"/>
      <c r="T2978"/>
      <c r="U2978"/>
    </row>
    <row r="2979" spans="1:21" hidden="1">
      <c r="A2979" s="7" t="s">
        <v>8732</v>
      </c>
      <c r="B2979" s="7" t="s">
        <v>6619</v>
      </c>
      <c r="C2979" s="8" t="s">
        <v>5319</v>
      </c>
      <c r="D2979" t="s">
        <v>272</v>
      </c>
      <c r="E2979" t="s">
        <v>226</v>
      </c>
      <c r="F2979" t="s">
        <v>227</v>
      </c>
      <c r="G2979" t="s">
        <v>2642</v>
      </c>
      <c r="H2979" s="9">
        <v>44733</v>
      </c>
      <c r="I2979" t="s">
        <v>229</v>
      </c>
      <c r="J2979" t="s">
        <v>0</v>
      </c>
      <c r="K2979" s="9">
        <v>44748</v>
      </c>
      <c r="L2979" t="s">
        <v>29</v>
      </c>
      <c r="M2979"/>
      <c r="N2979"/>
      <c r="O2979"/>
      <c r="P2979"/>
      <c r="Q2979" s="9">
        <v>44748</v>
      </c>
      <c r="R2979"/>
      <c r="S2979"/>
      <c r="T2979"/>
      <c r="U2979"/>
    </row>
    <row r="2980" spans="1:21" hidden="1">
      <c r="A2980" s="7" t="s">
        <v>8732</v>
      </c>
      <c r="B2980" s="7" t="s">
        <v>6619</v>
      </c>
      <c r="C2980" s="8" t="s">
        <v>5319</v>
      </c>
      <c r="D2980" t="s">
        <v>272</v>
      </c>
      <c r="E2980" t="s">
        <v>226</v>
      </c>
      <c r="F2980" t="s">
        <v>227</v>
      </c>
      <c r="G2980" t="s">
        <v>2643</v>
      </c>
      <c r="H2980" s="9">
        <v>44733</v>
      </c>
      <c r="I2980" t="s">
        <v>229</v>
      </c>
      <c r="J2980" t="s">
        <v>276</v>
      </c>
      <c r="K2980" s="9">
        <v>44748.355254629598</v>
      </c>
      <c r="L2980" t="s">
        <v>29</v>
      </c>
      <c r="M2980"/>
      <c r="N2980"/>
      <c r="O2980"/>
      <c r="P2980"/>
      <c r="Q2980"/>
      <c r="R2980" s="9">
        <v>44748.352858796301</v>
      </c>
      <c r="S2980"/>
      <c r="T2980"/>
      <c r="U2980"/>
    </row>
    <row r="2981" spans="1:21" hidden="1">
      <c r="A2981" s="7" t="s">
        <v>8760</v>
      </c>
      <c r="B2981" s="7" t="s">
        <v>8350</v>
      </c>
      <c r="C2981" s="8" t="s">
        <v>5319</v>
      </c>
      <c r="D2981" t="s">
        <v>272</v>
      </c>
      <c r="E2981" t="s">
        <v>512</v>
      </c>
      <c r="F2981" t="s">
        <v>117</v>
      </c>
      <c r="G2981" t="s">
        <v>2644</v>
      </c>
      <c r="H2981" s="9">
        <v>44733</v>
      </c>
      <c r="I2981" t="s">
        <v>171</v>
      </c>
      <c r="J2981" t="s">
        <v>0</v>
      </c>
      <c r="K2981" s="9">
        <v>44873</v>
      </c>
      <c r="L2981" t="s">
        <v>29</v>
      </c>
      <c r="M2981"/>
      <c r="N2981"/>
      <c r="O2981"/>
      <c r="P2981"/>
      <c r="Q2981" s="9">
        <v>44873</v>
      </c>
      <c r="R2981" s="9">
        <v>44798.372175925899</v>
      </c>
      <c r="S2981"/>
      <c r="T2981"/>
      <c r="U2981"/>
    </row>
    <row r="2982" spans="1:21" hidden="1">
      <c r="A2982" s="7" t="s">
        <v>8760</v>
      </c>
      <c r="B2982" s="7" t="s">
        <v>8350</v>
      </c>
      <c r="C2982" s="8" t="s">
        <v>5319</v>
      </c>
      <c r="D2982" t="s">
        <v>272</v>
      </c>
      <c r="E2982" t="s">
        <v>512</v>
      </c>
      <c r="F2982" t="s">
        <v>117</v>
      </c>
      <c r="G2982" t="s">
        <v>2645</v>
      </c>
      <c r="H2982" s="9">
        <v>44733</v>
      </c>
      <c r="I2982" t="s">
        <v>171</v>
      </c>
      <c r="J2982" t="s">
        <v>0</v>
      </c>
      <c r="K2982" s="9">
        <v>44873</v>
      </c>
      <c r="L2982" t="s">
        <v>29</v>
      </c>
      <c r="M2982"/>
      <c r="N2982"/>
      <c r="O2982"/>
      <c r="P2982"/>
      <c r="Q2982" s="9">
        <v>44873</v>
      </c>
      <c r="R2982" s="9">
        <v>44798.372175925899</v>
      </c>
      <c r="S2982"/>
      <c r="T2982"/>
      <c r="U2982"/>
    </row>
    <row r="2983" spans="1:21" hidden="1">
      <c r="A2983" s="7" t="s">
        <v>8760</v>
      </c>
      <c r="B2983" s="7" t="s">
        <v>8350</v>
      </c>
      <c r="C2983" s="8" t="s">
        <v>5319</v>
      </c>
      <c r="D2983" t="s">
        <v>272</v>
      </c>
      <c r="E2983" t="s">
        <v>512</v>
      </c>
      <c r="F2983" t="s">
        <v>117</v>
      </c>
      <c r="G2983" t="s">
        <v>2646</v>
      </c>
      <c r="H2983" s="9">
        <v>44733</v>
      </c>
      <c r="I2983" t="s">
        <v>171</v>
      </c>
      <c r="J2983" t="s">
        <v>0</v>
      </c>
      <c r="K2983" s="9">
        <v>44873</v>
      </c>
      <c r="L2983" t="s">
        <v>29</v>
      </c>
      <c r="M2983"/>
      <c r="N2983"/>
      <c r="O2983"/>
      <c r="P2983"/>
      <c r="Q2983" s="9">
        <v>44873</v>
      </c>
      <c r="R2983" s="9">
        <v>44798.372175925899</v>
      </c>
      <c r="S2983"/>
      <c r="T2983"/>
      <c r="U2983"/>
    </row>
    <row r="2984" spans="1:21" hidden="1">
      <c r="A2984" s="7" t="s">
        <v>8760</v>
      </c>
      <c r="B2984" s="7" t="s">
        <v>8350</v>
      </c>
      <c r="C2984" s="8" t="s">
        <v>5319</v>
      </c>
      <c r="D2984" t="s">
        <v>272</v>
      </c>
      <c r="E2984" t="s">
        <v>512</v>
      </c>
      <c r="F2984" t="s">
        <v>117</v>
      </c>
      <c r="G2984" t="s">
        <v>2647</v>
      </c>
      <c r="H2984" s="9">
        <v>44733</v>
      </c>
      <c r="I2984" t="s">
        <v>171</v>
      </c>
      <c r="J2984" t="s">
        <v>0</v>
      </c>
      <c r="K2984" s="9">
        <v>44873</v>
      </c>
      <c r="L2984" t="s">
        <v>29</v>
      </c>
      <c r="M2984"/>
      <c r="N2984"/>
      <c r="O2984"/>
      <c r="P2984"/>
      <c r="Q2984" s="9">
        <v>44873</v>
      </c>
      <c r="R2984" s="9">
        <v>44798.372175925899</v>
      </c>
      <c r="S2984"/>
      <c r="T2984"/>
      <c r="U2984"/>
    </row>
    <row r="2985" spans="1:21" hidden="1">
      <c r="A2985" s="7" t="s">
        <v>8760</v>
      </c>
      <c r="B2985" s="7" t="s">
        <v>8350</v>
      </c>
      <c r="C2985" s="8" t="s">
        <v>5319</v>
      </c>
      <c r="D2985" t="s">
        <v>272</v>
      </c>
      <c r="E2985" t="s">
        <v>512</v>
      </c>
      <c r="F2985" t="s">
        <v>117</v>
      </c>
      <c r="G2985" t="s">
        <v>2648</v>
      </c>
      <c r="H2985" s="9">
        <v>44733</v>
      </c>
      <c r="I2985" t="s">
        <v>171</v>
      </c>
      <c r="J2985" t="s">
        <v>0</v>
      </c>
      <c r="K2985" s="9">
        <v>44873</v>
      </c>
      <c r="L2985" t="s">
        <v>29</v>
      </c>
      <c r="M2985"/>
      <c r="N2985"/>
      <c r="O2985"/>
      <c r="P2985"/>
      <c r="Q2985" s="9">
        <v>44873</v>
      </c>
      <c r="R2985" s="9">
        <v>44798.372175925899</v>
      </c>
      <c r="S2985"/>
      <c r="T2985"/>
      <c r="U2985"/>
    </row>
    <row r="2986" spans="1:21" hidden="1">
      <c r="A2986" s="7" t="s">
        <v>8760</v>
      </c>
      <c r="B2986" s="7" t="s">
        <v>8350</v>
      </c>
      <c r="C2986" s="8" t="s">
        <v>5319</v>
      </c>
      <c r="D2986" t="s">
        <v>272</v>
      </c>
      <c r="E2986" t="s">
        <v>512</v>
      </c>
      <c r="F2986" t="s">
        <v>117</v>
      </c>
      <c r="G2986" t="s">
        <v>2649</v>
      </c>
      <c r="H2986" s="9">
        <v>44733</v>
      </c>
      <c r="I2986" t="s">
        <v>171</v>
      </c>
      <c r="J2986" t="s">
        <v>0</v>
      </c>
      <c r="K2986" s="9">
        <v>44873</v>
      </c>
      <c r="L2986" t="s">
        <v>29</v>
      </c>
      <c r="M2986"/>
      <c r="N2986"/>
      <c r="O2986"/>
      <c r="P2986"/>
      <c r="Q2986" s="9">
        <v>44873</v>
      </c>
      <c r="R2986" s="9">
        <v>44798.372175925899</v>
      </c>
      <c r="S2986"/>
      <c r="T2986"/>
      <c r="U2986"/>
    </row>
    <row r="2987" spans="1:21" hidden="1">
      <c r="A2987" s="7" t="s">
        <v>8760</v>
      </c>
      <c r="B2987" s="7" t="s">
        <v>8350</v>
      </c>
      <c r="C2987" s="8" t="s">
        <v>5319</v>
      </c>
      <c r="D2987" t="s">
        <v>272</v>
      </c>
      <c r="E2987" t="s">
        <v>512</v>
      </c>
      <c r="F2987" t="s">
        <v>117</v>
      </c>
      <c r="G2987" t="s">
        <v>2650</v>
      </c>
      <c r="H2987" s="9">
        <v>44733</v>
      </c>
      <c r="I2987" t="s">
        <v>171</v>
      </c>
      <c r="J2987" t="s">
        <v>0</v>
      </c>
      <c r="K2987" s="9">
        <v>44873</v>
      </c>
      <c r="L2987" t="s">
        <v>29</v>
      </c>
      <c r="M2987"/>
      <c r="N2987"/>
      <c r="O2987"/>
      <c r="P2987"/>
      <c r="Q2987" s="9">
        <v>44873</v>
      </c>
      <c r="R2987" s="9">
        <v>44798.372175925899</v>
      </c>
      <c r="S2987"/>
      <c r="T2987"/>
      <c r="U2987"/>
    </row>
    <row r="2988" spans="1:21" hidden="1">
      <c r="A2988" s="7" t="s">
        <v>8760</v>
      </c>
      <c r="B2988" s="7" t="s">
        <v>8350</v>
      </c>
      <c r="C2988" s="8" t="s">
        <v>5319</v>
      </c>
      <c r="D2988" t="s">
        <v>272</v>
      </c>
      <c r="E2988" t="s">
        <v>512</v>
      </c>
      <c r="F2988" t="s">
        <v>117</v>
      </c>
      <c r="G2988" t="s">
        <v>2651</v>
      </c>
      <c r="H2988" s="9">
        <v>44733</v>
      </c>
      <c r="I2988" t="s">
        <v>171</v>
      </c>
      <c r="J2988" t="s">
        <v>0</v>
      </c>
      <c r="K2988" s="9">
        <v>44873</v>
      </c>
      <c r="L2988" t="s">
        <v>29</v>
      </c>
      <c r="M2988"/>
      <c r="N2988"/>
      <c r="O2988"/>
      <c r="P2988"/>
      <c r="Q2988" s="9">
        <v>44873</v>
      </c>
      <c r="R2988" s="9">
        <v>44798.372175925899</v>
      </c>
      <c r="S2988"/>
      <c r="T2988"/>
      <c r="U2988"/>
    </row>
    <row r="2989" spans="1:21" hidden="1">
      <c r="A2989" s="7" t="s">
        <v>8760</v>
      </c>
      <c r="B2989" s="7" t="s">
        <v>8350</v>
      </c>
      <c r="C2989" s="8" t="s">
        <v>5319</v>
      </c>
      <c r="D2989" t="s">
        <v>272</v>
      </c>
      <c r="E2989" t="s">
        <v>512</v>
      </c>
      <c r="F2989" t="s">
        <v>117</v>
      </c>
      <c r="G2989" t="s">
        <v>2652</v>
      </c>
      <c r="H2989" s="9">
        <v>44733</v>
      </c>
      <c r="I2989" t="s">
        <v>171</v>
      </c>
      <c r="J2989" t="s">
        <v>0</v>
      </c>
      <c r="K2989" s="9">
        <v>44873</v>
      </c>
      <c r="L2989" t="s">
        <v>29</v>
      </c>
      <c r="M2989"/>
      <c r="N2989"/>
      <c r="O2989"/>
      <c r="P2989"/>
      <c r="Q2989" s="9">
        <v>44873</v>
      </c>
      <c r="R2989" s="9">
        <v>44798.372175925899</v>
      </c>
      <c r="S2989"/>
      <c r="T2989"/>
      <c r="U2989"/>
    </row>
    <row r="2990" spans="1:21" hidden="1">
      <c r="A2990" s="7" t="s">
        <v>8760</v>
      </c>
      <c r="B2990" s="7" t="s">
        <v>8350</v>
      </c>
      <c r="C2990" s="8" t="s">
        <v>5319</v>
      </c>
      <c r="D2990" t="s">
        <v>272</v>
      </c>
      <c r="E2990" t="s">
        <v>512</v>
      </c>
      <c r="F2990" t="s">
        <v>117</v>
      </c>
      <c r="G2990" t="s">
        <v>1453</v>
      </c>
      <c r="H2990" s="9">
        <v>44733</v>
      </c>
      <c r="I2990" t="s">
        <v>171</v>
      </c>
      <c r="J2990" t="s">
        <v>0</v>
      </c>
      <c r="K2990" s="9">
        <v>44873</v>
      </c>
      <c r="L2990" t="s">
        <v>29</v>
      </c>
      <c r="M2990"/>
      <c r="N2990"/>
      <c r="O2990"/>
      <c r="P2990"/>
      <c r="Q2990" s="9">
        <v>44873</v>
      </c>
      <c r="R2990" s="9">
        <v>44798.372175925899</v>
      </c>
      <c r="S2990"/>
      <c r="T2990"/>
      <c r="U2990"/>
    </row>
    <row r="2991" spans="1:21" hidden="1">
      <c r="A2991" s="7" t="s">
        <v>8760</v>
      </c>
      <c r="B2991" s="7" t="s">
        <v>8350</v>
      </c>
      <c r="C2991" s="8" t="s">
        <v>5319</v>
      </c>
      <c r="D2991" t="s">
        <v>272</v>
      </c>
      <c r="E2991" t="s">
        <v>512</v>
      </c>
      <c r="F2991" t="s">
        <v>117</v>
      </c>
      <c r="G2991" t="s">
        <v>1454</v>
      </c>
      <c r="H2991" s="9">
        <v>44733</v>
      </c>
      <c r="I2991" t="s">
        <v>171</v>
      </c>
      <c r="J2991" t="s">
        <v>0</v>
      </c>
      <c r="K2991" s="9">
        <v>44873</v>
      </c>
      <c r="L2991" t="s">
        <v>29</v>
      </c>
      <c r="M2991"/>
      <c r="N2991"/>
      <c r="O2991"/>
      <c r="P2991"/>
      <c r="Q2991" s="9">
        <v>44873</v>
      </c>
      <c r="R2991" s="9">
        <v>44798.372175925899</v>
      </c>
      <c r="S2991"/>
      <c r="T2991"/>
      <c r="U2991"/>
    </row>
    <row r="2992" spans="1:21" hidden="1">
      <c r="A2992" s="7" t="s">
        <v>8760</v>
      </c>
      <c r="B2992" s="7" t="s">
        <v>8350</v>
      </c>
      <c r="C2992" s="8" t="s">
        <v>5319</v>
      </c>
      <c r="D2992" t="s">
        <v>272</v>
      </c>
      <c r="E2992" t="s">
        <v>512</v>
      </c>
      <c r="F2992" t="s">
        <v>117</v>
      </c>
      <c r="G2992" t="s">
        <v>1456</v>
      </c>
      <c r="H2992" s="9">
        <v>44733</v>
      </c>
      <c r="I2992" t="s">
        <v>171</v>
      </c>
      <c r="J2992" t="s">
        <v>0</v>
      </c>
      <c r="K2992" s="9">
        <v>44873</v>
      </c>
      <c r="L2992" t="s">
        <v>29</v>
      </c>
      <c r="M2992"/>
      <c r="N2992"/>
      <c r="O2992"/>
      <c r="P2992"/>
      <c r="Q2992" s="9">
        <v>44873</v>
      </c>
      <c r="R2992" s="9">
        <v>44798.372175925899</v>
      </c>
      <c r="S2992"/>
      <c r="T2992"/>
      <c r="U2992"/>
    </row>
    <row r="2993" spans="1:21" hidden="1">
      <c r="A2993" s="7" t="s">
        <v>8760</v>
      </c>
      <c r="B2993" s="7" t="s">
        <v>8350</v>
      </c>
      <c r="C2993" s="8" t="s">
        <v>5319</v>
      </c>
      <c r="D2993" t="s">
        <v>272</v>
      </c>
      <c r="E2993" t="s">
        <v>512</v>
      </c>
      <c r="F2993" t="s">
        <v>117</v>
      </c>
      <c r="G2993" t="s">
        <v>513</v>
      </c>
      <c r="H2993" s="9">
        <v>44733</v>
      </c>
      <c r="I2993" t="s">
        <v>171</v>
      </c>
      <c r="J2993" t="s">
        <v>0</v>
      </c>
      <c r="K2993" s="9">
        <v>44873</v>
      </c>
      <c r="L2993" t="s">
        <v>29</v>
      </c>
      <c r="M2993"/>
      <c r="N2993"/>
      <c r="O2993"/>
      <c r="P2993"/>
      <c r="Q2993" s="9">
        <v>44873</v>
      </c>
      <c r="R2993" s="9">
        <v>44798.372175925899</v>
      </c>
      <c r="S2993"/>
      <c r="T2993"/>
      <c r="U2993"/>
    </row>
    <row r="2994" spans="1:21" hidden="1">
      <c r="A2994" s="7" t="s">
        <v>8760</v>
      </c>
      <c r="B2994" s="7" t="s">
        <v>8350</v>
      </c>
      <c r="C2994" s="8" t="s">
        <v>5319</v>
      </c>
      <c r="D2994" t="s">
        <v>272</v>
      </c>
      <c r="E2994" t="s">
        <v>512</v>
      </c>
      <c r="F2994" t="s">
        <v>117</v>
      </c>
      <c r="G2994" t="s">
        <v>2653</v>
      </c>
      <c r="H2994" s="9">
        <v>44733</v>
      </c>
      <c r="I2994" t="s">
        <v>171</v>
      </c>
      <c r="J2994" t="s">
        <v>0</v>
      </c>
      <c r="K2994" s="9">
        <v>44873</v>
      </c>
      <c r="L2994" t="s">
        <v>29</v>
      </c>
      <c r="M2994"/>
      <c r="N2994"/>
      <c r="O2994"/>
      <c r="P2994"/>
      <c r="Q2994" s="9">
        <v>44873</v>
      </c>
      <c r="R2994" s="9">
        <v>44798.372175925899</v>
      </c>
      <c r="S2994"/>
      <c r="T2994"/>
      <c r="U2994"/>
    </row>
    <row r="2995" spans="1:21" hidden="1">
      <c r="A2995" s="7" t="s">
        <v>8760</v>
      </c>
      <c r="B2995" s="7" t="s">
        <v>8350</v>
      </c>
      <c r="C2995" s="8" t="s">
        <v>5319</v>
      </c>
      <c r="D2995" t="s">
        <v>272</v>
      </c>
      <c r="E2995" t="s">
        <v>512</v>
      </c>
      <c r="F2995" t="s">
        <v>117</v>
      </c>
      <c r="G2995" t="s">
        <v>514</v>
      </c>
      <c r="H2995" s="9">
        <v>44733</v>
      </c>
      <c r="I2995" t="s">
        <v>171</v>
      </c>
      <c r="J2995" t="s">
        <v>0</v>
      </c>
      <c r="K2995" s="9">
        <v>44873</v>
      </c>
      <c r="L2995" t="s">
        <v>29</v>
      </c>
      <c r="M2995"/>
      <c r="N2995"/>
      <c r="O2995"/>
      <c r="P2995"/>
      <c r="Q2995" s="9">
        <v>44873</v>
      </c>
      <c r="R2995" s="9">
        <v>44798.372175925899</v>
      </c>
      <c r="S2995"/>
      <c r="T2995"/>
      <c r="U2995"/>
    </row>
    <row r="2996" spans="1:21" hidden="1">
      <c r="A2996" s="7" t="s">
        <v>8760</v>
      </c>
      <c r="B2996" s="7" t="s">
        <v>8350</v>
      </c>
      <c r="C2996" s="8" t="s">
        <v>5319</v>
      </c>
      <c r="D2996" t="s">
        <v>272</v>
      </c>
      <c r="E2996" t="s">
        <v>512</v>
      </c>
      <c r="F2996" t="s">
        <v>117</v>
      </c>
      <c r="G2996" t="s">
        <v>1457</v>
      </c>
      <c r="H2996" s="9">
        <v>44733</v>
      </c>
      <c r="I2996" t="s">
        <v>171</v>
      </c>
      <c r="J2996" t="s">
        <v>0</v>
      </c>
      <c r="K2996" s="9">
        <v>44873</v>
      </c>
      <c r="L2996" t="s">
        <v>29</v>
      </c>
      <c r="M2996"/>
      <c r="N2996"/>
      <c r="O2996"/>
      <c r="P2996"/>
      <c r="Q2996" s="9">
        <v>44873</v>
      </c>
      <c r="R2996" s="9">
        <v>44798.372175925899</v>
      </c>
      <c r="S2996"/>
      <c r="T2996"/>
      <c r="U2996"/>
    </row>
    <row r="2997" spans="1:21" hidden="1">
      <c r="A2997" s="7" t="s">
        <v>8760</v>
      </c>
      <c r="B2997" s="7" t="s">
        <v>8350</v>
      </c>
      <c r="C2997" s="8" t="s">
        <v>5319</v>
      </c>
      <c r="D2997" t="s">
        <v>272</v>
      </c>
      <c r="E2997" t="s">
        <v>512</v>
      </c>
      <c r="F2997" t="s">
        <v>117</v>
      </c>
      <c r="G2997" t="s">
        <v>2654</v>
      </c>
      <c r="H2997" s="9">
        <v>44733</v>
      </c>
      <c r="I2997" t="s">
        <v>171</v>
      </c>
      <c r="J2997" t="s">
        <v>0</v>
      </c>
      <c r="K2997" s="9">
        <v>44873</v>
      </c>
      <c r="L2997" t="s">
        <v>29</v>
      </c>
      <c r="M2997"/>
      <c r="N2997"/>
      <c r="O2997"/>
      <c r="P2997"/>
      <c r="Q2997" s="9">
        <v>44873</v>
      </c>
      <c r="R2997" s="9">
        <v>44798.372175925899</v>
      </c>
      <c r="S2997"/>
      <c r="T2997"/>
      <c r="U2997"/>
    </row>
    <row r="2998" spans="1:21" hidden="1">
      <c r="A2998" s="7" t="s">
        <v>8760</v>
      </c>
      <c r="B2998" s="7" t="s">
        <v>8350</v>
      </c>
      <c r="C2998" s="8" t="s">
        <v>5319</v>
      </c>
      <c r="D2998" t="s">
        <v>272</v>
      </c>
      <c r="E2998" t="s">
        <v>512</v>
      </c>
      <c r="F2998" t="s">
        <v>117</v>
      </c>
      <c r="G2998" t="s">
        <v>2655</v>
      </c>
      <c r="H2998" s="9">
        <v>44733</v>
      </c>
      <c r="I2998" t="s">
        <v>171</v>
      </c>
      <c r="J2998" t="s">
        <v>0</v>
      </c>
      <c r="K2998" s="9">
        <v>44873</v>
      </c>
      <c r="L2998" t="s">
        <v>29</v>
      </c>
      <c r="M2998"/>
      <c r="N2998"/>
      <c r="O2998"/>
      <c r="P2998"/>
      <c r="Q2998" s="9">
        <v>44873</v>
      </c>
      <c r="R2998" s="9">
        <v>44798.372175925899</v>
      </c>
      <c r="S2998"/>
      <c r="T2998"/>
      <c r="U2998"/>
    </row>
    <row r="2999" spans="1:21" hidden="1">
      <c r="A2999" s="7" t="s">
        <v>8760</v>
      </c>
      <c r="B2999" s="7" t="s">
        <v>8350</v>
      </c>
      <c r="C2999" s="8" t="s">
        <v>5319</v>
      </c>
      <c r="D2999" t="s">
        <v>272</v>
      </c>
      <c r="E2999" t="s">
        <v>512</v>
      </c>
      <c r="F2999" t="s">
        <v>117</v>
      </c>
      <c r="G2999" t="s">
        <v>2656</v>
      </c>
      <c r="H2999" s="9">
        <v>44733</v>
      </c>
      <c r="I2999" t="s">
        <v>171</v>
      </c>
      <c r="J2999" t="s">
        <v>0</v>
      </c>
      <c r="K2999" s="9">
        <v>44873</v>
      </c>
      <c r="L2999" t="s">
        <v>29</v>
      </c>
      <c r="M2999"/>
      <c r="N2999"/>
      <c r="O2999"/>
      <c r="P2999"/>
      <c r="Q2999" s="9">
        <v>44873</v>
      </c>
      <c r="R2999" s="9">
        <v>44798.372175925899</v>
      </c>
      <c r="S2999"/>
      <c r="T2999"/>
      <c r="U2999"/>
    </row>
    <row r="3000" spans="1:21" hidden="1">
      <c r="A3000" s="7" t="s">
        <v>8760</v>
      </c>
      <c r="B3000" s="7" t="s">
        <v>8350</v>
      </c>
      <c r="C3000" s="8" t="s">
        <v>5319</v>
      </c>
      <c r="D3000" t="s">
        <v>272</v>
      </c>
      <c r="E3000" t="s">
        <v>512</v>
      </c>
      <c r="F3000" t="s">
        <v>117</v>
      </c>
      <c r="G3000" t="s">
        <v>2657</v>
      </c>
      <c r="H3000" s="9">
        <v>44733</v>
      </c>
      <c r="I3000" t="s">
        <v>171</v>
      </c>
      <c r="J3000" t="s">
        <v>0</v>
      </c>
      <c r="K3000" s="9">
        <v>44873</v>
      </c>
      <c r="L3000" t="s">
        <v>29</v>
      </c>
      <c r="M3000"/>
      <c r="N3000"/>
      <c r="O3000"/>
      <c r="P3000"/>
      <c r="Q3000" s="9">
        <v>44873</v>
      </c>
      <c r="R3000" s="9">
        <v>44798.372175925899</v>
      </c>
      <c r="S3000"/>
      <c r="T3000"/>
      <c r="U3000"/>
    </row>
    <row r="3001" spans="1:21" hidden="1">
      <c r="A3001" s="7" t="s">
        <v>8760</v>
      </c>
      <c r="B3001" s="7" t="s">
        <v>8350</v>
      </c>
      <c r="C3001" s="8" t="s">
        <v>5319</v>
      </c>
      <c r="D3001" t="s">
        <v>272</v>
      </c>
      <c r="E3001" t="s">
        <v>512</v>
      </c>
      <c r="F3001" t="s">
        <v>117</v>
      </c>
      <c r="G3001" t="s">
        <v>2658</v>
      </c>
      <c r="H3001" s="9">
        <v>44733</v>
      </c>
      <c r="I3001" t="s">
        <v>171</v>
      </c>
      <c r="J3001" t="s">
        <v>0</v>
      </c>
      <c r="K3001" s="9">
        <v>44873</v>
      </c>
      <c r="L3001" t="s">
        <v>29</v>
      </c>
      <c r="M3001"/>
      <c r="N3001"/>
      <c r="O3001"/>
      <c r="P3001"/>
      <c r="Q3001" s="9">
        <v>44873</v>
      </c>
      <c r="R3001" s="9">
        <v>44798.372175925899</v>
      </c>
      <c r="S3001"/>
      <c r="T3001"/>
      <c r="U3001"/>
    </row>
    <row r="3002" spans="1:21" hidden="1">
      <c r="A3002" s="7" t="s">
        <v>8760</v>
      </c>
      <c r="B3002" s="7" t="s">
        <v>8350</v>
      </c>
      <c r="C3002" s="8" t="s">
        <v>5319</v>
      </c>
      <c r="D3002" t="s">
        <v>272</v>
      </c>
      <c r="E3002" t="s">
        <v>512</v>
      </c>
      <c r="F3002" t="s">
        <v>117</v>
      </c>
      <c r="G3002" t="s">
        <v>2659</v>
      </c>
      <c r="H3002" s="9">
        <v>44733</v>
      </c>
      <c r="I3002" t="s">
        <v>171</v>
      </c>
      <c r="J3002" t="s">
        <v>0</v>
      </c>
      <c r="K3002" s="9">
        <v>44873</v>
      </c>
      <c r="L3002" t="s">
        <v>29</v>
      </c>
      <c r="M3002"/>
      <c r="N3002"/>
      <c r="O3002"/>
      <c r="P3002"/>
      <c r="Q3002" s="9">
        <v>44873</v>
      </c>
      <c r="R3002" s="9">
        <v>44798.372175925899</v>
      </c>
      <c r="S3002"/>
      <c r="T3002"/>
      <c r="U3002"/>
    </row>
    <row r="3003" spans="1:21" hidden="1">
      <c r="A3003" s="7" t="s">
        <v>8760</v>
      </c>
      <c r="B3003" s="7" t="s">
        <v>8350</v>
      </c>
      <c r="C3003" s="8" t="s">
        <v>5319</v>
      </c>
      <c r="D3003" t="s">
        <v>272</v>
      </c>
      <c r="E3003" t="s">
        <v>512</v>
      </c>
      <c r="F3003" t="s">
        <v>117</v>
      </c>
      <c r="G3003" t="s">
        <v>2660</v>
      </c>
      <c r="H3003" s="9">
        <v>44733</v>
      </c>
      <c r="I3003" t="s">
        <v>171</v>
      </c>
      <c r="J3003" t="s">
        <v>0</v>
      </c>
      <c r="K3003" s="9">
        <v>44873</v>
      </c>
      <c r="L3003" t="s">
        <v>29</v>
      </c>
      <c r="M3003"/>
      <c r="N3003"/>
      <c r="O3003"/>
      <c r="P3003"/>
      <c r="Q3003" s="9">
        <v>44873</v>
      </c>
      <c r="R3003" s="9">
        <v>44798.372175925899</v>
      </c>
      <c r="S3003"/>
      <c r="T3003"/>
      <c r="U3003"/>
    </row>
    <row r="3004" spans="1:21" hidden="1">
      <c r="A3004" s="7" t="s">
        <v>8760</v>
      </c>
      <c r="B3004" s="7" t="s">
        <v>8350</v>
      </c>
      <c r="C3004" s="8" t="s">
        <v>5319</v>
      </c>
      <c r="D3004" t="s">
        <v>272</v>
      </c>
      <c r="E3004" t="s">
        <v>512</v>
      </c>
      <c r="F3004" t="s">
        <v>117</v>
      </c>
      <c r="G3004" t="s">
        <v>2661</v>
      </c>
      <c r="H3004" s="9">
        <v>44733</v>
      </c>
      <c r="I3004" t="s">
        <v>171</v>
      </c>
      <c r="J3004" t="s">
        <v>0</v>
      </c>
      <c r="K3004" s="9">
        <v>44873</v>
      </c>
      <c r="L3004" t="s">
        <v>29</v>
      </c>
      <c r="M3004"/>
      <c r="N3004"/>
      <c r="O3004"/>
      <c r="P3004"/>
      <c r="Q3004" s="9">
        <v>44873</v>
      </c>
      <c r="R3004" s="9">
        <v>44798.372175925899</v>
      </c>
      <c r="S3004"/>
      <c r="T3004"/>
      <c r="U3004"/>
    </row>
    <row r="3005" spans="1:21" hidden="1">
      <c r="A3005" s="7" t="s">
        <v>8760</v>
      </c>
      <c r="B3005" s="7" t="s">
        <v>8350</v>
      </c>
      <c r="C3005" s="8" t="s">
        <v>5319</v>
      </c>
      <c r="D3005" t="s">
        <v>272</v>
      </c>
      <c r="E3005" t="s">
        <v>512</v>
      </c>
      <c r="F3005" t="s">
        <v>117</v>
      </c>
      <c r="G3005" t="s">
        <v>2662</v>
      </c>
      <c r="H3005" s="9">
        <v>44733</v>
      </c>
      <c r="I3005" t="s">
        <v>171</v>
      </c>
      <c r="J3005" t="s">
        <v>0</v>
      </c>
      <c r="K3005" s="9">
        <v>44873</v>
      </c>
      <c r="L3005" t="s">
        <v>29</v>
      </c>
      <c r="M3005"/>
      <c r="N3005"/>
      <c r="O3005"/>
      <c r="P3005"/>
      <c r="Q3005" s="9">
        <v>44873</v>
      </c>
      <c r="R3005" s="9">
        <v>44798.372175925899</v>
      </c>
      <c r="S3005"/>
      <c r="T3005"/>
      <c r="U3005"/>
    </row>
    <row r="3006" spans="1:21" hidden="1">
      <c r="A3006" s="7" t="s">
        <v>8760</v>
      </c>
      <c r="B3006" s="7" t="s">
        <v>8350</v>
      </c>
      <c r="C3006" s="8" t="s">
        <v>5319</v>
      </c>
      <c r="D3006" t="s">
        <v>272</v>
      </c>
      <c r="E3006" t="s">
        <v>512</v>
      </c>
      <c r="F3006" t="s">
        <v>117</v>
      </c>
      <c r="G3006" t="s">
        <v>2663</v>
      </c>
      <c r="H3006" s="9">
        <v>44733</v>
      </c>
      <c r="I3006" t="s">
        <v>171</v>
      </c>
      <c r="J3006" t="s">
        <v>0</v>
      </c>
      <c r="K3006" s="9">
        <v>44873</v>
      </c>
      <c r="L3006" t="s">
        <v>29</v>
      </c>
      <c r="M3006"/>
      <c r="N3006"/>
      <c r="O3006"/>
      <c r="P3006"/>
      <c r="Q3006" s="9">
        <v>44873</v>
      </c>
      <c r="R3006" s="9">
        <v>44798.372175925899</v>
      </c>
      <c r="S3006"/>
      <c r="T3006"/>
      <c r="U3006"/>
    </row>
    <row r="3007" spans="1:21" hidden="1">
      <c r="A3007" s="7" t="s">
        <v>8760</v>
      </c>
      <c r="B3007" s="7" t="s">
        <v>8350</v>
      </c>
      <c r="C3007" s="8" t="s">
        <v>5319</v>
      </c>
      <c r="D3007" t="s">
        <v>272</v>
      </c>
      <c r="E3007" t="s">
        <v>512</v>
      </c>
      <c r="F3007" t="s">
        <v>117</v>
      </c>
      <c r="G3007" t="s">
        <v>2664</v>
      </c>
      <c r="H3007" s="9">
        <v>44733</v>
      </c>
      <c r="I3007" t="s">
        <v>171</v>
      </c>
      <c r="J3007" t="s">
        <v>0</v>
      </c>
      <c r="K3007" s="9">
        <v>44873</v>
      </c>
      <c r="L3007" t="s">
        <v>29</v>
      </c>
      <c r="M3007"/>
      <c r="N3007"/>
      <c r="O3007"/>
      <c r="P3007"/>
      <c r="Q3007" s="9">
        <v>44873</v>
      </c>
      <c r="R3007" s="9">
        <v>44798.372175925899</v>
      </c>
      <c r="S3007"/>
      <c r="T3007"/>
      <c r="U3007"/>
    </row>
    <row r="3008" spans="1:21" hidden="1">
      <c r="A3008" s="7" t="s">
        <v>8760</v>
      </c>
      <c r="B3008" s="7" t="s">
        <v>8350</v>
      </c>
      <c r="C3008" s="8" t="s">
        <v>5319</v>
      </c>
      <c r="D3008" t="s">
        <v>272</v>
      </c>
      <c r="E3008" t="s">
        <v>512</v>
      </c>
      <c r="F3008" t="s">
        <v>117</v>
      </c>
      <c r="G3008" t="s">
        <v>2665</v>
      </c>
      <c r="H3008" s="9">
        <v>44733</v>
      </c>
      <c r="I3008" t="s">
        <v>171</v>
      </c>
      <c r="J3008" t="s">
        <v>0</v>
      </c>
      <c r="K3008" s="9">
        <v>44873</v>
      </c>
      <c r="L3008" t="s">
        <v>29</v>
      </c>
      <c r="M3008"/>
      <c r="N3008"/>
      <c r="O3008"/>
      <c r="P3008"/>
      <c r="Q3008" s="9">
        <v>44873</v>
      </c>
      <c r="R3008" s="9">
        <v>44798.372175925899</v>
      </c>
      <c r="S3008"/>
      <c r="T3008"/>
      <c r="U3008"/>
    </row>
    <row r="3009" spans="1:21" hidden="1">
      <c r="A3009" s="7" t="s">
        <v>8760</v>
      </c>
      <c r="B3009" s="7" t="s">
        <v>8350</v>
      </c>
      <c r="C3009" s="8" t="s">
        <v>5319</v>
      </c>
      <c r="D3009" t="s">
        <v>272</v>
      </c>
      <c r="E3009" t="s">
        <v>512</v>
      </c>
      <c r="F3009" t="s">
        <v>117</v>
      </c>
      <c r="G3009" t="s">
        <v>2666</v>
      </c>
      <c r="H3009" s="9">
        <v>44733</v>
      </c>
      <c r="I3009" t="s">
        <v>171</v>
      </c>
      <c r="J3009" t="s">
        <v>0</v>
      </c>
      <c r="K3009" s="9">
        <v>44873</v>
      </c>
      <c r="L3009" t="s">
        <v>29</v>
      </c>
      <c r="M3009"/>
      <c r="N3009"/>
      <c r="O3009"/>
      <c r="P3009"/>
      <c r="Q3009" s="9">
        <v>44873</v>
      </c>
      <c r="R3009" s="9">
        <v>44798.372175925899</v>
      </c>
      <c r="S3009"/>
      <c r="T3009"/>
      <c r="U3009"/>
    </row>
    <row r="3010" spans="1:21" hidden="1">
      <c r="A3010" s="7" t="s">
        <v>8760</v>
      </c>
      <c r="B3010" s="7" t="s">
        <v>8350</v>
      </c>
      <c r="C3010" s="8" t="s">
        <v>5319</v>
      </c>
      <c r="D3010" t="s">
        <v>272</v>
      </c>
      <c r="E3010" t="s">
        <v>512</v>
      </c>
      <c r="F3010" t="s">
        <v>117</v>
      </c>
      <c r="G3010" t="s">
        <v>2667</v>
      </c>
      <c r="H3010" s="9">
        <v>44733</v>
      </c>
      <c r="I3010" t="s">
        <v>171</v>
      </c>
      <c r="J3010" t="s">
        <v>0</v>
      </c>
      <c r="K3010" s="9">
        <v>44873</v>
      </c>
      <c r="L3010" t="s">
        <v>29</v>
      </c>
      <c r="M3010"/>
      <c r="N3010"/>
      <c r="O3010"/>
      <c r="P3010"/>
      <c r="Q3010" s="9">
        <v>44873</v>
      </c>
      <c r="R3010" s="9">
        <v>44798.372175925899</v>
      </c>
      <c r="S3010"/>
      <c r="T3010"/>
      <c r="U3010"/>
    </row>
    <row r="3011" spans="1:21" hidden="1">
      <c r="A3011" s="7" t="s">
        <v>8760</v>
      </c>
      <c r="B3011" s="7" t="s">
        <v>8350</v>
      </c>
      <c r="C3011" s="8" t="s">
        <v>5319</v>
      </c>
      <c r="D3011" t="s">
        <v>272</v>
      </c>
      <c r="E3011" t="s">
        <v>512</v>
      </c>
      <c r="F3011" t="s">
        <v>117</v>
      </c>
      <c r="G3011" t="s">
        <v>2668</v>
      </c>
      <c r="H3011" s="9">
        <v>44733</v>
      </c>
      <c r="I3011" t="s">
        <v>171</v>
      </c>
      <c r="J3011" t="s">
        <v>0</v>
      </c>
      <c r="K3011" s="9">
        <v>44873</v>
      </c>
      <c r="L3011" t="s">
        <v>29</v>
      </c>
      <c r="M3011"/>
      <c r="N3011"/>
      <c r="O3011"/>
      <c r="P3011"/>
      <c r="Q3011" s="9">
        <v>44873</v>
      </c>
      <c r="R3011" s="9">
        <v>44798.372175925899</v>
      </c>
      <c r="S3011"/>
      <c r="T3011"/>
      <c r="U3011"/>
    </row>
    <row r="3012" spans="1:21" hidden="1">
      <c r="A3012" s="7" t="s">
        <v>8760</v>
      </c>
      <c r="B3012" s="7" t="s">
        <v>8350</v>
      </c>
      <c r="C3012" s="8" t="s">
        <v>5319</v>
      </c>
      <c r="D3012" t="s">
        <v>272</v>
      </c>
      <c r="E3012" t="s">
        <v>512</v>
      </c>
      <c r="F3012" t="s">
        <v>117</v>
      </c>
      <c r="G3012" t="s">
        <v>2669</v>
      </c>
      <c r="H3012" s="9">
        <v>44733</v>
      </c>
      <c r="I3012" t="s">
        <v>171</v>
      </c>
      <c r="J3012" t="s">
        <v>0</v>
      </c>
      <c r="K3012" s="9">
        <v>44873</v>
      </c>
      <c r="L3012" t="s">
        <v>29</v>
      </c>
      <c r="M3012"/>
      <c r="N3012"/>
      <c r="O3012"/>
      <c r="P3012"/>
      <c r="Q3012" s="9">
        <v>44873</v>
      </c>
      <c r="R3012" s="9">
        <v>44798.372175925899</v>
      </c>
      <c r="S3012"/>
      <c r="T3012"/>
      <c r="U3012"/>
    </row>
    <row r="3013" spans="1:21" hidden="1">
      <c r="A3013" s="7" t="s">
        <v>8760</v>
      </c>
      <c r="B3013" s="7" t="s">
        <v>8350</v>
      </c>
      <c r="C3013" s="8" t="s">
        <v>5319</v>
      </c>
      <c r="D3013" t="s">
        <v>272</v>
      </c>
      <c r="E3013" t="s">
        <v>512</v>
      </c>
      <c r="F3013" t="s">
        <v>117</v>
      </c>
      <c r="G3013" t="s">
        <v>2670</v>
      </c>
      <c r="H3013" s="9">
        <v>44733</v>
      </c>
      <c r="I3013" t="s">
        <v>171</v>
      </c>
      <c r="J3013" t="s">
        <v>0</v>
      </c>
      <c r="K3013" s="9">
        <v>44873</v>
      </c>
      <c r="L3013" t="s">
        <v>29</v>
      </c>
      <c r="M3013"/>
      <c r="N3013"/>
      <c r="O3013"/>
      <c r="P3013"/>
      <c r="Q3013" s="9">
        <v>44873</v>
      </c>
      <c r="R3013" s="9">
        <v>44798.372175925899</v>
      </c>
      <c r="S3013"/>
      <c r="T3013"/>
      <c r="U3013"/>
    </row>
    <row r="3014" spans="1:21" hidden="1">
      <c r="A3014" s="7" t="s">
        <v>8760</v>
      </c>
      <c r="B3014" s="7" t="s">
        <v>8350</v>
      </c>
      <c r="C3014" s="8" t="s">
        <v>5319</v>
      </c>
      <c r="D3014" t="s">
        <v>272</v>
      </c>
      <c r="E3014" t="s">
        <v>512</v>
      </c>
      <c r="F3014" t="s">
        <v>117</v>
      </c>
      <c r="G3014" t="s">
        <v>2671</v>
      </c>
      <c r="H3014" s="9">
        <v>44733</v>
      </c>
      <c r="I3014" t="s">
        <v>171</v>
      </c>
      <c r="J3014" t="s">
        <v>0</v>
      </c>
      <c r="K3014" s="9">
        <v>44873</v>
      </c>
      <c r="L3014" t="s">
        <v>29</v>
      </c>
      <c r="M3014"/>
      <c r="N3014"/>
      <c r="O3014"/>
      <c r="P3014"/>
      <c r="Q3014" s="9">
        <v>44873</v>
      </c>
      <c r="R3014" s="9">
        <v>44798.372175925899</v>
      </c>
      <c r="S3014"/>
      <c r="T3014"/>
      <c r="U3014"/>
    </row>
    <row r="3015" spans="1:21" hidden="1">
      <c r="A3015" s="7" t="s">
        <v>8760</v>
      </c>
      <c r="B3015" s="7" t="s">
        <v>8350</v>
      </c>
      <c r="C3015" s="8" t="s">
        <v>5319</v>
      </c>
      <c r="D3015" t="s">
        <v>272</v>
      </c>
      <c r="E3015" t="s">
        <v>512</v>
      </c>
      <c r="F3015" t="s">
        <v>117</v>
      </c>
      <c r="G3015" t="s">
        <v>2672</v>
      </c>
      <c r="H3015" s="9">
        <v>44733</v>
      </c>
      <c r="I3015" t="s">
        <v>171</v>
      </c>
      <c r="J3015" t="s">
        <v>0</v>
      </c>
      <c r="K3015" s="9">
        <v>44873</v>
      </c>
      <c r="L3015" t="s">
        <v>29</v>
      </c>
      <c r="M3015"/>
      <c r="N3015"/>
      <c r="O3015"/>
      <c r="P3015"/>
      <c r="Q3015" s="9">
        <v>44873</v>
      </c>
      <c r="R3015" s="9">
        <v>44798.372175925899</v>
      </c>
      <c r="S3015"/>
      <c r="T3015"/>
      <c r="U3015"/>
    </row>
    <row r="3016" spans="1:21" hidden="1">
      <c r="A3016" s="7" t="s">
        <v>8760</v>
      </c>
      <c r="B3016" s="7" t="s">
        <v>8350</v>
      </c>
      <c r="C3016" s="8" t="s">
        <v>5319</v>
      </c>
      <c r="D3016" t="s">
        <v>272</v>
      </c>
      <c r="E3016" t="s">
        <v>512</v>
      </c>
      <c r="F3016" t="s">
        <v>117</v>
      </c>
      <c r="G3016" t="s">
        <v>2673</v>
      </c>
      <c r="H3016" s="9">
        <v>44733</v>
      </c>
      <c r="I3016" t="s">
        <v>171</v>
      </c>
      <c r="J3016" t="s">
        <v>0</v>
      </c>
      <c r="K3016" s="9">
        <v>44873</v>
      </c>
      <c r="L3016" t="s">
        <v>29</v>
      </c>
      <c r="M3016"/>
      <c r="N3016"/>
      <c r="O3016"/>
      <c r="P3016"/>
      <c r="Q3016" s="9">
        <v>44873</v>
      </c>
      <c r="R3016" s="9">
        <v>44798.372175925899</v>
      </c>
      <c r="S3016"/>
      <c r="T3016"/>
      <c r="U3016"/>
    </row>
    <row r="3017" spans="1:21" hidden="1">
      <c r="A3017" s="7" t="s">
        <v>8760</v>
      </c>
      <c r="B3017" s="7" t="s">
        <v>8350</v>
      </c>
      <c r="C3017" s="8" t="s">
        <v>5319</v>
      </c>
      <c r="D3017" t="s">
        <v>272</v>
      </c>
      <c r="E3017" t="s">
        <v>512</v>
      </c>
      <c r="F3017" t="s">
        <v>117</v>
      </c>
      <c r="G3017" t="s">
        <v>2674</v>
      </c>
      <c r="H3017" s="9">
        <v>44733</v>
      </c>
      <c r="I3017" t="s">
        <v>171</v>
      </c>
      <c r="J3017" t="s">
        <v>0</v>
      </c>
      <c r="K3017" s="9">
        <v>44873</v>
      </c>
      <c r="L3017" t="s">
        <v>29</v>
      </c>
      <c r="M3017"/>
      <c r="N3017"/>
      <c r="O3017"/>
      <c r="P3017"/>
      <c r="Q3017" s="9">
        <v>44873</v>
      </c>
      <c r="R3017" s="9">
        <v>44798.372175925899</v>
      </c>
      <c r="S3017"/>
      <c r="T3017"/>
      <c r="U3017"/>
    </row>
    <row r="3018" spans="1:21" hidden="1">
      <c r="A3018" s="7" t="s">
        <v>8760</v>
      </c>
      <c r="B3018" s="7" t="s">
        <v>8350</v>
      </c>
      <c r="C3018" s="8" t="s">
        <v>5319</v>
      </c>
      <c r="D3018" t="s">
        <v>272</v>
      </c>
      <c r="E3018" t="s">
        <v>512</v>
      </c>
      <c r="F3018" t="s">
        <v>117</v>
      </c>
      <c r="G3018" t="s">
        <v>2675</v>
      </c>
      <c r="H3018" s="9">
        <v>44733</v>
      </c>
      <c r="I3018" t="s">
        <v>171</v>
      </c>
      <c r="J3018" t="s">
        <v>0</v>
      </c>
      <c r="K3018" s="9">
        <v>44873</v>
      </c>
      <c r="L3018" t="s">
        <v>29</v>
      </c>
      <c r="M3018"/>
      <c r="N3018"/>
      <c r="O3018"/>
      <c r="P3018"/>
      <c r="Q3018" s="9">
        <v>44873</v>
      </c>
      <c r="R3018" s="9">
        <v>44798.372175925899</v>
      </c>
      <c r="S3018"/>
      <c r="T3018"/>
      <c r="U3018"/>
    </row>
    <row r="3019" spans="1:21" hidden="1">
      <c r="A3019" s="7" t="s">
        <v>8760</v>
      </c>
      <c r="B3019" s="7" t="s">
        <v>8350</v>
      </c>
      <c r="C3019" s="8" t="s">
        <v>5319</v>
      </c>
      <c r="D3019" t="s">
        <v>272</v>
      </c>
      <c r="E3019" t="s">
        <v>512</v>
      </c>
      <c r="F3019" t="s">
        <v>117</v>
      </c>
      <c r="G3019" t="s">
        <v>2676</v>
      </c>
      <c r="H3019" s="9">
        <v>44733</v>
      </c>
      <c r="I3019" t="s">
        <v>171</v>
      </c>
      <c r="J3019" t="s">
        <v>0</v>
      </c>
      <c r="K3019" s="9">
        <v>44873</v>
      </c>
      <c r="L3019" t="s">
        <v>29</v>
      </c>
      <c r="M3019"/>
      <c r="N3019"/>
      <c r="O3019"/>
      <c r="P3019"/>
      <c r="Q3019" s="9">
        <v>44873</v>
      </c>
      <c r="R3019" s="9">
        <v>44798.372175925899</v>
      </c>
      <c r="S3019"/>
      <c r="T3019"/>
      <c r="U3019"/>
    </row>
    <row r="3020" spans="1:21" hidden="1">
      <c r="A3020" s="7" t="s">
        <v>8760</v>
      </c>
      <c r="B3020" s="7" t="s">
        <v>8350</v>
      </c>
      <c r="C3020" s="8" t="s">
        <v>5319</v>
      </c>
      <c r="D3020" t="s">
        <v>272</v>
      </c>
      <c r="E3020" t="s">
        <v>512</v>
      </c>
      <c r="F3020" t="s">
        <v>117</v>
      </c>
      <c r="G3020" t="s">
        <v>2677</v>
      </c>
      <c r="H3020" s="9">
        <v>44733</v>
      </c>
      <c r="I3020" t="s">
        <v>171</v>
      </c>
      <c r="J3020" t="s">
        <v>0</v>
      </c>
      <c r="K3020" s="9">
        <v>44873</v>
      </c>
      <c r="L3020" t="s">
        <v>29</v>
      </c>
      <c r="M3020"/>
      <c r="N3020"/>
      <c r="O3020"/>
      <c r="P3020"/>
      <c r="Q3020" s="9">
        <v>44873</v>
      </c>
      <c r="R3020" s="9">
        <v>44798.372175925899</v>
      </c>
      <c r="S3020"/>
      <c r="T3020"/>
      <c r="U3020"/>
    </row>
    <row r="3021" spans="1:21" hidden="1">
      <c r="A3021" s="7" t="s">
        <v>8881</v>
      </c>
      <c r="B3021" s="7" t="s">
        <v>6927</v>
      </c>
      <c r="C3021" s="8" t="s">
        <v>5319</v>
      </c>
      <c r="D3021" t="s">
        <v>272</v>
      </c>
      <c r="E3021" t="s">
        <v>2678</v>
      </c>
      <c r="F3021" t="s">
        <v>209</v>
      </c>
      <c r="G3021" t="s">
        <v>2679</v>
      </c>
      <c r="H3021" s="9">
        <v>44733</v>
      </c>
      <c r="I3021" t="s">
        <v>2187</v>
      </c>
      <c r="J3021" t="s">
        <v>0</v>
      </c>
      <c r="K3021" s="9">
        <v>44882</v>
      </c>
      <c r="L3021" t="s">
        <v>29</v>
      </c>
      <c r="M3021"/>
      <c r="N3021" s="9">
        <v>44778</v>
      </c>
      <c r="O3021" s="9">
        <v>44834</v>
      </c>
      <c r="P3021"/>
      <c r="Q3021" s="9">
        <v>44882</v>
      </c>
      <c r="R3021" s="9">
        <v>44879.704282407401</v>
      </c>
      <c r="S3021"/>
      <c r="T3021"/>
      <c r="U3021"/>
    </row>
    <row r="3022" spans="1:21" hidden="1">
      <c r="A3022" s="7" t="s">
        <v>8881</v>
      </c>
      <c r="B3022" s="7" t="s">
        <v>6927</v>
      </c>
      <c r="C3022" s="8" t="s">
        <v>5319</v>
      </c>
      <c r="D3022" t="s">
        <v>272</v>
      </c>
      <c r="E3022" t="s">
        <v>2678</v>
      </c>
      <c r="F3022" t="s">
        <v>209</v>
      </c>
      <c r="G3022" t="s">
        <v>2680</v>
      </c>
      <c r="H3022" s="9">
        <v>44733</v>
      </c>
      <c r="I3022" t="s">
        <v>2187</v>
      </c>
      <c r="J3022" t="s">
        <v>0</v>
      </c>
      <c r="K3022" s="9">
        <v>44882</v>
      </c>
      <c r="L3022" t="s">
        <v>29</v>
      </c>
      <c r="M3022"/>
      <c r="N3022" s="9">
        <v>44778</v>
      </c>
      <c r="O3022" s="9">
        <v>44834</v>
      </c>
      <c r="P3022"/>
      <c r="Q3022" s="9">
        <v>44882</v>
      </c>
      <c r="R3022" s="9">
        <v>44879.704282407401</v>
      </c>
      <c r="S3022"/>
      <c r="T3022"/>
      <c r="U3022"/>
    </row>
    <row r="3023" spans="1:21" hidden="1">
      <c r="A3023" s="7" t="s">
        <v>8881</v>
      </c>
      <c r="B3023" s="7" t="s">
        <v>6927</v>
      </c>
      <c r="C3023" s="8" t="s">
        <v>5319</v>
      </c>
      <c r="D3023" t="s">
        <v>272</v>
      </c>
      <c r="E3023" t="s">
        <v>2678</v>
      </c>
      <c r="F3023" t="s">
        <v>209</v>
      </c>
      <c r="G3023" t="s">
        <v>2681</v>
      </c>
      <c r="H3023" s="9">
        <v>44733</v>
      </c>
      <c r="I3023" t="s">
        <v>2187</v>
      </c>
      <c r="J3023" t="s">
        <v>0</v>
      </c>
      <c r="K3023" s="9">
        <v>44882</v>
      </c>
      <c r="L3023" t="s">
        <v>29</v>
      </c>
      <c r="M3023"/>
      <c r="N3023" s="9">
        <v>44778</v>
      </c>
      <c r="O3023" s="9">
        <v>44834</v>
      </c>
      <c r="P3023"/>
      <c r="Q3023" s="9">
        <v>44882</v>
      </c>
      <c r="R3023" s="9">
        <v>44879.704282407401</v>
      </c>
      <c r="S3023"/>
      <c r="T3023"/>
      <c r="U3023"/>
    </row>
    <row r="3024" spans="1:21" hidden="1">
      <c r="A3024" s="7" t="s">
        <v>8881</v>
      </c>
      <c r="B3024" s="7" t="s">
        <v>6927</v>
      </c>
      <c r="C3024" s="8" t="s">
        <v>5319</v>
      </c>
      <c r="D3024" t="s">
        <v>272</v>
      </c>
      <c r="E3024" t="s">
        <v>2678</v>
      </c>
      <c r="F3024" t="s">
        <v>209</v>
      </c>
      <c r="G3024" t="s">
        <v>2682</v>
      </c>
      <c r="H3024" s="9">
        <v>44733</v>
      </c>
      <c r="I3024" t="s">
        <v>2187</v>
      </c>
      <c r="J3024" t="s">
        <v>0</v>
      </c>
      <c r="K3024" s="9">
        <v>44882</v>
      </c>
      <c r="L3024" t="s">
        <v>29</v>
      </c>
      <c r="M3024"/>
      <c r="N3024" s="9">
        <v>44778</v>
      </c>
      <c r="O3024" s="9">
        <v>44834</v>
      </c>
      <c r="P3024"/>
      <c r="Q3024" s="9">
        <v>44882</v>
      </c>
      <c r="R3024" s="9">
        <v>44879.704282407401</v>
      </c>
      <c r="S3024"/>
      <c r="T3024"/>
      <c r="U3024"/>
    </row>
    <row r="3025" spans="1:21" hidden="1">
      <c r="A3025" s="7" t="s">
        <v>8881</v>
      </c>
      <c r="B3025" s="7" t="s">
        <v>6927</v>
      </c>
      <c r="C3025" s="8" t="s">
        <v>5319</v>
      </c>
      <c r="D3025" t="s">
        <v>272</v>
      </c>
      <c r="E3025" t="s">
        <v>2678</v>
      </c>
      <c r="F3025" t="s">
        <v>209</v>
      </c>
      <c r="G3025" t="s">
        <v>2683</v>
      </c>
      <c r="H3025" s="9">
        <v>44733</v>
      </c>
      <c r="I3025" t="s">
        <v>2187</v>
      </c>
      <c r="J3025" t="s">
        <v>0</v>
      </c>
      <c r="K3025" s="9">
        <v>44882</v>
      </c>
      <c r="L3025" t="s">
        <v>29</v>
      </c>
      <c r="M3025"/>
      <c r="N3025" s="9">
        <v>44778</v>
      </c>
      <c r="O3025" s="9">
        <v>44834</v>
      </c>
      <c r="P3025"/>
      <c r="Q3025" s="9">
        <v>44882</v>
      </c>
      <c r="R3025" s="9">
        <v>44879.704282407401</v>
      </c>
      <c r="S3025"/>
      <c r="T3025"/>
      <c r="U3025"/>
    </row>
    <row r="3026" spans="1:21" hidden="1">
      <c r="A3026" s="7" t="s">
        <v>8881</v>
      </c>
      <c r="B3026" s="7" t="s">
        <v>6927</v>
      </c>
      <c r="C3026" s="8" t="s">
        <v>5319</v>
      </c>
      <c r="D3026" t="s">
        <v>272</v>
      </c>
      <c r="E3026" t="s">
        <v>2678</v>
      </c>
      <c r="F3026" t="s">
        <v>209</v>
      </c>
      <c r="G3026" t="s">
        <v>2684</v>
      </c>
      <c r="H3026" s="9">
        <v>44733</v>
      </c>
      <c r="I3026" t="s">
        <v>2187</v>
      </c>
      <c r="J3026" t="s">
        <v>0</v>
      </c>
      <c r="K3026" s="9">
        <v>44882</v>
      </c>
      <c r="L3026" t="s">
        <v>29</v>
      </c>
      <c r="M3026"/>
      <c r="N3026" s="9">
        <v>44778</v>
      </c>
      <c r="O3026" s="9">
        <v>44834</v>
      </c>
      <c r="P3026"/>
      <c r="Q3026" s="9">
        <v>44882</v>
      </c>
      <c r="R3026" s="9">
        <v>44879.704282407401</v>
      </c>
      <c r="S3026"/>
      <c r="T3026"/>
      <c r="U3026"/>
    </row>
    <row r="3027" spans="1:21" hidden="1">
      <c r="A3027" s="7" t="s">
        <v>8881</v>
      </c>
      <c r="B3027" s="7" t="s">
        <v>6927</v>
      </c>
      <c r="C3027" s="8" t="s">
        <v>5319</v>
      </c>
      <c r="D3027" t="s">
        <v>272</v>
      </c>
      <c r="E3027" t="s">
        <v>2678</v>
      </c>
      <c r="F3027" t="s">
        <v>209</v>
      </c>
      <c r="G3027" t="s">
        <v>2685</v>
      </c>
      <c r="H3027" s="9">
        <v>44733</v>
      </c>
      <c r="I3027" t="s">
        <v>2187</v>
      </c>
      <c r="J3027" t="s">
        <v>0</v>
      </c>
      <c r="K3027" s="9">
        <v>44882</v>
      </c>
      <c r="L3027" t="s">
        <v>29</v>
      </c>
      <c r="M3027"/>
      <c r="N3027" s="9">
        <v>44778</v>
      </c>
      <c r="O3027" s="9">
        <v>44834</v>
      </c>
      <c r="P3027"/>
      <c r="Q3027" s="9">
        <v>44882</v>
      </c>
      <c r="R3027" s="9">
        <v>44879.704282407401</v>
      </c>
      <c r="S3027"/>
      <c r="T3027"/>
      <c r="U3027"/>
    </row>
    <row r="3028" spans="1:21" hidden="1">
      <c r="A3028" s="7" t="s">
        <v>8881</v>
      </c>
      <c r="B3028" s="7" t="s">
        <v>6927</v>
      </c>
      <c r="C3028" s="8" t="s">
        <v>5319</v>
      </c>
      <c r="D3028" t="s">
        <v>272</v>
      </c>
      <c r="E3028" t="s">
        <v>2678</v>
      </c>
      <c r="F3028" t="s">
        <v>209</v>
      </c>
      <c r="G3028" t="s">
        <v>2686</v>
      </c>
      <c r="H3028" s="9">
        <v>44733</v>
      </c>
      <c r="I3028" t="s">
        <v>2187</v>
      </c>
      <c r="J3028" t="s">
        <v>0</v>
      </c>
      <c r="K3028" s="9">
        <v>44882</v>
      </c>
      <c r="L3028" t="s">
        <v>29</v>
      </c>
      <c r="M3028"/>
      <c r="N3028" s="9">
        <v>44778</v>
      </c>
      <c r="O3028" s="9">
        <v>44834</v>
      </c>
      <c r="P3028"/>
      <c r="Q3028" s="9">
        <v>44882</v>
      </c>
      <c r="R3028" s="9">
        <v>44879.704282407401</v>
      </c>
      <c r="S3028"/>
      <c r="T3028"/>
      <c r="U3028"/>
    </row>
    <row r="3029" spans="1:21" hidden="1">
      <c r="A3029" s="7" t="s">
        <v>8881</v>
      </c>
      <c r="B3029" s="7" t="s">
        <v>6927</v>
      </c>
      <c r="C3029" s="8" t="s">
        <v>5319</v>
      </c>
      <c r="D3029" t="s">
        <v>272</v>
      </c>
      <c r="E3029" t="s">
        <v>2678</v>
      </c>
      <c r="F3029" t="s">
        <v>209</v>
      </c>
      <c r="G3029" t="s">
        <v>2687</v>
      </c>
      <c r="H3029" s="9">
        <v>44733</v>
      </c>
      <c r="I3029" t="s">
        <v>2187</v>
      </c>
      <c r="J3029" t="s">
        <v>0</v>
      </c>
      <c r="K3029" s="9">
        <v>44882</v>
      </c>
      <c r="L3029" t="s">
        <v>29</v>
      </c>
      <c r="M3029"/>
      <c r="N3029" s="9">
        <v>44778</v>
      </c>
      <c r="O3029" s="9">
        <v>44834</v>
      </c>
      <c r="P3029"/>
      <c r="Q3029" s="9">
        <v>44882</v>
      </c>
      <c r="R3029" s="9">
        <v>44879.704282407401</v>
      </c>
      <c r="S3029"/>
      <c r="T3029"/>
      <c r="U3029"/>
    </row>
    <row r="3030" spans="1:21" hidden="1">
      <c r="A3030" s="7" t="s">
        <v>8881</v>
      </c>
      <c r="B3030" s="7" t="s">
        <v>6927</v>
      </c>
      <c r="C3030" s="8" t="s">
        <v>5319</v>
      </c>
      <c r="D3030" t="s">
        <v>272</v>
      </c>
      <c r="E3030" t="s">
        <v>2678</v>
      </c>
      <c r="F3030" t="s">
        <v>209</v>
      </c>
      <c r="G3030" t="s">
        <v>2688</v>
      </c>
      <c r="H3030" s="9">
        <v>44733</v>
      </c>
      <c r="I3030" t="s">
        <v>2187</v>
      </c>
      <c r="J3030" t="s">
        <v>0</v>
      </c>
      <c r="K3030" s="9">
        <v>44882</v>
      </c>
      <c r="L3030" t="s">
        <v>29</v>
      </c>
      <c r="M3030"/>
      <c r="N3030" s="9">
        <v>44778</v>
      </c>
      <c r="O3030" s="9">
        <v>44834</v>
      </c>
      <c r="P3030"/>
      <c r="Q3030" s="9">
        <v>44882</v>
      </c>
      <c r="R3030" s="9">
        <v>44879.704282407401</v>
      </c>
      <c r="S3030"/>
      <c r="T3030"/>
      <c r="U3030"/>
    </row>
    <row r="3031" spans="1:21" hidden="1">
      <c r="A3031" s="7" t="s">
        <v>8881</v>
      </c>
      <c r="B3031" s="7" t="s">
        <v>6927</v>
      </c>
      <c r="C3031" s="8" t="s">
        <v>5319</v>
      </c>
      <c r="D3031" t="s">
        <v>272</v>
      </c>
      <c r="E3031" t="s">
        <v>2678</v>
      </c>
      <c r="F3031" t="s">
        <v>209</v>
      </c>
      <c r="G3031" t="s">
        <v>2689</v>
      </c>
      <c r="H3031" s="9">
        <v>44733</v>
      </c>
      <c r="I3031" t="s">
        <v>2187</v>
      </c>
      <c r="J3031" t="s">
        <v>0</v>
      </c>
      <c r="K3031" s="9">
        <v>44882</v>
      </c>
      <c r="L3031" t="s">
        <v>29</v>
      </c>
      <c r="M3031"/>
      <c r="N3031" s="9">
        <v>44778</v>
      </c>
      <c r="O3031" s="9">
        <v>44834</v>
      </c>
      <c r="P3031"/>
      <c r="Q3031" s="9">
        <v>44882</v>
      </c>
      <c r="R3031" s="9">
        <v>44879.704282407401</v>
      </c>
      <c r="S3031"/>
      <c r="T3031"/>
      <c r="U3031"/>
    </row>
    <row r="3032" spans="1:21" hidden="1">
      <c r="A3032" s="7" t="s">
        <v>8881</v>
      </c>
      <c r="B3032" s="7" t="s">
        <v>6927</v>
      </c>
      <c r="C3032" s="8" t="s">
        <v>5319</v>
      </c>
      <c r="D3032" t="s">
        <v>272</v>
      </c>
      <c r="E3032" t="s">
        <v>2678</v>
      </c>
      <c r="F3032" t="s">
        <v>209</v>
      </c>
      <c r="G3032" t="s">
        <v>2690</v>
      </c>
      <c r="H3032" s="9">
        <v>44733</v>
      </c>
      <c r="I3032" t="s">
        <v>2187</v>
      </c>
      <c r="J3032" t="s">
        <v>0</v>
      </c>
      <c r="K3032" s="9">
        <v>44882</v>
      </c>
      <c r="L3032" t="s">
        <v>29</v>
      </c>
      <c r="M3032"/>
      <c r="N3032" s="9">
        <v>44778</v>
      </c>
      <c r="O3032" s="9">
        <v>44834</v>
      </c>
      <c r="P3032"/>
      <c r="Q3032" s="9">
        <v>44882</v>
      </c>
      <c r="R3032" s="9">
        <v>44879.704282407401</v>
      </c>
      <c r="S3032"/>
      <c r="T3032"/>
      <c r="U3032"/>
    </row>
    <row r="3033" spans="1:21" hidden="1">
      <c r="A3033" s="7" t="s">
        <v>8758</v>
      </c>
      <c r="B3033" s="7" t="s">
        <v>5405</v>
      </c>
      <c r="C3033" s="8" t="s">
        <v>5319</v>
      </c>
      <c r="D3033" t="s">
        <v>272</v>
      </c>
      <c r="E3033" t="s">
        <v>25</v>
      </c>
      <c r="F3033" t="s">
        <v>493</v>
      </c>
      <c r="G3033" t="s">
        <v>1461</v>
      </c>
      <c r="H3033" s="9">
        <v>44733</v>
      </c>
      <c r="I3033" t="s">
        <v>8634</v>
      </c>
      <c r="J3033" t="s">
        <v>5330</v>
      </c>
      <c r="K3033" s="9">
        <v>44834</v>
      </c>
      <c r="L3033" t="s">
        <v>29</v>
      </c>
      <c r="M3033"/>
      <c r="N3033" s="9">
        <v>44778</v>
      </c>
      <c r="O3033" s="9">
        <v>44834</v>
      </c>
      <c r="P3033"/>
      <c r="Q3033"/>
      <c r="R3033"/>
      <c r="S3033"/>
      <c r="T3033"/>
      <c r="U3033"/>
    </row>
    <row r="3034" spans="1:21" hidden="1">
      <c r="A3034" s="7" t="s">
        <v>8882</v>
      </c>
      <c r="B3034" s="7" t="s">
        <v>6881</v>
      </c>
      <c r="C3034" s="8" t="s">
        <v>5319</v>
      </c>
      <c r="D3034" t="s">
        <v>272</v>
      </c>
      <c r="E3034" t="s">
        <v>2691</v>
      </c>
      <c r="F3034" t="s">
        <v>231</v>
      </c>
      <c r="G3034" t="s">
        <v>2692</v>
      </c>
      <c r="H3034" s="9">
        <v>44733</v>
      </c>
      <c r="I3034" t="s">
        <v>85</v>
      </c>
      <c r="J3034" t="s">
        <v>5330</v>
      </c>
      <c r="K3034" s="9">
        <v>44834</v>
      </c>
      <c r="L3034" t="s">
        <v>29</v>
      </c>
      <c r="M3034"/>
      <c r="N3034" s="9">
        <v>44778</v>
      </c>
      <c r="O3034" s="9">
        <v>44834</v>
      </c>
      <c r="P3034"/>
      <c r="Q3034"/>
      <c r="R3034"/>
      <c r="S3034"/>
      <c r="T3034"/>
      <c r="U3034"/>
    </row>
    <row r="3035" spans="1:21" hidden="1">
      <c r="A3035" s="7" t="s">
        <v>8883</v>
      </c>
      <c r="B3035" s="7" t="s">
        <v>6806</v>
      </c>
      <c r="C3035" s="8" t="s">
        <v>5319</v>
      </c>
      <c r="D3035" t="s">
        <v>272</v>
      </c>
      <c r="E3035" t="s">
        <v>2693</v>
      </c>
      <c r="F3035" t="s">
        <v>117</v>
      </c>
      <c r="G3035" t="s">
        <v>2694</v>
      </c>
      <c r="H3035" s="9">
        <v>44733</v>
      </c>
      <c r="I3035" t="s">
        <v>211</v>
      </c>
      <c r="J3035" t="s">
        <v>5330</v>
      </c>
      <c r="K3035" s="9">
        <v>44834</v>
      </c>
      <c r="L3035" t="s">
        <v>29</v>
      </c>
      <c r="M3035"/>
      <c r="N3035" s="9">
        <v>44778</v>
      </c>
      <c r="O3035" s="9">
        <v>44834</v>
      </c>
      <c r="P3035"/>
      <c r="Q3035"/>
      <c r="R3035"/>
      <c r="S3035"/>
      <c r="T3035"/>
      <c r="U3035"/>
    </row>
    <row r="3036" spans="1:21" hidden="1">
      <c r="A3036" s="7" t="s">
        <v>8883</v>
      </c>
      <c r="B3036" s="7" t="s">
        <v>6806</v>
      </c>
      <c r="C3036" s="8" t="s">
        <v>5319</v>
      </c>
      <c r="D3036" t="s">
        <v>272</v>
      </c>
      <c r="E3036" t="s">
        <v>2693</v>
      </c>
      <c r="F3036" t="s">
        <v>117</v>
      </c>
      <c r="G3036" t="s">
        <v>2695</v>
      </c>
      <c r="H3036" s="9">
        <v>44733</v>
      </c>
      <c r="I3036" t="s">
        <v>211</v>
      </c>
      <c r="J3036" t="s">
        <v>5330</v>
      </c>
      <c r="K3036" s="9">
        <v>44834</v>
      </c>
      <c r="L3036" t="s">
        <v>29</v>
      </c>
      <c r="M3036"/>
      <c r="N3036" s="9">
        <v>44778</v>
      </c>
      <c r="O3036" s="9">
        <v>44834</v>
      </c>
      <c r="P3036"/>
      <c r="Q3036"/>
      <c r="R3036"/>
      <c r="S3036"/>
      <c r="T3036"/>
      <c r="U3036"/>
    </row>
    <row r="3037" spans="1:21" hidden="1">
      <c r="A3037" s="7" t="s">
        <v>8883</v>
      </c>
      <c r="B3037" s="7" t="s">
        <v>6806</v>
      </c>
      <c r="C3037" s="8" t="s">
        <v>5319</v>
      </c>
      <c r="D3037" t="s">
        <v>272</v>
      </c>
      <c r="E3037" t="s">
        <v>2693</v>
      </c>
      <c r="F3037" t="s">
        <v>117</v>
      </c>
      <c r="G3037" t="s">
        <v>2696</v>
      </c>
      <c r="H3037" s="9">
        <v>44733</v>
      </c>
      <c r="I3037" t="s">
        <v>211</v>
      </c>
      <c r="J3037" t="s">
        <v>5330</v>
      </c>
      <c r="K3037" s="9">
        <v>44834</v>
      </c>
      <c r="L3037" t="s">
        <v>29</v>
      </c>
      <c r="M3037"/>
      <c r="N3037" s="9">
        <v>44778</v>
      </c>
      <c r="O3037" s="9">
        <v>44834</v>
      </c>
      <c r="P3037"/>
      <c r="Q3037"/>
      <c r="R3037"/>
      <c r="S3037"/>
      <c r="T3037"/>
      <c r="U3037"/>
    </row>
    <row r="3038" spans="1:21" hidden="1">
      <c r="A3038" s="7" t="s">
        <v>8883</v>
      </c>
      <c r="B3038" s="7" t="s">
        <v>6806</v>
      </c>
      <c r="C3038" s="8" t="s">
        <v>5319</v>
      </c>
      <c r="D3038" t="s">
        <v>272</v>
      </c>
      <c r="E3038" t="s">
        <v>2693</v>
      </c>
      <c r="F3038" t="s">
        <v>117</v>
      </c>
      <c r="G3038" t="s">
        <v>2697</v>
      </c>
      <c r="H3038" s="9">
        <v>44733</v>
      </c>
      <c r="I3038" t="s">
        <v>211</v>
      </c>
      <c r="J3038" t="s">
        <v>5330</v>
      </c>
      <c r="K3038" s="9">
        <v>44834</v>
      </c>
      <c r="L3038" t="s">
        <v>29</v>
      </c>
      <c r="M3038"/>
      <c r="N3038" s="9">
        <v>44778</v>
      </c>
      <c r="O3038" s="9">
        <v>44834</v>
      </c>
      <c r="P3038"/>
      <c r="Q3038"/>
      <c r="R3038"/>
      <c r="S3038"/>
      <c r="T3038"/>
      <c r="U3038"/>
    </row>
    <row r="3039" spans="1:21" hidden="1">
      <c r="A3039" s="7" t="s">
        <v>8883</v>
      </c>
      <c r="B3039" s="7" t="s">
        <v>6806</v>
      </c>
      <c r="C3039" s="8" t="s">
        <v>5319</v>
      </c>
      <c r="D3039" t="s">
        <v>272</v>
      </c>
      <c r="E3039" t="s">
        <v>2693</v>
      </c>
      <c r="F3039" t="s">
        <v>117</v>
      </c>
      <c r="G3039" t="s">
        <v>2698</v>
      </c>
      <c r="H3039" s="9">
        <v>44733</v>
      </c>
      <c r="I3039" t="s">
        <v>211</v>
      </c>
      <c r="J3039" t="s">
        <v>5330</v>
      </c>
      <c r="K3039" s="9">
        <v>44834</v>
      </c>
      <c r="L3039" t="s">
        <v>29</v>
      </c>
      <c r="M3039"/>
      <c r="N3039" s="9">
        <v>44778</v>
      </c>
      <c r="O3039" s="9">
        <v>44834</v>
      </c>
      <c r="P3039"/>
      <c r="Q3039"/>
      <c r="R3039"/>
      <c r="S3039"/>
      <c r="T3039"/>
      <c r="U3039"/>
    </row>
    <row r="3040" spans="1:21" hidden="1">
      <c r="A3040" s="7" t="s">
        <v>8883</v>
      </c>
      <c r="B3040" s="7" t="s">
        <v>6806</v>
      </c>
      <c r="C3040" s="8" t="s">
        <v>5319</v>
      </c>
      <c r="D3040" t="s">
        <v>272</v>
      </c>
      <c r="E3040" t="s">
        <v>2693</v>
      </c>
      <c r="F3040" t="s">
        <v>117</v>
      </c>
      <c r="G3040" t="s">
        <v>2699</v>
      </c>
      <c r="H3040" s="9">
        <v>44733</v>
      </c>
      <c r="I3040" t="s">
        <v>211</v>
      </c>
      <c r="J3040" t="s">
        <v>5330</v>
      </c>
      <c r="K3040" s="9">
        <v>44834</v>
      </c>
      <c r="L3040" t="s">
        <v>29</v>
      </c>
      <c r="M3040"/>
      <c r="N3040" s="9">
        <v>44778</v>
      </c>
      <c r="O3040" s="9">
        <v>44834</v>
      </c>
      <c r="P3040"/>
      <c r="Q3040"/>
      <c r="R3040"/>
      <c r="S3040"/>
      <c r="T3040"/>
      <c r="U3040"/>
    </row>
    <row r="3041" spans="1:21" hidden="1">
      <c r="A3041" s="7" t="s">
        <v>8883</v>
      </c>
      <c r="B3041" s="7" t="s">
        <v>6806</v>
      </c>
      <c r="C3041" s="8" t="s">
        <v>5319</v>
      </c>
      <c r="D3041" t="s">
        <v>272</v>
      </c>
      <c r="E3041" t="s">
        <v>2693</v>
      </c>
      <c r="F3041" t="s">
        <v>117</v>
      </c>
      <c r="G3041" t="s">
        <v>2700</v>
      </c>
      <c r="H3041" s="9">
        <v>44733</v>
      </c>
      <c r="I3041" t="s">
        <v>211</v>
      </c>
      <c r="J3041" t="s">
        <v>5330</v>
      </c>
      <c r="K3041" s="9">
        <v>44834</v>
      </c>
      <c r="L3041" t="s">
        <v>29</v>
      </c>
      <c r="M3041"/>
      <c r="N3041" s="9">
        <v>44778</v>
      </c>
      <c r="O3041" s="9">
        <v>44834</v>
      </c>
      <c r="P3041"/>
      <c r="Q3041"/>
      <c r="R3041"/>
      <c r="S3041"/>
      <c r="T3041"/>
      <c r="U3041"/>
    </row>
    <row r="3042" spans="1:21" hidden="1">
      <c r="A3042" s="7" t="s">
        <v>8883</v>
      </c>
      <c r="B3042" s="7" t="s">
        <v>6806</v>
      </c>
      <c r="C3042" s="8" t="s">
        <v>5319</v>
      </c>
      <c r="D3042" t="s">
        <v>272</v>
      </c>
      <c r="E3042" t="s">
        <v>2693</v>
      </c>
      <c r="F3042" t="s">
        <v>117</v>
      </c>
      <c r="G3042" t="s">
        <v>2701</v>
      </c>
      <c r="H3042" s="9">
        <v>44733</v>
      </c>
      <c r="I3042" t="s">
        <v>211</v>
      </c>
      <c r="J3042" t="s">
        <v>5330</v>
      </c>
      <c r="K3042" s="9">
        <v>44834</v>
      </c>
      <c r="L3042" t="s">
        <v>29</v>
      </c>
      <c r="M3042"/>
      <c r="N3042" s="9">
        <v>44778</v>
      </c>
      <c r="O3042" s="9">
        <v>44834</v>
      </c>
      <c r="P3042"/>
      <c r="Q3042"/>
      <c r="R3042"/>
      <c r="S3042"/>
      <c r="T3042"/>
      <c r="U3042"/>
    </row>
    <row r="3043" spans="1:21" hidden="1">
      <c r="A3043" s="7" t="s">
        <v>8883</v>
      </c>
      <c r="B3043" s="7" t="s">
        <v>6806</v>
      </c>
      <c r="C3043" s="8" t="s">
        <v>5319</v>
      </c>
      <c r="D3043" t="s">
        <v>272</v>
      </c>
      <c r="E3043" t="s">
        <v>2693</v>
      </c>
      <c r="F3043" t="s">
        <v>117</v>
      </c>
      <c r="G3043" t="s">
        <v>2702</v>
      </c>
      <c r="H3043" s="9">
        <v>44733</v>
      </c>
      <c r="I3043" t="s">
        <v>211</v>
      </c>
      <c r="J3043" t="s">
        <v>5330</v>
      </c>
      <c r="K3043" s="9">
        <v>44834</v>
      </c>
      <c r="L3043" t="s">
        <v>29</v>
      </c>
      <c r="M3043"/>
      <c r="N3043" s="9">
        <v>44778</v>
      </c>
      <c r="O3043" s="9">
        <v>44834</v>
      </c>
      <c r="P3043"/>
      <c r="Q3043"/>
      <c r="R3043"/>
      <c r="S3043"/>
      <c r="T3043"/>
      <c r="U3043"/>
    </row>
    <row r="3044" spans="1:21" hidden="1">
      <c r="A3044" s="7" t="s">
        <v>8883</v>
      </c>
      <c r="B3044" s="7" t="s">
        <v>6806</v>
      </c>
      <c r="C3044" s="8" t="s">
        <v>5319</v>
      </c>
      <c r="D3044" t="s">
        <v>272</v>
      </c>
      <c r="E3044" t="s">
        <v>2693</v>
      </c>
      <c r="F3044" t="s">
        <v>117</v>
      </c>
      <c r="G3044" t="s">
        <v>2703</v>
      </c>
      <c r="H3044" s="9">
        <v>44733</v>
      </c>
      <c r="I3044" t="s">
        <v>211</v>
      </c>
      <c r="J3044" t="s">
        <v>5330</v>
      </c>
      <c r="K3044" s="9">
        <v>44834</v>
      </c>
      <c r="L3044" t="s">
        <v>29</v>
      </c>
      <c r="M3044"/>
      <c r="N3044" s="9">
        <v>44778</v>
      </c>
      <c r="O3044" s="9">
        <v>44834</v>
      </c>
      <c r="P3044"/>
      <c r="Q3044"/>
      <c r="R3044"/>
      <c r="S3044"/>
      <c r="T3044"/>
      <c r="U3044"/>
    </row>
    <row r="3045" spans="1:21" hidden="1">
      <c r="A3045" s="7" t="s">
        <v>8883</v>
      </c>
      <c r="B3045" s="7" t="s">
        <v>6806</v>
      </c>
      <c r="C3045" s="8" t="s">
        <v>5319</v>
      </c>
      <c r="D3045" t="s">
        <v>272</v>
      </c>
      <c r="E3045" t="s">
        <v>2693</v>
      </c>
      <c r="F3045" t="s">
        <v>117</v>
      </c>
      <c r="G3045" t="s">
        <v>2704</v>
      </c>
      <c r="H3045" s="9">
        <v>44733</v>
      </c>
      <c r="I3045" t="s">
        <v>211</v>
      </c>
      <c r="J3045" t="s">
        <v>5330</v>
      </c>
      <c r="K3045" s="9">
        <v>44834</v>
      </c>
      <c r="L3045" t="s">
        <v>29</v>
      </c>
      <c r="M3045"/>
      <c r="N3045" s="9">
        <v>44778</v>
      </c>
      <c r="O3045" s="9">
        <v>44834</v>
      </c>
      <c r="P3045"/>
      <c r="Q3045"/>
      <c r="R3045"/>
      <c r="S3045"/>
      <c r="T3045"/>
      <c r="U3045"/>
    </row>
    <row r="3046" spans="1:21" hidden="1">
      <c r="A3046" s="7" t="s">
        <v>8883</v>
      </c>
      <c r="B3046" s="7" t="s">
        <v>6806</v>
      </c>
      <c r="C3046" s="8" t="s">
        <v>5319</v>
      </c>
      <c r="D3046" t="s">
        <v>272</v>
      </c>
      <c r="E3046" t="s">
        <v>2693</v>
      </c>
      <c r="F3046" t="s">
        <v>117</v>
      </c>
      <c r="G3046" t="s">
        <v>2705</v>
      </c>
      <c r="H3046" s="9">
        <v>44733</v>
      </c>
      <c r="I3046" t="s">
        <v>211</v>
      </c>
      <c r="J3046" t="s">
        <v>5330</v>
      </c>
      <c r="K3046" s="9">
        <v>44834</v>
      </c>
      <c r="L3046" t="s">
        <v>29</v>
      </c>
      <c r="M3046"/>
      <c r="N3046" s="9">
        <v>44778</v>
      </c>
      <c r="O3046" s="9">
        <v>44834</v>
      </c>
      <c r="P3046"/>
      <c r="Q3046"/>
      <c r="R3046"/>
      <c r="S3046"/>
      <c r="T3046"/>
      <c r="U3046"/>
    </row>
    <row r="3047" spans="1:21" hidden="1">
      <c r="A3047" s="7" t="s">
        <v>8883</v>
      </c>
      <c r="B3047" s="7" t="s">
        <v>6806</v>
      </c>
      <c r="C3047" s="8" t="s">
        <v>5319</v>
      </c>
      <c r="D3047" t="s">
        <v>272</v>
      </c>
      <c r="E3047" t="s">
        <v>2693</v>
      </c>
      <c r="F3047" t="s">
        <v>117</v>
      </c>
      <c r="G3047" t="s">
        <v>2706</v>
      </c>
      <c r="H3047" s="9">
        <v>44733</v>
      </c>
      <c r="I3047" t="s">
        <v>211</v>
      </c>
      <c r="J3047" t="s">
        <v>5330</v>
      </c>
      <c r="K3047" s="9">
        <v>44834</v>
      </c>
      <c r="L3047" t="s">
        <v>29</v>
      </c>
      <c r="M3047"/>
      <c r="N3047" s="9">
        <v>44778</v>
      </c>
      <c r="O3047" s="9">
        <v>44834</v>
      </c>
      <c r="P3047"/>
      <c r="Q3047"/>
      <c r="R3047"/>
      <c r="S3047"/>
      <c r="T3047"/>
      <c r="U3047"/>
    </row>
    <row r="3048" spans="1:21" hidden="1">
      <c r="A3048" s="7" t="s">
        <v>8883</v>
      </c>
      <c r="B3048" s="7" t="s">
        <v>6806</v>
      </c>
      <c r="C3048" s="8" t="s">
        <v>5319</v>
      </c>
      <c r="D3048" t="s">
        <v>272</v>
      </c>
      <c r="E3048" t="s">
        <v>2693</v>
      </c>
      <c r="F3048" t="s">
        <v>117</v>
      </c>
      <c r="G3048" t="s">
        <v>2707</v>
      </c>
      <c r="H3048" s="9">
        <v>44733</v>
      </c>
      <c r="I3048" t="s">
        <v>211</v>
      </c>
      <c r="J3048" t="s">
        <v>5330</v>
      </c>
      <c r="K3048" s="9">
        <v>44834</v>
      </c>
      <c r="L3048" t="s">
        <v>29</v>
      </c>
      <c r="M3048"/>
      <c r="N3048" s="9">
        <v>44778</v>
      </c>
      <c r="O3048" s="9">
        <v>44834</v>
      </c>
      <c r="P3048"/>
      <c r="Q3048"/>
      <c r="R3048"/>
      <c r="S3048"/>
      <c r="T3048"/>
      <c r="U3048"/>
    </row>
    <row r="3049" spans="1:21" hidden="1">
      <c r="A3049" s="7" t="s">
        <v>8883</v>
      </c>
      <c r="B3049" s="7" t="s">
        <v>6806</v>
      </c>
      <c r="C3049" s="8" t="s">
        <v>5319</v>
      </c>
      <c r="D3049" t="s">
        <v>272</v>
      </c>
      <c r="E3049" t="s">
        <v>2693</v>
      </c>
      <c r="F3049" t="s">
        <v>117</v>
      </c>
      <c r="G3049" t="s">
        <v>2708</v>
      </c>
      <c r="H3049" s="9">
        <v>44733</v>
      </c>
      <c r="I3049" t="s">
        <v>211</v>
      </c>
      <c r="J3049" t="s">
        <v>5330</v>
      </c>
      <c r="K3049" s="9">
        <v>44834</v>
      </c>
      <c r="L3049" t="s">
        <v>29</v>
      </c>
      <c r="M3049"/>
      <c r="N3049" s="9">
        <v>44778</v>
      </c>
      <c r="O3049" s="9">
        <v>44834</v>
      </c>
      <c r="P3049"/>
      <c r="Q3049"/>
      <c r="R3049"/>
      <c r="S3049"/>
      <c r="T3049"/>
      <c r="U3049"/>
    </row>
    <row r="3050" spans="1:21" hidden="1">
      <c r="A3050" s="7" t="s">
        <v>8883</v>
      </c>
      <c r="B3050" s="7" t="s">
        <v>6806</v>
      </c>
      <c r="C3050" s="8" t="s">
        <v>5319</v>
      </c>
      <c r="D3050" t="s">
        <v>272</v>
      </c>
      <c r="E3050" t="s">
        <v>2693</v>
      </c>
      <c r="F3050" t="s">
        <v>117</v>
      </c>
      <c r="G3050" t="s">
        <v>2709</v>
      </c>
      <c r="H3050" s="9">
        <v>44733</v>
      </c>
      <c r="I3050" t="s">
        <v>211</v>
      </c>
      <c r="J3050" t="s">
        <v>5330</v>
      </c>
      <c r="K3050" s="9">
        <v>44834</v>
      </c>
      <c r="L3050" t="s">
        <v>29</v>
      </c>
      <c r="M3050"/>
      <c r="N3050" s="9">
        <v>44778</v>
      </c>
      <c r="O3050" s="9">
        <v>44834</v>
      </c>
      <c r="P3050"/>
      <c r="Q3050"/>
      <c r="R3050"/>
      <c r="S3050"/>
      <c r="T3050"/>
      <c r="U3050"/>
    </row>
    <row r="3051" spans="1:21" hidden="1">
      <c r="A3051" s="7" t="s">
        <v>8883</v>
      </c>
      <c r="B3051" s="7" t="s">
        <v>6806</v>
      </c>
      <c r="C3051" s="8" t="s">
        <v>5319</v>
      </c>
      <c r="D3051" t="s">
        <v>272</v>
      </c>
      <c r="E3051" t="s">
        <v>2693</v>
      </c>
      <c r="F3051" t="s">
        <v>117</v>
      </c>
      <c r="G3051" t="s">
        <v>2710</v>
      </c>
      <c r="H3051" s="9">
        <v>44733</v>
      </c>
      <c r="I3051" t="s">
        <v>211</v>
      </c>
      <c r="J3051" t="s">
        <v>5330</v>
      </c>
      <c r="K3051" s="9">
        <v>44834</v>
      </c>
      <c r="L3051" t="s">
        <v>29</v>
      </c>
      <c r="M3051"/>
      <c r="N3051" s="9">
        <v>44778</v>
      </c>
      <c r="O3051" s="9">
        <v>44834</v>
      </c>
      <c r="P3051"/>
      <c r="Q3051"/>
      <c r="R3051"/>
      <c r="S3051"/>
      <c r="T3051"/>
      <c r="U3051"/>
    </row>
    <row r="3052" spans="1:21" hidden="1">
      <c r="A3052" s="7" t="s">
        <v>8884</v>
      </c>
      <c r="B3052" s="7" t="s">
        <v>8215</v>
      </c>
      <c r="C3052" s="8" t="s">
        <v>5319</v>
      </c>
      <c r="D3052" t="s">
        <v>272</v>
      </c>
      <c r="E3052" t="s">
        <v>2711</v>
      </c>
      <c r="F3052" t="s">
        <v>117</v>
      </c>
      <c r="G3052" t="s">
        <v>2712</v>
      </c>
      <c r="H3052" s="9">
        <v>44733</v>
      </c>
      <c r="I3052" t="s">
        <v>297</v>
      </c>
      <c r="J3052" t="s">
        <v>5330</v>
      </c>
      <c r="K3052" s="9">
        <v>44834</v>
      </c>
      <c r="L3052" t="s">
        <v>29</v>
      </c>
      <c r="M3052"/>
      <c r="N3052" s="9">
        <v>44778</v>
      </c>
      <c r="O3052" s="9">
        <v>44834</v>
      </c>
      <c r="P3052"/>
      <c r="Q3052"/>
      <c r="R3052"/>
      <c r="S3052"/>
      <c r="T3052"/>
      <c r="U3052"/>
    </row>
    <row r="3053" spans="1:21" hidden="1">
      <c r="A3053" s="7" t="s">
        <v>8885</v>
      </c>
      <c r="B3053" s="7" t="s">
        <v>7315</v>
      </c>
      <c r="C3053" s="8" t="s">
        <v>5319</v>
      </c>
      <c r="D3053" t="s">
        <v>272</v>
      </c>
      <c r="E3053" t="s">
        <v>2713</v>
      </c>
      <c r="F3053" t="s">
        <v>117</v>
      </c>
      <c r="G3053" t="s">
        <v>2714</v>
      </c>
      <c r="H3053" s="9">
        <v>44733</v>
      </c>
      <c r="I3053" t="s">
        <v>2715</v>
      </c>
      <c r="J3053" t="s">
        <v>5330</v>
      </c>
      <c r="K3053" s="9">
        <v>44834</v>
      </c>
      <c r="L3053" t="s">
        <v>29</v>
      </c>
      <c r="M3053"/>
      <c r="N3053" s="9">
        <v>44778</v>
      </c>
      <c r="O3053" s="9">
        <v>44834</v>
      </c>
      <c r="P3053"/>
      <c r="Q3053"/>
      <c r="R3053"/>
      <c r="S3053"/>
      <c r="T3053"/>
      <c r="U3053"/>
    </row>
    <row r="3054" spans="1:21" hidden="1">
      <c r="A3054" s="7" t="s">
        <v>8712</v>
      </c>
      <c r="B3054" s="7" t="s">
        <v>5405</v>
      </c>
      <c r="C3054" s="8" t="s">
        <v>5319</v>
      </c>
      <c r="D3054" t="s">
        <v>272</v>
      </c>
      <c r="E3054" t="s">
        <v>25</v>
      </c>
      <c r="F3054" t="s">
        <v>26</v>
      </c>
      <c r="G3054" t="s">
        <v>2716</v>
      </c>
      <c r="H3054" s="9">
        <v>44733</v>
      </c>
      <c r="I3054" t="s">
        <v>8634</v>
      </c>
      <c r="J3054" t="s">
        <v>0</v>
      </c>
      <c r="K3054" s="9">
        <v>44882</v>
      </c>
      <c r="L3054" t="s">
        <v>29</v>
      </c>
      <c r="M3054"/>
      <c r="N3054" s="9">
        <v>44778</v>
      </c>
      <c r="O3054" s="9">
        <v>44834</v>
      </c>
      <c r="P3054"/>
      <c r="Q3054" s="9">
        <v>44882</v>
      </c>
      <c r="R3054"/>
      <c r="S3054"/>
      <c r="T3054"/>
      <c r="U3054"/>
    </row>
    <row r="3055" spans="1:21" hidden="1">
      <c r="A3055" s="7" t="s">
        <v>8886</v>
      </c>
      <c r="B3055" s="7" t="s">
        <v>7263</v>
      </c>
      <c r="C3055" s="8" t="s">
        <v>5319</v>
      </c>
      <c r="D3055" t="s">
        <v>272</v>
      </c>
      <c r="E3055" t="s">
        <v>2717</v>
      </c>
      <c r="F3055" t="s">
        <v>117</v>
      </c>
      <c r="G3055" t="s">
        <v>2718</v>
      </c>
      <c r="H3055" s="9">
        <v>44733</v>
      </c>
      <c r="I3055" t="s">
        <v>2719</v>
      </c>
      <c r="J3055" t="s">
        <v>5330</v>
      </c>
      <c r="K3055" s="9">
        <v>44834</v>
      </c>
      <c r="L3055" t="s">
        <v>29</v>
      </c>
      <c r="M3055"/>
      <c r="N3055" s="9">
        <v>44778</v>
      </c>
      <c r="O3055" s="9">
        <v>44834</v>
      </c>
      <c r="P3055"/>
      <c r="Q3055"/>
      <c r="R3055"/>
      <c r="S3055"/>
      <c r="T3055"/>
      <c r="U3055"/>
    </row>
    <row r="3056" spans="1:21" hidden="1">
      <c r="A3056" s="7" t="s">
        <v>8886</v>
      </c>
      <c r="B3056" s="7" t="s">
        <v>7263</v>
      </c>
      <c r="C3056" s="8" t="s">
        <v>5319</v>
      </c>
      <c r="D3056" t="s">
        <v>272</v>
      </c>
      <c r="E3056" t="s">
        <v>2717</v>
      </c>
      <c r="F3056" t="s">
        <v>117</v>
      </c>
      <c r="G3056" t="s">
        <v>2720</v>
      </c>
      <c r="H3056" s="9">
        <v>44733</v>
      </c>
      <c r="I3056" t="s">
        <v>2719</v>
      </c>
      <c r="J3056" t="s">
        <v>5330</v>
      </c>
      <c r="K3056" s="9">
        <v>44834</v>
      </c>
      <c r="L3056" t="s">
        <v>29</v>
      </c>
      <c r="M3056"/>
      <c r="N3056" s="9">
        <v>44778</v>
      </c>
      <c r="O3056" s="9">
        <v>44834</v>
      </c>
      <c r="P3056"/>
      <c r="Q3056"/>
      <c r="R3056"/>
      <c r="S3056"/>
      <c r="T3056"/>
      <c r="U3056"/>
    </row>
    <row r="3057" spans="1:21" hidden="1">
      <c r="A3057" s="7" t="s">
        <v>8758</v>
      </c>
      <c r="B3057" s="7" t="s">
        <v>5405</v>
      </c>
      <c r="C3057" s="8" t="s">
        <v>5319</v>
      </c>
      <c r="D3057" t="s">
        <v>272</v>
      </c>
      <c r="E3057" t="s">
        <v>25</v>
      </c>
      <c r="F3057" t="s">
        <v>493</v>
      </c>
      <c r="G3057" t="s">
        <v>2721</v>
      </c>
      <c r="H3057" s="9">
        <v>44733</v>
      </c>
      <c r="I3057" t="s">
        <v>8634</v>
      </c>
      <c r="J3057" t="s">
        <v>5330</v>
      </c>
      <c r="K3057" s="9">
        <v>44834</v>
      </c>
      <c r="L3057" t="s">
        <v>29</v>
      </c>
      <c r="M3057"/>
      <c r="N3057" s="9">
        <v>44778</v>
      </c>
      <c r="O3057" s="9">
        <v>44834</v>
      </c>
      <c r="P3057"/>
      <c r="Q3057"/>
      <c r="R3057"/>
      <c r="S3057"/>
      <c r="T3057"/>
      <c r="U3057"/>
    </row>
    <row r="3058" spans="1:21" hidden="1">
      <c r="A3058" s="7" t="s">
        <v>8758</v>
      </c>
      <c r="B3058" s="7" t="s">
        <v>5405</v>
      </c>
      <c r="C3058" s="8" t="s">
        <v>5319</v>
      </c>
      <c r="D3058" t="s">
        <v>272</v>
      </c>
      <c r="E3058" t="s">
        <v>25</v>
      </c>
      <c r="F3058" t="s">
        <v>493</v>
      </c>
      <c r="G3058" t="s">
        <v>2722</v>
      </c>
      <c r="H3058" s="9">
        <v>44733</v>
      </c>
      <c r="I3058" t="s">
        <v>8634</v>
      </c>
      <c r="J3058" t="s">
        <v>5330</v>
      </c>
      <c r="K3058" s="9">
        <v>44834</v>
      </c>
      <c r="L3058" t="s">
        <v>29</v>
      </c>
      <c r="M3058"/>
      <c r="N3058" s="9">
        <v>44778</v>
      </c>
      <c r="O3058" s="9">
        <v>44834</v>
      </c>
      <c r="P3058"/>
      <c r="Q3058"/>
      <c r="R3058"/>
      <c r="S3058"/>
      <c r="T3058"/>
      <c r="U3058"/>
    </row>
    <row r="3059" spans="1:21" hidden="1">
      <c r="A3059" s="7" t="s">
        <v>8841</v>
      </c>
      <c r="B3059" s="7" t="s">
        <v>7703</v>
      </c>
      <c r="C3059" s="8" t="s">
        <v>5319</v>
      </c>
      <c r="D3059" t="s">
        <v>272</v>
      </c>
      <c r="E3059" t="s">
        <v>2095</v>
      </c>
      <c r="F3059" t="s">
        <v>117</v>
      </c>
      <c r="G3059" t="s">
        <v>2723</v>
      </c>
      <c r="H3059" s="9">
        <v>44733</v>
      </c>
      <c r="I3059" t="s">
        <v>509</v>
      </c>
      <c r="J3059" t="s">
        <v>276</v>
      </c>
      <c r="K3059" s="9">
        <v>44883.786504629599</v>
      </c>
      <c r="L3059" t="s">
        <v>29</v>
      </c>
      <c r="M3059"/>
      <c r="N3059" s="9">
        <v>44778</v>
      </c>
      <c r="O3059" s="9">
        <v>44834</v>
      </c>
      <c r="P3059"/>
      <c r="Q3059"/>
      <c r="R3059" s="9">
        <v>44883.785590277803</v>
      </c>
      <c r="S3059"/>
      <c r="T3059"/>
      <c r="U3059"/>
    </row>
    <row r="3060" spans="1:21" hidden="1">
      <c r="A3060" s="7" t="s">
        <v>8841</v>
      </c>
      <c r="B3060" s="7" t="s">
        <v>7703</v>
      </c>
      <c r="C3060" s="8" t="s">
        <v>5319</v>
      </c>
      <c r="D3060" t="s">
        <v>272</v>
      </c>
      <c r="E3060" t="s">
        <v>2095</v>
      </c>
      <c r="F3060" t="s">
        <v>117</v>
      </c>
      <c r="G3060" t="s">
        <v>2724</v>
      </c>
      <c r="H3060" s="9">
        <v>44733</v>
      </c>
      <c r="I3060" t="s">
        <v>509</v>
      </c>
      <c r="J3060" t="s">
        <v>276</v>
      </c>
      <c r="K3060" s="9">
        <v>44883.786504629599</v>
      </c>
      <c r="L3060" t="s">
        <v>29</v>
      </c>
      <c r="M3060"/>
      <c r="N3060" s="9">
        <v>44778</v>
      </c>
      <c r="O3060" s="9">
        <v>44834</v>
      </c>
      <c r="P3060"/>
      <c r="Q3060"/>
      <c r="R3060" s="9">
        <v>44883.785590277803</v>
      </c>
      <c r="S3060"/>
      <c r="T3060"/>
      <c r="U3060"/>
    </row>
    <row r="3061" spans="1:21" hidden="1">
      <c r="A3061" s="7" t="s">
        <v>8841</v>
      </c>
      <c r="B3061" s="7" t="s">
        <v>7703</v>
      </c>
      <c r="C3061" s="8" t="s">
        <v>5319</v>
      </c>
      <c r="D3061" t="s">
        <v>272</v>
      </c>
      <c r="E3061" t="s">
        <v>2095</v>
      </c>
      <c r="F3061" t="s">
        <v>117</v>
      </c>
      <c r="G3061" t="s">
        <v>2725</v>
      </c>
      <c r="H3061" s="9">
        <v>44733</v>
      </c>
      <c r="I3061" t="s">
        <v>509</v>
      </c>
      <c r="J3061" t="s">
        <v>276</v>
      </c>
      <c r="K3061" s="9">
        <v>44883.786504629599</v>
      </c>
      <c r="L3061" t="s">
        <v>29</v>
      </c>
      <c r="M3061"/>
      <c r="N3061" s="9">
        <v>44778</v>
      </c>
      <c r="O3061" s="9">
        <v>44834</v>
      </c>
      <c r="P3061"/>
      <c r="Q3061"/>
      <c r="R3061" s="9">
        <v>44883.785590277803</v>
      </c>
      <c r="S3061"/>
      <c r="T3061"/>
      <c r="U3061"/>
    </row>
    <row r="3062" spans="1:21" hidden="1">
      <c r="A3062" s="7" t="s">
        <v>8764</v>
      </c>
      <c r="B3062" s="7" t="s">
        <v>5405</v>
      </c>
      <c r="C3062" s="8" t="s">
        <v>5319</v>
      </c>
      <c r="D3062" t="s">
        <v>272</v>
      </c>
      <c r="E3062" t="s">
        <v>25</v>
      </c>
      <c r="F3062" t="s">
        <v>75</v>
      </c>
      <c r="G3062" t="s">
        <v>2726</v>
      </c>
      <c r="H3062" s="9">
        <v>44733</v>
      </c>
      <c r="I3062" t="s">
        <v>8634</v>
      </c>
      <c r="J3062" t="s">
        <v>0</v>
      </c>
      <c r="K3062" s="9">
        <v>44862</v>
      </c>
      <c r="L3062" t="s">
        <v>29</v>
      </c>
      <c r="M3062"/>
      <c r="N3062" s="9">
        <v>44778</v>
      </c>
      <c r="O3062"/>
      <c r="P3062"/>
      <c r="Q3062" s="9">
        <v>44862</v>
      </c>
      <c r="R3062"/>
      <c r="S3062"/>
      <c r="T3062"/>
      <c r="U3062"/>
    </row>
    <row r="3063" spans="1:21" hidden="1">
      <c r="A3063" s="7" t="s">
        <v>8764</v>
      </c>
      <c r="B3063" s="7" t="s">
        <v>5405</v>
      </c>
      <c r="C3063" s="8" t="s">
        <v>5319</v>
      </c>
      <c r="D3063" t="s">
        <v>272</v>
      </c>
      <c r="E3063" t="s">
        <v>25</v>
      </c>
      <c r="F3063" t="s">
        <v>75</v>
      </c>
      <c r="G3063" t="s">
        <v>2727</v>
      </c>
      <c r="H3063" s="9">
        <v>44733</v>
      </c>
      <c r="I3063" t="s">
        <v>8634</v>
      </c>
      <c r="J3063" t="s">
        <v>5330</v>
      </c>
      <c r="K3063" s="9">
        <v>44834</v>
      </c>
      <c r="L3063" t="s">
        <v>29</v>
      </c>
      <c r="M3063"/>
      <c r="N3063" s="9">
        <v>44778</v>
      </c>
      <c r="O3063" s="9">
        <v>44834</v>
      </c>
      <c r="P3063"/>
      <c r="Q3063"/>
      <c r="R3063"/>
      <c r="S3063"/>
      <c r="T3063"/>
      <c r="U3063"/>
    </row>
    <row r="3064" spans="1:21" hidden="1">
      <c r="A3064" s="7" t="s">
        <v>8764</v>
      </c>
      <c r="B3064" s="7" t="s">
        <v>5405</v>
      </c>
      <c r="C3064" s="8" t="s">
        <v>5319</v>
      </c>
      <c r="D3064" t="s">
        <v>272</v>
      </c>
      <c r="E3064" t="s">
        <v>25</v>
      </c>
      <c r="F3064" t="s">
        <v>75</v>
      </c>
      <c r="G3064" t="s">
        <v>2728</v>
      </c>
      <c r="H3064" s="9">
        <v>44733</v>
      </c>
      <c r="I3064" t="s">
        <v>8634</v>
      </c>
      <c r="J3064" t="s">
        <v>5330</v>
      </c>
      <c r="K3064" s="9">
        <v>44834</v>
      </c>
      <c r="L3064" t="s">
        <v>29</v>
      </c>
      <c r="M3064"/>
      <c r="N3064" s="9">
        <v>44778</v>
      </c>
      <c r="O3064" s="9">
        <v>44834</v>
      </c>
      <c r="P3064"/>
      <c r="Q3064"/>
      <c r="R3064"/>
      <c r="S3064"/>
      <c r="T3064"/>
      <c r="U3064"/>
    </row>
    <row r="3065" spans="1:21" hidden="1">
      <c r="A3065" s="7" t="s">
        <v>8764</v>
      </c>
      <c r="B3065" s="7" t="s">
        <v>5405</v>
      </c>
      <c r="C3065" s="8" t="s">
        <v>5319</v>
      </c>
      <c r="D3065" t="s">
        <v>272</v>
      </c>
      <c r="E3065" t="s">
        <v>25</v>
      </c>
      <c r="F3065" t="s">
        <v>75</v>
      </c>
      <c r="G3065" t="s">
        <v>2729</v>
      </c>
      <c r="H3065" s="9">
        <v>44733</v>
      </c>
      <c r="I3065" t="s">
        <v>8634</v>
      </c>
      <c r="J3065" t="s">
        <v>5330</v>
      </c>
      <c r="K3065" s="9">
        <v>44834</v>
      </c>
      <c r="L3065" t="s">
        <v>29</v>
      </c>
      <c r="M3065"/>
      <c r="N3065" s="9">
        <v>44778</v>
      </c>
      <c r="O3065" s="9">
        <v>44834</v>
      </c>
      <c r="P3065"/>
      <c r="Q3065"/>
      <c r="R3065"/>
      <c r="S3065"/>
      <c r="T3065"/>
      <c r="U3065"/>
    </row>
    <row r="3066" spans="1:21" hidden="1">
      <c r="A3066" s="7" t="s">
        <v>8764</v>
      </c>
      <c r="B3066" s="7" t="s">
        <v>5405</v>
      </c>
      <c r="C3066" s="8" t="s">
        <v>5319</v>
      </c>
      <c r="D3066" t="s">
        <v>272</v>
      </c>
      <c r="E3066" t="s">
        <v>25</v>
      </c>
      <c r="F3066" t="s">
        <v>75</v>
      </c>
      <c r="G3066" t="s">
        <v>2730</v>
      </c>
      <c r="H3066" s="9">
        <v>44733</v>
      </c>
      <c r="I3066" t="s">
        <v>8634</v>
      </c>
      <c r="J3066" t="s">
        <v>5330</v>
      </c>
      <c r="K3066" s="9">
        <v>44834</v>
      </c>
      <c r="L3066" t="s">
        <v>29</v>
      </c>
      <c r="M3066"/>
      <c r="N3066" s="9">
        <v>44778</v>
      </c>
      <c r="O3066" s="9">
        <v>44834</v>
      </c>
      <c r="P3066"/>
      <c r="Q3066"/>
      <c r="R3066"/>
      <c r="S3066"/>
      <c r="T3066"/>
      <c r="U3066"/>
    </row>
    <row r="3067" spans="1:21" hidden="1">
      <c r="A3067" s="7" t="s">
        <v>8764</v>
      </c>
      <c r="B3067" s="7" t="s">
        <v>5405</v>
      </c>
      <c r="C3067" s="8" t="s">
        <v>5319</v>
      </c>
      <c r="D3067" t="s">
        <v>272</v>
      </c>
      <c r="E3067" t="s">
        <v>25</v>
      </c>
      <c r="F3067" t="s">
        <v>75</v>
      </c>
      <c r="G3067" t="s">
        <v>2731</v>
      </c>
      <c r="H3067" s="9">
        <v>44733</v>
      </c>
      <c r="I3067" t="s">
        <v>8634</v>
      </c>
      <c r="J3067" t="s">
        <v>5330</v>
      </c>
      <c r="K3067" s="9">
        <v>44834</v>
      </c>
      <c r="L3067" t="s">
        <v>29</v>
      </c>
      <c r="M3067"/>
      <c r="N3067" s="9">
        <v>44778</v>
      </c>
      <c r="O3067" s="9">
        <v>44834</v>
      </c>
      <c r="P3067"/>
      <c r="Q3067"/>
      <c r="R3067"/>
      <c r="S3067"/>
      <c r="T3067"/>
      <c r="U3067"/>
    </row>
    <row r="3068" spans="1:21" hidden="1">
      <c r="A3068" s="7" t="s">
        <v>8764</v>
      </c>
      <c r="B3068" s="7" t="s">
        <v>5405</v>
      </c>
      <c r="C3068" s="8" t="s">
        <v>5319</v>
      </c>
      <c r="D3068" t="s">
        <v>272</v>
      </c>
      <c r="E3068" t="s">
        <v>25</v>
      </c>
      <c r="F3068" t="s">
        <v>75</v>
      </c>
      <c r="G3068" t="s">
        <v>2732</v>
      </c>
      <c r="H3068" s="9">
        <v>44733</v>
      </c>
      <c r="I3068" t="s">
        <v>8634</v>
      </c>
      <c r="J3068" t="s">
        <v>5330</v>
      </c>
      <c r="K3068" s="9">
        <v>44834</v>
      </c>
      <c r="L3068" t="s">
        <v>29</v>
      </c>
      <c r="M3068"/>
      <c r="N3068" s="9">
        <v>44778</v>
      </c>
      <c r="O3068" s="9">
        <v>44834</v>
      </c>
      <c r="P3068"/>
      <c r="Q3068"/>
      <c r="R3068"/>
      <c r="S3068"/>
      <c r="T3068"/>
      <c r="U3068"/>
    </row>
    <row r="3069" spans="1:21" hidden="1">
      <c r="A3069" s="7" t="s">
        <v>8764</v>
      </c>
      <c r="B3069" s="7" t="s">
        <v>5405</v>
      </c>
      <c r="C3069" s="8" t="s">
        <v>5319</v>
      </c>
      <c r="D3069" t="s">
        <v>272</v>
      </c>
      <c r="E3069" t="s">
        <v>25</v>
      </c>
      <c r="F3069" t="s">
        <v>75</v>
      </c>
      <c r="G3069" t="s">
        <v>2733</v>
      </c>
      <c r="H3069" s="9">
        <v>44733</v>
      </c>
      <c r="I3069" t="s">
        <v>8634</v>
      </c>
      <c r="J3069" t="s">
        <v>5330</v>
      </c>
      <c r="K3069" s="9">
        <v>44834</v>
      </c>
      <c r="L3069" t="s">
        <v>29</v>
      </c>
      <c r="M3069"/>
      <c r="N3069" s="9">
        <v>44778</v>
      </c>
      <c r="O3069" s="9">
        <v>44834</v>
      </c>
      <c r="P3069"/>
      <c r="Q3069"/>
      <c r="R3069"/>
      <c r="S3069"/>
      <c r="T3069"/>
      <c r="U3069"/>
    </row>
    <row r="3070" spans="1:21" hidden="1">
      <c r="A3070" s="7" t="s">
        <v>8764</v>
      </c>
      <c r="B3070" s="7" t="s">
        <v>5405</v>
      </c>
      <c r="C3070" s="8" t="s">
        <v>5319</v>
      </c>
      <c r="D3070" t="s">
        <v>272</v>
      </c>
      <c r="E3070" t="s">
        <v>25</v>
      </c>
      <c r="F3070" t="s">
        <v>75</v>
      </c>
      <c r="G3070" t="s">
        <v>2734</v>
      </c>
      <c r="H3070" s="9">
        <v>44733</v>
      </c>
      <c r="I3070" t="s">
        <v>8634</v>
      </c>
      <c r="J3070" t="s">
        <v>5330</v>
      </c>
      <c r="K3070" s="9">
        <v>44834</v>
      </c>
      <c r="L3070" t="s">
        <v>29</v>
      </c>
      <c r="M3070"/>
      <c r="N3070" s="9">
        <v>44778</v>
      </c>
      <c r="O3070" s="9">
        <v>44834</v>
      </c>
      <c r="P3070"/>
      <c r="Q3070"/>
      <c r="R3070"/>
      <c r="S3070"/>
      <c r="T3070"/>
      <c r="U3070"/>
    </row>
    <row r="3071" spans="1:21" hidden="1">
      <c r="A3071" s="7" t="s">
        <v>8765</v>
      </c>
      <c r="B3071" s="7" t="s">
        <v>5405</v>
      </c>
      <c r="C3071" s="8" t="s">
        <v>5319</v>
      </c>
      <c r="D3071" t="s">
        <v>272</v>
      </c>
      <c r="E3071" t="s">
        <v>25</v>
      </c>
      <c r="F3071" t="s">
        <v>231</v>
      </c>
      <c r="G3071" t="s">
        <v>2735</v>
      </c>
      <c r="H3071" s="9">
        <v>44733</v>
      </c>
      <c r="I3071" t="s">
        <v>8634</v>
      </c>
      <c r="J3071" t="s">
        <v>5330</v>
      </c>
      <c r="K3071" s="9">
        <v>44834</v>
      </c>
      <c r="L3071" t="s">
        <v>29</v>
      </c>
      <c r="M3071"/>
      <c r="N3071" s="9">
        <v>44778</v>
      </c>
      <c r="O3071" s="9">
        <v>44834</v>
      </c>
      <c r="P3071"/>
      <c r="Q3071"/>
      <c r="R3071"/>
      <c r="S3071"/>
      <c r="T3071"/>
      <c r="U3071"/>
    </row>
    <row r="3072" spans="1:21" hidden="1">
      <c r="A3072" s="7" t="s">
        <v>8764</v>
      </c>
      <c r="B3072" s="7" t="s">
        <v>5405</v>
      </c>
      <c r="C3072" s="8" t="s">
        <v>5319</v>
      </c>
      <c r="D3072" t="s">
        <v>272</v>
      </c>
      <c r="E3072" t="s">
        <v>25</v>
      </c>
      <c r="F3072" t="s">
        <v>75</v>
      </c>
      <c r="G3072" t="s">
        <v>2736</v>
      </c>
      <c r="H3072" s="9">
        <v>44733</v>
      </c>
      <c r="I3072" t="s">
        <v>8634</v>
      </c>
      <c r="J3072" t="s">
        <v>5330</v>
      </c>
      <c r="K3072" s="9">
        <v>44834</v>
      </c>
      <c r="L3072" t="s">
        <v>29</v>
      </c>
      <c r="M3072"/>
      <c r="N3072" s="9">
        <v>44778</v>
      </c>
      <c r="O3072" s="9">
        <v>44834</v>
      </c>
      <c r="P3072"/>
      <c r="Q3072"/>
      <c r="R3072"/>
      <c r="S3072"/>
      <c r="T3072"/>
      <c r="U3072"/>
    </row>
    <row r="3073" spans="1:21" hidden="1">
      <c r="A3073" s="7" t="s">
        <v>8764</v>
      </c>
      <c r="B3073" s="7" t="s">
        <v>5405</v>
      </c>
      <c r="C3073" s="8" t="s">
        <v>5319</v>
      </c>
      <c r="D3073" t="s">
        <v>272</v>
      </c>
      <c r="E3073" t="s">
        <v>25</v>
      </c>
      <c r="F3073" t="s">
        <v>75</v>
      </c>
      <c r="G3073" t="s">
        <v>2737</v>
      </c>
      <c r="H3073" s="9">
        <v>44733</v>
      </c>
      <c r="I3073" t="s">
        <v>8634</v>
      </c>
      <c r="J3073" t="s">
        <v>5330</v>
      </c>
      <c r="K3073" s="9">
        <v>44834</v>
      </c>
      <c r="L3073" t="s">
        <v>29</v>
      </c>
      <c r="M3073"/>
      <c r="N3073" s="9">
        <v>44778</v>
      </c>
      <c r="O3073" s="9">
        <v>44834</v>
      </c>
      <c r="P3073"/>
      <c r="Q3073"/>
      <c r="R3073"/>
      <c r="S3073"/>
      <c r="T3073"/>
      <c r="U3073"/>
    </row>
    <row r="3074" spans="1:21" hidden="1">
      <c r="A3074" s="7" t="s">
        <v>8764</v>
      </c>
      <c r="B3074" s="7" t="s">
        <v>5405</v>
      </c>
      <c r="C3074" s="8" t="s">
        <v>5319</v>
      </c>
      <c r="D3074" t="s">
        <v>272</v>
      </c>
      <c r="E3074" t="s">
        <v>25</v>
      </c>
      <c r="F3074" t="s">
        <v>75</v>
      </c>
      <c r="G3074" t="s">
        <v>2738</v>
      </c>
      <c r="H3074" s="9">
        <v>44733</v>
      </c>
      <c r="I3074" t="s">
        <v>8634</v>
      </c>
      <c r="J3074" t="s">
        <v>5330</v>
      </c>
      <c r="K3074" s="9">
        <v>44834</v>
      </c>
      <c r="L3074" t="s">
        <v>29</v>
      </c>
      <c r="M3074"/>
      <c r="N3074" s="9">
        <v>44778</v>
      </c>
      <c r="O3074" s="9">
        <v>44834</v>
      </c>
      <c r="P3074"/>
      <c r="Q3074"/>
      <c r="R3074"/>
      <c r="S3074"/>
      <c r="T3074"/>
      <c r="U3074"/>
    </row>
    <row r="3075" spans="1:21" hidden="1">
      <c r="A3075" s="7" t="s">
        <v>8764</v>
      </c>
      <c r="B3075" s="7" t="s">
        <v>5405</v>
      </c>
      <c r="C3075" s="8" t="s">
        <v>5319</v>
      </c>
      <c r="D3075" t="s">
        <v>272</v>
      </c>
      <c r="E3075" t="s">
        <v>25</v>
      </c>
      <c r="F3075" t="s">
        <v>75</v>
      </c>
      <c r="G3075" t="s">
        <v>2739</v>
      </c>
      <c r="H3075" s="9">
        <v>44733</v>
      </c>
      <c r="I3075" t="s">
        <v>8634</v>
      </c>
      <c r="J3075" t="s">
        <v>5330</v>
      </c>
      <c r="K3075" s="9">
        <v>44834</v>
      </c>
      <c r="L3075" t="s">
        <v>29</v>
      </c>
      <c r="M3075"/>
      <c r="N3075" s="9">
        <v>44778</v>
      </c>
      <c r="O3075" s="9">
        <v>44834</v>
      </c>
      <c r="P3075"/>
      <c r="Q3075"/>
      <c r="R3075"/>
      <c r="S3075"/>
      <c r="T3075"/>
      <c r="U3075"/>
    </row>
    <row r="3076" spans="1:21" hidden="1">
      <c r="A3076" s="7" t="s">
        <v>8840</v>
      </c>
      <c r="B3076" s="7" t="s">
        <v>7494</v>
      </c>
      <c r="C3076" s="8" t="s">
        <v>5319</v>
      </c>
      <c r="D3076" t="s">
        <v>272</v>
      </c>
      <c r="E3076" t="s">
        <v>1957</v>
      </c>
      <c r="F3076" t="s">
        <v>75</v>
      </c>
      <c r="G3076" t="s">
        <v>2740</v>
      </c>
      <c r="H3076" s="9">
        <v>44733</v>
      </c>
      <c r="I3076" t="s">
        <v>509</v>
      </c>
      <c r="J3076" t="s">
        <v>0</v>
      </c>
      <c r="K3076" s="9">
        <v>44844</v>
      </c>
      <c r="L3076" t="s">
        <v>29</v>
      </c>
      <c r="M3076"/>
      <c r="N3076" s="9">
        <v>44778</v>
      </c>
      <c r="O3076" s="9">
        <v>44834</v>
      </c>
      <c r="P3076"/>
      <c r="Q3076" s="9">
        <v>44844</v>
      </c>
      <c r="R3076"/>
      <c r="S3076"/>
      <c r="T3076"/>
      <c r="U3076"/>
    </row>
    <row r="3077" spans="1:21" hidden="1">
      <c r="A3077" s="7" t="s">
        <v>8840</v>
      </c>
      <c r="B3077" s="7" t="s">
        <v>7494</v>
      </c>
      <c r="C3077" s="8" t="s">
        <v>5319</v>
      </c>
      <c r="D3077" t="s">
        <v>272</v>
      </c>
      <c r="E3077" t="s">
        <v>1957</v>
      </c>
      <c r="F3077" t="s">
        <v>75</v>
      </c>
      <c r="G3077" t="s">
        <v>2741</v>
      </c>
      <c r="H3077" s="9">
        <v>44733</v>
      </c>
      <c r="I3077" t="s">
        <v>509</v>
      </c>
      <c r="J3077" t="s">
        <v>0</v>
      </c>
      <c r="K3077" s="9">
        <v>44844</v>
      </c>
      <c r="L3077" t="s">
        <v>29</v>
      </c>
      <c r="M3077"/>
      <c r="N3077" s="9">
        <v>44778</v>
      </c>
      <c r="O3077" s="9">
        <v>44834</v>
      </c>
      <c r="P3077"/>
      <c r="Q3077" s="9">
        <v>44844</v>
      </c>
      <c r="R3077"/>
      <c r="S3077"/>
      <c r="T3077"/>
      <c r="U3077"/>
    </row>
    <row r="3078" spans="1:21" hidden="1">
      <c r="A3078" s="7" t="s">
        <v>8840</v>
      </c>
      <c r="B3078" s="7" t="s">
        <v>7494</v>
      </c>
      <c r="C3078" s="8" t="s">
        <v>5319</v>
      </c>
      <c r="D3078" t="s">
        <v>272</v>
      </c>
      <c r="E3078" t="s">
        <v>1957</v>
      </c>
      <c r="F3078" t="s">
        <v>75</v>
      </c>
      <c r="G3078" t="s">
        <v>2742</v>
      </c>
      <c r="H3078" s="9">
        <v>44733</v>
      </c>
      <c r="I3078" t="s">
        <v>509</v>
      </c>
      <c r="J3078" t="s">
        <v>0</v>
      </c>
      <c r="K3078" s="9">
        <v>44844</v>
      </c>
      <c r="L3078" t="s">
        <v>29</v>
      </c>
      <c r="M3078"/>
      <c r="N3078" s="9">
        <v>44778</v>
      </c>
      <c r="O3078" s="9">
        <v>44834</v>
      </c>
      <c r="P3078"/>
      <c r="Q3078" s="9">
        <v>44844</v>
      </c>
      <c r="R3078"/>
      <c r="S3078"/>
      <c r="T3078"/>
      <c r="U3078"/>
    </row>
    <row r="3079" spans="1:21" hidden="1">
      <c r="A3079" s="7" t="s">
        <v>8806</v>
      </c>
      <c r="B3079" s="7" t="s">
        <v>7593</v>
      </c>
      <c r="C3079" s="8" t="s">
        <v>5319</v>
      </c>
      <c r="D3079" t="s">
        <v>272</v>
      </c>
      <c r="E3079" t="s">
        <v>1034</v>
      </c>
      <c r="F3079" t="s">
        <v>117</v>
      </c>
      <c r="G3079" t="s">
        <v>1905</v>
      </c>
      <c r="H3079" s="9">
        <v>44733</v>
      </c>
      <c r="I3079" t="s">
        <v>984</v>
      </c>
      <c r="J3079" t="s">
        <v>2</v>
      </c>
      <c r="K3079" s="9">
        <v>44834</v>
      </c>
      <c r="L3079" t="s">
        <v>29</v>
      </c>
      <c r="M3079" t="s">
        <v>5331</v>
      </c>
      <c r="N3079" s="9">
        <v>44778</v>
      </c>
      <c r="O3079" s="9">
        <v>44834</v>
      </c>
      <c r="P3079"/>
      <c r="Q3079"/>
      <c r="R3079"/>
      <c r="S3079"/>
      <c r="T3079"/>
      <c r="U3079"/>
    </row>
    <row r="3080" spans="1:21" hidden="1">
      <c r="A3080" s="7" t="s">
        <v>8747</v>
      </c>
      <c r="B3080" s="7" t="s">
        <v>7750</v>
      </c>
      <c r="C3080" s="8" t="s">
        <v>5319</v>
      </c>
      <c r="D3080" t="s">
        <v>272</v>
      </c>
      <c r="E3080" t="s">
        <v>409</v>
      </c>
      <c r="F3080" t="s">
        <v>117</v>
      </c>
      <c r="G3080" t="s">
        <v>2743</v>
      </c>
      <c r="H3080" s="9">
        <v>44733</v>
      </c>
      <c r="I3080" t="s">
        <v>411</v>
      </c>
      <c r="J3080" t="s">
        <v>5330</v>
      </c>
      <c r="K3080" s="9">
        <v>44834</v>
      </c>
      <c r="L3080" t="s">
        <v>29</v>
      </c>
      <c r="M3080"/>
      <c r="N3080" s="9">
        <v>44778</v>
      </c>
      <c r="O3080" s="9">
        <v>44834</v>
      </c>
      <c r="P3080"/>
      <c r="Q3080"/>
      <c r="R3080"/>
      <c r="S3080"/>
      <c r="T3080"/>
      <c r="U3080"/>
    </row>
    <row r="3081" spans="1:21" hidden="1">
      <c r="A3081" s="7" t="s">
        <v>8747</v>
      </c>
      <c r="B3081" s="7" t="s">
        <v>7750</v>
      </c>
      <c r="C3081" s="8" t="s">
        <v>5319</v>
      </c>
      <c r="D3081" t="s">
        <v>272</v>
      </c>
      <c r="E3081" t="s">
        <v>409</v>
      </c>
      <c r="F3081" t="s">
        <v>117</v>
      </c>
      <c r="G3081" t="s">
        <v>2744</v>
      </c>
      <c r="H3081" s="9">
        <v>44733</v>
      </c>
      <c r="I3081" t="s">
        <v>411</v>
      </c>
      <c r="J3081" t="s">
        <v>5330</v>
      </c>
      <c r="K3081" s="9">
        <v>44834</v>
      </c>
      <c r="L3081" t="s">
        <v>29</v>
      </c>
      <c r="M3081"/>
      <c r="N3081" s="9">
        <v>44778</v>
      </c>
      <c r="O3081" s="9">
        <v>44834</v>
      </c>
      <c r="P3081"/>
      <c r="Q3081"/>
      <c r="R3081"/>
      <c r="S3081"/>
      <c r="T3081"/>
      <c r="U3081"/>
    </row>
    <row r="3082" spans="1:21" hidden="1">
      <c r="A3082" s="7" t="s">
        <v>8726</v>
      </c>
      <c r="B3082" s="7" t="s">
        <v>7519</v>
      </c>
      <c r="C3082" s="8" t="s">
        <v>5319</v>
      </c>
      <c r="D3082" t="s">
        <v>272</v>
      </c>
      <c r="E3082" t="s">
        <v>179</v>
      </c>
      <c r="F3082" t="s">
        <v>117</v>
      </c>
      <c r="G3082" t="s">
        <v>189</v>
      </c>
      <c r="H3082" s="9">
        <v>44733</v>
      </c>
      <c r="I3082" t="s">
        <v>181</v>
      </c>
      <c r="J3082" t="s">
        <v>5330</v>
      </c>
      <c r="K3082" s="9">
        <v>44834</v>
      </c>
      <c r="L3082" t="s">
        <v>29</v>
      </c>
      <c r="M3082"/>
      <c r="N3082" s="9">
        <v>44778</v>
      </c>
      <c r="O3082" s="9">
        <v>44834</v>
      </c>
      <c r="P3082"/>
      <c r="Q3082"/>
      <c r="R3082"/>
      <c r="S3082"/>
      <c r="T3082"/>
      <c r="U3082"/>
    </row>
    <row r="3083" spans="1:21" hidden="1">
      <c r="A3083" s="7" t="s">
        <v>8726</v>
      </c>
      <c r="B3083" s="7" t="s">
        <v>7519</v>
      </c>
      <c r="C3083" s="8" t="s">
        <v>5319</v>
      </c>
      <c r="D3083" t="s">
        <v>272</v>
      </c>
      <c r="E3083" t="s">
        <v>179</v>
      </c>
      <c r="F3083" t="s">
        <v>117</v>
      </c>
      <c r="G3083" t="s">
        <v>190</v>
      </c>
      <c r="H3083" s="9">
        <v>44733</v>
      </c>
      <c r="I3083" t="s">
        <v>181</v>
      </c>
      <c r="J3083" t="s">
        <v>5330</v>
      </c>
      <c r="K3083" s="9">
        <v>44834</v>
      </c>
      <c r="L3083" t="s">
        <v>29</v>
      </c>
      <c r="M3083"/>
      <c r="N3083" s="9">
        <v>44778</v>
      </c>
      <c r="O3083" s="9">
        <v>44834</v>
      </c>
      <c r="P3083"/>
      <c r="Q3083"/>
      <c r="R3083"/>
      <c r="S3083"/>
      <c r="T3083"/>
      <c r="U3083"/>
    </row>
    <row r="3084" spans="1:21" hidden="1">
      <c r="A3084" s="7" t="s">
        <v>8726</v>
      </c>
      <c r="B3084" s="7" t="s">
        <v>7519</v>
      </c>
      <c r="C3084" s="8" t="s">
        <v>5319</v>
      </c>
      <c r="D3084" t="s">
        <v>272</v>
      </c>
      <c r="E3084" t="s">
        <v>179</v>
      </c>
      <c r="F3084" t="s">
        <v>117</v>
      </c>
      <c r="G3084" t="s">
        <v>2745</v>
      </c>
      <c r="H3084" s="9">
        <v>44733</v>
      </c>
      <c r="I3084" t="s">
        <v>181</v>
      </c>
      <c r="J3084" t="s">
        <v>5330</v>
      </c>
      <c r="K3084" s="9">
        <v>44834</v>
      </c>
      <c r="L3084" t="s">
        <v>29</v>
      </c>
      <c r="M3084"/>
      <c r="N3084" s="9">
        <v>44778</v>
      </c>
      <c r="O3084" s="9">
        <v>44834</v>
      </c>
      <c r="P3084"/>
      <c r="Q3084"/>
      <c r="R3084"/>
      <c r="S3084"/>
      <c r="T3084"/>
      <c r="U3084"/>
    </row>
    <row r="3085" spans="1:21" hidden="1">
      <c r="A3085" s="7" t="s">
        <v>8764</v>
      </c>
      <c r="B3085" s="7" t="s">
        <v>5405</v>
      </c>
      <c r="C3085" s="8" t="s">
        <v>5319</v>
      </c>
      <c r="D3085" t="s">
        <v>272</v>
      </c>
      <c r="E3085" t="s">
        <v>25</v>
      </c>
      <c r="F3085" t="s">
        <v>75</v>
      </c>
      <c r="G3085" t="s">
        <v>1469</v>
      </c>
      <c r="H3085" s="9">
        <v>44733</v>
      </c>
      <c r="I3085" t="s">
        <v>8634</v>
      </c>
      <c r="J3085" t="s">
        <v>5330</v>
      </c>
      <c r="K3085" s="9">
        <v>44834</v>
      </c>
      <c r="L3085" t="s">
        <v>29</v>
      </c>
      <c r="M3085"/>
      <c r="N3085" s="9">
        <v>44778</v>
      </c>
      <c r="O3085" s="9">
        <v>44834</v>
      </c>
      <c r="P3085"/>
      <c r="Q3085"/>
      <c r="R3085"/>
      <c r="S3085"/>
      <c r="T3085"/>
      <c r="U3085"/>
    </row>
    <row r="3086" spans="1:21" hidden="1">
      <c r="A3086" s="7" t="s">
        <v>8764</v>
      </c>
      <c r="B3086" s="7" t="s">
        <v>5405</v>
      </c>
      <c r="C3086" s="8" t="s">
        <v>5319</v>
      </c>
      <c r="D3086" t="s">
        <v>272</v>
      </c>
      <c r="E3086" t="s">
        <v>25</v>
      </c>
      <c r="F3086" t="s">
        <v>75</v>
      </c>
      <c r="G3086" t="s">
        <v>1470</v>
      </c>
      <c r="H3086" s="9">
        <v>44733</v>
      </c>
      <c r="I3086" t="s">
        <v>8634</v>
      </c>
      <c r="J3086" t="s">
        <v>0</v>
      </c>
      <c r="K3086" s="9">
        <v>44862</v>
      </c>
      <c r="L3086" t="s">
        <v>29</v>
      </c>
      <c r="M3086"/>
      <c r="N3086" s="9">
        <v>44778</v>
      </c>
      <c r="O3086"/>
      <c r="P3086"/>
      <c r="Q3086" s="9">
        <v>44862</v>
      </c>
      <c r="R3086"/>
      <c r="S3086"/>
      <c r="T3086"/>
      <c r="U3086"/>
    </row>
    <row r="3087" spans="1:21" hidden="1">
      <c r="A3087" s="7" t="s">
        <v>8887</v>
      </c>
      <c r="B3087" s="7" t="s">
        <v>7433</v>
      </c>
      <c r="C3087" s="8" t="s">
        <v>5319</v>
      </c>
      <c r="D3087" t="s">
        <v>272</v>
      </c>
      <c r="E3087" t="s">
        <v>230</v>
      </c>
      <c r="F3087" t="s">
        <v>209</v>
      </c>
      <c r="G3087" t="s">
        <v>2746</v>
      </c>
      <c r="H3087" s="9">
        <v>44733</v>
      </c>
      <c r="I3087" t="s">
        <v>1435</v>
      </c>
      <c r="J3087" t="s">
        <v>269</v>
      </c>
      <c r="K3087" s="9">
        <v>44845.4301388889</v>
      </c>
      <c r="L3087" t="s">
        <v>29</v>
      </c>
      <c r="M3087"/>
      <c r="N3087" s="9">
        <v>44778</v>
      </c>
      <c r="O3087" s="9">
        <v>44834</v>
      </c>
      <c r="P3087"/>
      <c r="Q3087"/>
      <c r="R3087" s="9">
        <v>44845.416273148097</v>
      </c>
      <c r="S3087"/>
      <c r="T3087"/>
      <c r="U3087"/>
    </row>
    <row r="3088" spans="1:21" hidden="1">
      <c r="A3088" s="7" t="s">
        <v>8887</v>
      </c>
      <c r="B3088" s="7" t="s">
        <v>7433</v>
      </c>
      <c r="C3088" s="8" t="s">
        <v>5319</v>
      </c>
      <c r="D3088" t="s">
        <v>272</v>
      </c>
      <c r="E3088" t="s">
        <v>230</v>
      </c>
      <c r="F3088" t="s">
        <v>209</v>
      </c>
      <c r="G3088" t="s">
        <v>2747</v>
      </c>
      <c r="H3088" s="9">
        <v>44733</v>
      </c>
      <c r="I3088" t="s">
        <v>1435</v>
      </c>
      <c r="J3088" t="s">
        <v>269</v>
      </c>
      <c r="K3088" s="9">
        <v>44845.4301388889</v>
      </c>
      <c r="L3088" t="s">
        <v>29</v>
      </c>
      <c r="M3088"/>
      <c r="N3088" s="9">
        <v>44778</v>
      </c>
      <c r="O3088" s="9">
        <v>44834</v>
      </c>
      <c r="P3088"/>
      <c r="Q3088"/>
      <c r="R3088" s="9">
        <v>44845.416273148097</v>
      </c>
      <c r="S3088"/>
      <c r="T3088"/>
      <c r="U3088"/>
    </row>
    <row r="3089" spans="1:21" hidden="1">
      <c r="A3089" s="7" t="s">
        <v>8887</v>
      </c>
      <c r="B3089" s="7" t="s">
        <v>7433</v>
      </c>
      <c r="C3089" s="8" t="s">
        <v>5319</v>
      </c>
      <c r="D3089" t="s">
        <v>272</v>
      </c>
      <c r="E3089" t="s">
        <v>230</v>
      </c>
      <c r="F3089" t="s">
        <v>209</v>
      </c>
      <c r="G3089" t="s">
        <v>2748</v>
      </c>
      <c r="H3089" s="9">
        <v>44733</v>
      </c>
      <c r="I3089" t="s">
        <v>1435</v>
      </c>
      <c r="J3089" t="s">
        <v>269</v>
      </c>
      <c r="K3089" s="9">
        <v>44845.4301388889</v>
      </c>
      <c r="L3089" t="s">
        <v>29</v>
      </c>
      <c r="M3089"/>
      <c r="N3089" s="9">
        <v>44778</v>
      </c>
      <c r="O3089" s="9">
        <v>44834</v>
      </c>
      <c r="P3089"/>
      <c r="Q3089"/>
      <c r="R3089" s="9">
        <v>44845.416273148097</v>
      </c>
      <c r="S3089"/>
      <c r="T3089"/>
      <c r="U3089"/>
    </row>
    <row r="3090" spans="1:21" hidden="1">
      <c r="A3090" s="7" t="s">
        <v>8887</v>
      </c>
      <c r="B3090" s="7" t="s">
        <v>7433</v>
      </c>
      <c r="C3090" s="8" t="s">
        <v>5319</v>
      </c>
      <c r="D3090" t="s">
        <v>272</v>
      </c>
      <c r="E3090" t="s">
        <v>230</v>
      </c>
      <c r="F3090" t="s">
        <v>209</v>
      </c>
      <c r="G3090" t="s">
        <v>2749</v>
      </c>
      <c r="H3090" s="9">
        <v>44733</v>
      </c>
      <c r="I3090" t="s">
        <v>1435</v>
      </c>
      <c r="J3090" t="s">
        <v>269</v>
      </c>
      <c r="K3090" s="9">
        <v>44845.4301388889</v>
      </c>
      <c r="L3090" t="s">
        <v>29</v>
      </c>
      <c r="M3090"/>
      <c r="N3090" s="9">
        <v>44778</v>
      </c>
      <c r="O3090" s="9">
        <v>44834</v>
      </c>
      <c r="P3090"/>
      <c r="Q3090"/>
      <c r="R3090" s="9">
        <v>44845.416273148097</v>
      </c>
      <c r="S3090"/>
      <c r="T3090"/>
      <c r="U3090"/>
    </row>
    <row r="3091" spans="1:21" hidden="1">
      <c r="A3091" s="7" t="s">
        <v>8887</v>
      </c>
      <c r="B3091" s="7" t="s">
        <v>7433</v>
      </c>
      <c r="C3091" s="8" t="s">
        <v>5319</v>
      </c>
      <c r="D3091" t="s">
        <v>272</v>
      </c>
      <c r="E3091" t="s">
        <v>230</v>
      </c>
      <c r="F3091" t="s">
        <v>209</v>
      </c>
      <c r="G3091" t="s">
        <v>2750</v>
      </c>
      <c r="H3091" s="9">
        <v>44733</v>
      </c>
      <c r="I3091" t="s">
        <v>1435</v>
      </c>
      <c r="J3091" t="s">
        <v>269</v>
      </c>
      <c r="K3091" s="9">
        <v>44845.4301388889</v>
      </c>
      <c r="L3091" t="s">
        <v>29</v>
      </c>
      <c r="M3091"/>
      <c r="N3091" s="9">
        <v>44778</v>
      </c>
      <c r="O3091" s="9">
        <v>44834</v>
      </c>
      <c r="P3091"/>
      <c r="Q3091"/>
      <c r="R3091" s="9">
        <v>44845.416273148097</v>
      </c>
      <c r="S3091"/>
      <c r="T3091"/>
      <c r="U3091"/>
    </row>
    <row r="3092" spans="1:21" hidden="1">
      <c r="A3092" s="7" t="s">
        <v>8887</v>
      </c>
      <c r="B3092" s="7" t="s">
        <v>7433</v>
      </c>
      <c r="C3092" s="8" t="s">
        <v>5319</v>
      </c>
      <c r="D3092" t="s">
        <v>272</v>
      </c>
      <c r="E3092" t="s">
        <v>230</v>
      </c>
      <c r="F3092" t="s">
        <v>209</v>
      </c>
      <c r="G3092" t="s">
        <v>2751</v>
      </c>
      <c r="H3092" s="9">
        <v>44733</v>
      </c>
      <c r="I3092" t="s">
        <v>1435</v>
      </c>
      <c r="J3092" t="s">
        <v>269</v>
      </c>
      <c r="K3092" s="9">
        <v>44845.4301388889</v>
      </c>
      <c r="L3092" t="s">
        <v>29</v>
      </c>
      <c r="M3092"/>
      <c r="N3092" s="9">
        <v>44778</v>
      </c>
      <c r="O3092" s="9">
        <v>44834</v>
      </c>
      <c r="P3092"/>
      <c r="Q3092"/>
      <c r="R3092" s="9">
        <v>44845.416273148097</v>
      </c>
      <c r="S3092"/>
      <c r="T3092"/>
      <c r="U3092"/>
    </row>
    <row r="3093" spans="1:21" hidden="1">
      <c r="A3093" s="7" t="s">
        <v>8887</v>
      </c>
      <c r="B3093" s="7" t="s">
        <v>7433</v>
      </c>
      <c r="C3093" s="8" t="s">
        <v>5319</v>
      </c>
      <c r="D3093" t="s">
        <v>272</v>
      </c>
      <c r="E3093" t="s">
        <v>230</v>
      </c>
      <c r="F3093" t="s">
        <v>209</v>
      </c>
      <c r="G3093" t="s">
        <v>2752</v>
      </c>
      <c r="H3093" s="9">
        <v>44733</v>
      </c>
      <c r="I3093" t="s">
        <v>1435</v>
      </c>
      <c r="J3093" t="s">
        <v>269</v>
      </c>
      <c r="K3093" s="9">
        <v>44845.4301388889</v>
      </c>
      <c r="L3093" t="s">
        <v>29</v>
      </c>
      <c r="M3093"/>
      <c r="N3093" s="9">
        <v>44778</v>
      </c>
      <c r="O3093" s="9">
        <v>44834</v>
      </c>
      <c r="P3093"/>
      <c r="Q3093"/>
      <c r="R3093" s="9">
        <v>44845.416273148097</v>
      </c>
      <c r="S3093"/>
      <c r="T3093"/>
      <c r="U3093"/>
    </row>
    <row r="3094" spans="1:21" hidden="1">
      <c r="A3094" s="7" t="s">
        <v>8887</v>
      </c>
      <c r="B3094" s="7" t="s">
        <v>7433</v>
      </c>
      <c r="C3094" s="8" t="s">
        <v>5319</v>
      </c>
      <c r="D3094" t="s">
        <v>272</v>
      </c>
      <c r="E3094" t="s">
        <v>230</v>
      </c>
      <c r="F3094" t="s">
        <v>209</v>
      </c>
      <c r="G3094" t="s">
        <v>2753</v>
      </c>
      <c r="H3094" s="9">
        <v>44733</v>
      </c>
      <c r="I3094" t="s">
        <v>1435</v>
      </c>
      <c r="J3094" t="s">
        <v>269</v>
      </c>
      <c r="K3094" s="9">
        <v>44845.4301388889</v>
      </c>
      <c r="L3094" t="s">
        <v>29</v>
      </c>
      <c r="M3094"/>
      <c r="N3094" s="9">
        <v>44778</v>
      </c>
      <c r="O3094" s="9">
        <v>44834</v>
      </c>
      <c r="P3094"/>
      <c r="Q3094"/>
      <c r="R3094" s="9">
        <v>44845.416273148097</v>
      </c>
      <c r="S3094"/>
      <c r="T3094"/>
      <c r="U3094"/>
    </row>
    <row r="3095" spans="1:21" hidden="1">
      <c r="A3095" s="7" t="s">
        <v>8887</v>
      </c>
      <c r="B3095" s="7" t="s">
        <v>7433</v>
      </c>
      <c r="C3095" s="8" t="s">
        <v>5319</v>
      </c>
      <c r="D3095" t="s">
        <v>272</v>
      </c>
      <c r="E3095" t="s">
        <v>230</v>
      </c>
      <c r="F3095" t="s">
        <v>209</v>
      </c>
      <c r="G3095" t="s">
        <v>2754</v>
      </c>
      <c r="H3095" s="9">
        <v>44733</v>
      </c>
      <c r="I3095" t="s">
        <v>1435</v>
      </c>
      <c r="J3095" t="s">
        <v>269</v>
      </c>
      <c r="K3095" s="9">
        <v>44845.4301388889</v>
      </c>
      <c r="L3095" t="s">
        <v>29</v>
      </c>
      <c r="M3095"/>
      <c r="N3095" s="9">
        <v>44778</v>
      </c>
      <c r="O3095" s="9">
        <v>44834</v>
      </c>
      <c r="P3095"/>
      <c r="Q3095"/>
      <c r="R3095" s="9">
        <v>44845.416273148097</v>
      </c>
      <c r="S3095"/>
      <c r="T3095"/>
      <c r="U3095"/>
    </row>
    <row r="3096" spans="1:21" hidden="1">
      <c r="A3096" s="7" t="s">
        <v>8712</v>
      </c>
      <c r="B3096" s="7" t="s">
        <v>5405</v>
      </c>
      <c r="C3096" s="8" t="s">
        <v>5319</v>
      </c>
      <c r="D3096" t="s">
        <v>272</v>
      </c>
      <c r="E3096" t="s">
        <v>25</v>
      </c>
      <c r="F3096" t="s">
        <v>26</v>
      </c>
      <c r="G3096" t="s">
        <v>2755</v>
      </c>
      <c r="H3096" s="9">
        <v>44733</v>
      </c>
      <c r="I3096" t="s">
        <v>8634</v>
      </c>
      <c r="J3096" t="s">
        <v>0</v>
      </c>
      <c r="K3096" s="9">
        <v>44882</v>
      </c>
      <c r="L3096" t="s">
        <v>29</v>
      </c>
      <c r="M3096"/>
      <c r="N3096" s="9">
        <v>44778</v>
      </c>
      <c r="O3096"/>
      <c r="P3096"/>
      <c r="Q3096" s="9">
        <v>44882</v>
      </c>
      <c r="R3096"/>
      <c r="S3096"/>
      <c r="T3096"/>
      <c r="U3096"/>
    </row>
    <row r="3097" spans="1:21" hidden="1">
      <c r="A3097" s="7" t="s">
        <v>8712</v>
      </c>
      <c r="B3097" s="7" t="s">
        <v>5405</v>
      </c>
      <c r="C3097" s="8" t="s">
        <v>5319</v>
      </c>
      <c r="D3097" t="s">
        <v>272</v>
      </c>
      <c r="E3097" t="s">
        <v>25</v>
      </c>
      <c r="F3097" t="s">
        <v>26</v>
      </c>
      <c r="G3097" t="s">
        <v>2756</v>
      </c>
      <c r="H3097" s="9">
        <v>44733</v>
      </c>
      <c r="I3097" t="s">
        <v>8634</v>
      </c>
      <c r="J3097" t="s">
        <v>0</v>
      </c>
      <c r="K3097" s="9">
        <v>44882</v>
      </c>
      <c r="L3097" t="s">
        <v>29</v>
      </c>
      <c r="M3097"/>
      <c r="N3097" s="9">
        <v>44778</v>
      </c>
      <c r="O3097"/>
      <c r="P3097"/>
      <c r="Q3097" s="9">
        <v>44882</v>
      </c>
      <c r="R3097"/>
      <c r="S3097"/>
      <c r="T3097"/>
      <c r="U3097"/>
    </row>
    <row r="3098" spans="1:21" hidden="1">
      <c r="A3098" s="7" t="s">
        <v>8765</v>
      </c>
      <c r="B3098" s="7" t="s">
        <v>5405</v>
      </c>
      <c r="C3098" s="8" t="s">
        <v>5319</v>
      </c>
      <c r="D3098" t="s">
        <v>272</v>
      </c>
      <c r="E3098" t="s">
        <v>25</v>
      </c>
      <c r="F3098" t="s">
        <v>231</v>
      </c>
      <c r="G3098" t="s">
        <v>2757</v>
      </c>
      <c r="H3098" s="9">
        <v>44733</v>
      </c>
      <c r="I3098" t="s">
        <v>8634</v>
      </c>
      <c r="J3098" t="s">
        <v>5330</v>
      </c>
      <c r="K3098" s="9">
        <v>44834</v>
      </c>
      <c r="L3098" t="s">
        <v>29</v>
      </c>
      <c r="M3098"/>
      <c r="N3098" s="9">
        <v>44778</v>
      </c>
      <c r="O3098" s="9">
        <v>44834</v>
      </c>
      <c r="P3098"/>
      <c r="Q3098"/>
      <c r="R3098"/>
      <c r="S3098"/>
      <c r="T3098"/>
      <c r="U3098"/>
    </row>
    <row r="3099" spans="1:21" hidden="1">
      <c r="A3099" s="7" t="s">
        <v>8888</v>
      </c>
      <c r="B3099" s="7" t="s">
        <v>6738</v>
      </c>
      <c r="C3099" s="8" t="s">
        <v>5319</v>
      </c>
      <c r="D3099" t="s">
        <v>272</v>
      </c>
      <c r="E3099" t="s">
        <v>2758</v>
      </c>
      <c r="F3099" t="s">
        <v>209</v>
      </c>
      <c r="G3099" t="s">
        <v>2759</v>
      </c>
      <c r="H3099" s="9">
        <v>44733</v>
      </c>
      <c r="I3099" t="s">
        <v>903</v>
      </c>
      <c r="J3099" t="s">
        <v>5330</v>
      </c>
      <c r="K3099" s="9">
        <v>44834</v>
      </c>
      <c r="L3099" t="s">
        <v>29</v>
      </c>
      <c r="M3099"/>
      <c r="N3099" s="9">
        <v>44778</v>
      </c>
      <c r="O3099" s="9">
        <v>44834</v>
      </c>
      <c r="P3099"/>
      <c r="Q3099"/>
      <c r="R3099"/>
      <c r="S3099"/>
      <c r="T3099"/>
      <c r="U3099"/>
    </row>
    <row r="3100" spans="1:21" hidden="1">
      <c r="A3100" s="7" t="s">
        <v>8889</v>
      </c>
      <c r="B3100" s="7" t="s">
        <v>6738</v>
      </c>
      <c r="C3100" s="8" t="s">
        <v>5319</v>
      </c>
      <c r="D3100" t="s">
        <v>272</v>
      </c>
      <c r="E3100" t="s">
        <v>2758</v>
      </c>
      <c r="F3100" t="s">
        <v>231</v>
      </c>
      <c r="G3100" t="s">
        <v>2760</v>
      </c>
      <c r="H3100" s="9">
        <v>44733</v>
      </c>
      <c r="I3100" t="s">
        <v>903</v>
      </c>
      <c r="J3100" t="s">
        <v>5330</v>
      </c>
      <c r="K3100" s="9">
        <v>44834</v>
      </c>
      <c r="L3100" t="s">
        <v>29</v>
      </c>
      <c r="M3100"/>
      <c r="N3100" s="9">
        <v>44778</v>
      </c>
      <c r="O3100" s="9">
        <v>44834</v>
      </c>
      <c r="P3100"/>
      <c r="Q3100"/>
      <c r="R3100"/>
      <c r="S3100"/>
      <c r="T3100"/>
      <c r="U3100"/>
    </row>
    <row r="3101" spans="1:21" hidden="1">
      <c r="A3101" s="7" t="s">
        <v>8714</v>
      </c>
      <c r="B3101" s="7" t="s">
        <v>6017</v>
      </c>
      <c r="C3101" s="8" t="s">
        <v>5319</v>
      </c>
      <c r="D3101" t="s">
        <v>272</v>
      </c>
      <c r="E3101" t="s">
        <v>74</v>
      </c>
      <c r="F3101" t="s">
        <v>75</v>
      </c>
      <c r="G3101" t="s">
        <v>2761</v>
      </c>
      <c r="H3101" s="9">
        <v>44733</v>
      </c>
      <c r="I3101" t="s">
        <v>77</v>
      </c>
      <c r="J3101" t="s">
        <v>5330</v>
      </c>
      <c r="K3101" s="9">
        <v>44834</v>
      </c>
      <c r="L3101" t="s">
        <v>29</v>
      </c>
      <c r="M3101"/>
      <c r="N3101" s="9">
        <v>44778</v>
      </c>
      <c r="O3101" s="9">
        <v>44834</v>
      </c>
      <c r="P3101"/>
      <c r="Q3101"/>
      <c r="R3101"/>
      <c r="S3101"/>
      <c r="T3101"/>
      <c r="U3101"/>
    </row>
    <row r="3102" spans="1:21" hidden="1">
      <c r="A3102" s="7" t="s">
        <v>8761</v>
      </c>
      <c r="B3102" s="7" t="s">
        <v>7715</v>
      </c>
      <c r="C3102" s="8" t="s">
        <v>5319</v>
      </c>
      <c r="D3102" t="s">
        <v>272</v>
      </c>
      <c r="E3102" t="s">
        <v>515</v>
      </c>
      <c r="F3102" t="s">
        <v>117</v>
      </c>
      <c r="G3102" t="s">
        <v>2762</v>
      </c>
      <c r="H3102" s="9">
        <v>44733</v>
      </c>
      <c r="I3102" t="s">
        <v>181</v>
      </c>
      <c r="J3102" t="s">
        <v>0</v>
      </c>
      <c r="K3102" s="9">
        <v>44804</v>
      </c>
      <c r="L3102" t="s">
        <v>29</v>
      </c>
      <c r="M3102"/>
      <c r="N3102" s="9">
        <v>44778</v>
      </c>
      <c r="O3102"/>
      <c r="P3102"/>
      <c r="Q3102" s="9">
        <v>44804</v>
      </c>
      <c r="R3102"/>
      <c r="S3102"/>
      <c r="T3102"/>
      <c r="U3102"/>
    </row>
    <row r="3103" spans="1:21" hidden="1">
      <c r="A3103" s="7" t="s">
        <v>8761</v>
      </c>
      <c r="B3103" s="7" t="s">
        <v>7715</v>
      </c>
      <c r="C3103" s="8" t="s">
        <v>5319</v>
      </c>
      <c r="D3103" t="s">
        <v>272</v>
      </c>
      <c r="E3103" t="s">
        <v>515</v>
      </c>
      <c r="F3103" t="s">
        <v>117</v>
      </c>
      <c r="G3103" t="s">
        <v>516</v>
      </c>
      <c r="H3103" s="9">
        <v>44733</v>
      </c>
      <c r="I3103" t="s">
        <v>181</v>
      </c>
      <c r="J3103" t="s">
        <v>0</v>
      </c>
      <c r="K3103" s="9">
        <v>44803</v>
      </c>
      <c r="L3103" t="s">
        <v>29</v>
      </c>
      <c r="M3103"/>
      <c r="N3103" s="9">
        <v>44778</v>
      </c>
      <c r="O3103"/>
      <c r="P3103"/>
      <c r="Q3103" s="9">
        <v>44803</v>
      </c>
      <c r="R3103"/>
      <c r="S3103"/>
      <c r="T3103"/>
      <c r="U3103"/>
    </row>
    <row r="3104" spans="1:21" hidden="1">
      <c r="A3104" s="7" t="s">
        <v>8761</v>
      </c>
      <c r="B3104" s="7" t="s">
        <v>7715</v>
      </c>
      <c r="C3104" s="8" t="s">
        <v>5319</v>
      </c>
      <c r="D3104" t="s">
        <v>272</v>
      </c>
      <c r="E3104" t="s">
        <v>515</v>
      </c>
      <c r="F3104" t="s">
        <v>117</v>
      </c>
      <c r="G3104" t="s">
        <v>519</v>
      </c>
      <c r="H3104" s="9">
        <v>44733</v>
      </c>
      <c r="I3104" t="s">
        <v>181</v>
      </c>
      <c r="J3104" t="s">
        <v>0</v>
      </c>
      <c r="K3104" s="9">
        <v>44803</v>
      </c>
      <c r="L3104" t="s">
        <v>29</v>
      </c>
      <c r="M3104"/>
      <c r="N3104" s="9">
        <v>44778</v>
      </c>
      <c r="O3104"/>
      <c r="P3104"/>
      <c r="Q3104" s="9">
        <v>44803</v>
      </c>
      <c r="R3104"/>
      <c r="S3104"/>
      <c r="T3104"/>
      <c r="U3104"/>
    </row>
    <row r="3105" spans="1:21" hidden="1">
      <c r="A3105" s="7" t="s">
        <v>8761</v>
      </c>
      <c r="B3105" s="7" t="s">
        <v>7715</v>
      </c>
      <c r="C3105" s="8" t="s">
        <v>5319</v>
      </c>
      <c r="D3105" t="s">
        <v>272</v>
      </c>
      <c r="E3105" t="s">
        <v>515</v>
      </c>
      <c r="F3105" t="s">
        <v>117</v>
      </c>
      <c r="G3105" t="s">
        <v>523</v>
      </c>
      <c r="H3105" s="9">
        <v>44733</v>
      </c>
      <c r="I3105" t="s">
        <v>181</v>
      </c>
      <c r="J3105" t="s">
        <v>0</v>
      </c>
      <c r="K3105" s="9">
        <v>44803</v>
      </c>
      <c r="L3105" t="s">
        <v>29</v>
      </c>
      <c r="M3105"/>
      <c r="N3105" s="9">
        <v>44778</v>
      </c>
      <c r="O3105"/>
      <c r="P3105"/>
      <c r="Q3105" s="9">
        <v>44803</v>
      </c>
      <c r="R3105"/>
      <c r="S3105"/>
      <c r="T3105"/>
      <c r="U3105"/>
    </row>
    <row r="3106" spans="1:21" hidden="1">
      <c r="A3106" s="7" t="s">
        <v>8761</v>
      </c>
      <c r="B3106" s="7" t="s">
        <v>7715</v>
      </c>
      <c r="C3106" s="8" t="s">
        <v>5319</v>
      </c>
      <c r="D3106" t="s">
        <v>272</v>
      </c>
      <c r="E3106" t="s">
        <v>515</v>
      </c>
      <c r="F3106" t="s">
        <v>117</v>
      </c>
      <c r="G3106" t="s">
        <v>528</v>
      </c>
      <c r="H3106" s="9">
        <v>44733</v>
      </c>
      <c r="I3106" t="s">
        <v>181</v>
      </c>
      <c r="J3106" t="s">
        <v>0</v>
      </c>
      <c r="K3106" s="9">
        <v>44803</v>
      </c>
      <c r="L3106" t="s">
        <v>29</v>
      </c>
      <c r="M3106"/>
      <c r="N3106" s="9">
        <v>44778</v>
      </c>
      <c r="O3106"/>
      <c r="P3106"/>
      <c r="Q3106" s="9">
        <v>44803</v>
      </c>
      <c r="R3106"/>
      <c r="S3106"/>
      <c r="T3106"/>
      <c r="U3106"/>
    </row>
    <row r="3107" spans="1:21" hidden="1">
      <c r="A3107" s="7" t="s">
        <v>8761</v>
      </c>
      <c r="B3107" s="7" t="s">
        <v>7715</v>
      </c>
      <c r="C3107" s="8" t="s">
        <v>5319</v>
      </c>
      <c r="D3107" t="s">
        <v>272</v>
      </c>
      <c r="E3107" t="s">
        <v>515</v>
      </c>
      <c r="F3107" t="s">
        <v>117</v>
      </c>
      <c r="G3107" t="s">
        <v>531</v>
      </c>
      <c r="H3107" s="9">
        <v>44733</v>
      </c>
      <c r="I3107" t="s">
        <v>181</v>
      </c>
      <c r="J3107" t="s">
        <v>0</v>
      </c>
      <c r="K3107" s="9">
        <v>44803</v>
      </c>
      <c r="L3107" t="s">
        <v>29</v>
      </c>
      <c r="M3107"/>
      <c r="N3107" s="9">
        <v>44778</v>
      </c>
      <c r="O3107"/>
      <c r="P3107"/>
      <c r="Q3107" s="9">
        <v>44803</v>
      </c>
      <c r="R3107"/>
      <c r="S3107"/>
      <c r="T3107"/>
      <c r="U3107"/>
    </row>
    <row r="3108" spans="1:21" hidden="1">
      <c r="A3108" s="7" t="s">
        <v>8761</v>
      </c>
      <c r="B3108" s="7" t="s">
        <v>7715</v>
      </c>
      <c r="C3108" s="8" t="s">
        <v>5319</v>
      </c>
      <c r="D3108" t="s">
        <v>272</v>
      </c>
      <c r="E3108" t="s">
        <v>515</v>
      </c>
      <c r="F3108" t="s">
        <v>117</v>
      </c>
      <c r="G3108" t="s">
        <v>532</v>
      </c>
      <c r="H3108" s="9">
        <v>44733</v>
      </c>
      <c r="I3108" t="s">
        <v>181</v>
      </c>
      <c r="J3108" t="s">
        <v>0</v>
      </c>
      <c r="K3108" s="9">
        <v>44803</v>
      </c>
      <c r="L3108" t="s">
        <v>29</v>
      </c>
      <c r="M3108"/>
      <c r="N3108" s="9">
        <v>44778</v>
      </c>
      <c r="O3108"/>
      <c r="P3108"/>
      <c r="Q3108" s="9">
        <v>44803</v>
      </c>
      <c r="R3108"/>
      <c r="S3108"/>
      <c r="T3108"/>
      <c r="U3108"/>
    </row>
    <row r="3109" spans="1:21" hidden="1">
      <c r="A3109" s="7" t="s">
        <v>8714</v>
      </c>
      <c r="B3109" s="7" t="s">
        <v>6017</v>
      </c>
      <c r="C3109" s="8" t="s">
        <v>5319</v>
      </c>
      <c r="D3109" t="s">
        <v>272</v>
      </c>
      <c r="E3109" t="s">
        <v>74</v>
      </c>
      <c r="F3109" t="s">
        <v>75</v>
      </c>
      <c r="G3109" t="s">
        <v>120</v>
      </c>
      <c r="H3109" s="9">
        <v>44733</v>
      </c>
      <c r="I3109" t="s">
        <v>77</v>
      </c>
      <c r="J3109" t="s">
        <v>5330</v>
      </c>
      <c r="K3109" s="9">
        <v>44834</v>
      </c>
      <c r="L3109" t="s">
        <v>29</v>
      </c>
      <c r="M3109"/>
      <c r="N3109" s="9">
        <v>44778</v>
      </c>
      <c r="O3109" s="9">
        <v>44834</v>
      </c>
      <c r="P3109"/>
      <c r="Q3109"/>
      <c r="R3109"/>
      <c r="S3109"/>
      <c r="T3109"/>
      <c r="U3109"/>
    </row>
    <row r="3110" spans="1:21" hidden="1">
      <c r="A3110" s="7" t="s">
        <v>8714</v>
      </c>
      <c r="B3110" s="7" t="s">
        <v>6017</v>
      </c>
      <c r="C3110" s="8" t="s">
        <v>5319</v>
      </c>
      <c r="D3110" t="s">
        <v>272</v>
      </c>
      <c r="E3110" t="s">
        <v>74</v>
      </c>
      <c r="F3110" t="s">
        <v>75</v>
      </c>
      <c r="G3110" t="s">
        <v>2763</v>
      </c>
      <c r="H3110" s="9">
        <v>44733</v>
      </c>
      <c r="I3110" t="s">
        <v>77</v>
      </c>
      <c r="J3110" t="s">
        <v>5330</v>
      </c>
      <c r="K3110" s="9">
        <v>44834</v>
      </c>
      <c r="L3110" t="s">
        <v>29</v>
      </c>
      <c r="M3110"/>
      <c r="N3110" s="9">
        <v>44778</v>
      </c>
      <c r="O3110" s="9">
        <v>44834</v>
      </c>
      <c r="P3110"/>
      <c r="Q3110"/>
      <c r="R3110"/>
      <c r="S3110"/>
      <c r="T3110"/>
      <c r="U3110"/>
    </row>
    <row r="3111" spans="1:21" hidden="1">
      <c r="A3111" s="7" t="s">
        <v>8714</v>
      </c>
      <c r="B3111" s="7" t="s">
        <v>6017</v>
      </c>
      <c r="C3111" s="8" t="s">
        <v>5319</v>
      </c>
      <c r="D3111" t="s">
        <v>272</v>
      </c>
      <c r="E3111" t="s">
        <v>74</v>
      </c>
      <c r="F3111" t="s">
        <v>75</v>
      </c>
      <c r="G3111" t="s">
        <v>76</v>
      </c>
      <c r="H3111" s="9">
        <v>44733</v>
      </c>
      <c r="I3111" t="s">
        <v>77</v>
      </c>
      <c r="J3111" t="s">
        <v>5330</v>
      </c>
      <c r="K3111" s="9">
        <v>44834</v>
      </c>
      <c r="L3111" t="s">
        <v>29</v>
      </c>
      <c r="M3111"/>
      <c r="N3111" s="9">
        <v>44778</v>
      </c>
      <c r="O3111" s="9">
        <v>44834</v>
      </c>
      <c r="P3111"/>
      <c r="Q3111"/>
      <c r="R3111"/>
      <c r="S3111"/>
      <c r="T3111"/>
      <c r="U3111"/>
    </row>
    <row r="3112" spans="1:21" hidden="1">
      <c r="A3112" s="7" t="s">
        <v>8714</v>
      </c>
      <c r="B3112" s="7" t="s">
        <v>6017</v>
      </c>
      <c r="C3112" s="8" t="s">
        <v>5319</v>
      </c>
      <c r="D3112" t="s">
        <v>272</v>
      </c>
      <c r="E3112" t="s">
        <v>74</v>
      </c>
      <c r="F3112" t="s">
        <v>75</v>
      </c>
      <c r="G3112" t="s">
        <v>2764</v>
      </c>
      <c r="H3112" s="9">
        <v>44733</v>
      </c>
      <c r="I3112" t="s">
        <v>77</v>
      </c>
      <c r="J3112" t="s">
        <v>5330</v>
      </c>
      <c r="K3112" s="9">
        <v>44834</v>
      </c>
      <c r="L3112" t="s">
        <v>29</v>
      </c>
      <c r="M3112"/>
      <c r="N3112" s="9">
        <v>44778</v>
      </c>
      <c r="O3112" s="9">
        <v>44834</v>
      </c>
      <c r="P3112"/>
      <c r="Q3112"/>
      <c r="R3112"/>
      <c r="S3112"/>
      <c r="T3112"/>
      <c r="U3112"/>
    </row>
    <row r="3113" spans="1:21" hidden="1">
      <c r="A3113" s="7" t="s">
        <v>8714</v>
      </c>
      <c r="B3113" s="7" t="s">
        <v>6017</v>
      </c>
      <c r="C3113" s="8" t="s">
        <v>5319</v>
      </c>
      <c r="D3113" t="s">
        <v>272</v>
      </c>
      <c r="E3113" t="s">
        <v>74</v>
      </c>
      <c r="F3113" t="s">
        <v>75</v>
      </c>
      <c r="G3113" t="s">
        <v>2765</v>
      </c>
      <c r="H3113" s="9">
        <v>44733</v>
      </c>
      <c r="I3113" t="s">
        <v>77</v>
      </c>
      <c r="J3113" t="s">
        <v>5330</v>
      </c>
      <c r="K3113" s="9">
        <v>44834</v>
      </c>
      <c r="L3113" t="s">
        <v>29</v>
      </c>
      <c r="M3113"/>
      <c r="N3113" s="9">
        <v>44778</v>
      </c>
      <c r="O3113" s="9">
        <v>44834</v>
      </c>
      <c r="P3113"/>
      <c r="Q3113"/>
      <c r="R3113"/>
      <c r="S3113"/>
      <c r="T3113"/>
      <c r="U3113"/>
    </row>
    <row r="3114" spans="1:21" hidden="1">
      <c r="A3114" s="7" t="s">
        <v>8714</v>
      </c>
      <c r="B3114" s="7" t="s">
        <v>6017</v>
      </c>
      <c r="C3114" s="8" t="s">
        <v>5319</v>
      </c>
      <c r="D3114" t="s">
        <v>272</v>
      </c>
      <c r="E3114" t="s">
        <v>74</v>
      </c>
      <c r="F3114" t="s">
        <v>75</v>
      </c>
      <c r="G3114" t="s">
        <v>2766</v>
      </c>
      <c r="H3114" s="9">
        <v>44733</v>
      </c>
      <c r="I3114" t="s">
        <v>77</v>
      </c>
      <c r="J3114" t="s">
        <v>5330</v>
      </c>
      <c r="K3114" s="9">
        <v>44834</v>
      </c>
      <c r="L3114" t="s">
        <v>29</v>
      </c>
      <c r="M3114"/>
      <c r="N3114" s="9">
        <v>44778</v>
      </c>
      <c r="O3114" s="9">
        <v>44834</v>
      </c>
      <c r="P3114"/>
      <c r="Q3114"/>
      <c r="R3114"/>
      <c r="S3114"/>
      <c r="T3114"/>
      <c r="U3114"/>
    </row>
    <row r="3115" spans="1:21" hidden="1">
      <c r="A3115" s="7" t="s">
        <v>8758</v>
      </c>
      <c r="B3115" s="7" t="s">
        <v>5405</v>
      </c>
      <c r="C3115" s="8" t="s">
        <v>5319</v>
      </c>
      <c r="D3115" t="s">
        <v>272</v>
      </c>
      <c r="E3115" t="s">
        <v>25</v>
      </c>
      <c r="F3115" t="s">
        <v>493</v>
      </c>
      <c r="G3115" t="s">
        <v>2767</v>
      </c>
      <c r="H3115" s="9">
        <v>44733</v>
      </c>
      <c r="I3115" t="s">
        <v>8634</v>
      </c>
      <c r="J3115" t="s">
        <v>0</v>
      </c>
      <c r="K3115" s="9">
        <v>44862</v>
      </c>
      <c r="L3115" t="s">
        <v>29</v>
      </c>
      <c r="M3115"/>
      <c r="N3115"/>
      <c r="O3115"/>
      <c r="P3115"/>
      <c r="Q3115" s="9">
        <v>44862</v>
      </c>
      <c r="R3115"/>
      <c r="S3115"/>
      <c r="T3115"/>
      <c r="U3115"/>
    </row>
    <row r="3116" spans="1:21" hidden="1">
      <c r="A3116" s="7" t="s">
        <v>8890</v>
      </c>
      <c r="B3116" s="7" t="s">
        <v>8280</v>
      </c>
      <c r="C3116" s="8" t="s">
        <v>5319</v>
      </c>
      <c r="D3116" t="s">
        <v>272</v>
      </c>
      <c r="E3116" t="s">
        <v>2463</v>
      </c>
      <c r="F3116" t="s">
        <v>117</v>
      </c>
      <c r="G3116" t="s">
        <v>2768</v>
      </c>
      <c r="H3116" s="9">
        <v>44733</v>
      </c>
      <c r="I3116" t="s">
        <v>903</v>
      </c>
      <c r="J3116" t="s">
        <v>212</v>
      </c>
      <c r="K3116" s="9">
        <v>44806.485057870399</v>
      </c>
      <c r="L3116" t="s">
        <v>29</v>
      </c>
      <c r="M3116"/>
      <c r="N3116" s="9">
        <v>44778</v>
      </c>
      <c r="O3116"/>
      <c r="P3116"/>
      <c r="Q3116"/>
      <c r="R3116" s="9">
        <v>44806.4842361111</v>
      </c>
      <c r="S3116"/>
      <c r="T3116"/>
      <c r="U3116"/>
    </row>
    <row r="3117" spans="1:21" hidden="1">
      <c r="A3117" s="7" t="s">
        <v>8758</v>
      </c>
      <c r="B3117" s="7" t="s">
        <v>5405</v>
      </c>
      <c r="C3117" s="8" t="s">
        <v>5319</v>
      </c>
      <c r="D3117" t="s">
        <v>272</v>
      </c>
      <c r="E3117" t="s">
        <v>25</v>
      </c>
      <c r="F3117" t="s">
        <v>493</v>
      </c>
      <c r="G3117" t="s">
        <v>2769</v>
      </c>
      <c r="H3117" s="9">
        <v>44733</v>
      </c>
      <c r="I3117" t="s">
        <v>8634</v>
      </c>
      <c r="J3117" t="s">
        <v>0</v>
      </c>
      <c r="K3117" s="9">
        <v>44862</v>
      </c>
      <c r="L3117" t="s">
        <v>29</v>
      </c>
      <c r="M3117"/>
      <c r="N3117"/>
      <c r="O3117"/>
      <c r="P3117"/>
      <c r="Q3117" s="9">
        <v>44862</v>
      </c>
      <c r="R3117"/>
      <c r="S3117"/>
      <c r="T3117"/>
      <c r="U3117"/>
    </row>
    <row r="3118" spans="1:21" hidden="1">
      <c r="A3118" s="7" t="s">
        <v>8891</v>
      </c>
      <c r="B3118" s="7" t="s">
        <v>8161</v>
      </c>
      <c r="C3118" s="8" t="s">
        <v>5319</v>
      </c>
      <c r="D3118" t="s">
        <v>272</v>
      </c>
      <c r="E3118" t="s">
        <v>2770</v>
      </c>
      <c r="F3118" t="s">
        <v>117</v>
      </c>
      <c r="G3118" t="s">
        <v>2771</v>
      </c>
      <c r="H3118" s="9">
        <v>44733</v>
      </c>
      <c r="I3118" t="s">
        <v>1070</v>
      </c>
      <c r="J3118" t="s">
        <v>5330</v>
      </c>
      <c r="K3118" s="9">
        <v>44834</v>
      </c>
      <c r="L3118" t="s">
        <v>29</v>
      </c>
      <c r="M3118"/>
      <c r="N3118" s="9">
        <v>44778</v>
      </c>
      <c r="O3118" s="9">
        <v>44834</v>
      </c>
      <c r="P3118"/>
      <c r="Q3118"/>
      <c r="R3118"/>
      <c r="S3118"/>
      <c r="T3118"/>
      <c r="U3118"/>
    </row>
    <row r="3119" spans="1:21" hidden="1">
      <c r="A3119" s="7" t="s">
        <v>8891</v>
      </c>
      <c r="B3119" s="7" t="s">
        <v>8161</v>
      </c>
      <c r="C3119" s="8" t="s">
        <v>5319</v>
      </c>
      <c r="D3119" t="s">
        <v>272</v>
      </c>
      <c r="E3119" t="s">
        <v>2770</v>
      </c>
      <c r="F3119" t="s">
        <v>117</v>
      </c>
      <c r="G3119" t="s">
        <v>2772</v>
      </c>
      <c r="H3119" s="9">
        <v>44733</v>
      </c>
      <c r="I3119" t="s">
        <v>1070</v>
      </c>
      <c r="J3119" t="s">
        <v>5330</v>
      </c>
      <c r="K3119" s="9">
        <v>44834</v>
      </c>
      <c r="L3119" t="s">
        <v>29</v>
      </c>
      <c r="M3119"/>
      <c r="N3119" s="9">
        <v>44778</v>
      </c>
      <c r="O3119" s="9">
        <v>44834</v>
      </c>
      <c r="P3119"/>
      <c r="Q3119"/>
      <c r="R3119"/>
      <c r="S3119"/>
      <c r="T3119"/>
      <c r="U3119"/>
    </row>
    <row r="3120" spans="1:21" hidden="1">
      <c r="A3120" s="7" t="s">
        <v>8891</v>
      </c>
      <c r="B3120" s="7" t="s">
        <v>8161</v>
      </c>
      <c r="C3120" s="8" t="s">
        <v>5319</v>
      </c>
      <c r="D3120" t="s">
        <v>272</v>
      </c>
      <c r="E3120" t="s">
        <v>2770</v>
      </c>
      <c r="F3120" t="s">
        <v>117</v>
      </c>
      <c r="G3120" t="s">
        <v>2773</v>
      </c>
      <c r="H3120" s="9">
        <v>44733</v>
      </c>
      <c r="I3120" t="s">
        <v>1070</v>
      </c>
      <c r="J3120" t="s">
        <v>5330</v>
      </c>
      <c r="K3120" s="9">
        <v>44834</v>
      </c>
      <c r="L3120" t="s">
        <v>29</v>
      </c>
      <c r="M3120"/>
      <c r="N3120" s="9">
        <v>44778</v>
      </c>
      <c r="O3120" s="9">
        <v>44834</v>
      </c>
      <c r="P3120"/>
      <c r="Q3120"/>
      <c r="R3120"/>
      <c r="S3120"/>
      <c r="T3120"/>
      <c r="U3120"/>
    </row>
    <row r="3121" spans="1:21" hidden="1">
      <c r="A3121" s="7" t="s">
        <v>8891</v>
      </c>
      <c r="B3121" s="7" t="s">
        <v>8161</v>
      </c>
      <c r="C3121" s="8" t="s">
        <v>5319</v>
      </c>
      <c r="D3121" t="s">
        <v>272</v>
      </c>
      <c r="E3121" t="s">
        <v>2770</v>
      </c>
      <c r="F3121" t="s">
        <v>117</v>
      </c>
      <c r="G3121" t="s">
        <v>2774</v>
      </c>
      <c r="H3121" s="9">
        <v>44733</v>
      </c>
      <c r="I3121" t="s">
        <v>1070</v>
      </c>
      <c r="J3121" t="s">
        <v>5330</v>
      </c>
      <c r="K3121" s="9">
        <v>44834</v>
      </c>
      <c r="L3121" t="s">
        <v>29</v>
      </c>
      <c r="M3121"/>
      <c r="N3121" s="9">
        <v>44778</v>
      </c>
      <c r="O3121" s="9">
        <v>44834</v>
      </c>
      <c r="P3121"/>
      <c r="Q3121"/>
      <c r="R3121"/>
      <c r="S3121"/>
      <c r="T3121"/>
      <c r="U3121"/>
    </row>
    <row r="3122" spans="1:21" hidden="1">
      <c r="A3122" s="7" t="s">
        <v>8891</v>
      </c>
      <c r="B3122" s="7" t="s">
        <v>8161</v>
      </c>
      <c r="C3122" s="8" t="s">
        <v>5319</v>
      </c>
      <c r="D3122" t="s">
        <v>272</v>
      </c>
      <c r="E3122" t="s">
        <v>2770</v>
      </c>
      <c r="F3122" t="s">
        <v>117</v>
      </c>
      <c r="G3122" t="s">
        <v>2775</v>
      </c>
      <c r="H3122" s="9">
        <v>44733</v>
      </c>
      <c r="I3122" t="s">
        <v>1070</v>
      </c>
      <c r="J3122" t="s">
        <v>5330</v>
      </c>
      <c r="K3122" s="9">
        <v>44834</v>
      </c>
      <c r="L3122" t="s">
        <v>29</v>
      </c>
      <c r="M3122"/>
      <c r="N3122" s="9">
        <v>44778</v>
      </c>
      <c r="O3122" s="9">
        <v>44834</v>
      </c>
      <c r="P3122"/>
      <c r="Q3122"/>
      <c r="R3122"/>
      <c r="S3122"/>
      <c r="T3122"/>
      <c r="U3122"/>
    </row>
    <row r="3123" spans="1:21" hidden="1">
      <c r="A3123" s="7" t="s">
        <v>8891</v>
      </c>
      <c r="B3123" s="7" t="s">
        <v>8161</v>
      </c>
      <c r="C3123" s="8" t="s">
        <v>5319</v>
      </c>
      <c r="D3123" t="s">
        <v>272</v>
      </c>
      <c r="E3123" t="s">
        <v>2770</v>
      </c>
      <c r="F3123" t="s">
        <v>117</v>
      </c>
      <c r="G3123" t="s">
        <v>2776</v>
      </c>
      <c r="H3123" s="9">
        <v>44733</v>
      </c>
      <c r="I3123" t="s">
        <v>1070</v>
      </c>
      <c r="J3123" t="s">
        <v>5330</v>
      </c>
      <c r="K3123" s="9">
        <v>44834</v>
      </c>
      <c r="L3123" t="s">
        <v>29</v>
      </c>
      <c r="M3123"/>
      <c r="N3123" s="9">
        <v>44778</v>
      </c>
      <c r="O3123" s="9">
        <v>44834</v>
      </c>
      <c r="P3123"/>
      <c r="Q3123"/>
      <c r="R3123"/>
      <c r="S3123"/>
      <c r="T3123"/>
      <c r="U3123"/>
    </row>
    <row r="3124" spans="1:21" hidden="1">
      <c r="A3124" s="7" t="s">
        <v>8891</v>
      </c>
      <c r="B3124" s="7" t="s">
        <v>8161</v>
      </c>
      <c r="C3124" s="8" t="s">
        <v>5319</v>
      </c>
      <c r="D3124" t="s">
        <v>272</v>
      </c>
      <c r="E3124" t="s">
        <v>2770</v>
      </c>
      <c r="F3124" t="s">
        <v>117</v>
      </c>
      <c r="G3124" t="s">
        <v>2777</v>
      </c>
      <c r="H3124" s="9">
        <v>44733</v>
      </c>
      <c r="I3124" t="s">
        <v>1070</v>
      </c>
      <c r="J3124" t="s">
        <v>5330</v>
      </c>
      <c r="K3124" s="9">
        <v>44834</v>
      </c>
      <c r="L3124" t="s">
        <v>29</v>
      </c>
      <c r="M3124"/>
      <c r="N3124" s="9">
        <v>44778</v>
      </c>
      <c r="O3124" s="9">
        <v>44834</v>
      </c>
      <c r="P3124"/>
      <c r="Q3124"/>
      <c r="R3124"/>
      <c r="S3124"/>
      <c r="T3124"/>
      <c r="U3124"/>
    </row>
    <row r="3125" spans="1:21" hidden="1">
      <c r="A3125" s="7" t="s">
        <v>8712</v>
      </c>
      <c r="B3125" s="7" t="s">
        <v>5405</v>
      </c>
      <c r="C3125" s="8" t="s">
        <v>5319</v>
      </c>
      <c r="D3125" t="s">
        <v>272</v>
      </c>
      <c r="E3125" t="s">
        <v>25</v>
      </c>
      <c r="F3125" t="s">
        <v>26</v>
      </c>
      <c r="G3125" t="s">
        <v>2778</v>
      </c>
      <c r="H3125" s="9">
        <v>44733</v>
      </c>
      <c r="I3125" t="s">
        <v>8634</v>
      </c>
      <c r="J3125" t="s">
        <v>0</v>
      </c>
      <c r="K3125" s="9">
        <v>44882</v>
      </c>
      <c r="L3125" t="s">
        <v>29</v>
      </c>
      <c r="M3125"/>
      <c r="N3125" s="9">
        <v>44778</v>
      </c>
      <c r="O3125" s="9">
        <v>44834</v>
      </c>
      <c r="P3125"/>
      <c r="Q3125" s="9">
        <v>44882</v>
      </c>
      <c r="R3125"/>
      <c r="S3125"/>
      <c r="T3125"/>
      <c r="U3125"/>
    </row>
    <row r="3126" spans="1:21" hidden="1">
      <c r="A3126" s="7" t="s">
        <v>8744</v>
      </c>
      <c r="B3126" s="7" t="s">
        <v>7386</v>
      </c>
      <c r="C3126" s="8" t="s">
        <v>5319</v>
      </c>
      <c r="D3126" t="s">
        <v>272</v>
      </c>
      <c r="E3126" t="s">
        <v>352</v>
      </c>
      <c r="F3126" t="s">
        <v>117</v>
      </c>
      <c r="G3126" t="s">
        <v>534</v>
      </c>
      <c r="H3126" s="9">
        <v>44733</v>
      </c>
      <c r="I3126" t="s">
        <v>282</v>
      </c>
      <c r="J3126" t="s">
        <v>0</v>
      </c>
      <c r="K3126" s="9">
        <v>44874</v>
      </c>
      <c r="L3126" t="s">
        <v>29</v>
      </c>
      <c r="M3126"/>
      <c r="N3126" s="9">
        <v>44778</v>
      </c>
      <c r="O3126" s="9">
        <v>44834</v>
      </c>
      <c r="P3126"/>
      <c r="Q3126" s="9">
        <v>44874</v>
      </c>
      <c r="R3126" s="9">
        <v>44873.538692129601</v>
      </c>
      <c r="S3126"/>
      <c r="T3126"/>
      <c r="U3126"/>
    </row>
    <row r="3127" spans="1:21" hidden="1">
      <c r="A3127" s="7" t="s">
        <v>8744</v>
      </c>
      <c r="B3127" s="7" t="s">
        <v>7386</v>
      </c>
      <c r="C3127" s="8" t="s">
        <v>5319</v>
      </c>
      <c r="D3127" t="s">
        <v>272</v>
      </c>
      <c r="E3127" t="s">
        <v>352</v>
      </c>
      <c r="F3127" t="s">
        <v>117</v>
      </c>
      <c r="G3127" t="s">
        <v>535</v>
      </c>
      <c r="H3127" s="9">
        <v>44733</v>
      </c>
      <c r="I3127" t="s">
        <v>282</v>
      </c>
      <c r="J3127" t="s">
        <v>0</v>
      </c>
      <c r="K3127" s="9">
        <v>44874</v>
      </c>
      <c r="L3127" t="s">
        <v>29</v>
      </c>
      <c r="M3127"/>
      <c r="N3127" s="9">
        <v>44778</v>
      </c>
      <c r="O3127" s="9">
        <v>44834</v>
      </c>
      <c r="P3127"/>
      <c r="Q3127" s="9">
        <v>44874</v>
      </c>
      <c r="R3127" s="9">
        <v>44873.538692129601</v>
      </c>
      <c r="S3127"/>
      <c r="T3127"/>
      <c r="U3127"/>
    </row>
    <row r="3128" spans="1:21" hidden="1">
      <c r="A3128" s="7" t="s">
        <v>8744</v>
      </c>
      <c r="B3128" s="7" t="s">
        <v>7386</v>
      </c>
      <c r="C3128" s="8" t="s">
        <v>5319</v>
      </c>
      <c r="D3128" t="s">
        <v>272</v>
      </c>
      <c r="E3128" t="s">
        <v>352</v>
      </c>
      <c r="F3128" t="s">
        <v>117</v>
      </c>
      <c r="G3128" t="s">
        <v>536</v>
      </c>
      <c r="H3128" s="9">
        <v>44733</v>
      </c>
      <c r="I3128" t="s">
        <v>282</v>
      </c>
      <c r="J3128" t="s">
        <v>0</v>
      </c>
      <c r="K3128" s="9">
        <v>44874</v>
      </c>
      <c r="L3128" t="s">
        <v>29</v>
      </c>
      <c r="M3128"/>
      <c r="N3128" s="9">
        <v>44778</v>
      </c>
      <c r="O3128" s="9">
        <v>44834</v>
      </c>
      <c r="P3128"/>
      <c r="Q3128" s="9">
        <v>44874</v>
      </c>
      <c r="R3128" s="9">
        <v>44873.538692129601</v>
      </c>
      <c r="S3128"/>
      <c r="T3128"/>
      <c r="U3128"/>
    </row>
    <row r="3129" spans="1:21" hidden="1">
      <c r="A3129" s="7" t="s">
        <v>8744</v>
      </c>
      <c r="B3129" s="7" t="s">
        <v>7386</v>
      </c>
      <c r="C3129" s="8" t="s">
        <v>5319</v>
      </c>
      <c r="D3129" t="s">
        <v>272</v>
      </c>
      <c r="E3129" t="s">
        <v>352</v>
      </c>
      <c r="F3129" t="s">
        <v>117</v>
      </c>
      <c r="G3129" t="s">
        <v>538</v>
      </c>
      <c r="H3129" s="9">
        <v>44733</v>
      </c>
      <c r="I3129" t="s">
        <v>282</v>
      </c>
      <c r="J3129" t="s">
        <v>0</v>
      </c>
      <c r="K3129" s="9">
        <v>44874</v>
      </c>
      <c r="L3129" t="s">
        <v>29</v>
      </c>
      <c r="M3129"/>
      <c r="N3129" s="9">
        <v>44778</v>
      </c>
      <c r="O3129" s="9">
        <v>44834</v>
      </c>
      <c r="P3129"/>
      <c r="Q3129" s="9">
        <v>44874</v>
      </c>
      <c r="R3129" s="9">
        <v>44873.538692129601</v>
      </c>
      <c r="S3129"/>
      <c r="T3129"/>
      <c r="U3129"/>
    </row>
    <row r="3130" spans="1:21" hidden="1">
      <c r="A3130" s="7" t="s">
        <v>8744</v>
      </c>
      <c r="B3130" s="7" t="s">
        <v>7386</v>
      </c>
      <c r="C3130" s="8" t="s">
        <v>5319</v>
      </c>
      <c r="D3130" t="s">
        <v>272</v>
      </c>
      <c r="E3130" t="s">
        <v>352</v>
      </c>
      <c r="F3130" t="s">
        <v>117</v>
      </c>
      <c r="G3130" t="s">
        <v>2779</v>
      </c>
      <c r="H3130" s="9">
        <v>44733</v>
      </c>
      <c r="I3130" t="s">
        <v>282</v>
      </c>
      <c r="J3130" t="s">
        <v>0</v>
      </c>
      <c r="K3130" s="9">
        <v>44874</v>
      </c>
      <c r="L3130" t="s">
        <v>29</v>
      </c>
      <c r="M3130"/>
      <c r="N3130" s="9">
        <v>44778</v>
      </c>
      <c r="O3130" s="9">
        <v>44834</v>
      </c>
      <c r="P3130"/>
      <c r="Q3130" s="9">
        <v>44874</v>
      </c>
      <c r="R3130" s="9">
        <v>44873.538692129601</v>
      </c>
      <c r="S3130"/>
      <c r="T3130"/>
      <c r="U3130"/>
    </row>
    <row r="3131" spans="1:21" hidden="1">
      <c r="A3131" s="7" t="s">
        <v>8744</v>
      </c>
      <c r="B3131" s="7" t="s">
        <v>7386</v>
      </c>
      <c r="C3131" s="8" t="s">
        <v>5319</v>
      </c>
      <c r="D3131" t="s">
        <v>272</v>
      </c>
      <c r="E3131" t="s">
        <v>352</v>
      </c>
      <c r="F3131" t="s">
        <v>117</v>
      </c>
      <c r="G3131" t="s">
        <v>2780</v>
      </c>
      <c r="H3131" s="9">
        <v>44733</v>
      </c>
      <c r="I3131" t="s">
        <v>282</v>
      </c>
      <c r="J3131" t="s">
        <v>0</v>
      </c>
      <c r="K3131" s="9">
        <v>44874</v>
      </c>
      <c r="L3131" t="s">
        <v>29</v>
      </c>
      <c r="M3131"/>
      <c r="N3131" s="9">
        <v>44778</v>
      </c>
      <c r="O3131" s="9">
        <v>44834</v>
      </c>
      <c r="P3131"/>
      <c r="Q3131" s="9">
        <v>44874</v>
      </c>
      <c r="R3131" s="9">
        <v>44873.538692129601</v>
      </c>
      <c r="S3131"/>
      <c r="T3131"/>
      <c r="U3131"/>
    </row>
    <row r="3132" spans="1:21" hidden="1">
      <c r="A3132" s="7" t="s">
        <v>8744</v>
      </c>
      <c r="B3132" s="7" t="s">
        <v>7386</v>
      </c>
      <c r="C3132" s="8" t="s">
        <v>5319</v>
      </c>
      <c r="D3132" t="s">
        <v>272</v>
      </c>
      <c r="E3132" t="s">
        <v>352</v>
      </c>
      <c r="F3132" t="s">
        <v>117</v>
      </c>
      <c r="G3132" t="s">
        <v>2781</v>
      </c>
      <c r="H3132" s="9">
        <v>44733</v>
      </c>
      <c r="I3132" t="s">
        <v>282</v>
      </c>
      <c r="J3132" t="s">
        <v>0</v>
      </c>
      <c r="K3132" s="9">
        <v>44874</v>
      </c>
      <c r="L3132" t="s">
        <v>29</v>
      </c>
      <c r="M3132"/>
      <c r="N3132" s="9">
        <v>44778</v>
      </c>
      <c r="O3132" s="9">
        <v>44834</v>
      </c>
      <c r="P3132"/>
      <c r="Q3132" s="9">
        <v>44874</v>
      </c>
      <c r="R3132" s="9">
        <v>44873.538692129601</v>
      </c>
      <c r="S3132"/>
      <c r="T3132"/>
      <c r="U3132"/>
    </row>
    <row r="3133" spans="1:21" hidden="1">
      <c r="A3133" s="7" t="s">
        <v>8744</v>
      </c>
      <c r="B3133" s="7" t="s">
        <v>7386</v>
      </c>
      <c r="C3133" s="8" t="s">
        <v>5319</v>
      </c>
      <c r="D3133" t="s">
        <v>272</v>
      </c>
      <c r="E3133" t="s">
        <v>352</v>
      </c>
      <c r="F3133" t="s">
        <v>117</v>
      </c>
      <c r="G3133" t="s">
        <v>2782</v>
      </c>
      <c r="H3133" s="9">
        <v>44733</v>
      </c>
      <c r="I3133" t="s">
        <v>282</v>
      </c>
      <c r="J3133" t="s">
        <v>0</v>
      </c>
      <c r="K3133" s="9">
        <v>44874</v>
      </c>
      <c r="L3133" t="s">
        <v>29</v>
      </c>
      <c r="M3133"/>
      <c r="N3133" s="9">
        <v>44778</v>
      </c>
      <c r="O3133" s="9">
        <v>44834</v>
      </c>
      <c r="P3133"/>
      <c r="Q3133" s="9">
        <v>44874</v>
      </c>
      <c r="R3133" s="9">
        <v>44873.538692129601</v>
      </c>
      <c r="S3133"/>
      <c r="T3133"/>
      <c r="U3133"/>
    </row>
    <row r="3134" spans="1:21" hidden="1">
      <c r="A3134" s="7" t="s">
        <v>8744</v>
      </c>
      <c r="B3134" s="7" t="s">
        <v>7386</v>
      </c>
      <c r="C3134" s="8" t="s">
        <v>5319</v>
      </c>
      <c r="D3134" t="s">
        <v>272</v>
      </c>
      <c r="E3134" t="s">
        <v>352</v>
      </c>
      <c r="F3134" t="s">
        <v>117</v>
      </c>
      <c r="G3134" t="s">
        <v>540</v>
      </c>
      <c r="H3134" s="9">
        <v>44733</v>
      </c>
      <c r="I3134" t="s">
        <v>282</v>
      </c>
      <c r="J3134" t="s">
        <v>0</v>
      </c>
      <c r="K3134" s="9">
        <v>44874</v>
      </c>
      <c r="L3134" t="s">
        <v>29</v>
      </c>
      <c r="M3134"/>
      <c r="N3134" s="9">
        <v>44778</v>
      </c>
      <c r="O3134" s="9">
        <v>44834</v>
      </c>
      <c r="P3134"/>
      <c r="Q3134" s="9">
        <v>44874</v>
      </c>
      <c r="R3134" s="9">
        <v>44873.538692129601</v>
      </c>
      <c r="S3134"/>
      <c r="T3134"/>
      <c r="U3134"/>
    </row>
    <row r="3135" spans="1:21" hidden="1">
      <c r="A3135" s="7" t="s">
        <v>8744</v>
      </c>
      <c r="B3135" s="7" t="s">
        <v>7386</v>
      </c>
      <c r="C3135" s="8" t="s">
        <v>5319</v>
      </c>
      <c r="D3135" t="s">
        <v>272</v>
      </c>
      <c r="E3135" t="s">
        <v>352</v>
      </c>
      <c r="F3135" t="s">
        <v>117</v>
      </c>
      <c r="G3135" t="s">
        <v>2783</v>
      </c>
      <c r="H3135" s="9">
        <v>44733</v>
      </c>
      <c r="I3135" t="s">
        <v>282</v>
      </c>
      <c r="J3135" t="s">
        <v>0</v>
      </c>
      <c r="K3135" s="9">
        <v>44874</v>
      </c>
      <c r="L3135" t="s">
        <v>29</v>
      </c>
      <c r="M3135"/>
      <c r="N3135" s="9">
        <v>44778</v>
      </c>
      <c r="O3135" s="9">
        <v>44834</v>
      </c>
      <c r="P3135"/>
      <c r="Q3135" s="9">
        <v>44874</v>
      </c>
      <c r="R3135" s="9">
        <v>44873.538692129601</v>
      </c>
      <c r="S3135"/>
      <c r="T3135"/>
      <c r="U3135"/>
    </row>
    <row r="3136" spans="1:21" hidden="1">
      <c r="A3136" s="7" t="s">
        <v>8744</v>
      </c>
      <c r="B3136" s="7" t="s">
        <v>7386</v>
      </c>
      <c r="C3136" s="8" t="s">
        <v>5319</v>
      </c>
      <c r="D3136" t="s">
        <v>272</v>
      </c>
      <c r="E3136" t="s">
        <v>352</v>
      </c>
      <c r="F3136" t="s">
        <v>117</v>
      </c>
      <c r="G3136" t="s">
        <v>2784</v>
      </c>
      <c r="H3136" s="9">
        <v>44733</v>
      </c>
      <c r="I3136" t="s">
        <v>282</v>
      </c>
      <c r="J3136" t="s">
        <v>0</v>
      </c>
      <c r="K3136" s="9">
        <v>44874</v>
      </c>
      <c r="L3136" t="s">
        <v>29</v>
      </c>
      <c r="M3136"/>
      <c r="N3136" s="9">
        <v>44778</v>
      </c>
      <c r="O3136" s="9">
        <v>44834</v>
      </c>
      <c r="P3136"/>
      <c r="Q3136" s="9">
        <v>44874</v>
      </c>
      <c r="R3136" s="9">
        <v>44873.538692129601</v>
      </c>
      <c r="S3136"/>
      <c r="T3136"/>
      <c r="U3136"/>
    </row>
    <row r="3137" spans="1:21" hidden="1">
      <c r="A3137" s="7" t="s">
        <v>8822</v>
      </c>
      <c r="B3137" s="7" t="s">
        <v>6728</v>
      </c>
      <c r="C3137" s="8" t="s">
        <v>5319</v>
      </c>
      <c r="D3137" t="s">
        <v>272</v>
      </c>
      <c r="E3137" t="s">
        <v>1473</v>
      </c>
      <c r="F3137" t="s">
        <v>83</v>
      </c>
      <c r="G3137" t="s">
        <v>2785</v>
      </c>
      <c r="H3137" s="9">
        <v>44733</v>
      </c>
      <c r="I3137" t="s">
        <v>306</v>
      </c>
      <c r="J3137" t="s">
        <v>0</v>
      </c>
      <c r="K3137" s="9">
        <v>44887</v>
      </c>
      <c r="L3137" t="s">
        <v>29</v>
      </c>
      <c r="M3137"/>
      <c r="N3137" s="9">
        <v>44778</v>
      </c>
      <c r="O3137" s="9">
        <v>44834</v>
      </c>
      <c r="P3137"/>
      <c r="Q3137" s="9">
        <v>44887</v>
      </c>
      <c r="R3137"/>
      <c r="S3137"/>
      <c r="T3137"/>
      <c r="U3137"/>
    </row>
    <row r="3138" spans="1:21" hidden="1">
      <c r="A3138" s="7" t="s">
        <v>8822</v>
      </c>
      <c r="B3138" s="7" t="s">
        <v>6728</v>
      </c>
      <c r="C3138" s="8" t="s">
        <v>5319</v>
      </c>
      <c r="D3138" t="s">
        <v>272</v>
      </c>
      <c r="E3138" t="s">
        <v>1473</v>
      </c>
      <c r="F3138" t="s">
        <v>83</v>
      </c>
      <c r="G3138" t="s">
        <v>2786</v>
      </c>
      <c r="H3138" s="9">
        <v>44733</v>
      </c>
      <c r="I3138" t="s">
        <v>306</v>
      </c>
      <c r="J3138" t="s">
        <v>0</v>
      </c>
      <c r="K3138" s="9">
        <v>44887</v>
      </c>
      <c r="L3138" t="s">
        <v>29</v>
      </c>
      <c r="M3138"/>
      <c r="N3138" s="9">
        <v>44778</v>
      </c>
      <c r="O3138" s="9">
        <v>44834</v>
      </c>
      <c r="P3138"/>
      <c r="Q3138" s="9">
        <v>44887</v>
      </c>
      <c r="R3138"/>
      <c r="S3138"/>
      <c r="T3138"/>
      <c r="U3138"/>
    </row>
    <row r="3139" spans="1:21" hidden="1">
      <c r="A3139" s="7" t="s">
        <v>8822</v>
      </c>
      <c r="B3139" s="7" t="s">
        <v>6728</v>
      </c>
      <c r="C3139" s="8" t="s">
        <v>5319</v>
      </c>
      <c r="D3139" t="s">
        <v>272</v>
      </c>
      <c r="E3139" t="s">
        <v>1473</v>
      </c>
      <c r="F3139" t="s">
        <v>83</v>
      </c>
      <c r="G3139" t="s">
        <v>2787</v>
      </c>
      <c r="H3139" s="9">
        <v>44733</v>
      </c>
      <c r="I3139" t="s">
        <v>306</v>
      </c>
      <c r="J3139" t="s">
        <v>0</v>
      </c>
      <c r="K3139" s="9">
        <v>44887</v>
      </c>
      <c r="L3139" t="s">
        <v>29</v>
      </c>
      <c r="M3139"/>
      <c r="N3139" s="9">
        <v>44778</v>
      </c>
      <c r="O3139" s="9">
        <v>44834</v>
      </c>
      <c r="P3139"/>
      <c r="Q3139" s="9">
        <v>44887</v>
      </c>
      <c r="R3139"/>
      <c r="S3139"/>
      <c r="T3139"/>
      <c r="U3139"/>
    </row>
    <row r="3140" spans="1:21" hidden="1">
      <c r="A3140" s="7" t="s">
        <v>8822</v>
      </c>
      <c r="B3140" s="7" t="s">
        <v>6728</v>
      </c>
      <c r="C3140" s="8" t="s">
        <v>5319</v>
      </c>
      <c r="D3140" t="s">
        <v>272</v>
      </c>
      <c r="E3140" t="s">
        <v>1473</v>
      </c>
      <c r="F3140" t="s">
        <v>83</v>
      </c>
      <c r="G3140" t="s">
        <v>2788</v>
      </c>
      <c r="H3140" s="9">
        <v>44733</v>
      </c>
      <c r="I3140" t="s">
        <v>306</v>
      </c>
      <c r="J3140" t="s">
        <v>0</v>
      </c>
      <c r="K3140" s="9">
        <v>44887</v>
      </c>
      <c r="L3140" t="s">
        <v>29</v>
      </c>
      <c r="M3140"/>
      <c r="N3140" s="9">
        <v>44778</v>
      </c>
      <c r="O3140" s="9">
        <v>44834</v>
      </c>
      <c r="P3140"/>
      <c r="Q3140" s="9">
        <v>44887</v>
      </c>
      <c r="R3140"/>
      <c r="S3140"/>
      <c r="T3140"/>
      <c r="U3140"/>
    </row>
    <row r="3141" spans="1:21" hidden="1">
      <c r="A3141" s="7" t="s">
        <v>8822</v>
      </c>
      <c r="B3141" s="7" t="s">
        <v>6728</v>
      </c>
      <c r="C3141" s="8" t="s">
        <v>5319</v>
      </c>
      <c r="D3141" t="s">
        <v>272</v>
      </c>
      <c r="E3141" t="s">
        <v>1473</v>
      </c>
      <c r="F3141" t="s">
        <v>83</v>
      </c>
      <c r="G3141" t="s">
        <v>2789</v>
      </c>
      <c r="H3141" s="9">
        <v>44733</v>
      </c>
      <c r="I3141" t="s">
        <v>306</v>
      </c>
      <c r="J3141" t="s">
        <v>0</v>
      </c>
      <c r="K3141" s="9">
        <v>44887</v>
      </c>
      <c r="L3141" t="s">
        <v>29</v>
      </c>
      <c r="M3141"/>
      <c r="N3141" s="9">
        <v>44778</v>
      </c>
      <c r="O3141" s="9">
        <v>44834</v>
      </c>
      <c r="P3141"/>
      <c r="Q3141" s="9">
        <v>44887</v>
      </c>
      <c r="R3141"/>
      <c r="S3141"/>
      <c r="T3141"/>
      <c r="U3141"/>
    </row>
    <row r="3142" spans="1:21" hidden="1">
      <c r="A3142" s="7" t="s">
        <v>8822</v>
      </c>
      <c r="B3142" s="7" t="s">
        <v>6728</v>
      </c>
      <c r="C3142" s="8" t="s">
        <v>5319</v>
      </c>
      <c r="D3142" t="s">
        <v>272</v>
      </c>
      <c r="E3142" t="s">
        <v>1473</v>
      </c>
      <c r="F3142" t="s">
        <v>83</v>
      </c>
      <c r="G3142" t="s">
        <v>2790</v>
      </c>
      <c r="H3142" s="9">
        <v>44733</v>
      </c>
      <c r="I3142" t="s">
        <v>306</v>
      </c>
      <c r="J3142" t="s">
        <v>0</v>
      </c>
      <c r="K3142" s="9">
        <v>44887</v>
      </c>
      <c r="L3142" t="s">
        <v>29</v>
      </c>
      <c r="M3142"/>
      <c r="N3142" s="9">
        <v>44778</v>
      </c>
      <c r="O3142" s="9">
        <v>44834</v>
      </c>
      <c r="P3142"/>
      <c r="Q3142" s="9">
        <v>44887</v>
      </c>
      <c r="R3142"/>
      <c r="S3142"/>
      <c r="T3142"/>
      <c r="U3142"/>
    </row>
    <row r="3143" spans="1:21" hidden="1">
      <c r="A3143" s="7" t="s">
        <v>8822</v>
      </c>
      <c r="B3143" s="7" t="s">
        <v>6728</v>
      </c>
      <c r="C3143" s="8" t="s">
        <v>5319</v>
      </c>
      <c r="D3143" t="s">
        <v>272</v>
      </c>
      <c r="E3143" t="s">
        <v>1473</v>
      </c>
      <c r="F3143" t="s">
        <v>83</v>
      </c>
      <c r="G3143" t="s">
        <v>2791</v>
      </c>
      <c r="H3143" s="9">
        <v>44733</v>
      </c>
      <c r="I3143" t="s">
        <v>306</v>
      </c>
      <c r="J3143" t="s">
        <v>0</v>
      </c>
      <c r="K3143" s="9">
        <v>44887</v>
      </c>
      <c r="L3143" t="s">
        <v>29</v>
      </c>
      <c r="M3143"/>
      <c r="N3143" s="9">
        <v>44778</v>
      </c>
      <c r="O3143" s="9">
        <v>44834</v>
      </c>
      <c r="P3143"/>
      <c r="Q3143" s="9">
        <v>44887</v>
      </c>
      <c r="R3143"/>
      <c r="S3143"/>
      <c r="T3143"/>
      <c r="U3143"/>
    </row>
    <row r="3144" spans="1:21" hidden="1">
      <c r="A3144" s="7" t="s">
        <v>8822</v>
      </c>
      <c r="B3144" s="7" t="s">
        <v>6728</v>
      </c>
      <c r="C3144" s="8" t="s">
        <v>5319</v>
      </c>
      <c r="D3144" t="s">
        <v>272</v>
      </c>
      <c r="E3144" t="s">
        <v>1473</v>
      </c>
      <c r="F3144" t="s">
        <v>83</v>
      </c>
      <c r="G3144" t="s">
        <v>2792</v>
      </c>
      <c r="H3144" s="9">
        <v>44733</v>
      </c>
      <c r="I3144" t="s">
        <v>306</v>
      </c>
      <c r="J3144" t="s">
        <v>0</v>
      </c>
      <c r="K3144" s="9">
        <v>44887</v>
      </c>
      <c r="L3144" t="s">
        <v>29</v>
      </c>
      <c r="M3144"/>
      <c r="N3144" s="9">
        <v>44778</v>
      </c>
      <c r="O3144" s="9">
        <v>44834</v>
      </c>
      <c r="P3144"/>
      <c r="Q3144" s="9">
        <v>44887</v>
      </c>
      <c r="R3144"/>
      <c r="S3144"/>
      <c r="T3144"/>
      <c r="U3144"/>
    </row>
    <row r="3145" spans="1:21" hidden="1">
      <c r="A3145" s="7" t="s">
        <v>8822</v>
      </c>
      <c r="B3145" s="7" t="s">
        <v>6728</v>
      </c>
      <c r="C3145" s="8" t="s">
        <v>5319</v>
      </c>
      <c r="D3145" t="s">
        <v>272</v>
      </c>
      <c r="E3145" t="s">
        <v>1473</v>
      </c>
      <c r="F3145" t="s">
        <v>83</v>
      </c>
      <c r="G3145" t="s">
        <v>2793</v>
      </c>
      <c r="H3145" s="9">
        <v>44733</v>
      </c>
      <c r="I3145" t="s">
        <v>306</v>
      </c>
      <c r="J3145" t="s">
        <v>0</v>
      </c>
      <c r="K3145" s="9">
        <v>44887</v>
      </c>
      <c r="L3145" t="s">
        <v>29</v>
      </c>
      <c r="M3145"/>
      <c r="N3145" s="9">
        <v>44778</v>
      </c>
      <c r="O3145" s="9">
        <v>44834</v>
      </c>
      <c r="P3145"/>
      <c r="Q3145" s="9">
        <v>44887</v>
      </c>
      <c r="R3145"/>
      <c r="S3145"/>
      <c r="T3145"/>
      <c r="U3145"/>
    </row>
    <row r="3146" spans="1:21" hidden="1">
      <c r="A3146" s="7" t="s">
        <v>8822</v>
      </c>
      <c r="B3146" s="7" t="s">
        <v>6728</v>
      </c>
      <c r="C3146" s="8" t="s">
        <v>5319</v>
      </c>
      <c r="D3146" t="s">
        <v>272</v>
      </c>
      <c r="E3146" t="s">
        <v>1473</v>
      </c>
      <c r="F3146" t="s">
        <v>83</v>
      </c>
      <c r="G3146" t="s">
        <v>1474</v>
      </c>
      <c r="H3146" s="9">
        <v>44733</v>
      </c>
      <c r="I3146" t="s">
        <v>306</v>
      </c>
      <c r="J3146" t="s">
        <v>0</v>
      </c>
      <c r="K3146" s="9">
        <v>44887</v>
      </c>
      <c r="L3146" t="s">
        <v>29</v>
      </c>
      <c r="M3146"/>
      <c r="N3146" s="9">
        <v>44778</v>
      </c>
      <c r="O3146" s="9">
        <v>44834</v>
      </c>
      <c r="P3146"/>
      <c r="Q3146" s="9">
        <v>44887</v>
      </c>
      <c r="R3146"/>
      <c r="S3146"/>
      <c r="T3146"/>
      <c r="U3146"/>
    </row>
    <row r="3147" spans="1:21" hidden="1">
      <c r="A3147" s="7" t="s">
        <v>8822</v>
      </c>
      <c r="B3147" s="7" t="s">
        <v>6728</v>
      </c>
      <c r="C3147" s="8" t="s">
        <v>5319</v>
      </c>
      <c r="D3147" t="s">
        <v>272</v>
      </c>
      <c r="E3147" t="s">
        <v>1473</v>
      </c>
      <c r="F3147" t="s">
        <v>83</v>
      </c>
      <c r="G3147" t="s">
        <v>2794</v>
      </c>
      <c r="H3147" s="9">
        <v>44733</v>
      </c>
      <c r="I3147" t="s">
        <v>306</v>
      </c>
      <c r="J3147" t="s">
        <v>0</v>
      </c>
      <c r="K3147" s="9">
        <v>44887</v>
      </c>
      <c r="L3147" t="s">
        <v>29</v>
      </c>
      <c r="M3147"/>
      <c r="N3147" s="9">
        <v>44778</v>
      </c>
      <c r="O3147" s="9">
        <v>44834</v>
      </c>
      <c r="P3147"/>
      <c r="Q3147" s="9">
        <v>44887</v>
      </c>
      <c r="R3147"/>
      <c r="S3147"/>
      <c r="T3147"/>
      <c r="U3147"/>
    </row>
    <row r="3148" spans="1:21" hidden="1">
      <c r="A3148" s="7" t="s">
        <v>8822</v>
      </c>
      <c r="B3148" s="7" t="s">
        <v>6728</v>
      </c>
      <c r="C3148" s="8" t="s">
        <v>5319</v>
      </c>
      <c r="D3148" t="s">
        <v>272</v>
      </c>
      <c r="E3148" t="s">
        <v>1473</v>
      </c>
      <c r="F3148" t="s">
        <v>83</v>
      </c>
      <c r="G3148" t="s">
        <v>2795</v>
      </c>
      <c r="H3148" s="9">
        <v>44733</v>
      </c>
      <c r="I3148" t="s">
        <v>306</v>
      </c>
      <c r="J3148" t="s">
        <v>0</v>
      </c>
      <c r="K3148" s="9">
        <v>44887</v>
      </c>
      <c r="L3148" t="s">
        <v>29</v>
      </c>
      <c r="M3148"/>
      <c r="N3148" s="9">
        <v>44778</v>
      </c>
      <c r="O3148" s="9">
        <v>44834</v>
      </c>
      <c r="P3148"/>
      <c r="Q3148" s="9">
        <v>44887</v>
      </c>
      <c r="R3148"/>
      <c r="S3148"/>
      <c r="T3148"/>
      <c r="U3148"/>
    </row>
    <row r="3149" spans="1:21" hidden="1">
      <c r="A3149" s="7" t="s">
        <v>8822</v>
      </c>
      <c r="B3149" s="7" t="s">
        <v>6728</v>
      </c>
      <c r="C3149" s="8" t="s">
        <v>5319</v>
      </c>
      <c r="D3149" t="s">
        <v>272</v>
      </c>
      <c r="E3149" t="s">
        <v>1473</v>
      </c>
      <c r="F3149" t="s">
        <v>83</v>
      </c>
      <c r="G3149" t="s">
        <v>2796</v>
      </c>
      <c r="H3149" s="9">
        <v>44733</v>
      </c>
      <c r="I3149" t="s">
        <v>306</v>
      </c>
      <c r="J3149" t="s">
        <v>0</v>
      </c>
      <c r="K3149" s="9">
        <v>44887</v>
      </c>
      <c r="L3149" t="s">
        <v>29</v>
      </c>
      <c r="M3149"/>
      <c r="N3149" s="9">
        <v>44778</v>
      </c>
      <c r="O3149" s="9">
        <v>44834</v>
      </c>
      <c r="P3149"/>
      <c r="Q3149" s="9">
        <v>44887</v>
      </c>
      <c r="R3149"/>
      <c r="S3149"/>
      <c r="T3149"/>
      <c r="U3149"/>
    </row>
    <row r="3150" spans="1:21" hidden="1">
      <c r="A3150" s="7" t="s">
        <v>8822</v>
      </c>
      <c r="B3150" s="7" t="s">
        <v>6728</v>
      </c>
      <c r="C3150" s="8" t="s">
        <v>5319</v>
      </c>
      <c r="D3150" t="s">
        <v>272</v>
      </c>
      <c r="E3150" t="s">
        <v>1473</v>
      </c>
      <c r="F3150" t="s">
        <v>83</v>
      </c>
      <c r="G3150" t="s">
        <v>2797</v>
      </c>
      <c r="H3150" s="9">
        <v>44733</v>
      </c>
      <c r="I3150" t="s">
        <v>306</v>
      </c>
      <c r="J3150" t="s">
        <v>0</v>
      </c>
      <c r="K3150" s="9">
        <v>44887</v>
      </c>
      <c r="L3150" t="s">
        <v>29</v>
      </c>
      <c r="M3150"/>
      <c r="N3150" s="9">
        <v>44778</v>
      </c>
      <c r="O3150" s="9">
        <v>44834</v>
      </c>
      <c r="P3150"/>
      <c r="Q3150" s="9">
        <v>44887</v>
      </c>
      <c r="R3150"/>
      <c r="S3150"/>
      <c r="T3150"/>
      <c r="U3150"/>
    </row>
    <row r="3151" spans="1:21" hidden="1">
      <c r="A3151" s="7" t="s">
        <v>8822</v>
      </c>
      <c r="B3151" s="7" t="s">
        <v>6728</v>
      </c>
      <c r="C3151" s="8" t="s">
        <v>5319</v>
      </c>
      <c r="D3151" t="s">
        <v>272</v>
      </c>
      <c r="E3151" t="s">
        <v>1473</v>
      </c>
      <c r="F3151" t="s">
        <v>83</v>
      </c>
      <c r="G3151" t="s">
        <v>2798</v>
      </c>
      <c r="H3151" s="9">
        <v>44733</v>
      </c>
      <c r="I3151" t="s">
        <v>306</v>
      </c>
      <c r="J3151" t="s">
        <v>0</v>
      </c>
      <c r="K3151" s="9">
        <v>44887</v>
      </c>
      <c r="L3151" t="s">
        <v>29</v>
      </c>
      <c r="M3151"/>
      <c r="N3151" s="9">
        <v>44778</v>
      </c>
      <c r="O3151" s="9">
        <v>44834</v>
      </c>
      <c r="P3151"/>
      <c r="Q3151" s="9">
        <v>44887</v>
      </c>
      <c r="R3151"/>
      <c r="S3151"/>
      <c r="T3151"/>
      <c r="U3151"/>
    </row>
    <row r="3152" spans="1:21" hidden="1">
      <c r="A3152" s="7" t="s">
        <v>8822</v>
      </c>
      <c r="B3152" s="7" t="s">
        <v>6728</v>
      </c>
      <c r="C3152" s="8" t="s">
        <v>5319</v>
      </c>
      <c r="D3152" t="s">
        <v>272</v>
      </c>
      <c r="E3152" t="s">
        <v>1473</v>
      </c>
      <c r="F3152" t="s">
        <v>83</v>
      </c>
      <c r="G3152" t="s">
        <v>2799</v>
      </c>
      <c r="H3152" s="9">
        <v>44733</v>
      </c>
      <c r="I3152" t="s">
        <v>306</v>
      </c>
      <c r="J3152" t="s">
        <v>0</v>
      </c>
      <c r="K3152" s="9">
        <v>44887</v>
      </c>
      <c r="L3152" t="s">
        <v>29</v>
      </c>
      <c r="M3152"/>
      <c r="N3152" s="9">
        <v>44778</v>
      </c>
      <c r="O3152" s="9">
        <v>44834</v>
      </c>
      <c r="P3152"/>
      <c r="Q3152" s="9">
        <v>44887</v>
      </c>
      <c r="R3152"/>
      <c r="S3152"/>
      <c r="T3152"/>
      <c r="U3152"/>
    </row>
    <row r="3153" spans="1:21" hidden="1">
      <c r="A3153" s="7" t="s">
        <v>8892</v>
      </c>
      <c r="B3153" s="7" t="s">
        <v>8194</v>
      </c>
      <c r="C3153" s="8" t="s">
        <v>5319</v>
      </c>
      <c r="D3153" t="s">
        <v>272</v>
      </c>
      <c r="E3153" t="s">
        <v>2800</v>
      </c>
      <c r="F3153" t="s">
        <v>117</v>
      </c>
      <c r="G3153" t="s">
        <v>2801</v>
      </c>
      <c r="H3153" s="9">
        <v>44733</v>
      </c>
      <c r="I3153" t="s">
        <v>85</v>
      </c>
      <c r="J3153" t="s">
        <v>276</v>
      </c>
      <c r="K3153" s="9">
        <v>44753.397187499999</v>
      </c>
      <c r="L3153" t="s">
        <v>29</v>
      </c>
      <c r="M3153"/>
      <c r="N3153"/>
      <c r="O3153"/>
      <c r="P3153"/>
      <c r="Q3153"/>
      <c r="R3153" s="9">
        <v>44753.396076388897</v>
      </c>
      <c r="S3153"/>
      <c r="T3153"/>
      <c r="U3153"/>
    </row>
    <row r="3154" spans="1:21" hidden="1">
      <c r="A3154" s="7" t="s">
        <v>8892</v>
      </c>
      <c r="B3154" s="7" t="s">
        <v>8194</v>
      </c>
      <c r="C3154" s="8" t="s">
        <v>5319</v>
      </c>
      <c r="D3154" t="s">
        <v>272</v>
      </c>
      <c r="E3154" t="s">
        <v>2800</v>
      </c>
      <c r="F3154" t="s">
        <v>117</v>
      </c>
      <c r="G3154" t="s">
        <v>2802</v>
      </c>
      <c r="H3154" s="9">
        <v>44733</v>
      </c>
      <c r="I3154" t="s">
        <v>85</v>
      </c>
      <c r="J3154" t="s">
        <v>276</v>
      </c>
      <c r="K3154" s="9">
        <v>44753.397187499999</v>
      </c>
      <c r="L3154" t="s">
        <v>29</v>
      </c>
      <c r="M3154"/>
      <c r="N3154"/>
      <c r="O3154"/>
      <c r="P3154"/>
      <c r="Q3154"/>
      <c r="R3154" s="9">
        <v>44753.396076388897</v>
      </c>
      <c r="S3154"/>
      <c r="T3154"/>
      <c r="U3154"/>
    </row>
    <row r="3155" spans="1:21" hidden="1">
      <c r="A3155" s="7" t="s">
        <v>8892</v>
      </c>
      <c r="B3155" s="7" t="s">
        <v>8194</v>
      </c>
      <c r="C3155" s="8" t="s">
        <v>5319</v>
      </c>
      <c r="D3155" t="s">
        <v>272</v>
      </c>
      <c r="E3155" t="s">
        <v>2800</v>
      </c>
      <c r="F3155" t="s">
        <v>117</v>
      </c>
      <c r="G3155" t="s">
        <v>2803</v>
      </c>
      <c r="H3155" s="9">
        <v>44733</v>
      </c>
      <c r="I3155" t="s">
        <v>85</v>
      </c>
      <c r="J3155" t="s">
        <v>276</v>
      </c>
      <c r="K3155" s="9">
        <v>44753.397187499999</v>
      </c>
      <c r="L3155" t="s">
        <v>29</v>
      </c>
      <c r="M3155"/>
      <c r="N3155"/>
      <c r="O3155"/>
      <c r="P3155"/>
      <c r="Q3155"/>
      <c r="R3155" s="9">
        <v>44753.396076388897</v>
      </c>
      <c r="S3155"/>
      <c r="T3155"/>
      <c r="U3155"/>
    </row>
    <row r="3156" spans="1:21" hidden="1">
      <c r="A3156" s="7" t="s">
        <v>8892</v>
      </c>
      <c r="B3156" s="7" t="s">
        <v>8194</v>
      </c>
      <c r="C3156" s="8" t="s">
        <v>5319</v>
      </c>
      <c r="D3156" t="s">
        <v>272</v>
      </c>
      <c r="E3156" t="s">
        <v>2800</v>
      </c>
      <c r="F3156" t="s">
        <v>117</v>
      </c>
      <c r="G3156" t="s">
        <v>2804</v>
      </c>
      <c r="H3156" s="9">
        <v>44733</v>
      </c>
      <c r="I3156" t="s">
        <v>85</v>
      </c>
      <c r="J3156" t="s">
        <v>276</v>
      </c>
      <c r="K3156" s="9">
        <v>44753.397187499999</v>
      </c>
      <c r="L3156" t="s">
        <v>29</v>
      </c>
      <c r="M3156"/>
      <c r="N3156"/>
      <c r="O3156"/>
      <c r="P3156"/>
      <c r="Q3156"/>
      <c r="R3156" s="9">
        <v>44753.396076388897</v>
      </c>
      <c r="S3156"/>
      <c r="T3156"/>
      <c r="U3156"/>
    </row>
    <row r="3157" spans="1:21" hidden="1">
      <c r="A3157" s="7" t="s">
        <v>8892</v>
      </c>
      <c r="B3157" s="7" t="s">
        <v>8194</v>
      </c>
      <c r="C3157" s="8" t="s">
        <v>5319</v>
      </c>
      <c r="D3157" t="s">
        <v>272</v>
      </c>
      <c r="E3157" t="s">
        <v>2800</v>
      </c>
      <c r="F3157" t="s">
        <v>117</v>
      </c>
      <c r="G3157" t="s">
        <v>2805</v>
      </c>
      <c r="H3157" s="9">
        <v>44733</v>
      </c>
      <c r="I3157" t="s">
        <v>85</v>
      </c>
      <c r="J3157" t="s">
        <v>276</v>
      </c>
      <c r="K3157" s="9">
        <v>44753.397187499999</v>
      </c>
      <c r="L3157" t="s">
        <v>29</v>
      </c>
      <c r="M3157"/>
      <c r="N3157"/>
      <c r="O3157"/>
      <c r="P3157"/>
      <c r="Q3157"/>
      <c r="R3157" s="9">
        <v>44753.396076388897</v>
      </c>
      <c r="S3157"/>
      <c r="T3157"/>
      <c r="U3157"/>
    </row>
    <row r="3158" spans="1:21" hidden="1">
      <c r="A3158" s="7" t="s">
        <v>8758</v>
      </c>
      <c r="B3158" s="7" t="s">
        <v>5405</v>
      </c>
      <c r="C3158" s="8" t="s">
        <v>5319</v>
      </c>
      <c r="D3158" t="s">
        <v>272</v>
      </c>
      <c r="E3158" t="s">
        <v>25</v>
      </c>
      <c r="F3158" t="s">
        <v>493</v>
      </c>
      <c r="G3158" t="s">
        <v>2806</v>
      </c>
      <c r="H3158" s="9">
        <v>44733</v>
      </c>
      <c r="I3158" t="s">
        <v>8634</v>
      </c>
      <c r="J3158" t="s">
        <v>0</v>
      </c>
      <c r="K3158" s="9">
        <v>44862</v>
      </c>
      <c r="L3158" t="s">
        <v>29</v>
      </c>
      <c r="M3158"/>
      <c r="N3158"/>
      <c r="O3158"/>
      <c r="P3158"/>
      <c r="Q3158" s="9">
        <v>44862</v>
      </c>
      <c r="R3158"/>
      <c r="S3158"/>
      <c r="T3158"/>
      <c r="U3158"/>
    </row>
    <row r="3159" spans="1:21" hidden="1">
      <c r="A3159" s="7" t="s">
        <v>8886</v>
      </c>
      <c r="B3159" s="7" t="s">
        <v>7263</v>
      </c>
      <c r="C3159" s="8" t="s">
        <v>5319</v>
      </c>
      <c r="D3159" t="s">
        <v>272</v>
      </c>
      <c r="E3159" t="s">
        <v>2717</v>
      </c>
      <c r="F3159" t="s">
        <v>117</v>
      </c>
      <c r="G3159" t="s">
        <v>2807</v>
      </c>
      <c r="H3159" s="9">
        <v>44733</v>
      </c>
      <c r="I3159" t="s">
        <v>2719</v>
      </c>
      <c r="J3159" t="s">
        <v>5330</v>
      </c>
      <c r="K3159" s="9">
        <v>44834</v>
      </c>
      <c r="L3159" t="s">
        <v>29</v>
      </c>
      <c r="M3159"/>
      <c r="N3159" s="9">
        <v>44778</v>
      </c>
      <c r="O3159" s="9">
        <v>44834</v>
      </c>
      <c r="P3159"/>
      <c r="Q3159"/>
      <c r="R3159"/>
      <c r="S3159"/>
      <c r="T3159"/>
      <c r="U3159"/>
    </row>
    <row r="3160" spans="1:21" hidden="1">
      <c r="A3160" s="7" t="s">
        <v>8886</v>
      </c>
      <c r="B3160" s="7" t="s">
        <v>7263</v>
      </c>
      <c r="C3160" s="8" t="s">
        <v>5319</v>
      </c>
      <c r="D3160" t="s">
        <v>272</v>
      </c>
      <c r="E3160" t="s">
        <v>2717</v>
      </c>
      <c r="F3160" t="s">
        <v>117</v>
      </c>
      <c r="G3160" t="s">
        <v>2808</v>
      </c>
      <c r="H3160" s="9">
        <v>44733</v>
      </c>
      <c r="I3160" t="s">
        <v>2719</v>
      </c>
      <c r="J3160" t="s">
        <v>5330</v>
      </c>
      <c r="K3160" s="9">
        <v>44834</v>
      </c>
      <c r="L3160" t="s">
        <v>29</v>
      </c>
      <c r="M3160"/>
      <c r="N3160" s="9">
        <v>44778</v>
      </c>
      <c r="O3160" s="9">
        <v>44834</v>
      </c>
      <c r="P3160"/>
      <c r="Q3160"/>
      <c r="R3160"/>
      <c r="S3160"/>
      <c r="T3160"/>
      <c r="U3160"/>
    </row>
    <row r="3161" spans="1:21" hidden="1">
      <c r="A3161" s="7" t="s">
        <v>8758</v>
      </c>
      <c r="B3161" s="7" t="s">
        <v>5405</v>
      </c>
      <c r="C3161" s="8" t="s">
        <v>5319</v>
      </c>
      <c r="D3161" t="s">
        <v>272</v>
      </c>
      <c r="E3161" t="s">
        <v>25</v>
      </c>
      <c r="F3161" t="s">
        <v>493</v>
      </c>
      <c r="G3161" t="s">
        <v>2809</v>
      </c>
      <c r="H3161" s="9">
        <v>44733</v>
      </c>
      <c r="I3161" t="s">
        <v>8634</v>
      </c>
      <c r="J3161" t="s">
        <v>5330</v>
      </c>
      <c r="K3161" s="9">
        <v>44834</v>
      </c>
      <c r="L3161" t="s">
        <v>29</v>
      </c>
      <c r="M3161"/>
      <c r="N3161" s="9">
        <v>44778</v>
      </c>
      <c r="O3161" s="9">
        <v>44834</v>
      </c>
      <c r="P3161"/>
      <c r="Q3161"/>
      <c r="R3161"/>
      <c r="S3161"/>
      <c r="T3161"/>
      <c r="U3161"/>
    </row>
    <row r="3162" spans="1:21" hidden="1">
      <c r="A3162" s="7" t="s">
        <v>8744</v>
      </c>
      <c r="B3162" s="7" t="s">
        <v>7386</v>
      </c>
      <c r="C3162" s="8" t="s">
        <v>5319</v>
      </c>
      <c r="D3162" t="s">
        <v>272</v>
      </c>
      <c r="E3162" t="s">
        <v>352</v>
      </c>
      <c r="F3162" t="s">
        <v>117</v>
      </c>
      <c r="G3162" t="s">
        <v>2810</v>
      </c>
      <c r="H3162" s="9">
        <v>44733</v>
      </c>
      <c r="I3162" t="s">
        <v>282</v>
      </c>
      <c r="J3162" t="s">
        <v>0</v>
      </c>
      <c r="K3162" s="9">
        <v>44874</v>
      </c>
      <c r="L3162" t="s">
        <v>29</v>
      </c>
      <c r="M3162"/>
      <c r="N3162" s="9">
        <v>44778</v>
      </c>
      <c r="O3162" s="9">
        <v>44834</v>
      </c>
      <c r="P3162"/>
      <c r="Q3162" s="9">
        <v>44874</v>
      </c>
      <c r="R3162" s="9">
        <v>44873.538692129601</v>
      </c>
      <c r="S3162"/>
      <c r="T3162"/>
      <c r="U3162"/>
    </row>
    <row r="3163" spans="1:21" hidden="1">
      <c r="A3163" s="7" t="s">
        <v>8744</v>
      </c>
      <c r="B3163" s="7" t="s">
        <v>7386</v>
      </c>
      <c r="C3163" s="8" t="s">
        <v>5319</v>
      </c>
      <c r="D3163" t="s">
        <v>272</v>
      </c>
      <c r="E3163" t="s">
        <v>352</v>
      </c>
      <c r="F3163" t="s">
        <v>117</v>
      </c>
      <c r="G3163" t="s">
        <v>2811</v>
      </c>
      <c r="H3163" s="9">
        <v>44733</v>
      </c>
      <c r="I3163" t="s">
        <v>282</v>
      </c>
      <c r="J3163" t="s">
        <v>0</v>
      </c>
      <c r="K3163" s="9">
        <v>44874</v>
      </c>
      <c r="L3163" t="s">
        <v>29</v>
      </c>
      <c r="M3163"/>
      <c r="N3163" s="9">
        <v>44778</v>
      </c>
      <c r="O3163" s="9">
        <v>44834</v>
      </c>
      <c r="P3163"/>
      <c r="Q3163" s="9">
        <v>44874</v>
      </c>
      <c r="R3163" s="9">
        <v>44873.538692129601</v>
      </c>
      <c r="S3163"/>
      <c r="T3163"/>
      <c r="U3163"/>
    </row>
    <row r="3164" spans="1:21" hidden="1">
      <c r="A3164" s="7" t="s">
        <v>8744</v>
      </c>
      <c r="B3164" s="7" t="s">
        <v>7386</v>
      </c>
      <c r="C3164" s="8" t="s">
        <v>5319</v>
      </c>
      <c r="D3164" t="s">
        <v>272</v>
      </c>
      <c r="E3164" t="s">
        <v>352</v>
      </c>
      <c r="F3164" t="s">
        <v>117</v>
      </c>
      <c r="G3164" t="s">
        <v>2812</v>
      </c>
      <c r="H3164" s="9">
        <v>44733</v>
      </c>
      <c r="I3164" t="s">
        <v>282</v>
      </c>
      <c r="J3164" t="s">
        <v>0</v>
      </c>
      <c r="K3164" s="9">
        <v>44874</v>
      </c>
      <c r="L3164" t="s">
        <v>29</v>
      </c>
      <c r="M3164"/>
      <c r="N3164" s="9">
        <v>44778</v>
      </c>
      <c r="O3164" s="9">
        <v>44834</v>
      </c>
      <c r="P3164"/>
      <c r="Q3164" s="9">
        <v>44874</v>
      </c>
      <c r="R3164" s="9">
        <v>44873.538692129601</v>
      </c>
      <c r="S3164"/>
      <c r="T3164"/>
      <c r="U3164"/>
    </row>
    <row r="3165" spans="1:21" hidden="1">
      <c r="A3165" s="7" t="s">
        <v>8744</v>
      </c>
      <c r="B3165" s="7" t="s">
        <v>7386</v>
      </c>
      <c r="C3165" s="8" t="s">
        <v>5319</v>
      </c>
      <c r="D3165" t="s">
        <v>272</v>
      </c>
      <c r="E3165" t="s">
        <v>352</v>
      </c>
      <c r="F3165" t="s">
        <v>117</v>
      </c>
      <c r="G3165" t="s">
        <v>2813</v>
      </c>
      <c r="H3165" s="9">
        <v>44733</v>
      </c>
      <c r="I3165" t="s">
        <v>282</v>
      </c>
      <c r="J3165" t="s">
        <v>0</v>
      </c>
      <c r="K3165" s="9">
        <v>44874</v>
      </c>
      <c r="L3165" t="s">
        <v>29</v>
      </c>
      <c r="M3165"/>
      <c r="N3165" s="9">
        <v>44778</v>
      </c>
      <c r="O3165" s="9">
        <v>44834</v>
      </c>
      <c r="P3165"/>
      <c r="Q3165" s="9">
        <v>44874</v>
      </c>
      <c r="R3165" s="9">
        <v>44873.538692129601</v>
      </c>
      <c r="S3165"/>
      <c r="T3165"/>
      <c r="U3165"/>
    </row>
    <row r="3166" spans="1:21" hidden="1">
      <c r="A3166" s="7" t="s">
        <v>8764</v>
      </c>
      <c r="B3166" s="7" t="s">
        <v>5405</v>
      </c>
      <c r="C3166" s="8" t="s">
        <v>5319</v>
      </c>
      <c r="D3166" t="s">
        <v>272</v>
      </c>
      <c r="E3166" t="s">
        <v>25</v>
      </c>
      <c r="F3166" t="s">
        <v>75</v>
      </c>
      <c r="G3166" t="s">
        <v>2814</v>
      </c>
      <c r="H3166" s="9">
        <v>44733</v>
      </c>
      <c r="I3166" t="s">
        <v>8634</v>
      </c>
      <c r="J3166" t="s">
        <v>5330</v>
      </c>
      <c r="K3166" s="9">
        <v>44834</v>
      </c>
      <c r="L3166" t="s">
        <v>29</v>
      </c>
      <c r="M3166"/>
      <c r="N3166" s="9">
        <v>44778</v>
      </c>
      <c r="O3166" s="9">
        <v>44834</v>
      </c>
      <c r="P3166"/>
      <c r="Q3166"/>
      <c r="R3166"/>
      <c r="S3166"/>
      <c r="T3166"/>
      <c r="U3166"/>
    </row>
    <row r="3167" spans="1:21" hidden="1">
      <c r="A3167" s="7" t="s">
        <v>8712</v>
      </c>
      <c r="B3167" s="7" t="s">
        <v>5405</v>
      </c>
      <c r="C3167" s="8" t="s">
        <v>5319</v>
      </c>
      <c r="D3167" t="s">
        <v>272</v>
      </c>
      <c r="E3167" t="s">
        <v>25</v>
      </c>
      <c r="F3167" t="s">
        <v>26</v>
      </c>
      <c r="G3167" t="s">
        <v>2815</v>
      </c>
      <c r="H3167" s="9">
        <v>44733</v>
      </c>
      <c r="I3167" t="s">
        <v>8634</v>
      </c>
      <c r="J3167" t="s">
        <v>0</v>
      </c>
      <c r="K3167" s="9">
        <v>44882</v>
      </c>
      <c r="L3167" t="s">
        <v>29</v>
      </c>
      <c r="M3167"/>
      <c r="N3167" s="9">
        <v>44778</v>
      </c>
      <c r="O3167"/>
      <c r="P3167"/>
      <c r="Q3167" s="9">
        <v>44882</v>
      </c>
      <c r="R3167"/>
      <c r="S3167"/>
      <c r="T3167"/>
      <c r="U3167"/>
    </row>
    <row r="3168" spans="1:21" hidden="1">
      <c r="A3168" s="7" t="s">
        <v>8758</v>
      </c>
      <c r="B3168" s="7" t="s">
        <v>5405</v>
      </c>
      <c r="C3168" s="8" t="s">
        <v>5319</v>
      </c>
      <c r="D3168" t="s">
        <v>272</v>
      </c>
      <c r="E3168" t="s">
        <v>25</v>
      </c>
      <c r="F3168" t="s">
        <v>493</v>
      </c>
      <c r="G3168" t="s">
        <v>2816</v>
      </c>
      <c r="H3168" s="9">
        <v>44733</v>
      </c>
      <c r="I3168" t="s">
        <v>8634</v>
      </c>
      <c r="J3168" t="s">
        <v>0</v>
      </c>
      <c r="K3168" s="9">
        <v>44862</v>
      </c>
      <c r="L3168" t="s">
        <v>29</v>
      </c>
      <c r="M3168"/>
      <c r="N3168" s="9">
        <v>44778</v>
      </c>
      <c r="O3168"/>
      <c r="P3168"/>
      <c r="Q3168" s="9">
        <v>44862</v>
      </c>
      <c r="R3168"/>
      <c r="S3168"/>
      <c r="T3168"/>
      <c r="U3168"/>
    </row>
    <row r="3169" spans="1:21" hidden="1">
      <c r="A3169" s="7" t="s">
        <v>8712</v>
      </c>
      <c r="B3169" s="7" t="s">
        <v>5405</v>
      </c>
      <c r="C3169" s="8" t="s">
        <v>5319</v>
      </c>
      <c r="D3169" t="s">
        <v>272</v>
      </c>
      <c r="E3169" t="s">
        <v>25</v>
      </c>
      <c r="F3169" t="s">
        <v>26</v>
      </c>
      <c r="G3169" t="s">
        <v>2817</v>
      </c>
      <c r="H3169" s="9">
        <v>44733</v>
      </c>
      <c r="I3169" t="s">
        <v>8634</v>
      </c>
      <c r="J3169" t="s">
        <v>0</v>
      </c>
      <c r="K3169" s="9">
        <v>44882</v>
      </c>
      <c r="L3169" t="s">
        <v>29</v>
      </c>
      <c r="M3169"/>
      <c r="N3169" s="9">
        <v>44778</v>
      </c>
      <c r="O3169"/>
      <c r="P3169"/>
      <c r="Q3169" s="9">
        <v>44882</v>
      </c>
      <c r="R3169"/>
      <c r="S3169"/>
      <c r="T3169"/>
      <c r="U3169"/>
    </row>
    <row r="3170" spans="1:21" hidden="1">
      <c r="A3170" s="7" t="s">
        <v>8758</v>
      </c>
      <c r="B3170" s="7" t="s">
        <v>5405</v>
      </c>
      <c r="C3170" s="8" t="s">
        <v>5319</v>
      </c>
      <c r="D3170" t="s">
        <v>272</v>
      </c>
      <c r="E3170" t="s">
        <v>25</v>
      </c>
      <c r="F3170" t="s">
        <v>493</v>
      </c>
      <c r="G3170" t="s">
        <v>2818</v>
      </c>
      <c r="H3170" s="9">
        <v>44733</v>
      </c>
      <c r="I3170" t="s">
        <v>8634</v>
      </c>
      <c r="J3170" t="s">
        <v>0</v>
      </c>
      <c r="K3170" s="9">
        <v>44862</v>
      </c>
      <c r="L3170" t="s">
        <v>29</v>
      </c>
      <c r="M3170"/>
      <c r="N3170" s="9">
        <v>44778</v>
      </c>
      <c r="O3170"/>
      <c r="P3170"/>
      <c r="Q3170" s="9">
        <v>44862</v>
      </c>
      <c r="R3170"/>
      <c r="S3170"/>
      <c r="T3170"/>
      <c r="U3170"/>
    </row>
    <row r="3171" spans="1:21" hidden="1">
      <c r="A3171" s="7" t="s">
        <v>8758</v>
      </c>
      <c r="B3171" s="7" t="s">
        <v>5405</v>
      </c>
      <c r="C3171" s="8" t="s">
        <v>5319</v>
      </c>
      <c r="D3171" t="s">
        <v>272</v>
      </c>
      <c r="E3171" t="s">
        <v>25</v>
      </c>
      <c r="F3171" t="s">
        <v>493</v>
      </c>
      <c r="G3171" t="s">
        <v>2819</v>
      </c>
      <c r="H3171" s="9">
        <v>44733</v>
      </c>
      <c r="I3171" t="s">
        <v>8634</v>
      </c>
      <c r="J3171" t="s">
        <v>0</v>
      </c>
      <c r="K3171" s="9">
        <v>44862</v>
      </c>
      <c r="L3171" t="s">
        <v>29</v>
      </c>
      <c r="M3171"/>
      <c r="N3171" s="9">
        <v>44778</v>
      </c>
      <c r="O3171"/>
      <c r="P3171"/>
      <c r="Q3171" s="9">
        <v>44862</v>
      </c>
      <c r="R3171"/>
      <c r="S3171"/>
      <c r="T3171"/>
      <c r="U3171"/>
    </row>
    <row r="3172" spans="1:21" hidden="1">
      <c r="A3172" s="7" t="s">
        <v>8758</v>
      </c>
      <c r="B3172" s="7" t="s">
        <v>5405</v>
      </c>
      <c r="C3172" s="8" t="s">
        <v>5319</v>
      </c>
      <c r="D3172" t="s">
        <v>272</v>
      </c>
      <c r="E3172" t="s">
        <v>25</v>
      </c>
      <c r="F3172" t="s">
        <v>493</v>
      </c>
      <c r="G3172" t="s">
        <v>2820</v>
      </c>
      <c r="H3172" s="9">
        <v>44733</v>
      </c>
      <c r="I3172" t="s">
        <v>8634</v>
      </c>
      <c r="J3172" t="s">
        <v>0</v>
      </c>
      <c r="K3172" s="9">
        <v>44862</v>
      </c>
      <c r="L3172" t="s">
        <v>29</v>
      </c>
      <c r="M3172"/>
      <c r="N3172" s="9">
        <v>44778</v>
      </c>
      <c r="O3172"/>
      <c r="P3172"/>
      <c r="Q3172" s="9">
        <v>44862</v>
      </c>
      <c r="R3172"/>
      <c r="S3172"/>
      <c r="T3172"/>
      <c r="U3172"/>
    </row>
    <row r="3173" spans="1:21" hidden="1">
      <c r="A3173" s="7" t="s">
        <v>8758</v>
      </c>
      <c r="B3173" s="7" t="s">
        <v>5405</v>
      </c>
      <c r="C3173" s="8" t="s">
        <v>5319</v>
      </c>
      <c r="D3173" t="s">
        <v>272</v>
      </c>
      <c r="E3173" t="s">
        <v>25</v>
      </c>
      <c r="F3173" t="s">
        <v>493</v>
      </c>
      <c r="G3173" t="s">
        <v>2821</v>
      </c>
      <c r="H3173" s="9">
        <v>44733</v>
      </c>
      <c r="I3173" t="s">
        <v>8634</v>
      </c>
      <c r="J3173" t="s">
        <v>0</v>
      </c>
      <c r="K3173" s="9">
        <v>44862</v>
      </c>
      <c r="L3173" t="s">
        <v>29</v>
      </c>
      <c r="M3173"/>
      <c r="N3173" s="9">
        <v>44778</v>
      </c>
      <c r="O3173"/>
      <c r="P3173"/>
      <c r="Q3173" s="9">
        <v>44862</v>
      </c>
      <c r="R3173"/>
      <c r="S3173"/>
      <c r="T3173"/>
      <c r="U3173"/>
    </row>
    <row r="3174" spans="1:21" hidden="1">
      <c r="A3174" s="7" t="s">
        <v>8758</v>
      </c>
      <c r="B3174" s="7" t="s">
        <v>5405</v>
      </c>
      <c r="C3174" s="8" t="s">
        <v>5319</v>
      </c>
      <c r="D3174" t="s">
        <v>272</v>
      </c>
      <c r="E3174" t="s">
        <v>25</v>
      </c>
      <c r="F3174" t="s">
        <v>493</v>
      </c>
      <c r="G3174" t="s">
        <v>2822</v>
      </c>
      <c r="H3174" s="9">
        <v>44733</v>
      </c>
      <c r="I3174" t="s">
        <v>8634</v>
      </c>
      <c r="J3174" t="s">
        <v>0</v>
      </c>
      <c r="K3174" s="9">
        <v>44862</v>
      </c>
      <c r="L3174" t="s">
        <v>29</v>
      </c>
      <c r="M3174"/>
      <c r="N3174" s="9">
        <v>44778</v>
      </c>
      <c r="O3174"/>
      <c r="P3174"/>
      <c r="Q3174" s="9">
        <v>44862</v>
      </c>
      <c r="R3174"/>
      <c r="S3174"/>
      <c r="T3174"/>
      <c r="U3174"/>
    </row>
    <row r="3175" spans="1:21" hidden="1">
      <c r="A3175" s="7" t="s">
        <v>8758</v>
      </c>
      <c r="B3175" s="7" t="s">
        <v>5405</v>
      </c>
      <c r="C3175" s="8" t="s">
        <v>5319</v>
      </c>
      <c r="D3175" t="s">
        <v>272</v>
      </c>
      <c r="E3175" t="s">
        <v>25</v>
      </c>
      <c r="F3175" t="s">
        <v>493</v>
      </c>
      <c r="G3175" t="s">
        <v>2823</v>
      </c>
      <c r="H3175" s="9">
        <v>44733</v>
      </c>
      <c r="I3175" t="s">
        <v>8634</v>
      </c>
      <c r="J3175" t="s">
        <v>0</v>
      </c>
      <c r="K3175" s="9">
        <v>44862</v>
      </c>
      <c r="L3175" t="s">
        <v>29</v>
      </c>
      <c r="M3175"/>
      <c r="N3175" s="9">
        <v>44778</v>
      </c>
      <c r="O3175"/>
      <c r="P3175"/>
      <c r="Q3175" s="9">
        <v>44862</v>
      </c>
      <c r="R3175"/>
      <c r="S3175"/>
      <c r="T3175"/>
      <c r="U3175"/>
    </row>
    <row r="3176" spans="1:21" hidden="1">
      <c r="A3176" s="7" t="s">
        <v>8712</v>
      </c>
      <c r="B3176" s="7" t="s">
        <v>5405</v>
      </c>
      <c r="C3176" s="8" t="s">
        <v>5319</v>
      </c>
      <c r="D3176" t="s">
        <v>272</v>
      </c>
      <c r="E3176" t="s">
        <v>25</v>
      </c>
      <c r="F3176" t="s">
        <v>26</v>
      </c>
      <c r="G3176" t="s">
        <v>2824</v>
      </c>
      <c r="H3176" s="9">
        <v>44733</v>
      </c>
      <c r="I3176" t="s">
        <v>8634</v>
      </c>
      <c r="J3176" t="s">
        <v>0</v>
      </c>
      <c r="K3176" s="9">
        <v>44882</v>
      </c>
      <c r="L3176" t="s">
        <v>29</v>
      </c>
      <c r="M3176"/>
      <c r="N3176" s="9">
        <v>44778</v>
      </c>
      <c r="O3176"/>
      <c r="P3176"/>
      <c r="Q3176" s="9">
        <v>44882</v>
      </c>
      <c r="R3176"/>
      <c r="S3176"/>
      <c r="T3176"/>
      <c r="U3176"/>
    </row>
    <row r="3177" spans="1:21" hidden="1">
      <c r="A3177" s="7" t="s">
        <v>8712</v>
      </c>
      <c r="B3177" s="7" t="s">
        <v>5405</v>
      </c>
      <c r="C3177" s="8" t="s">
        <v>5319</v>
      </c>
      <c r="D3177" t="s">
        <v>272</v>
      </c>
      <c r="E3177" t="s">
        <v>25</v>
      </c>
      <c r="F3177" t="s">
        <v>26</v>
      </c>
      <c r="G3177" t="s">
        <v>2825</v>
      </c>
      <c r="H3177" s="9">
        <v>44733</v>
      </c>
      <c r="I3177" t="s">
        <v>8634</v>
      </c>
      <c r="J3177" t="s">
        <v>0</v>
      </c>
      <c r="K3177" s="9">
        <v>44882</v>
      </c>
      <c r="L3177" t="s">
        <v>29</v>
      </c>
      <c r="M3177"/>
      <c r="N3177" s="9">
        <v>44778</v>
      </c>
      <c r="O3177"/>
      <c r="P3177"/>
      <c r="Q3177" s="9">
        <v>44882</v>
      </c>
      <c r="R3177"/>
      <c r="S3177"/>
      <c r="T3177"/>
      <c r="U3177"/>
    </row>
    <row r="3178" spans="1:21" hidden="1">
      <c r="A3178" s="7" t="s">
        <v>8712</v>
      </c>
      <c r="B3178" s="7" t="s">
        <v>5405</v>
      </c>
      <c r="C3178" s="8" t="s">
        <v>5319</v>
      </c>
      <c r="D3178" t="s">
        <v>272</v>
      </c>
      <c r="E3178" t="s">
        <v>25</v>
      </c>
      <c r="F3178" t="s">
        <v>26</v>
      </c>
      <c r="G3178" t="s">
        <v>2826</v>
      </c>
      <c r="H3178" s="9">
        <v>44733</v>
      </c>
      <c r="I3178" t="s">
        <v>8634</v>
      </c>
      <c r="J3178" t="s">
        <v>0</v>
      </c>
      <c r="K3178" s="9">
        <v>44882</v>
      </c>
      <c r="L3178" t="s">
        <v>29</v>
      </c>
      <c r="M3178"/>
      <c r="N3178" s="9">
        <v>44778</v>
      </c>
      <c r="O3178"/>
      <c r="P3178"/>
      <c r="Q3178" s="9">
        <v>44882</v>
      </c>
      <c r="R3178"/>
      <c r="S3178"/>
      <c r="T3178"/>
      <c r="U3178"/>
    </row>
    <row r="3179" spans="1:21" hidden="1">
      <c r="A3179" s="7" t="s">
        <v>8728</v>
      </c>
      <c r="B3179" s="7" t="s">
        <v>5405</v>
      </c>
      <c r="C3179" s="8" t="s">
        <v>5319</v>
      </c>
      <c r="D3179" t="s">
        <v>272</v>
      </c>
      <c r="E3179" t="s">
        <v>25</v>
      </c>
      <c r="F3179" t="s">
        <v>200</v>
      </c>
      <c r="G3179" t="s">
        <v>2827</v>
      </c>
      <c r="H3179" s="9">
        <v>44733</v>
      </c>
      <c r="I3179" t="s">
        <v>8634</v>
      </c>
      <c r="J3179" t="s">
        <v>0</v>
      </c>
      <c r="K3179" s="9">
        <v>44862</v>
      </c>
      <c r="L3179" t="s">
        <v>29</v>
      </c>
      <c r="M3179"/>
      <c r="N3179" s="9">
        <v>44778</v>
      </c>
      <c r="O3179"/>
      <c r="P3179"/>
      <c r="Q3179" s="9">
        <v>44862</v>
      </c>
      <c r="R3179"/>
      <c r="S3179"/>
      <c r="T3179"/>
      <c r="U3179"/>
    </row>
    <row r="3180" spans="1:21" hidden="1">
      <c r="A3180" s="7" t="s">
        <v>8758</v>
      </c>
      <c r="B3180" s="7" t="s">
        <v>5405</v>
      </c>
      <c r="C3180" s="8" t="s">
        <v>5319</v>
      </c>
      <c r="D3180" t="s">
        <v>272</v>
      </c>
      <c r="E3180" t="s">
        <v>25</v>
      </c>
      <c r="F3180" t="s">
        <v>493</v>
      </c>
      <c r="G3180" t="s">
        <v>2828</v>
      </c>
      <c r="H3180" s="9">
        <v>44733</v>
      </c>
      <c r="I3180" t="s">
        <v>8634</v>
      </c>
      <c r="J3180" t="s">
        <v>0</v>
      </c>
      <c r="K3180" s="9">
        <v>44862</v>
      </c>
      <c r="L3180" t="s">
        <v>29</v>
      </c>
      <c r="M3180"/>
      <c r="N3180" s="9">
        <v>44778</v>
      </c>
      <c r="O3180"/>
      <c r="P3180"/>
      <c r="Q3180" s="9">
        <v>44862</v>
      </c>
      <c r="R3180"/>
      <c r="S3180"/>
      <c r="T3180"/>
      <c r="U3180"/>
    </row>
    <row r="3181" spans="1:21" hidden="1">
      <c r="A3181" s="7" t="s">
        <v>8712</v>
      </c>
      <c r="B3181" s="7" t="s">
        <v>5405</v>
      </c>
      <c r="C3181" s="8" t="s">
        <v>5319</v>
      </c>
      <c r="D3181" t="s">
        <v>272</v>
      </c>
      <c r="E3181" t="s">
        <v>25</v>
      </c>
      <c r="F3181" t="s">
        <v>26</v>
      </c>
      <c r="G3181" t="s">
        <v>2829</v>
      </c>
      <c r="H3181" s="9">
        <v>44733</v>
      </c>
      <c r="I3181" t="s">
        <v>8634</v>
      </c>
      <c r="J3181" t="s">
        <v>0</v>
      </c>
      <c r="K3181" s="9">
        <v>44882</v>
      </c>
      <c r="L3181" t="s">
        <v>29</v>
      </c>
      <c r="M3181"/>
      <c r="N3181" s="9">
        <v>44778</v>
      </c>
      <c r="O3181"/>
      <c r="P3181"/>
      <c r="Q3181" s="9">
        <v>44882</v>
      </c>
      <c r="R3181"/>
      <c r="S3181"/>
      <c r="T3181"/>
      <c r="U3181"/>
    </row>
    <row r="3182" spans="1:21" hidden="1">
      <c r="A3182" s="7" t="s">
        <v>8758</v>
      </c>
      <c r="B3182" s="7" t="s">
        <v>5405</v>
      </c>
      <c r="C3182" s="8" t="s">
        <v>5319</v>
      </c>
      <c r="D3182" t="s">
        <v>272</v>
      </c>
      <c r="E3182" t="s">
        <v>25</v>
      </c>
      <c r="F3182" t="s">
        <v>493</v>
      </c>
      <c r="G3182" t="s">
        <v>2830</v>
      </c>
      <c r="H3182" s="9">
        <v>44733</v>
      </c>
      <c r="I3182" t="s">
        <v>8634</v>
      </c>
      <c r="J3182" t="s">
        <v>0</v>
      </c>
      <c r="K3182" s="9">
        <v>44862</v>
      </c>
      <c r="L3182" t="s">
        <v>29</v>
      </c>
      <c r="M3182"/>
      <c r="N3182" s="9">
        <v>44778</v>
      </c>
      <c r="O3182"/>
      <c r="P3182"/>
      <c r="Q3182" s="9">
        <v>44862</v>
      </c>
      <c r="R3182"/>
      <c r="S3182"/>
      <c r="T3182"/>
      <c r="U3182"/>
    </row>
    <row r="3183" spans="1:21" hidden="1">
      <c r="A3183" s="7" t="s">
        <v>8758</v>
      </c>
      <c r="B3183" s="7" t="s">
        <v>5405</v>
      </c>
      <c r="C3183" s="8" t="s">
        <v>5319</v>
      </c>
      <c r="D3183" t="s">
        <v>272</v>
      </c>
      <c r="E3183" t="s">
        <v>25</v>
      </c>
      <c r="F3183" t="s">
        <v>493</v>
      </c>
      <c r="G3183" t="s">
        <v>2831</v>
      </c>
      <c r="H3183" s="9">
        <v>44733</v>
      </c>
      <c r="I3183" t="s">
        <v>8634</v>
      </c>
      <c r="J3183" t="s">
        <v>0</v>
      </c>
      <c r="K3183" s="9">
        <v>44862</v>
      </c>
      <c r="L3183" t="s">
        <v>29</v>
      </c>
      <c r="M3183"/>
      <c r="N3183" s="9">
        <v>44778</v>
      </c>
      <c r="O3183"/>
      <c r="P3183"/>
      <c r="Q3183" s="9">
        <v>44862</v>
      </c>
      <c r="R3183"/>
      <c r="S3183"/>
      <c r="T3183"/>
      <c r="U3183"/>
    </row>
    <row r="3184" spans="1:21" hidden="1">
      <c r="A3184" s="7" t="s">
        <v>8758</v>
      </c>
      <c r="B3184" s="7" t="s">
        <v>5405</v>
      </c>
      <c r="C3184" s="8" t="s">
        <v>5319</v>
      </c>
      <c r="D3184" t="s">
        <v>272</v>
      </c>
      <c r="E3184" t="s">
        <v>25</v>
      </c>
      <c r="F3184" t="s">
        <v>493</v>
      </c>
      <c r="G3184" t="s">
        <v>2832</v>
      </c>
      <c r="H3184" s="9">
        <v>44733</v>
      </c>
      <c r="I3184" t="s">
        <v>8634</v>
      </c>
      <c r="J3184" t="s">
        <v>0</v>
      </c>
      <c r="K3184" s="9">
        <v>44862</v>
      </c>
      <c r="L3184" t="s">
        <v>29</v>
      </c>
      <c r="M3184"/>
      <c r="N3184" s="9">
        <v>44778</v>
      </c>
      <c r="O3184"/>
      <c r="P3184"/>
      <c r="Q3184" s="9">
        <v>44862</v>
      </c>
      <c r="R3184"/>
      <c r="S3184"/>
      <c r="T3184"/>
      <c r="U3184"/>
    </row>
    <row r="3185" spans="1:21" hidden="1">
      <c r="A3185" s="7" t="s">
        <v>8758</v>
      </c>
      <c r="B3185" s="7" t="s">
        <v>5405</v>
      </c>
      <c r="C3185" s="8" t="s">
        <v>5319</v>
      </c>
      <c r="D3185" t="s">
        <v>272</v>
      </c>
      <c r="E3185" t="s">
        <v>25</v>
      </c>
      <c r="F3185" t="s">
        <v>493</v>
      </c>
      <c r="G3185" t="s">
        <v>2833</v>
      </c>
      <c r="H3185" s="9">
        <v>44733</v>
      </c>
      <c r="I3185" t="s">
        <v>8634</v>
      </c>
      <c r="J3185" t="s">
        <v>0</v>
      </c>
      <c r="K3185" s="9">
        <v>44862</v>
      </c>
      <c r="L3185" t="s">
        <v>29</v>
      </c>
      <c r="M3185"/>
      <c r="N3185" s="9">
        <v>44778</v>
      </c>
      <c r="O3185"/>
      <c r="P3185"/>
      <c r="Q3185" s="9">
        <v>44862</v>
      </c>
      <c r="R3185"/>
      <c r="S3185"/>
      <c r="T3185"/>
      <c r="U3185"/>
    </row>
    <row r="3186" spans="1:21" hidden="1">
      <c r="A3186" s="7" t="s">
        <v>8758</v>
      </c>
      <c r="B3186" s="7" t="s">
        <v>5405</v>
      </c>
      <c r="C3186" s="8" t="s">
        <v>5319</v>
      </c>
      <c r="D3186" t="s">
        <v>272</v>
      </c>
      <c r="E3186" t="s">
        <v>25</v>
      </c>
      <c r="F3186" t="s">
        <v>493</v>
      </c>
      <c r="G3186" t="s">
        <v>2834</v>
      </c>
      <c r="H3186" s="9">
        <v>44733</v>
      </c>
      <c r="I3186" t="s">
        <v>8634</v>
      </c>
      <c r="J3186" t="s">
        <v>0</v>
      </c>
      <c r="K3186" s="9">
        <v>44862</v>
      </c>
      <c r="L3186" t="s">
        <v>29</v>
      </c>
      <c r="M3186"/>
      <c r="N3186" s="9">
        <v>44778</v>
      </c>
      <c r="O3186"/>
      <c r="P3186"/>
      <c r="Q3186" s="9">
        <v>44862</v>
      </c>
      <c r="R3186"/>
      <c r="S3186"/>
      <c r="T3186"/>
      <c r="U3186"/>
    </row>
    <row r="3187" spans="1:21" hidden="1">
      <c r="A3187" s="7" t="s">
        <v>8758</v>
      </c>
      <c r="B3187" s="7" t="s">
        <v>5405</v>
      </c>
      <c r="C3187" s="8" t="s">
        <v>5319</v>
      </c>
      <c r="D3187" t="s">
        <v>272</v>
      </c>
      <c r="E3187" t="s">
        <v>25</v>
      </c>
      <c r="F3187" t="s">
        <v>493</v>
      </c>
      <c r="G3187" t="s">
        <v>2835</v>
      </c>
      <c r="H3187" s="9">
        <v>44733</v>
      </c>
      <c r="I3187" t="s">
        <v>8634</v>
      </c>
      <c r="J3187" t="s">
        <v>0</v>
      </c>
      <c r="K3187" s="9">
        <v>44862</v>
      </c>
      <c r="L3187" t="s">
        <v>29</v>
      </c>
      <c r="M3187"/>
      <c r="N3187" s="9">
        <v>44778</v>
      </c>
      <c r="O3187"/>
      <c r="P3187"/>
      <c r="Q3187" s="9">
        <v>44862</v>
      </c>
      <c r="R3187"/>
      <c r="S3187"/>
      <c r="T3187"/>
      <c r="U3187"/>
    </row>
    <row r="3188" spans="1:21" hidden="1">
      <c r="A3188" s="7" t="s">
        <v>8712</v>
      </c>
      <c r="B3188" s="7" t="s">
        <v>5405</v>
      </c>
      <c r="C3188" s="8" t="s">
        <v>5319</v>
      </c>
      <c r="D3188" t="s">
        <v>272</v>
      </c>
      <c r="E3188" t="s">
        <v>25</v>
      </c>
      <c r="F3188" t="s">
        <v>26</v>
      </c>
      <c r="G3188" t="s">
        <v>2836</v>
      </c>
      <c r="H3188" s="9">
        <v>44733</v>
      </c>
      <c r="I3188" t="s">
        <v>8634</v>
      </c>
      <c r="J3188" t="s">
        <v>0</v>
      </c>
      <c r="K3188" s="9">
        <v>44882</v>
      </c>
      <c r="L3188" t="s">
        <v>29</v>
      </c>
      <c r="M3188"/>
      <c r="N3188" s="9">
        <v>44778</v>
      </c>
      <c r="O3188"/>
      <c r="P3188"/>
      <c r="Q3188" s="9">
        <v>44882</v>
      </c>
      <c r="R3188"/>
      <c r="S3188"/>
      <c r="T3188"/>
      <c r="U3188"/>
    </row>
    <row r="3189" spans="1:21" hidden="1">
      <c r="A3189" s="7" t="s">
        <v>8758</v>
      </c>
      <c r="B3189" s="7" t="s">
        <v>5405</v>
      </c>
      <c r="C3189" s="8" t="s">
        <v>5319</v>
      </c>
      <c r="D3189" t="s">
        <v>272</v>
      </c>
      <c r="E3189" t="s">
        <v>25</v>
      </c>
      <c r="F3189" t="s">
        <v>493</v>
      </c>
      <c r="G3189" t="s">
        <v>196</v>
      </c>
      <c r="H3189" s="9">
        <v>44733</v>
      </c>
      <c r="I3189" t="s">
        <v>8634</v>
      </c>
      <c r="J3189" t="s">
        <v>0</v>
      </c>
      <c r="K3189" s="9">
        <v>44862</v>
      </c>
      <c r="L3189" t="s">
        <v>29</v>
      </c>
      <c r="M3189"/>
      <c r="N3189" s="9">
        <v>44778</v>
      </c>
      <c r="O3189"/>
      <c r="P3189"/>
      <c r="Q3189" s="9">
        <v>44862</v>
      </c>
      <c r="R3189"/>
      <c r="S3189"/>
      <c r="T3189"/>
      <c r="U3189"/>
    </row>
    <row r="3190" spans="1:21" hidden="1">
      <c r="A3190" s="7" t="s">
        <v>8758</v>
      </c>
      <c r="B3190" s="7" t="s">
        <v>5405</v>
      </c>
      <c r="C3190" s="8" t="s">
        <v>5319</v>
      </c>
      <c r="D3190" t="s">
        <v>272</v>
      </c>
      <c r="E3190" t="s">
        <v>25</v>
      </c>
      <c r="F3190" t="s">
        <v>493</v>
      </c>
      <c r="G3190" t="s">
        <v>263</v>
      </c>
      <c r="H3190" s="9">
        <v>44733</v>
      </c>
      <c r="I3190" t="s">
        <v>8634</v>
      </c>
      <c r="J3190" t="s">
        <v>0</v>
      </c>
      <c r="K3190" s="9">
        <v>44862</v>
      </c>
      <c r="L3190" t="s">
        <v>29</v>
      </c>
      <c r="M3190"/>
      <c r="N3190" s="9">
        <v>44778</v>
      </c>
      <c r="O3190"/>
      <c r="P3190"/>
      <c r="Q3190" s="9">
        <v>44862</v>
      </c>
      <c r="R3190"/>
      <c r="S3190"/>
      <c r="T3190"/>
      <c r="U3190"/>
    </row>
    <row r="3191" spans="1:21" hidden="1">
      <c r="A3191" s="7" t="s">
        <v>8712</v>
      </c>
      <c r="B3191" s="7" t="s">
        <v>5405</v>
      </c>
      <c r="C3191" s="8" t="s">
        <v>5319</v>
      </c>
      <c r="D3191" t="s">
        <v>272</v>
      </c>
      <c r="E3191" t="s">
        <v>25</v>
      </c>
      <c r="F3191" t="s">
        <v>26</v>
      </c>
      <c r="G3191" t="s">
        <v>2837</v>
      </c>
      <c r="H3191" s="9">
        <v>44733</v>
      </c>
      <c r="I3191" t="s">
        <v>8634</v>
      </c>
      <c r="J3191" t="s">
        <v>0</v>
      </c>
      <c r="K3191" s="9">
        <v>44882</v>
      </c>
      <c r="L3191" t="s">
        <v>29</v>
      </c>
      <c r="M3191"/>
      <c r="N3191" s="9">
        <v>44778</v>
      </c>
      <c r="O3191"/>
      <c r="P3191"/>
      <c r="Q3191" s="9">
        <v>44882</v>
      </c>
      <c r="R3191"/>
      <c r="S3191"/>
      <c r="T3191"/>
      <c r="U3191"/>
    </row>
    <row r="3192" spans="1:21" hidden="1">
      <c r="A3192" s="7" t="s">
        <v>8758</v>
      </c>
      <c r="B3192" s="7" t="s">
        <v>5405</v>
      </c>
      <c r="C3192" s="8" t="s">
        <v>5319</v>
      </c>
      <c r="D3192" t="s">
        <v>272</v>
      </c>
      <c r="E3192" t="s">
        <v>25</v>
      </c>
      <c r="F3192" t="s">
        <v>493</v>
      </c>
      <c r="G3192" t="s">
        <v>2838</v>
      </c>
      <c r="H3192" s="9">
        <v>44733</v>
      </c>
      <c r="I3192" t="s">
        <v>8634</v>
      </c>
      <c r="J3192" t="s">
        <v>0</v>
      </c>
      <c r="K3192" s="9">
        <v>44862</v>
      </c>
      <c r="L3192" t="s">
        <v>29</v>
      </c>
      <c r="M3192"/>
      <c r="N3192" s="9">
        <v>44778</v>
      </c>
      <c r="O3192"/>
      <c r="P3192"/>
      <c r="Q3192" s="9">
        <v>44862</v>
      </c>
      <c r="R3192"/>
      <c r="S3192"/>
      <c r="T3192"/>
      <c r="U3192"/>
    </row>
    <row r="3193" spans="1:21" hidden="1">
      <c r="A3193" s="7" t="s">
        <v>8758</v>
      </c>
      <c r="B3193" s="7" t="s">
        <v>5405</v>
      </c>
      <c r="C3193" s="8" t="s">
        <v>5319</v>
      </c>
      <c r="D3193" t="s">
        <v>272</v>
      </c>
      <c r="E3193" t="s">
        <v>25</v>
      </c>
      <c r="F3193" t="s">
        <v>493</v>
      </c>
      <c r="G3193" t="s">
        <v>1543</v>
      </c>
      <c r="H3193" s="9">
        <v>44733</v>
      </c>
      <c r="I3193" t="s">
        <v>8634</v>
      </c>
      <c r="J3193" t="s">
        <v>0</v>
      </c>
      <c r="K3193" s="9">
        <v>44862</v>
      </c>
      <c r="L3193" t="s">
        <v>29</v>
      </c>
      <c r="M3193"/>
      <c r="N3193" s="9">
        <v>44778</v>
      </c>
      <c r="O3193"/>
      <c r="P3193"/>
      <c r="Q3193" s="9">
        <v>44862</v>
      </c>
      <c r="R3193"/>
      <c r="S3193"/>
      <c r="T3193"/>
      <c r="U3193"/>
    </row>
    <row r="3194" spans="1:21" hidden="1">
      <c r="A3194" s="7" t="s">
        <v>8758</v>
      </c>
      <c r="B3194" s="7" t="s">
        <v>5405</v>
      </c>
      <c r="C3194" s="8" t="s">
        <v>5319</v>
      </c>
      <c r="D3194" t="s">
        <v>272</v>
      </c>
      <c r="E3194" t="s">
        <v>25</v>
      </c>
      <c r="F3194" t="s">
        <v>493</v>
      </c>
      <c r="G3194" t="s">
        <v>2839</v>
      </c>
      <c r="H3194" s="9">
        <v>44733</v>
      </c>
      <c r="I3194" t="s">
        <v>8634</v>
      </c>
      <c r="J3194" t="s">
        <v>0</v>
      </c>
      <c r="K3194" s="9">
        <v>44862</v>
      </c>
      <c r="L3194" t="s">
        <v>29</v>
      </c>
      <c r="M3194"/>
      <c r="N3194" s="9">
        <v>44778</v>
      </c>
      <c r="O3194"/>
      <c r="P3194"/>
      <c r="Q3194" s="9">
        <v>44862</v>
      </c>
      <c r="R3194"/>
      <c r="S3194"/>
      <c r="T3194"/>
      <c r="U3194"/>
    </row>
    <row r="3195" spans="1:21" hidden="1">
      <c r="A3195" s="7" t="s">
        <v>8712</v>
      </c>
      <c r="B3195" s="7" t="s">
        <v>5405</v>
      </c>
      <c r="C3195" s="8" t="s">
        <v>5319</v>
      </c>
      <c r="D3195" t="s">
        <v>272</v>
      </c>
      <c r="E3195" t="s">
        <v>25</v>
      </c>
      <c r="F3195" t="s">
        <v>26</v>
      </c>
      <c r="G3195" t="s">
        <v>2840</v>
      </c>
      <c r="H3195" s="9">
        <v>44733</v>
      </c>
      <c r="I3195" t="s">
        <v>8634</v>
      </c>
      <c r="J3195" t="s">
        <v>0</v>
      </c>
      <c r="K3195" s="9">
        <v>44882</v>
      </c>
      <c r="L3195" t="s">
        <v>29</v>
      </c>
      <c r="M3195"/>
      <c r="N3195" s="9">
        <v>44778</v>
      </c>
      <c r="O3195"/>
      <c r="P3195"/>
      <c r="Q3195" s="9">
        <v>44882</v>
      </c>
      <c r="R3195"/>
      <c r="S3195"/>
      <c r="T3195"/>
      <c r="U3195"/>
    </row>
    <row r="3196" spans="1:21" hidden="1">
      <c r="A3196" s="7" t="s">
        <v>8712</v>
      </c>
      <c r="B3196" s="7" t="s">
        <v>5405</v>
      </c>
      <c r="C3196" s="8" t="s">
        <v>5319</v>
      </c>
      <c r="D3196" t="s">
        <v>272</v>
      </c>
      <c r="E3196" t="s">
        <v>25</v>
      </c>
      <c r="F3196" t="s">
        <v>26</v>
      </c>
      <c r="G3196" t="s">
        <v>2841</v>
      </c>
      <c r="H3196" s="9">
        <v>44733</v>
      </c>
      <c r="I3196" t="s">
        <v>8634</v>
      </c>
      <c r="J3196" t="s">
        <v>0</v>
      </c>
      <c r="K3196" s="9">
        <v>44882</v>
      </c>
      <c r="L3196" t="s">
        <v>29</v>
      </c>
      <c r="M3196"/>
      <c r="N3196" s="9">
        <v>44778</v>
      </c>
      <c r="O3196"/>
      <c r="P3196"/>
      <c r="Q3196" s="9">
        <v>44882</v>
      </c>
      <c r="R3196"/>
      <c r="S3196"/>
      <c r="T3196"/>
      <c r="U3196"/>
    </row>
    <row r="3197" spans="1:21" hidden="1">
      <c r="A3197" s="7" t="s">
        <v>8758</v>
      </c>
      <c r="B3197" s="7" t="s">
        <v>5405</v>
      </c>
      <c r="C3197" s="8" t="s">
        <v>5319</v>
      </c>
      <c r="D3197" t="s">
        <v>272</v>
      </c>
      <c r="E3197" t="s">
        <v>25</v>
      </c>
      <c r="F3197" t="s">
        <v>493</v>
      </c>
      <c r="G3197" t="s">
        <v>1548</v>
      </c>
      <c r="H3197" s="9">
        <v>44733</v>
      </c>
      <c r="I3197" t="s">
        <v>8634</v>
      </c>
      <c r="J3197" t="s">
        <v>0</v>
      </c>
      <c r="K3197" s="9">
        <v>44862</v>
      </c>
      <c r="L3197" t="s">
        <v>29</v>
      </c>
      <c r="M3197"/>
      <c r="N3197" s="9">
        <v>44778</v>
      </c>
      <c r="O3197"/>
      <c r="P3197"/>
      <c r="Q3197" s="9">
        <v>44862</v>
      </c>
      <c r="R3197"/>
      <c r="S3197"/>
      <c r="T3197"/>
      <c r="U3197"/>
    </row>
    <row r="3198" spans="1:21" hidden="1">
      <c r="A3198" s="7" t="s">
        <v>8712</v>
      </c>
      <c r="B3198" s="7" t="s">
        <v>5405</v>
      </c>
      <c r="C3198" s="8" t="s">
        <v>5319</v>
      </c>
      <c r="D3198" t="s">
        <v>272</v>
      </c>
      <c r="E3198" t="s">
        <v>25</v>
      </c>
      <c r="F3198" t="s">
        <v>26</v>
      </c>
      <c r="G3198" t="s">
        <v>2842</v>
      </c>
      <c r="H3198" s="9">
        <v>44733</v>
      </c>
      <c r="I3198" t="s">
        <v>8634</v>
      </c>
      <c r="J3198" t="s">
        <v>0</v>
      </c>
      <c r="K3198" s="9">
        <v>44882</v>
      </c>
      <c r="L3198" t="s">
        <v>29</v>
      </c>
      <c r="M3198"/>
      <c r="N3198" s="9">
        <v>44778</v>
      </c>
      <c r="O3198"/>
      <c r="P3198"/>
      <c r="Q3198" s="9">
        <v>44882</v>
      </c>
      <c r="R3198"/>
      <c r="S3198"/>
      <c r="T3198"/>
      <c r="U3198"/>
    </row>
    <row r="3199" spans="1:21" hidden="1">
      <c r="A3199" s="7" t="s">
        <v>8712</v>
      </c>
      <c r="B3199" s="7" t="s">
        <v>5405</v>
      </c>
      <c r="C3199" s="8" t="s">
        <v>5319</v>
      </c>
      <c r="D3199" t="s">
        <v>272</v>
      </c>
      <c r="E3199" t="s">
        <v>25</v>
      </c>
      <c r="F3199" t="s">
        <v>26</v>
      </c>
      <c r="G3199" t="s">
        <v>198</v>
      </c>
      <c r="H3199" s="9">
        <v>44733</v>
      </c>
      <c r="I3199" t="s">
        <v>8634</v>
      </c>
      <c r="J3199" t="s">
        <v>0</v>
      </c>
      <c r="K3199" s="9">
        <v>44882</v>
      </c>
      <c r="L3199" t="s">
        <v>29</v>
      </c>
      <c r="M3199"/>
      <c r="N3199" s="9">
        <v>44778</v>
      </c>
      <c r="O3199"/>
      <c r="P3199"/>
      <c r="Q3199" s="9">
        <v>44882</v>
      </c>
      <c r="R3199"/>
      <c r="S3199"/>
      <c r="T3199"/>
      <c r="U3199"/>
    </row>
    <row r="3200" spans="1:21" hidden="1">
      <c r="A3200" s="7" t="s">
        <v>8712</v>
      </c>
      <c r="B3200" s="7" t="s">
        <v>5405</v>
      </c>
      <c r="C3200" s="8" t="s">
        <v>5319</v>
      </c>
      <c r="D3200" t="s">
        <v>272</v>
      </c>
      <c r="E3200" t="s">
        <v>25</v>
      </c>
      <c r="F3200" t="s">
        <v>26</v>
      </c>
      <c r="G3200" t="s">
        <v>199</v>
      </c>
      <c r="H3200" s="9">
        <v>44733</v>
      </c>
      <c r="I3200" t="s">
        <v>8634</v>
      </c>
      <c r="J3200" t="s">
        <v>0</v>
      </c>
      <c r="K3200" s="9">
        <v>44882</v>
      </c>
      <c r="L3200" t="s">
        <v>29</v>
      </c>
      <c r="M3200"/>
      <c r="N3200" s="9">
        <v>44778</v>
      </c>
      <c r="O3200"/>
      <c r="P3200"/>
      <c r="Q3200" s="9">
        <v>44882</v>
      </c>
      <c r="R3200"/>
      <c r="S3200"/>
      <c r="T3200"/>
      <c r="U3200"/>
    </row>
    <row r="3201" spans="1:21" hidden="1">
      <c r="A3201" s="7" t="s">
        <v>8758</v>
      </c>
      <c r="B3201" s="7" t="s">
        <v>5405</v>
      </c>
      <c r="C3201" s="8" t="s">
        <v>5319</v>
      </c>
      <c r="D3201" t="s">
        <v>272</v>
      </c>
      <c r="E3201" t="s">
        <v>25</v>
      </c>
      <c r="F3201" t="s">
        <v>493</v>
      </c>
      <c r="G3201" t="s">
        <v>203</v>
      </c>
      <c r="H3201" s="9">
        <v>44733</v>
      </c>
      <c r="I3201" t="s">
        <v>8634</v>
      </c>
      <c r="J3201" t="s">
        <v>0</v>
      </c>
      <c r="K3201" s="9">
        <v>44862</v>
      </c>
      <c r="L3201" t="s">
        <v>29</v>
      </c>
      <c r="M3201"/>
      <c r="N3201" s="9">
        <v>44778</v>
      </c>
      <c r="O3201"/>
      <c r="P3201"/>
      <c r="Q3201" s="9">
        <v>44862</v>
      </c>
      <c r="R3201"/>
      <c r="S3201"/>
      <c r="T3201"/>
      <c r="U3201"/>
    </row>
    <row r="3202" spans="1:21" hidden="1">
      <c r="A3202" s="7" t="s">
        <v>8758</v>
      </c>
      <c r="B3202" s="7" t="s">
        <v>5405</v>
      </c>
      <c r="C3202" s="8" t="s">
        <v>5319</v>
      </c>
      <c r="D3202" t="s">
        <v>272</v>
      </c>
      <c r="E3202" t="s">
        <v>25</v>
      </c>
      <c r="F3202" t="s">
        <v>493</v>
      </c>
      <c r="G3202" t="s">
        <v>568</v>
      </c>
      <c r="H3202" s="9">
        <v>44733</v>
      </c>
      <c r="I3202" t="s">
        <v>8634</v>
      </c>
      <c r="J3202" t="s">
        <v>0</v>
      </c>
      <c r="K3202" s="9">
        <v>44862</v>
      </c>
      <c r="L3202" t="s">
        <v>29</v>
      </c>
      <c r="M3202"/>
      <c r="N3202" s="9">
        <v>44778</v>
      </c>
      <c r="O3202"/>
      <c r="P3202"/>
      <c r="Q3202" s="9">
        <v>44862</v>
      </c>
      <c r="R3202"/>
      <c r="S3202"/>
      <c r="T3202"/>
      <c r="U3202"/>
    </row>
    <row r="3203" spans="1:21" hidden="1">
      <c r="A3203" s="7" t="s">
        <v>8758</v>
      </c>
      <c r="B3203" s="7" t="s">
        <v>5405</v>
      </c>
      <c r="C3203" s="8" t="s">
        <v>5319</v>
      </c>
      <c r="D3203" t="s">
        <v>272</v>
      </c>
      <c r="E3203" t="s">
        <v>25</v>
      </c>
      <c r="F3203" t="s">
        <v>493</v>
      </c>
      <c r="G3203" t="s">
        <v>1555</v>
      </c>
      <c r="H3203" s="9">
        <v>44733</v>
      </c>
      <c r="I3203" t="s">
        <v>8634</v>
      </c>
      <c r="J3203" t="s">
        <v>0</v>
      </c>
      <c r="K3203" s="9">
        <v>44862</v>
      </c>
      <c r="L3203" t="s">
        <v>29</v>
      </c>
      <c r="M3203"/>
      <c r="N3203" s="9">
        <v>44778</v>
      </c>
      <c r="O3203"/>
      <c r="P3203"/>
      <c r="Q3203" s="9">
        <v>44862</v>
      </c>
      <c r="R3203"/>
      <c r="S3203"/>
      <c r="T3203"/>
      <c r="U3203"/>
    </row>
    <row r="3204" spans="1:21" hidden="1">
      <c r="A3204" s="7" t="s">
        <v>8728</v>
      </c>
      <c r="B3204" s="7" t="s">
        <v>5405</v>
      </c>
      <c r="C3204" s="8" t="s">
        <v>5319</v>
      </c>
      <c r="D3204" t="s">
        <v>272</v>
      </c>
      <c r="E3204" t="s">
        <v>25</v>
      </c>
      <c r="F3204" t="s">
        <v>200</v>
      </c>
      <c r="G3204" t="s">
        <v>2843</v>
      </c>
      <c r="H3204" s="9">
        <v>44733</v>
      </c>
      <c r="I3204" t="s">
        <v>8634</v>
      </c>
      <c r="J3204" t="s">
        <v>0</v>
      </c>
      <c r="K3204" s="9">
        <v>44862</v>
      </c>
      <c r="L3204" t="s">
        <v>29</v>
      </c>
      <c r="M3204"/>
      <c r="N3204" s="9">
        <v>44778</v>
      </c>
      <c r="O3204"/>
      <c r="P3204"/>
      <c r="Q3204" s="9">
        <v>44862</v>
      </c>
      <c r="R3204"/>
      <c r="S3204"/>
      <c r="T3204"/>
      <c r="U3204"/>
    </row>
    <row r="3205" spans="1:21" hidden="1">
      <c r="A3205" s="7" t="s">
        <v>8758</v>
      </c>
      <c r="B3205" s="7" t="s">
        <v>5405</v>
      </c>
      <c r="C3205" s="8" t="s">
        <v>5319</v>
      </c>
      <c r="D3205" t="s">
        <v>272</v>
      </c>
      <c r="E3205" t="s">
        <v>25</v>
      </c>
      <c r="F3205" t="s">
        <v>493</v>
      </c>
      <c r="G3205" t="s">
        <v>2844</v>
      </c>
      <c r="H3205" s="9">
        <v>44733</v>
      </c>
      <c r="I3205" t="s">
        <v>8634</v>
      </c>
      <c r="J3205" t="s">
        <v>5330</v>
      </c>
      <c r="K3205" s="9">
        <v>44834</v>
      </c>
      <c r="L3205" t="s">
        <v>29</v>
      </c>
      <c r="M3205"/>
      <c r="N3205" s="9">
        <v>44778</v>
      </c>
      <c r="O3205" s="9">
        <v>44834</v>
      </c>
      <c r="P3205"/>
      <c r="Q3205"/>
      <c r="R3205"/>
      <c r="S3205"/>
      <c r="T3205"/>
      <c r="U3205"/>
    </row>
    <row r="3206" spans="1:21" hidden="1">
      <c r="A3206" s="7" t="s">
        <v>8758</v>
      </c>
      <c r="B3206" s="7" t="s">
        <v>5405</v>
      </c>
      <c r="C3206" s="8" t="s">
        <v>5319</v>
      </c>
      <c r="D3206" t="s">
        <v>272</v>
      </c>
      <c r="E3206" t="s">
        <v>25</v>
      </c>
      <c r="F3206" t="s">
        <v>493</v>
      </c>
      <c r="G3206" t="s">
        <v>572</v>
      </c>
      <c r="H3206" s="9">
        <v>44733</v>
      </c>
      <c r="I3206" t="s">
        <v>8634</v>
      </c>
      <c r="J3206" t="s">
        <v>0</v>
      </c>
      <c r="K3206" s="9">
        <v>44862</v>
      </c>
      <c r="L3206" t="s">
        <v>29</v>
      </c>
      <c r="M3206"/>
      <c r="N3206" s="9">
        <v>44778</v>
      </c>
      <c r="O3206"/>
      <c r="P3206"/>
      <c r="Q3206" s="9">
        <v>44862</v>
      </c>
      <c r="R3206"/>
      <c r="S3206"/>
      <c r="T3206"/>
      <c r="U3206"/>
    </row>
    <row r="3207" spans="1:21" hidden="1">
      <c r="A3207" s="7" t="s">
        <v>8712</v>
      </c>
      <c r="B3207" s="7" t="s">
        <v>5405</v>
      </c>
      <c r="C3207" s="8" t="s">
        <v>5319</v>
      </c>
      <c r="D3207" t="s">
        <v>272</v>
      </c>
      <c r="E3207" t="s">
        <v>25</v>
      </c>
      <c r="F3207" t="s">
        <v>26</v>
      </c>
      <c r="G3207" t="s">
        <v>265</v>
      </c>
      <c r="H3207" s="9">
        <v>44733</v>
      </c>
      <c r="I3207" t="s">
        <v>8634</v>
      </c>
      <c r="J3207" t="s">
        <v>0</v>
      </c>
      <c r="K3207" s="9">
        <v>44882</v>
      </c>
      <c r="L3207" t="s">
        <v>29</v>
      </c>
      <c r="M3207"/>
      <c r="N3207" s="9">
        <v>44778</v>
      </c>
      <c r="O3207"/>
      <c r="P3207"/>
      <c r="Q3207" s="9">
        <v>44882</v>
      </c>
      <c r="R3207"/>
      <c r="S3207"/>
      <c r="T3207"/>
      <c r="U3207"/>
    </row>
    <row r="3208" spans="1:21" hidden="1">
      <c r="A3208" s="7" t="s">
        <v>8758</v>
      </c>
      <c r="B3208" s="7" t="s">
        <v>5405</v>
      </c>
      <c r="C3208" s="8" t="s">
        <v>5319</v>
      </c>
      <c r="D3208" t="s">
        <v>272</v>
      </c>
      <c r="E3208" t="s">
        <v>25</v>
      </c>
      <c r="F3208" t="s">
        <v>493</v>
      </c>
      <c r="G3208" t="s">
        <v>1558</v>
      </c>
      <c r="H3208" s="9">
        <v>44733</v>
      </c>
      <c r="I3208" t="s">
        <v>8634</v>
      </c>
      <c r="J3208" t="s">
        <v>0</v>
      </c>
      <c r="K3208" s="9">
        <v>44862</v>
      </c>
      <c r="L3208" t="s">
        <v>29</v>
      </c>
      <c r="M3208"/>
      <c r="N3208" s="9">
        <v>44778</v>
      </c>
      <c r="O3208"/>
      <c r="P3208"/>
      <c r="Q3208" s="9">
        <v>44862</v>
      </c>
      <c r="R3208"/>
      <c r="S3208"/>
      <c r="T3208"/>
      <c r="U3208"/>
    </row>
    <row r="3209" spans="1:21" hidden="1">
      <c r="A3209" s="7" t="s">
        <v>8758</v>
      </c>
      <c r="B3209" s="7" t="s">
        <v>5405</v>
      </c>
      <c r="C3209" s="8" t="s">
        <v>5319</v>
      </c>
      <c r="D3209" t="s">
        <v>272</v>
      </c>
      <c r="E3209" t="s">
        <v>25</v>
      </c>
      <c r="F3209" t="s">
        <v>493</v>
      </c>
      <c r="G3209" t="s">
        <v>1560</v>
      </c>
      <c r="H3209" s="9">
        <v>44733</v>
      </c>
      <c r="I3209" t="s">
        <v>8634</v>
      </c>
      <c r="J3209" t="s">
        <v>0</v>
      </c>
      <c r="K3209" s="9">
        <v>44862</v>
      </c>
      <c r="L3209" t="s">
        <v>29</v>
      </c>
      <c r="M3209"/>
      <c r="N3209" s="9">
        <v>44778</v>
      </c>
      <c r="O3209"/>
      <c r="P3209"/>
      <c r="Q3209" s="9">
        <v>44862</v>
      </c>
      <c r="R3209"/>
      <c r="S3209"/>
      <c r="T3209"/>
      <c r="U3209"/>
    </row>
    <row r="3210" spans="1:21" hidden="1">
      <c r="A3210" s="7" t="s">
        <v>8758</v>
      </c>
      <c r="B3210" s="7" t="s">
        <v>5405</v>
      </c>
      <c r="C3210" s="8" t="s">
        <v>5319</v>
      </c>
      <c r="D3210" t="s">
        <v>272</v>
      </c>
      <c r="E3210" t="s">
        <v>25</v>
      </c>
      <c r="F3210" t="s">
        <v>493</v>
      </c>
      <c r="G3210" t="s">
        <v>2845</v>
      </c>
      <c r="H3210" s="9">
        <v>44733</v>
      </c>
      <c r="I3210" t="s">
        <v>8634</v>
      </c>
      <c r="J3210" t="s">
        <v>0</v>
      </c>
      <c r="K3210" s="9">
        <v>44862</v>
      </c>
      <c r="L3210" t="s">
        <v>29</v>
      </c>
      <c r="M3210"/>
      <c r="N3210" s="9">
        <v>44778</v>
      </c>
      <c r="O3210"/>
      <c r="P3210"/>
      <c r="Q3210" s="9">
        <v>44862</v>
      </c>
      <c r="R3210"/>
      <c r="S3210"/>
      <c r="T3210"/>
      <c r="U3210"/>
    </row>
    <row r="3211" spans="1:21" hidden="1">
      <c r="A3211" s="7" t="s">
        <v>8758</v>
      </c>
      <c r="B3211" s="7" t="s">
        <v>5405</v>
      </c>
      <c r="C3211" s="8" t="s">
        <v>5319</v>
      </c>
      <c r="D3211" t="s">
        <v>272</v>
      </c>
      <c r="E3211" t="s">
        <v>25</v>
      </c>
      <c r="F3211" t="s">
        <v>493</v>
      </c>
      <c r="G3211" t="s">
        <v>574</v>
      </c>
      <c r="H3211" s="9">
        <v>44733</v>
      </c>
      <c r="I3211" t="s">
        <v>8634</v>
      </c>
      <c r="J3211" t="s">
        <v>0</v>
      </c>
      <c r="K3211" s="9">
        <v>44862</v>
      </c>
      <c r="L3211" t="s">
        <v>29</v>
      </c>
      <c r="M3211"/>
      <c r="N3211" s="9">
        <v>44778</v>
      </c>
      <c r="O3211"/>
      <c r="P3211"/>
      <c r="Q3211" s="9">
        <v>44862</v>
      </c>
      <c r="R3211"/>
      <c r="S3211"/>
      <c r="T3211"/>
      <c r="U3211"/>
    </row>
    <row r="3212" spans="1:21" hidden="1">
      <c r="A3212" s="7" t="s">
        <v>8712</v>
      </c>
      <c r="B3212" s="7" t="s">
        <v>5405</v>
      </c>
      <c r="C3212" s="8" t="s">
        <v>5319</v>
      </c>
      <c r="D3212" t="s">
        <v>272</v>
      </c>
      <c r="E3212" t="s">
        <v>25</v>
      </c>
      <c r="F3212" t="s">
        <v>26</v>
      </c>
      <c r="G3212" t="s">
        <v>2846</v>
      </c>
      <c r="H3212" s="9">
        <v>44733</v>
      </c>
      <c r="I3212" t="s">
        <v>8634</v>
      </c>
      <c r="J3212" t="s">
        <v>0</v>
      </c>
      <c r="K3212" s="9">
        <v>44882</v>
      </c>
      <c r="L3212" t="s">
        <v>29</v>
      </c>
      <c r="M3212"/>
      <c r="N3212" s="9">
        <v>44778</v>
      </c>
      <c r="O3212"/>
      <c r="P3212"/>
      <c r="Q3212" s="9">
        <v>44882</v>
      </c>
      <c r="R3212"/>
      <c r="S3212"/>
      <c r="T3212"/>
      <c r="U3212"/>
    </row>
    <row r="3213" spans="1:21" hidden="1">
      <c r="A3213" s="7" t="s">
        <v>8712</v>
      </c>
      <c r="B3213" s="7" t="s">
        <v>5405</v>
      </c>
      <c r="C3213" s="8" t="s">
        <v>5319</v>
      </c>
      <c r="D3213" t="s">
        <v>272</v>
      </c>
      <c r="E3213" t="s">
        <v>25</v>
      </c>
      <c r="F3213" t="s">
        <v>26</v>
      </c>
      <c r="G3213" t="s">
        <v>2847</v>
      </c>
      <c r="H3213" s="9">
        <v>44733</v>
      </c>
      <c r="I3213" t="s">
        <v>8634</v>
      </c>
      <c r="J3213" t="s">
        <v>0</v>
      </c>
      <c r="K3213" s="9">
        <v>44882</v>
      </c>
      <c r="L3213" t="s">
        <v>29</v>
      </c>
      <c r="M3213"/>
      <c r="N3213" s="9">
        <v>44778</v>
      </c>
      <c r="O3213"/>
      <c r="P3213"/>
      <c r="Q3213" s="9">
        <v>44882</v>
      </c>
      <c r="R3213"/>
      <c r="S3213"/>
      <c r="T3213"/>
      <c r="U3213"/>
    </row>
    <row r="3214" spans="1:21" hidden="1">
      <c r="A3214" s="7" t="s">
        <v>8758</v>
      </c>
      <c r="B3214" s="7" t="s">
        <v>5405</v>
      </c>
      <c r="C3214" s="8" t="s">
        <v>5319</v>
      </c>
      <c r="D3214" t="s">
        <v>272</v>
      </c>
      <c r="E3214" t="s">
        <v>25</v>
      </c>
      <c r="F3214" t="s">
        <v>493</v>
      </c>
      <c r="G3214" t="s">
        <v>1564</v>
      </c>
      <c r="H3214" s="9">
        <v>44733</v>
      </c>
      <c r="I3214" t="s">
        <v>8634</v>
      </c>
      <c r="J3214" t="s">
        <v>0</v>
      </c>
      <c r="K3214" s="9">
        <v>44862</v>
      </c>
      <c r="L3214" t="s">
        <v>29</v>
      </c>
      <c r="M3214"/>
      <c r="N3214" s="9">
        <v>44778</v>
      </c>
      <c r="O3214"/>
      <c r="P3214"/>
      <c r="Q3214" s="9">
        <v>44862</v>
      </c>
      <c r="R3214"/>
      <c r="S3214"/>
      <c r="T3214"/>
      <c r="U3214"/>
    </row>
    <row r="3215" spans="1:21" hidden="1">
      <c r="A3215" s="7" t="s">
        <v>8758</v>
      </c>
      <c r="B3215" s="7" t="s">
        <v>5405</v>
      </c>
      <c r="C3215" s="8" t="s">
        <v>5319</v>
      </c>
      <c r="D3215" t="s">
        <v>272</v>
      </c>
      <c r="E3215" t="s">
        <v>25</v>
      </c>
      <c r="F3215" t="s">
        <v>493</v>
      </c>
      <c r="G3215" t="s">
        <v>2848</v>
      </c>
      <c r="H3215" s="9">
        <v>44733</v>
      </c>
      <c r="I3215" t="s">
        <v>8634</v>
      </c>
      <c r="J3215" t="s">
        <v>0</v>
      </c>
      <c r="K3215" s="9">
        <v>44862</v>
      </c>
      <c r="L3215" t="s">
        <v>29</v>
      </c>
      <c r="M3215"/>
      <c r="N3215" s="9">
        <v>44778</v>
      </c>
      <c r="O3215"/>
      <c r="P3215"/>
      <c r="Q3215" s="9">
        <v>44862</v>
      </c>
      <c r="R3215"/>
      <c r="S3215"/>
      <c r="T3215"/>
      <c r="U3215"/>
    </row>
    <row r="3216" spans="1:21" hidden="1">
      <c r="A3216" s="7" t="s">
        <v>8758</v>
      </c>
      <c r="B3216" s="7" t="s">
        <v>5405</v>
      </c>
      <c r="C3216" s="8" t="s">
        <v>5319</v>
      </c>
      <c r="D3216" t="s">
        <v>272</v>
      </c>
      <c r="E3216" t="s">
        <v>25</v>
      </c>
      <c r="F3216" t="s">
        <v>493</v>
      </c>
      <c r="G3216" t="s">
        <v>2849</v>
      </c>
      <c r="H3216" s="9">
        <v>44733</v>
      </c>
      <c r="I3216" t="s">
        <v>8634</v>
      </c>
      <c r="J3216" t="s">
        <v>0</v>
      </c>
      <c r="K3216" s="9">
        <v>44862</v>
      </c>
      <c r="L3216" t="s">
        <v>29</v>
      </c>
      <c r="M3216"/>
      <c r="N3216" s="9">
        <v>44778</v>
      </c>
      <c r="O3216"/>
      <c r="P3216"/>
      <c r="Q3216" s="9">
        <v>44862</v>
      </c>
      <c r="R3216"/>
      <c r="S3216"/>
      <c r="T3216"/>
      <c r="U3216"/>
    </row>
    <row r="3217" spans="1:21" hidden="1">
      <c r="A3217" s="7" t="s">
        <v>8712</v>
      </c>
      <c r="B3217" s="7" t="s">
        <v>5405</v>
      </c>
      <c r="C3217" s="8" t="s">
        <v>5319</v>
      </c>
      <c r="D3217" t="s">
        <v>272</v>
      </c>
      <c r="E3217" t="s">
        <v>25</v>
      </c>
      <c r="F3217" t="s">
        <v>26</v>
      </c>
      <c r="G3217" t="s">
        <v>2850</v>
      </c>
      <c r="H3217" s="9">
        <v>44733</v>
      </c>
      <c r="I3217" t="s">
        <v>8634</v>
      </c>
      <c r="J3217" t="s">
        <v>0</v>
      </c>
      <c r="K3217" s="9">
        <v>44882</v>
      </c>
      <c r="L3217" t="s">
        <v>29</v>
      </c>
      <c r="M3217"/>
      <c r="N3217" s="9">
        <v>44778</v>
      </c>
      <c r="O3217"/>
      <c r="P3217"/>
      <c r="Q3217" s="9">
        <v>44882</v>
      </c>
      <c r="R3217"/>
      <c r="S3217"/>
      <c r="T3217"/>
      <c r="U3217"/>
    </row>
    <row r="3218" spans="1:21" hidden="1">
      <c r="A3218" s="7" t="s">
        <v>8712</v>
      </c>
      <c r="B3218" s="7" t="s">
        <v>5405</v>
      </c>
      <c r="C3218" s="8" t="s">
        <v>5319</v>
      </c>
      <c r="D3218" t="s">
        <v>272</v>
      </c>
      <c r="E3218" t="s">
        <v>25</v>
      </c>
      <c r="F3218" t="s">
        <v>26</v>
      </c>
      <c r="G3218" t="s">
        <v>2851</v>
      </c>
      <c r="H3218" s="9">
        <v>44733</v>
      </c>
      <c r="I3218" t="s">
        <v>8634</v>
      </c>
      <c r="J3218" t="s">
        <v>0</v>
      </c>
      <c r="K3218" s="9">
        <v>44882</v>
      </c>
      <c r="L3218" t="s">
        <v>29</v>
      </c>
      <c r="M3218"/>
      <c r="N3218" s="9">
        <v>44778</v>
      </c>
      <c r="O3218"/>
      <c r="P3218"/>
      <c r="Q3218" s="9">
        <v>44882</v>
      </c>
      <c r="R3218"/>
      <c r="S3218"/>
      <c r="T3218"/>
      <c r="U3218"/>
    </row>
    <row r="3219" spans="1:21" hidden="1">
      <c r="A3219" s="7" t="s">
        <v>8712</v>
      </c>
      <c r="B3219" s="7" t="s">
        <v>5405</v>
      </c>
      <c r="C3219" s="8" t="s">
        <v>5319</v>
      </c>
      <c r="D3219" t="s">
        <v>272</v>
      </c>
      <c r="E3219" t="s">
        <v>25</v>
      </c>
      <c r="F3219" t="s">
        <v>26</v>
      </c>
      <c r="G3219" t="s">
        <v>2852</v>
      </c>
      <c r="H3219" s="9">
        <v>44733</v>
      </c>
      <c r="I3219" t="s">
        <v>8634</v>
      </c>
      <c r="J3219" t="s">
        <v>0</v>
      </c>
      <c r="K3219" s="9">
        <v>44882</v>
      </c>
      <c r="L3219" t="s">
        <v>29</v>
      </c>
      <c r="M3219"/>
      <c r="N3219" s="9">
        <v>44778</v>
      </c>
      <c r="O3219"/>
      <c r="P3219"/>
      <c r="Q3219" s="9">
        <v>44882</v>
      </c>
      <c r="R3219"/>
      <c r="S3219"/>
      <c r="T3219"/>
      <c r="U3219"/>
    </row>
    <row r="3220" spans="1:21" hidden="1">
      <c r="A3220" s="7" t="s">
        <v>8758</v>
      </c>
      <c r="B3220" s="7" t="s">
        <v>5405</v>
      </c>
      <c r="C3220" s="8" t="s">
        <v>5319</v>
      </c>
      <c r="D3220" t="s">
        <v>272</v>
      </c>
      <c r="E3220" t="s">
        <v>25</v>
      </c>
      <c r="F3220" t="s">
        <v>493</v>
      </c>
      <c r="G3220" t="s">
        <v>2853</v>
      </c>
      <c r="H3220" s="9">
        <v>44733</v>
      </c>
      <c r="I3220" t="s">
        <v>8634</v>
      </c>
      <c r="J3220" t="s">
        <v>0</v>
      </c>
      <c r="K3220" s="9">
        <v>44862</v>
      </c>
      <c r="L3220" t="s">
        <v>29</v>
      </c>
      <c r="M3220"/>
      <c r="N3220" s="9">
        <v>44778</v>
      </c>
      <c r="O3220"/>
      <c r="P3220"/>
      <c r="Q3220" s="9">
        <v>44862</v>
      </c>
      <c r="R3220"/>
      <c r="S3220"/>
      <c r="T3220"/>
      <c r="U3220"/>
    </row>
    <row r="3221" spans="1:21" hidden="1">
      <c r="A3221" s="7" t="s">
        <v>8758</v>
      </c>
      <c r="B3221" s="7" t="s">
        <v>5405</v>
      </c>
      <c r="C3221" s="8" t="s">
        <v>5319</v>
      </c>
      <c r="D3221" t="s">
        <v>272</v>
      </c>
      <c r="E3221" t="s">
        <v>25</v>
      </c>
      <c r="F3221" t="s">
        <v>493</v>
      </c>
      <c r="G3221" t="s">
        <v>579</v>
      </c>
      <c r="H3221" s="9">
        <v>44733</v>
      </c>
      <c r="I3221" t="s">
        <v>8634</v>
      </c>
      <c r="J3221" t="s">
        <v>0</v>
      </c>
      <c r="K3221" s="9">
        <v>44862</v>
      </c>
      <c r="L3221" t="s">
        <v>29</v>
      </c>
      <c r="M3221"/>
      <c r="N3221" s="9">
        <v>44778</v>
      </c>
      <c r="O3221"/>
      <c r="P3221"/>
      <c r="Q3221" s="9">
        <v>44862</v>
      </c>
      <c r="R3221"/>
      <c r="S3221"/>
      <c r="T3221"/>
      <c r="U3221"/>
    </row>
    <row r="3222" spans="1:21" hidden="1">
      <c r="A3222" s="7" t="s">
        <v>8758</v>
      </c>
      <c r="B3222" s="7" t="s">
        <v>5405</v>
      </c>
      <c r="C3222" s="8" t="s">
        <v>5319</v>
      </c>
      <c r="D3222" t="s">
        <v>272</v>
      </c>
      <c r="E3222" t="s">
        <v>25</v>
      </c>
      <c r="F3222" t="s">
        <v>493</v>
      </c>
      <c r="G3222" t="s">
        <v>2854</v>
      </c>
      <c r="H3222" s="9">
        <v>44733</v>
      </c>
      <c r="I3222" t="s">
        <v>8634</v>
      </c>
      <c r="J3222" t="s">
        <v>0</v>
      </c>
      <c r="K3222" s="9">
        <v>44862</v>
      </c>
      <c r="L3222" t="s">
        <v>29</v>
      </c>
      <c r="M3222"/>
      <c r="N3222" s="9">
        <v>44778</v>
      </c>
      <c r="O3222"/>
      <c r="P3222"/>
      <c r="Q3222" s="9">
        <v>44862</v>
      </c>
      <c r="R3222"/>
      <c r="S3222"/>
      <c r="T3222"/>
      <c r="U3222"/>
    </row>
    <row r="3223" spans="1:21" hidden="1">
      <c r="A3223" s="7" t="s">
        <v>8758</v>
      </c>
      <c r="B3223" s="7" t="s">
        <v>5405</v>
      </c>
      <c r="C3223" s="8" t="s">
        <v>5319</v>
      </c>
      <c r="D3223" t="s">
        <v>272</v>
      </c>
      <c r="E3223" t="s">
        <v>25</v>
      </c>
      <c r="F3223" t="s">
        <v>493</v>
      </c>
      <c r="G3223" t="s">
        <v>2855</v>
      </c>
      <c r="H3223" s="9">
        <v>44733</v>
      </c>
      <c r="I3223" t="s">
        <v>8634</v>
      </c>
      <c r="J3223" t="s">
        <v>0</v>
      </c>
      <c r="K3223" s="9">
        <v>44862</v>
      </c>
      <c r="L3223" t="s">
        <v>29</v>
      </c>
      <c r="M3223"/>
      <c r="N3223" s="9">
        <v>44778</v>
      </c>
      <c r="O3223"/>
      <c r="P3223"/>
      <c r="Q3223" s="9">
        <v>44862</v>
      </c>
      <c r="R3223"/>
      <c r="S3223"/>
      <c r="T3223"/>
      <c r="U3223"/>
    </row>
    <row r="3224" spans="1:21" hidden="1">
      <c r="A3224" s="7" t="s">
        <v>8758</v>
      </c>
      <c r="B3224" s="7" t="s">
        <v>5405</v>
      </c>
      <c r="C3224" s="8" t="s">
        <v>5319</v>
      </c>
      <c r="D3224" t="s">
        <v>272</v>
      </c>
      <c r="E3224" t="s">
        <v>25</v>
      </c>
      <c r="F3224" t="s">
        <v>493</v>
      </c>
      <c r="G3224" t="s">
        <v>2856</v>
      </c>
      <c r="H3224" s="9">
        <v>44733</v>
      </c>
      <c r="I3224" t="s">
        <v>8634</v>
      </c>
      <c r="J3224" t="s">
        <v>0</v>
      </c>
      <c r="K3224" s="9">
        <v>44862</v>
      </c>
      <c r="L3224" t="s">
        <v>29</v>
      </c>
      <c r="M3224"/>
      <c r="N3224" s="9">
        <v>44778</v>
      </c>
      <c r="O3224"/>
      <c r="P3224"/>
      <c r="Q3224" s="9">
        <v>44862</v>
      </c>
      <c r="R3224"/>
      <c r="S3224"/>
      <c r="T3224"/>
      <c r="U3224"/>
    </row>
    <row r="3225" spans="1:21" hidden="1">
      <c r="A3225" s="7" t="s">
        <v>8758</v>
      </c>
      <c r="B3225" s="7" t="s">
        <v>5405</v>
      </c>
      <c r="C3225" s="8" t="s">
        <v>5319</v>
      </c>
      <c r="D3225" t="s">
        <v>272</v>
      </c>
      <c r="E3225" t="s">
        <v>25</v>
      </c>
      <c r="F3225" t="s">
        <v>493</v>
      </c>
      <c r="G3225" t="s">
        <v>2857</v>
      </c>
      <c r="H3225" s="9">
        <v>44733</v>
      </c>
      <c r="I3225" t="s">
        <v>8634</v>
      </c>
      <c r="J3225" t="s">
        <v>0</v>
      </c>
      <c r="K3225" s="9">
        <v>44862</v>
      </c>
      <c r="L3225" t="s">
        <v>29</v>
      </c>
      <c r="M3225"/>
      <c r="N3225" s="9">
        <v>44778</v>
      </c>
      <c r="O3225"/>
      <c r="P3225"/>
      <c r="Q3225" s="9">
        <v>44862</v>
      </c>
      <c r="R3225"/>
      <c r="S3225"/>
      <c r="T3225"/>
      <c r="U3225"/>
    </row>
    <row r="3226" spans="1:21" hidden="1">
      <c r="A3226" s="7" t="s">
        <v>8758</v>
      </c>
      <c r="B3226" s="7" t="s">
        <v>5405</v>
      </c>
      <c r="C3226" s="8" t="s">
        <v>5319</v>
      </c>
      <c r="D3226" t="s">
        <v>272</v>
      </c>
      <c r="E3226" t="s">
        <v>25</v>
      </c>
      <c r="F3226" t="s">
        <v>493</v>
      </c>
      <c r="G3226" t="s">
        <v>2858</v>
      </c>
      <c r="H3226" s="9">
        <v>44733</v>
      </c>
      <c r="I3226" t="s">
        <v>8634</v>
      </c>
      <c r="J3226" t="s">
        <v>0</v>
      </c>
      <c r="K3226" s="9">
        <v>44862</v>
      </c>
      <c r="L3226" t="s">
        <v>29</v>
      </c>
      <c r="M3226"/>
      <c r="N3226" s="9">
        <v>44778</v>
      </c>
      <c r="O3226"/>
      <c r="P3226"/>
      <c r="Q3226" s="9">
        <v>44862</v>
      </c>
      <c r="R3226"/>
      <c r="S3226"/>
      <c r="T3226"/>
      <c r="U3226"/>
    </row>
    <row r="3227" spans="1:21" hidden="1">
      <c r="A3227" s="7" t="s">
        <v>8758</v>
      </c>
      <c r="B3227" s="7" t="s">
        <v>5405</v>
      </c>
      <c r="C3227" s="8" t="s">
        <v>5319</v>
      </c>
      <c r="D3227" t="s">
        <v>272</v>
      </c>
      <c r="E3227" t="s">
        <v>25</v>
      </c>
      <c r="F3227" t="s">
        <v>493</v>
      </c>
      <c r="G3227" t="s">
        <v>2859</v>
      </c>
      <c r="H3227" s="9">
        <v>44733</v>
      </c>
      <c r="I3227" t="s">
        <v>8634</v>
      </c>
      <c r="J3227" t="s">
        <v>5330</v>
      </c>
      <c r="K3227" s="9">
        <v>44834</v>
      </c>
      <c r="L3227" t="s">
        <v>29</v>
      </c>
      <c r="M3227"/>
      <c r="N3227" s="9">
        <v>44778</v>
      </c>
      <c r="O3227" s="9">
        <v>44834</v>
      </c>
      <c r="P3227"/>
      <c r="Q3227"/>
      <c r="R3227"/>
      <c r="S3227"/>
      <c r="T3227"/>
      <c r="U3227"/>
    </row>
    <row r="3228" spans="1:21" hidden="1">
      <c r="A3228" s="7" t="s">
        <v>8758</v>
      </c>
      <c r="B3228" s="7" t="s">
        <v>5405</v>
      </c>
      <c r="C3228" s="8" t="s">
        <v>5319</v>
      </c>
      <c r="D3228" t="s">
        <v>272</v>
      </c>
      <c r="E3228" t="s">
        <v>25</v>
      </c>
      <c r="F3228" t="s">
        <v>493</v>
      </c>
      <c r="G3228" t="s">
        <v>583</v>
      </c>
      <c r="H3228" s="9">
        <v>44733</v>
      </c>
      <c r="I3228" t="s">
        <v>8634</v>
      </c>
      <c r="J3228" t="s">
        <v>0</v>
      </c>
      <c r="K3228" s="9">
        <v>44862</v>
      </c>
      <c r="L3228" t="s">
        <v>29</v>
      </c>
      <c r="M3228"/>
      <c r="N3228" s="9">
        <v>44778</v>
      </c>
      <c r="O3228"/>
      <c r="P3228"/>
      <c r="Q3228" s="9">
        <v>44862</v>
      </c>
      <c r="R3228"/>
      <c r="S3228"/>
      <c r="T3228"/>
      <c r="U3228"/>
    </row>
    <row r="3229" spans="1:21" hidden="1">
      <c r="A3229" s="7" t="s">
        <v>8712</v>
      </c>
      <c r="B3229" s="7" t="s">
        <v>5405</v>
      </c>
      <c r="C3229" s="8" t="s">
        <v>5319</v>
      </c>
      <c r="D3229" t="s">
        <v>272</v>
      </c>
      <c r="E3229" t="s">
        <v>25</v>
      </c>
      <c r="F3229" t="s">
        <v>26</v>
      </c>
      <c r="G3229" t="s">
        <v>2860</v>
      </c>
      <c r="H3229" s="9">
        <v>44733</v>
      </c>
      <c r="I3229" t="s">
        <v>8634</v>
      </c>
      <c r="J3229" t="s">
        <v>0</v>
      </c>
      <c r="K3229" s="9">
        <v>44882</v>
      </c>
      <c r="L3229" t="s">
        <v>29</v>
      </c>
      <c r="M3229"/>
      <c r="N3229" s="9">
        <v>44778</v>
      </c>
      <c r="O3229"/>
      <c r="P3229"/>
      <c r="Q3229" s="9">
        <v>44882</v>
      </c>
      <c r="R3229"/>
      <c r="S3229"/>
      <c r="T3229"/>
      <c r="U3229"/>
    </row>
    <row r="3230" spans="1:21" hidden="1">
      <c r="A3230" s="7" t="s">
        <v>8758</v>
      </c>
      <c r="B3230" s="7" t="s">
        <v>5405</v>
      </c>
      <c r="C3230" s="8" t="s">
        <v>5319</v>
      </c>
      <c r="D3230" t="s">
        <v>272</v>
      </c>
      <c r="E3230" t="s">
        <v>25</v>
      </c>
      <c r="F3230" t="s">
        <v>493</v>
      </c>
      <c r="G3230" t="s">
        <v>1571</v>
      </c>
      <c r="H3230" s="9">
        <v>44733</v>
      </c>
      <c r="I3230" t="s">
        <v>8634</v>
      </c>
      <c r="J3230" t="s">
        <v>0</v>
      </c>
      <c r="K3230" s="9">
        <v>44862</v>
      </c>
      <c r="L3230" t="s">
        <v>29</v>
      </c>
      <c r="M3230"/>
      <c r="N3230" s="9">
        <v>44778</v>
      </c>
      <c r="O3230"/>
      <c r="P3230"/>
      <c r="Q3230" s="9">
        <v>44862</v>
      </c>
      <c r="R3230"/>
      <c r="S3230"/>
      <c r="T3230"/>
      <c r="U3230"/>
    </row>
    <row r="3231" spans="1:21" hidden="1">
      <c r="A3231" s="7" t="s">
        <v>8758</v>
      </c>
      <c r="B3231" s="7" t="s">
        <v>5405</v>
      </c>
      <c r="C3231" s="8" t="s">
        <v>5319</v>
      </c>
      <c r="D3231" t="s">
        <v>272</v>
      </c>
      <c r="E3231" t="s">
        <v>25</v>
      </c>
      <c r="F3231" t="s">
        <v>493</v>
      </c>
      <c r="G3231" t="s">
        <v>2861</v>
      </c>
      <c r="H3231" s="9">
        <v>44733</v>
      </c>
      <c r="I3231" t="s">
        <v>8634</v>
      </c>
      <c r="J3231" t="s">
        <v>0</v>
      </c>
      <c r="K3231" s="9">
        <v>44862</v>
      </c>
      <c r="L3231" t="s">
        <v>29</v>
      </c>
      <c r="M3231"/>
      <c r="N3231" s="9">
        <v>44778</v>
      </c>
      <c r="O3231"/>
      <c r="P3231"/>
      <c r="Q3231" s="9">
        <v>44862</v>
      </c>
      <c r="R3231"/>
      <c r="S3231"/>
      <c r="T3231"/>
      <c r="U3231"/>
    </row>
    <row r="3232" spans="1:21" hidden="1">
      <c r="A3232" s="7" t="s">
        <v>8758</v>
      </c>
      <c r="B3232" s="7" t="s">
        <v>5405</v>
      </c>
      <c r="C3232" s="8" t="s">
        <v>5319</v>
      </c>
      <c r="D3232" t="s">
        <v>272</v>
      </c>
      <c r="E3232" t="s">
        <v>25</v>
      </c>
      <c r="F3232" t="s">
        <v>493</v>
      </c>
      <c r="G3232" t="s">
        <v>2862</v>
      </c>
      <c r="H3232" s="9">
        <v>44733</v>
      </c>
      <c r="I3232" t="s">
        <v>8634</v>
      </c>
      <c r="J3232" t="s">
        <v>0</v>
      </c>
      <c r="K3232" s="9">
        <v>44862</v>
      </c>
      <c r="L3232" t="s">
        <v>29</v>
      </c>
      <c r="M3232"/>
      <c r="N3232" s="9">
        <v>44778</v>
      </c>
      <c r="O3232"/>
      <c r="P3232"/>
      <c r="Q3232" s="9">
        <v>44862</v>
      </c>
      <c r="R3232"/>
      <c r="S3232"/>
      <c r="T3232"/>
      <c r="U3232"/>
    </row>
    <row r="3233" spans="1:21" hidden="1">
      <c r="A3233" s="7" t="s">
        <v>8758</v>
      </c>
      <c r="B3233" s="7" t="s">
        <v>5405</v>
      </c>
      <c r="C3233" s="8" t="s">
        <v>5319</v>
      </c>
      <c r="D3233" t="s">
        <v>272</v>
      </c>
      <c r="E3233" t="s">
        <v>25</v>
      </c>
      <c r="F3233" t="s">
        <v>493</v>
      </c>
      <c r="G3233" t="s">
        <v>2863</v>
      </c>
      <c r="H3233" s="9">
        <v>44733</v>
      </c>
      <c r="I3233" t="s">
        <v>8634</v>
      </c>
      <c r="J3233" t="s">
        <v>0</v>
      </c>
      <c r="K3233" s="9">
        <v>44862</v>
      </c>
      <c r="L3233" t="s">
        <v>29</v>
      </c>
      <c r="M3233"/>
      <c r="N3233" s="9">
        <v>44778</v>
      </c>
      <c r="O3233"/>
      <c r="P3233"/>
      <c r="Q3233" s="9">
        <v>44862</v>
      </c>
      <c r="R3233"/>
      <c r="S3233"/>
      <c r="T3233"/>
      <c r="U3233"/>
    </row>
    <row r="3234" spans="1:21" hidden="1">
      <c r="A3234" s="7" t="s">
        <v>8758</v>
      </c>
      <c r="B3234" s="7" t="s">
        <v>5405</v>
      </c>
      <c r="C3234" s="8" t="s">
        <v>5319</v>
      </c>
      <c r="D3234" t="s">
        <v>272</v>
      </c>
      <c r="E3234" t="s">
        <v>25</v>
      </c>
      <c r="F3234" t="s">
        <v>493</v>
      </c>
      <c r="G3234" t="s">
        <v>2864</v>
      </c>
      <c r="H3234" s="9">
        <v>44733</v>
      </c>
      <c r="I3234" t="s">
        <v>8634</v>
      </c>
      <c r="J3234" t="s">
        <v>0</v>
      </c>
      <c r="K3234" s="9">
        <v>44862</v>
      </c>
      <c r="L3234" t="s">
        <v>29</v>
      </c>
      <c r="M3234"/>
      <c r="N3234" s="9">
        <v>44778</v>
      </c>
      <c r="O3234"/>
      <c r="P3234"/>
      <c r="Q3234" s="9">
        <v>44862</v>
      </c>
      <c r="R3234"/>
      <c r="S3234"/>
      <c r="T3234"/>
      <c r="U3234"/>
    </row>
    <row r="3235" spans="1:21" hidden="1">
      <c r="A3235" s="7" t="s">
        <v>8712</v>
      </c>
      <c r="B3235" s="7" t="s">
        <v>5405</v>
      </c>
      <c r="C3235" s="8" t="s">
        <v>5319</v>
      </c>
      <c r="D3235" t="s">
        <v>272</v>
      </c>
      <c r="E3235" t="s">
        <v>25</v>
      </c>
      <c r="F3235" t="s">
        <v>26</v>
      </c>
      <c r="G3235" t="s">
        <v>2865</v>
      </c>
      <c r="H3235" s="9">
        <v>44733</v>
      </c>
      <c r="I3235" t="s">
        <v>8634</v>
      </c>
      <c r="J3235" t="s">
        <v>0</v>
      </c>
      <c r="K3235" s="9">
        <v>44882</v>
      </c>
      <c r="L3235" t="s">
        <v>29</v>
      </c>
      <c r="M3235"/>
      <c r="N3235" s="9">
        <v>44778</v>
      </c>
      <c r="O3235"/>
      <c r="P3235"/>
      <c r="Q3235" s="9">
        <v>44882</v>
      </c>
      <c r="R3235"/>
      <c r="S3235"/>
      <c r="T3235"/>
      <c r="U3235"/>
    </row>
    <row r="3236" spans="1:21" hidden="1">
      <c r="A3236" s="7" t="s">
        <v>8758</v>
      </c>
      <c r="B3236" s="7" t="s">
        <v>5405</v>
      </c>
      <c r="C3236" s="8" t="s">
        <v>5319</v>
      </c>
      <c r="D3236" t="s">
        <v>272</v>
      </c>
      <c r="E3236" t="s">
        <v>25</v>
      </c>
      <c r="F3236" t="s">
        <v>493</v>
      </c>
      <c r="G3236" t="s">
        <v>2866</v>
      </c>
      <c r="H3236" s="9">
        <v>44733</v>
      </c>
      <c r="I3236" t="s">
        <v>8634</v>
      </c>
      <c r="J3236" t="s">
        <v>0</v>
      </c>
      <c r="K3236" s="9">
        <v>44862</v>
      </c>
      <c r="L3236" t="s">
        <v>29</v>
      </c>
      <c r="M3236"/>
      <c r="N3236" s="9">
        <v>44778</v>
      </c>
      <c r="O3236"/>
      <c r="P3236"/>
      <c r="Q3236" s="9">
        <v>44862</v>
      </c>
      <c r="R3236"/>
      <c r="S3236"/>
      <c r="T3236"/>
      <c r="U3236"/>
    </row>
    <row r="3237" spans="1:21" hidden="1">
      <c r="A3237" s="7" t="s">
        <v>8758</v>
      </c>
      <c r="B3237" s="7" t="s">
        <v>5405</v>
      </c>
      <c r="C3237" s="8" t="s">
        <v>5319</v>
      </c>
      <c r="D3237" t="s">
        <v>272</v>
      </c>
      <c r="E3237" t="s">
        <v>25</v>
      </c>
      <c r="F3237" t="s">
        <v>493</v>
      </c>
      <c r="G3237" t="s">
        <v>2867</v>
      </c>
      <c r="H3237" s="9">
        <v>44733</v>
      </c>
      <c r="I3237" t="s">
        <v>8634</v>
      </c>
      <c r="J3237" t="s">
        <v>0</v>
      </c>
      <c r="K3237" s="9">
        <v>44862</v>
      </c>
      <c r="L3237" t="s">
        <v>29</v>
      </c>
      <c r="M3237"/>
      <c r="N3237" s="9">
        <v>44778</v>
      </c>
      <c r="O3237"/>
      <c r="P3237"/>
      <c r="Q3237" s="9">
        <v>44862</v>
      </c>
      <c r="R3237"/>
      <c r="S3237"/>
      <c r="T3237"/>
      <c r="U3237"/>
    </row>
    <row r="3238" spans="1:21" hidden="1">
      <c r="A3238" s="7" t="s">
        <v>8758</v>
      </c>
      <c r="B3238" s="7" t="s">
        <v>5405</v>
      </c>
      <c r="C3238" s="8" t="s">
        <v>5319</v>
      </c>
      <c r="D3238" t="s">
        <v>272</v>
      </c>
      <c r="E3238" t="s">
        <v>25</v>
      </c>
      <c r="F3238" t="s">
        <v>493</v>
      </c>
      <c r="G3238" t="s">
        <v>2868</v>
      </c>
      <c r="H3238" s="9">
        <v>44733</v>
      </c>
      <c r="I3238" t="s">
        <v>8634</v>
      </c>
      <c r="J3238" t="s">
        <v>0</v>
      </c>
      <c r="K3238" s="9">
        <v>44862</v>
      </c>
      <c r="L3238" t="s">
        <v>29</v>
      </c>
      <c r="M3238"/>
      <c r="N3238" s="9">
        <v>44778</v>
      </c>
      <c r="O3238"/>
      <c r="P3238"/>
      <c r="Q3238" s="9">
        <v>44862</v>
      </c>
      <c r="R3238"/>
      <c r="S3238"/>
      <c r="T3238"/>
      <c r="U3238"/>
    </row>
    <row r="3239" spans="1:21" hidden="1">
      <c r="A3239" s="7" t="s">
        <v>8825</v>
      </c>
      <c r="B3239" s="7" t="s">
        <v>5405</v>
      </c>
      <c r="C3239" s="8" t="s">
        <v>5319</v>
      </c>
      <c r="D3239" t="s">
        <v>272</v>
      </c>
      <c r="E3239" t="s">
        <v>25</v>
      </c>
      <c r="F3239" t="s">
        <v>111</v>
      </c>
      <c r="G3239" t="s">
        <v>2869</v>
      </c>
      <c r="H3239" s="9">
        <v>44733</v>
      </c>
      <c r="I3239" t="s">
        <v>8634</v>
      </c>
      <c r="J3239" t="s">
        <v>0</v>
      </c>
      <c r="K3239" s="9">
        <v>44881</v>
      </c>
      <c r="L3239" t="s">
        <v>29</v>
      </c>
      <c r="M3239"/>
      <c r="N3239" s="9">
        <v>44778</v>
      </c>
      <c r="O3239"/>
      <c r="P3239"/>
      <c r="Q3239" s="9">
        <v>44881</v>
      </c>
      <c r="R3239"/>
      <c r="S3239"/>
      <c r="T3239"/>
      <c r="U3239"/>
    </row>
    <row r="3240" spans="1:21" hidden="1">
      <c r="A3240" s="7" t="s">
        <v>8712</v>
      </c>
      <c r="B3240" s="7" t="s">
        <v>5405</v>
      </c>
      <c r="C3240" s="8" t="s">
        <v>5319</v>
      </c>
      <c r="D3240" t="s">
        <v>272</v>
      </c>
      <c r="E3240" t="s">
        <v>25</v>
      </c>
      <c r="F3240" t="s">
        <v>26</v>
      </c>
      <c r="G3240" t="s">
        <v>2870</v>
      </c>
      <c r="H3240" s="9">
        <v>44733</v>
      </c>
      <c r="I3240" t="s">
        <v>8634</v>
      </c>
      <c r="J3240" t="s">
        <v>0</v>
      </c>
      <c r="K3240" s="9">
        <v>44882</v>
      </c>
      <c r="L3240" t="s">
        <v>29</v>
      </c>
      <c r="M3240"/>
      <c r="N3240" s="9">
        <v>44778</v>
      </c>
      <c r="O3240"/>
      <c r="P3240"/>
      <c r="Q3240" s="9">
        <v>44882</v>
      </c>
      <c r="R3240"/>
      <c r="S3240"/>
      <c r="T3240"/>
      <c r="U3240"/>
    </row>
    <row r="3241" spans="1:21" hidden="1">
      <c r="A3241" s="7" t="s">
        <v>8758</v>
      </c>
      <c r="B3241" s="7" t="s">
        <v>5405</v>
      </c>
      <c r="C3241" s="8" t="s">
        <v>5319</v>
      </c>
      <c r="D3241" t="s">
        <v>272</v>
      </c>
      <c r="E3241" t="s">
        <v>25</v>
      </c>
      <c r="F3241" t="s">
        <v>493</v>
      </c>
      <c r="G3241" t="s">
        <v>2871</v>
      </c>
      <c r="H3241" s="9">
        <v>44733</v>
      </c>
      <c r="I3241" t="s">
        <v>8634</v>
      </c>
      <c r="J3241" t="s">
        <v>0</v>
      </c>
      <c r="K3241" s="9">
        <v>44862</v>
      </c>
      <c r="L3241" t="s">
        <v>29</v>
      </c>
      <c r="M3241"/>
      <c r="N3241" s="9">
        <v>44778</v>
      </c>
      <c r="O3241"/>
      <c r="P3241"/>
      <c r="Q3241" s="9">
        <v>44862</v>
      </c>
      <c r="R3241"/>
      <c r="S3241"/>
      <c r="T3241"/>
      <c r="U3241"/>
    </row>
    <row r="3242" spans="1:21" hidden="1">
      <c r="A3242" s="7" t="s">
        <v>8712</v>
      </c>
      <c r="B3242" s="7" t="s">
        <v>5405</v>
      </c>
      <c r="C3242" s="8" t="s">
        <v>5319</v>
      </c>
      <c r="D3242" t="s">
        <v>272</v>
      </c>
      <c r="E3242" t="s">
        <v>25</v>
      </c>
      <c r="F3242" t="s">
        <v>26</v>
      </c>
      <c r="G3242" t="s">
        <v>2872</v>
      </c>
      <c r="H3242" s="9">
        <v>44733</v>
      </c>
      <c r="I3242" t="s">
        <v>8634</v>
      </c>
      <c r="J3242" t="s">
        <v>0</v>
      </c>
      <c r="K3242" s="9">
        <v>44882</v>
      </c>
      <c r="L3242" t="s">
        <v>29</v>
      </c>
      <c r="M3242"/>
      <c r="N3242" s="9">
        <v>44778</v>
      </c>
      <c r="O3242"/>
      <c r="P3242"/>
      <c r="Q3242" s="9">
        <v>44882</v>
      </c>
      <c r="R3242"/>
      <c r="S3242"/>
      <c r="T3242"/>
      <c r="U3242"/>
    </row>
    <row r="3243" spans="1:21" hidden="1">
      <c r="A3243" s="7" t="s">
        <v>8758</v>
      </c>
      <c r="B3243" s="7" t="s">
        <v>5405</v>
      </c>
      <c r="C3243" s="8" t="s">
        <v>5319</v>
      </c>
      <c r="D3243" t="s">
        <v>272</v>
      </c>
      <c r="E3243" t="s">
        <v>25</v>
      </c>
      <c r="F3243" t="s">
        <v>493</v>
      </c>
      <c r="G3243" t="s">
        <v>1573</v>
      </c>
      <c r="H3243" s="9">
        <v>44733</v>
      </c>
      <c r="I3243" t="s">
        <v>8634</v>
      </c>
      <c r="J3243" t="s">
        <v>0</v>
      </c>
      <c r="K3243" s="9">
        <v>44862</v>
      </c>
      <c r="L3243" t="s">
        <v>29</v>
      </c>
      <c r="M3243"/>
      <c r="N3243" s="9">
        <v>44778</v>
      </c>
      <c r="O3243"/>
      <c r="P3243"/>
      <c r="Q3243" s="9">
        <v>44862</v>
      </c>
      <c r="R3243"/>
      <c r="S3243"/>
      <c r="T3243"/>
      <c r="U3243"/>
    </row>
    <row r="3244" spans="1:21" hidden="1">
      <c r="A3244" s="7" t="s">
        <v>8758</v>
      </c>
      <c r="B3244" s="7" t="s">
        <v>5405</v>
      </c>
      <c r="C3244" s="8" t="s">
        <v>5319</v>
      </c>
      <c r="D3244" t="s">
        <v>272</v>
      </c>
      <c r="E3244" t="s">
        <v>25</v>
      </c>
      <c r="F3244" t="s">
        <v>493</v>
      </c>
      <c r="G3244" t="s">
        <v>1574</v>
      </c>
      <c r="H3244" s="9">
        <v>44733</v>
      </c>
      <c r="I3244" t="s">
        <v>8634</v>
      </c>
      <c r="J3244" t="s">
        <v>0</v>
      </c>
      <c r="K3244" s="9">
        <v>44862</v>
      </c>
      <c r="L3244" t="s">
        <v>29</v>
      </c>
      <c r="M3244"/>
      <c r="N3244" s="9">
        <v>44778</v>
      </c>
      <c r="O3244"/>
      <c r="P3244"/>
      <c r="Q3244" s="9">
        <v>44862</v>
      </c>
      <c r="R3244"/>
      <c r="S3244"/>
      <c r="T3244"/>
      <c r="U3244"/>
    </row>
    <row r="3245" spans="1:21" hidden="1">
      <c r="A3245" s="7" t="s">
        <v>8728</v>
      </c>
      <c r="B3245" s="7" t="s">
        <v>5405</v>
      </c>
      <c r="C3245" s="8" t="s">
        <v>5319</v>
      </c>
      <c r="D3245" t="s">
        <v>272</v>
      </c>
      <c r="E3245" t="s">
        <v>25</v>
      </c>
      <c r="F3245" t="s">
        <v>200</v>
      </c>
      <c r="G3245" t="s">
        <v>2873</v>
      </c>
      <c r="H3245" s="9">
        <v>44733</v>
      </c>
      <c r="I3245" t="s">
        <v>8634</v>
      </c>
      <c r="J3245" t="s">
        <v>0</v>
      </c>
      <c r="K3245" s="9">
        <v>44862</v>
      </c>
      <c r="L3245" t="s">
        <v>29</v>
      </c>
      <c r="M3245"/>
      <c r="N3245" s="9">
        <v>44778</v>
      </c>
      <c r="O3245"/>
      <c r="P3245"/>
      <c r="Q3245" s="9">
        <v>44862</v>
      </c>
      <c r="R3245"/>
      <c r="S3245"/>
      <c r="T3245"/>
      <c r="U3245"/>
    </row>
    <row r="3246" spans="1:21" hidden="1">
      <c r="A3246" s="7" t="s">
        <v>8712</v>
      </c>
      <c r="B3246" s="7" t="s">
        <v>5405</v>
      </c>
      <c r="C3246" s="8" t="s">
        <v>5319</v>
      </c>
      <c r="D3246" t="s">
        <v>272</v>
      </c>
      <c r="E3246" t="s">
        <v>25</v>
      </c>
      <c r="F3246" t="s">
        <v>26</v>
      </c>
      <c r="G3246" t="s">
        <v>2874</v>
      </c>
      <c r="H3246" s="9">
        <v>44733</v>
      </c>
      <c r="I3246" t="s">
        <v>8634</v>
      </c>
      <c r="J3246" t="s">
        <v>0</v>
      </c>
      <c r="K3246" s="9">
        <v>44882</v>
      </c>
      <c r="L3246" t="s">
        <v>29</v>
      </c>
      <c r="M3246"/>
      <c r="N3246" s="9">
        <v>44778</v>
      </c>
      <c r="O3246"/>
      <c r="P3246"/>
      <c r="Q3246" s="9">
        <v>44882</v>
      </c>
      <c r="R3246"/>
      <c r="S3246"/>
      <c r="T3246"/>
      <c r="U3246"/>
    </row>
    <row r="3247" spans="1:21" hidden="1">
      <c r="A3247" s="7" t="s">
        <v>8728</v>
      </c>
      <c r="B3247" s="7" t="s">
        <v>5405</v>
      </c>
      <c r="C3247" s="8" t="s">
        <v>5319</v>
      </c>
      <c r="D3247" t="s">
        <v>272</v>
      </c>
      <c r="E3247" t="s">
        <v>25</v>
      </c>
      <c r="F3247" t="s">
        <v>200</v>
      </c>
      <c r="G3247" t="s">
        <v>2875</v>
      </c>
      <c r="H3247" s="9">
        <v>44733</v>
      </c>
      <c r="I3247" t="s">
        <v>8634</v>
      </c>
      <c r="J3247" t="s">
        <v>0</v>
      </c>
      <c r="K3247" s="9">
        <v>44862</v>
      </c>
      <c r="L3247" t="s">
        <v>29</v>
      </c>
      <c r="M3247"/>
      <c r="N3247" s="9">
        <v>44778</v>
      </c>
      <c r="O3247"/>
      <c r="P3247"/>
      <c r="Q3247" s="9">
        <v>44862</v>
      </c>
      <c r="R3247"/>
      <c r="S3247"/>
      <c r="T3247"/>
      <c r="U3247"/>
    </row>
    <row r="3248" spans="1:21" hidden="1">
      <c r="A3248" s="7" t="s">
        <v>8758</v>
      </c>
      <c r="B3248" s="7" t="s">
        <v>5405</v>
      </c>
      <c r="C3248" s="8" t="s">
        <v>5319</v>
      </c>
      <c r="D3248" t="s">
        <v>272</v>
      </c>
      <c r="E3248" t="s">
        <v>25</v>
      </c>
      <c r="F3248" t="s">
        <v>493</v>
      </c>
      <c r="G3248" t="s">
        <v>2876</v>
      </c>
      <c r="H3248" s="9">
        <v>44733</v>
      </c>
      <c r="I3248" t="s">
        <v>8634</v>
      </c>
      <c r="J3248" t="s">
        <v>0</v>
      </c>
      <c r="K3248" s="9">
        <v>44862</v>
      </c>
      <c r="L3248" t="s">
        <v>29</v>
      </c>
      <c r="M3248"/>
      <c r="N3248" s="9">
        <v>44778</v>
      </c>
      <c r="O3248"/>
      <c r="P3248"/>
      <c r="Q3248" s="9">
        <v>44862</v>
      </c>
      <c r="R3248"/>
      <c r="S3248"/>
      <c r="T3248"/>
      <c r="U3248"/>
    </row>
    <row r="3249" spans="1:21" hidden="1">
      <c r="A3249" s="7" t="s">
        <v>8712</v>
      </c>
      <c r="B3249" s="7" t="s">
        <v>5405</v>
      </c>
      <c r="C3249" s="8" t="s">
        <v>5319</v>
      </c>
      <c r="D3249" t="s">
        <v>272</v>
      </c>
      <c r="E3249" t="s">
        <v>25</v>
      </c>
      <c r="F3249" t="s">
        <v>26</v>
      </c>
      <c r="G3249" t="s">
        <v>2877</v>
      </c>
      <c r="H3249" s="9">
        <v>44733</v>
      </c>
      <c r="I3249" t="s">
        <v>8634</v>
      </c>
      <c r="J3249" t="s">
        <v>0</v>
      </c>
      <c r="K3249" s="9">
        <v>44882</v>
      </c>
      <c r="L3249" t="s">
        <v>29</v>
      </c>
      <c r="M3249"/>
      <c r="N3249" s="9">
        <v>44778</v>
      </c>
      <c r="O3249"/>
      <c r="P3249"/>
      <c r="Q3249" s="9">
        <v>44882</v>
      </c>
      <c r="R3249"/>
      <c r="S3249"/>
      <c r="T3249"/>
      <c r="U3249"/>
    </row>
    <row r="3250" spans="1:21" hidden="1">
      <c r="A3250" s="7" t="s">
        <v>8712</v>
      </c>
      <c r="B3250" s="7" t="s">
        <v>5405</v>
      </c>
      <c r="C3250" s="8" t="s">
        <v>5319</v>
      </c>
      <c r="D3250" t="s">
        <v>272</v>
      </c>
      <c r="E3250" t="s">
        <v>25</v>
      </c>
      <c r="F3250" t="s">
        <v>26</v>
      </c>
      <c r="G3250" t="s">
        <v>2878</v>
      </c>
      <c r="H3250" s="9">
        <v>44733</v>
      </c>
      <c r="I3250" t="s">
        <v>8634</v>
      </c>
      <c r="J3250" t="s">
        <v>0</v>
      </c>
      <c r="K3250" s="9">
        <v>44882</v>
      </c>
      <c r="L3250" t="s">
        <v>29</v>
      </c>
      <c r="M3250"/>
      <c r="N3250" s="9">
        <v>44778</v>
      </c>
      <c r="O3250"/>
      <c r="P3250"/>
      <c r="Q3250" s="9">
        <v>44882</v>
      </c>
      <c r="R3250"/>
      <c r="S3250"/>
      <c r="T3250"/>
      <c r="U3250"/>
    </row>
    <row r="3251" spans="1:21" hidden="1">
      <c r="A3251" s="7" t="s">
        <v>8712</v>
      </c>
      <c r="B3251" s="7" t="s">
        <v>5405</v>
      </c>
      <c r="C3251" s="8" t="s">
        <v>5319</v>
      </c>
      <c r="D3251" t="s">
        <v>272</v>
      </c>
      <c r="E3251" t="s">
        <v>25</v>
      </c>
      <c r="F3251" t="s">
        <v>26</v>
      </c>
      <c r="G3251" t="s">
        <v>2879</v>
      </c>
      <c r="H3251" s="9">
        <v>44733</v>
      </c>
      <c r="I3251" t="s">
        <v>8634</v>
      </c>
      <c r="J3251" t="s">
        <v>0</v>
      </c>
      <c r="K3251" s="9">
        <v>44882</v>
      </c>
      <c r="L3251" t="s">
        <v>29</v>
      </c>
      <c r="M3251"/>
      <c r="N3251" s="9">
        <v>44778</v>
      </c>
      <c r="O3251"/>
      <c r="P3251"/>
      <c r="Q3251" s="9">
        <v>44882</v>
      </c>
      <c r="R3251"/>
      <c r="S3251"/>
      <c r="T3251"/>
      <c r="U3251"/>
    </row>
    <row r="3252" spans="1:21" hidden="1">
      <c r="A3252" s="7" t="s">
        <v>8712</v>
      </c>
      <c r="B3252" s="7" t="s">
        <v>5405</v>
      </c>
      <c r="C3252" s="8" t="s">
        <v>5319</v>
      </c>
      <c r="D3252" t="s">
        <v>272</v>
      </c>
      <c r="E3252" t="s">
        <v>25</v>
      </c>
      <c r="F3252" t="s">
        <v>26</v>
      </c>
      <c r="G3252" t="s">
        <v>2880</v>
      </c>
      <c r="H3252" s="9">
        <v>44733</v>
      </c>
      <c r="I3252" t="s">
        <v>8634</v>
      </c>
      <c r="J3252" t="s">
        <v>0</v>
      </c>
      <c r="K3252" s="9">
        <v>44882</v>
      </c>
      <c r="L3252" t="s">
        <v>29</v>
      </c>
      <c r="M3252"/>
      <c r="N3252" s="9">
        <v>44778</v>
      </c>
      <c r="O3252"/>
      <c r="P3252"/>
      <c r="Q3252" s="9">
        <v>44882</v>
      </c>
      <c r="R3252"/>
      <c r="S3252"/>
      <c r="T3252"/>
      <c r="U3252"/>
    </row>
    <row r="3253" spans="1:21" hidden="1">
      <c r="A3253" s="7" t="s">
        <v>8712</v>
      </c>
      <c r="B3253" s="7" t="s">
        <v>5405</v>
      </c>
      <c r="C3253" s="8" t="s">
        <v>5319</v>
      </c>
      <c r="D3253" t="s">
        <v>272</v>
      </c>
      <c r="E3253" t="s">
        <v>25</v>
      </c>
      <c r="F3253" t="s">
        <v>26</v>
      </c>
      <c r="G3253" t="s">
        <v>2881</v>
      </c>
      <c r="H3253" s="9">
        <v>44733</v>
      </c>
      <c r="I3253" t="s">
        <v>8634</v>
      </c>
      <c r="J3253" t="s">
        <v>0</v>
      </c>
      <c r="K3253" s="9">
        <v>44882</v>
      </c>
      <c r="L3253" t="s">
        <v>29</v>
      </c>
      <c r="M3253"/>
      <c r="N3253" s="9">
        <v>44778</v>
      </c>
      <c r="O3253"/>
      <c r="P3253"/>
      <c r="Q3253" s="9">
        <v>44882</v>
      </c>
      <c r="R3253"/>
      <c r="S3253"/>
      <c r="T3253"/>
      <c r="U3253"/>
    </row>
    <row r="3254" spans="1:21" hidden="1">
      <c r="A3254" s="7" t="s">
        <v>8758</v>
      </c>
      <c r="B3254" s="7" t="s">
        <v>5405</v>
      </c>
      <c r="C3254" s="8" t="s">
        <v>5319</v>
      </c>
      <c r="D3254" t="s">
        <v>272</v>
      </c>
      <c r="E3254" t="s">
        <v>25</v>
      </c>
      <c r="F3254" t="s">
        <v>493</v>
      </c>
      <c r="G3254" t="s">
        <v>2882</v>
      </c>
      <c r="H3254" s="9">
        <v>44733</v>
      </c>
      <c r="I3254" t="s">
        <v>8634</v>
      </c>
      <c r="J3254" t="s">
        <v>0</v>
      </c>
      <c r="K3254" s="9">
        <v>44862</v>
      </c>
      <c r="L3254" t="s">
        <v>29</v>
      </c>
      <c r="M3254"/>
      <c r="N3254" s="9">
        <v>44778</v>
      </c>
      <c r="O3254"/>
      <c r="P3254"/>
      <c r="Q3254" s="9">
        <v>44862</v>
      </c>
      <c r="R3254"/>
      <c r="S3254"/>
      <c r="T3254"/>
      <c r="U3254"/>
    </row>
    <row r="3255" spans="1:21" hidden="1">
      <c r="A3255" s="7" t="s">
        <v>8825</v>
      </c>
      <c r="B3255" s="7" t="s">
        <v>5405</v>
      </c>
      <c r="C3255" s="8" t="s">
        <v>5319</v>
      </c>
      <c r="D3255" t="s">
        <v>272</v>
      </c>
      <c r="E3255" t="s">
        <v>25</v>
      </c>
      <c r="F3255" t="s">
        <v>111</v>
      </c>
      <c r="G3255" t="s">
        <v>2883</v>
      </c>
      <c r="H3255" s="9">
        <v>44733</v>
      </c>
      <c r="I3255" t="s">
        <v>8634</v>
      </c>
      <c r="J3255" t="s">
        <v>0</v>
      </c>
      <c r="K3255" s="9">
        <v>44881</v>
      </c>
      <c r="L3255" t="s">
        <v>29</v>
      </c>
      <c r="M3255"/>
      <c r="N3255" s="9">
        <v>44778</v>
      </c>
      <c r="O3255"/>
      <c r="P3255"/>
      <c r="Q3255" s="9">
        <v>44881</v>
      </c>
      <c r="R3255"/>
      <c r="S3255"/>
      <c r="T3255"/>
      <c r="U3255"/>
    </row>
    <row r="3256" spans="1:21" hidden="1">
      <c r="A3256" s="7" t="s">
        <v>8825</v>
      </c>
      <c r="B3256" s="7" t="s">
        <v>5405</v>
      </c>
      <c r="C3256" s="8" t="s">
        <v>5319</v>
      </c>
      <c r="D3256" t="s">
        <v>272</v>
      </c>
      <c r="E3256" t="s">
        <v>25</v>
      </c>
      <c r="F3256" t="s">
        <v>111</v>
      </c>
      <c r="G3256" t="s">
        <v>2884</v>
      </c>
      <c r="H3256" s="9">
        <v>44733</v>
      </c>
      <c r="I3256" t="s">
        <v>8634</v>
      </c>
      <c r="J3256" t="s">
        <v>0</v>
      </c>
      <c r="K3256" s="9">
        <v>44881</v>
      </c>
      <c r="L3256" t="s">
        <v>29</v>
      </c>
      <c r="M3256"/>
      <c r="N3256" s="9">
        <v>44778</v>
      </c>
      <c r="O3256"/>
      <c r="P3256"/>
      <c r="Q3256" s="9">
        <v>44881</v>
      </c>
      <c r="R3256"/>
      <c r="S3256"/>
      <c r="T3256"/>
      <c r="U3256"/>
    </row>
    <row r="3257" spans="1:21" hidden="1">
      <c r="A3257" s="7" t="s">
        <v>8758</v>
      </c>
      <c r="B3257" s="7" t="s">
        <v>5405</v>
      </c>
      <c r="C3257" s="8" t="s">
        <v>5319</v>
      </c>
      <c r="D3257" t="s">
        <v>272</v>
      </c>
      <c r="E3257" t="s">
        <v>25</v>
      </c>
      <c r="F3257" t="s">
        <v>493</v>
      </c>
      <c r="G3257" t="s">
        <v>2885</v>
      </c>
      <c r="H3257" s="9">
        <v>44733</v>
      </c>
      <c r="I3257" t="s">
        <v>8634</v>
      </c>
      <c r="J3257" t="s">
        <v>0</v>
      </c>
      <c r="K3257" s="9">
        <v>44862</v>
      </c>
      <c r="L3257" t="s">
        <v>29</v>
      </c>
      <c r="M3257"/>
      <c r="N3257" s="9">
        <v>44778</v>
      </c>
      <c r="O3257"/>
      <c r="P3257"/>
      <c r="Q3257" s="9">
        <v>44862</v>
      </c>
      <c r="R3257"/>
      <c r="S3257"/>
      <c r="T3257"/>
      <c r="U3257"/>
    </row>
    <row r="3258" spans="1:21" hidden="1">
      <c r="A3258" s="7" t="s">
        <v>8758</v>
      </c>
      <c r="B3258" s="7" t="s">
        <v>5405</v>
      </c>
      <c r="C3258" s="8" t="s">
        <v>5319</v>
      </c>
      <c r="D3258" t="s">
        <v>272</v>
      </c>
      <c r="E3258" t="s">
        <v>25</v>
      </c>
      <c r="F3258" t="s">
        <v>493</v>
      </c>
      <c r="G3258" t="s">
        <v>2886</v>
      </c>
      <c r="H3258" s="9">
        <v>44733</v>
      </c>
      <c r="I3258" t="s">
        <v>8634</v>
      </c>
      <c r="J3258" t="s">
        <v>0</v>
      </c>
      <c r="K3258" s="9">
        <v>44862</v>
      </c>
      <c r="L3258" t="s">
        <v>29</v>
      </c>
      <c r="M3258"/>
      <c r="N3258" s="9">
        <v>44778</v>
      </c>
      <c r="O3258"/>
      <c r="P3258"/>
      <c r="Q3258" s="9">
        <v>44862</v>
      </c>
      <c r="R3258"/>
      <c r="S3258"/>
      <c r="T3258"/>
      <c r="U3258"/>
    </row>
    <row r="3259" spans="1:21" hidden="1">
      <c r="A3259" s="7" t="s">
        <v>8758</v>
      </c>
      <c r="B3259" s="7" t="s">
        <v>5405</v>
      </c>
      <c r="C3259" s="8" t="s">
        <v>5319</v>
      </c>
      <c r="D3259" t="s">
        <v>272</v>
      </c>
      <c r="E3259" t="s">
        <v>25</v>
      </c>
      <c r="F3259" t="s">
        <v>493</v>
      </c>
      <c r="G3259" t="s">
        <v>2887</v>
      </c>
      <c r="H3259" s="9">
        <v>44733</v>
      </c>
      <c r="I3259" t="s">
        <v>8634</v>
      </c>
      <c r="J3259" t="s">
        <v>0</v>
      </c>
      <c r="K3259" s="9">
        <v>44862</v>
      </c>
      <c r="L3259" t="s">
        <v>29</v>
      </c>
      <c r="M3259"/>
      <c r="N3259" s="9">
        <v>44778</v>
      </c>
      <c r="O3259"/>
      <c r="P3259"/>
      <c r="Q3259" s="9">
        <v>44862</v>
      </c>
      <c r="R3259"/>
      <c r="S3259"/>
      <c r="T3259"/>
      <c r="U3259"/>
    </row>
    <row r="3260" spans="1:21" hidden="1">
      <c r="A3260" s="7" t="s">
        <v>8758</v>
      </c>
      <c r="B3260" s="7" t="s">
        <v>5405</v>
      </c>
      <c r="C3260" s="8" t="s">
        <v>5319</v>
      </c>
      <c r="D3260" t="s">
        <v>272</v>
      </c>
      <c r="E3260" t="s">
        <v>25</v>
      </c>
      <c r="F3260" t="s">
        <v>493</v>
      </c>
      <c r="G3260" t="s">
        <v>2888</v>
      </c>
      <c r="H3260" s="9">
        <v>44733</v>
      </c>
      <c r="I3260" t="s">
        <v>8634</v>
      </c>
      <c r="J3260" t="s">
        <v>0</v>
      </c>
      <c r="K3260" s="9">
        <v>44862</v>
      </c>
      <c r="L3260" t="s">
        <v>29</v>
      </c>
      <c r="M3260"/>
      <c r="N3260" s="9">
        <v>44778</v>
      </c>
      <c r="O3260"/>
      <c r="P3260"/>
      <c r="Q3260" s="9">
        <v>44862</v>
      </c>
      <c r="R3260"/>
      <c r="S3260"/>
      <c r="T3260"/>
      <c r="U3260"/>
    </row>
    <row r="3261" spans="1:21" hidden="1">
      <c r="A3261" s="7" t="s">
        <v>8758</v>
      </c>
      <c r="B3261" s="7" t="s">
        <v>5405</v>
      </c>
      <c r="C3261" s="8" t="s">
        <v>5319</v>
      </c>
      <c r="D3261" t="s">
        <v>272</v>
      </c>
      <c r="E3261" t="s">
        <v>25</v>
      </c>
      <c r="F3261" t="s">
        <v>493</v>
      </c>
      <c r="G3261" t="s">
        <v>2889</v>
      </c>
      <c r="H3261" s="9">
        <v>44733</v>
      </c>
      <c r="I3261" t="s">
        <v>8634</v>
      </c>
      <c r="J3261" t="s">
        <v>0</v>
      </c>
      <c r="K3261" s="9">
        <v>44862</v>
      </c>
      <c r="L3261" t="s">
        <v>29</v>
      </c>
      <c r="M3261"/>
      <c r="N3261" s="9">
        <v>44778</v>
      </c>
      <c r="O3261"/>
      <c r="P3261"/>
      <c r="Q3261" s="9">
        <v>44862</v>
      </c>
      <c r="R3261"/>
      <c r="S3261"/>
      <c r="T3261"/>
      <c r="U3261"/>
    </row>
    <row r="3262" spans="1:21" hidden="1">
      <c r="A3262" s="7" t="s">
        <v>8758</v>
      </c>
      <c r="B3262" s="7" t="s">
        <v>5405</v>
      </c>
      <c r="C3262" s="8" t="s">
        <v>5319</v>
      </c>
      <c r="D3262" t="s">
        <v>272</v>
      </c>
      <c r="E3262" t="s">
        <v>25</v>
      </c>
      <c r="F3262" t="s">
        <v>493</v>
      </c>
      <c r="G3262" t="s">
        <v>2890</v>
      </c>
      <c r="H3262" s="9">
        <v>44733</v>
      </c>
      <c r="I3262" t="s">
        <v>8634</v>
      </c>
      <c r="J3262" t="s">
        <v>0</v>
      </c>
      <c r="K3262" s="9">
        <v>44862</v>
      </c>
      <c r="L3262" t="s">
        <v>29</v>
      </c>
      <c r="M3262"/>
      <c r="N3262" s="9">
        <v>44778</v>
      </c>
      <c r="O3262"/>
      <c r="P3262"/>
      <c r="Q3262" s="9">
        <v>44862</v>
      </c>
      <c r="R3262"/>
      <c r="S3262"/>
      <c r="T3262"/>
      <c r="U3262"/>
    </row>
    <row r="3263" spans="1:21" hidden="1">
      <c r="A3263" s="7" t="s">
        <v>8712</v>
      </c>
      <c r="B3263" s="7" t="s">
        <v>5405</v>
      </c>
      <c r="C3263" s="8" t="s">
        <v>5319</v>
      </c>
      <c r="D3263" t="s">
        <v>272</v>
      </c>
      <c r="E3263" t="s">
        <v>25</v>
      </c>
      <c r="F3263" t="s">
        <v>26</v>
      </c>
      <c r="G3263" t="s">
        <v>2891</v>
      </c>
      <c r="H3263" s="9">
        <v>44733</v>
      </c>
      <c r="I3263" t="s">
        <v>8634</v>
      </c>
      <c r="J3263" t="s">
        <v>0</v>
      </c>
      <c r="K3263" s="9">
        <v>44882</v>
      </c>
      <c r="L3263" t="s">
        <v>29</v>
      </c>
      <c r="M3263"/>
      <c r="N3263" s="9">
        <v>44778</v>
      </c>
      <c r="O3263"/>
      <c r="P3263"/>
      <c r="Q3263" s="9">
        <v>44882</v>
      </c>
      <c r="R3263"/>
      <c r="S3263"/>
      <c r="T3263"/>
      <c r="U3263"/>
    </row>
    <row r="3264" spans="1:21" hidden="1">
      <c r="A3264" s="7" t="s">
        <v>8712</v>
      </c>
      <c r="B3264" s="7" t="s">
        <v>5405</v>
      </c>
      <c r="C3264" s="8" t="s">
        <v>5319</v>
      </c>
      <c r="D3264" t="s">
        <v>272</v>
      </c>
      <c r="E3264" t="s">
        <v>25</v>
      </c>
      <c r="F3264" t="s">
        <v>26</v>
      </c>
      <c r="G3264" t="s">
        <v>2892</v>
      </c>
      <c r="H3264" s="9">
        <v>44733</v>
      </c>
      <c r="I3264" t="s">
        <v>8634</v>
      </c>
      <c r="J3264" t="s">
        <v>0</v>
      </c>
      <c r="K3264" s="9">
        <v>44882</v>
      </c>
      <c r="L3264" t="s">
        <v>29</v>
      </c>
      <c r="M3264"/>
      <c r="N3264" s="9">
        <v>44778</v>
      </c>
      <c r="O3264"/>
      <c r="P3264"/>
      <c r="Q3264" s="9">
        <v>44882</v>
      </c>
      <c r="R3264"/>
      <c r="S3264"/>
      <c r="T3264"/>
      <c r="U3264"/>
    </row>
    <row r="3265" spans="1:21" hidden="1">
      <c r="A3265" s="7" t="s">
        <v>8758</v>
      </c>
      <c r="B3265" s="7" t="s">
        <v>5405</v>
      </c>
      <c r="C3265" s="8" t="s">
        <v>5319</v>
      </c>
      <c r="D3265" t="s">
        <v>272</v>
      </c>
      <c r="E3265" t="s">
        <v>25</v>
      </c>
      <c r="F3265" t="s">
        <v>493</v>
      </c>
      <c r="G3265" t="s">
        <v>598</v>
      </c>
      <c r="H3265" s="9">
        <v>44733</v>
      </c>
      <c r="I3265" t="s">
        <v>8634</v>
      </c>
      <c r="J3265" t="s">
        <v>0</v>
      </c>
      <c r="K3265" s="9">
        <v>44862</v>
      </c>
      <c r="L3265" t="s">
        <v>29</v>
      </c>
      <c r="M3265"/>
      <c r="N3265" s="9">
        <v>44778</v>
      </c>
      <c r="O3265"/>
      <c r="P3265"/>
      <c r="Q3265" s="9">
        <v>44862</v>
      </c>
      <c r="R3265"/>
      <c r="S3265"/>
      <c r="T3265"/>
      <c r="U3265"/>
    </row>
    <row r="3266" spans="1:21" hidden="1">
      <c r="A3266" s="7" t="s">
        <v>8728</v>
      </c>
      <c r="B3266" s="7" t="s">
        <v>5405</v>
      </c>
      <c r="C3266" s="8" t="s">
        <v>5319</v>
      </c>
      <c r="D3266" t="s">
        <v>272</v>
      </c>
      <c r="E3266" t="s">
        <v>25</v>
      </c>
      <c r="F3266" t="s">
        <v>200</v>
      </c>
      <c r="G3266" t="s">
        <v>2893</v>
      </c>
      <c r="H3266" s="9">
        <v>44733</v>
      </c>
      <c r="I3266" t="s">
        <v>8634</v>
      </c>
      <c r="J3266" t="s">
        <v>0</v>
      </c>
      <c r="K3266" s="9">
        <v>44862</v>
      </c>
      <c r="L3266" t="s">
        <v>29</v>
      </c>
      <c r="M3266"/>
      <c r="N3266" s="9">
        <v>44778</v>
      </c>
      <c r="O3266"/>
      <c r="P3266"/>
      <c r="Q3266" s="9">
        <v>44862</v>
      </c>
      <c r="R3266"/>
      <c r="S3266"/>
      <c r="T3266"/>
      <c r="U3266"/>
    </row>
    <row r="3267" spans="1:21" hidden="1">
      <c r="A3267" s="7" t="s">
        <v>8758</v>
      </c>
      <c r="B3267" s="7" t="s">
        <v>5405</v>
      </c>
      <c r="C3267" s="8" t="s">
        <v>5319</v>
      </c>
      <c r="D3267" t="s">
        <v>272</v>
      </c>
      <c r="E3267" t="s">
        <v>25</v>
      </c>
      <c r="F3267" t="s">
        <v>493</v>
      </c>
      <c r="G3267" t="s">
        <v>2894</v>
      </c>
      <c r="H3267" s="9">
        <v>44733</v>
      </c>
      <c r="I3267" t="s">
        <v>8634</v>
      </c>
      <c r="J3267" t="s">
        <v>0</v>
      </c>
      <c r="K3267" s="9">
        <v>44862</v>
      </c>
      <c r="L3267" t="s">
        <v>29</v>
      </c>
      <c r="M3267"/>
      <c r="N3267" s="9">
        <v>44778</v>
      </c>
      <c r="O3267"/>
      <c r="P3267"/>
      <c r="Q3267" s="9">
        <v>44862</v>
      </c>
      <c r="R3267"/>
      <c r="S3267"/>
      <c r="T3267"/>
      <c r="U3267"/>
    </row>
    <row r="3268" spans="1:21" hidden="1">
      <c r="A3268" s="7" t="s">
        <v>8758</v>
      </c>
      <c r="B3268" s="7" t="s">
        <v>5405</v>
      </c>
      <c r="C3268" s="8" t="s">
        <v>5319</v>
      </c>
      <c r="D3268" t="s">
        <v>272</v>
      </c>
      <c r="E3268" t="s">
        <v>25</v>
      </c>
      <c r="F3268" t="s">
        <v>493</v>
      </c>
      <c r="G3268" t="s">
        <v>2895</v>
      </c>
      <c r="H3268" s="9">
        <v>44733</v>
      </c>
      <c r="I3268" t="s">
        <v>8634</v>
      </c>
      <c r="J3268" t="s">
        <v>0</v>
      </c>
      <c r="K3268" s="9">
        <v>44862</v>
      </c>
      <c r="L3268" t="s">
        <v>29</v>
      </c>
      <c r="M3268"/>
      <c r="N3268" s="9">
        <v>44778</v>
      </c>
      <c r="O3268"/>
      <c r="P3268"/>
      <c r="Q3268" s="9">
        <v>44862</v>
      </c>
      <c r="R3268"/>
      <c r="S3268"/>
      <c r="T3268"/>
      <c r="U3268"/>
    </row>
    <row r="3269" spans="1:21" hidden="1">
      <c r="A3269" s="7" t="s">
        <v>8758</v>
      </c>
      <c r="B3269" s="7" t="s">
        <v>5405</v>
      </c>
      <c r="C3269" s="8" t="s">
        <v>5319</v>
      </c>
      <c r="D3269" t="s">
        <v>272</v>
      </c>
      <c r="E3269" t="s">
        <v>25</v>
      </c>
      <c r="F3269" t="s">
        <v>493</v>
      </c>
      <c r="G3269" t="s">
        <v>2896</v>
      </c>
      <c r="H3269" s="9">
        <v>44733</v>
      </c>
      <c r="I3269" t="s">
        <v>8634</v>
      </c>
      <c r="J3269" t="s">
        <v>0</v>
      </c>
      <c r="K3269" s="9">
        <v>44862</v>
      </c>
      <c r="L3269" t="s">
        <v>29</v>
      </c>
      <c r="M3269"/>
      <c r="N3269" s="9">
        <v>44778</v>
      </c>
      <c r="O3269"/>
      <c r="P3269"/>
      <c r="Q3269" s="9">
        <v>44862</v>
      </c>
      <c r="R3269"/>
      <c r="S3269"/>
      <c r="T3269"/>
      <c r="U3269"/>
    </row>
    <row r="3270" spans="1:21" hidden="1">
      <c r="A3270" s="7" t="s">
        <v>8712</v>
      </c>
      <c r="B3270" s="7" t="s">
        <v>5405</v>
      </c>
      <c r="C3270" s="8" t="s">
        <v>5319</v>
      </c>
      <c r="D3270" t="s">
        <v>272</v>
      </c>
      <c r="E3270" t="s">
        <v>25</v>
      </c>
      <c r="F3270" t="s">
        <v>26</v>
      </c>
      <c r="G3270" t="s">
        <v>2897</v>
      </c>
      <c r="H3270" s="9">
        <v>44733</v>
      </c>
      <c r="I3270" t="s">
        <v>8634</v>
      </c>
      <c r="J3270" t="s">
        <v>0</v>
      </c>
      <c r="K3270" s="9">
        <v>44882</v>
      </c>
      <c r="L3270" t="s">
        <v>29</v>
      </c>
      <c r="M3270"/>
      <c r="N3270" s="9">
        <v>44778</v>
      </c>
      <c r="O3270"/>
      <c r="P3270"/>
      <c r="Q3270" s="9">
        <v>44882</v>
      </c>
      <c r="R3270"/>
      <c r="S3270"/>
      <c r="T3270"/>
      <c r="U3270"/>
    </row>
    <row r="3271" spans="1:21" hidden="1">
      <c r="A3271" s="7" t="s">
        <v>8758</v>
      </c>
      <c r="B3271" s="7" t="s">
        <v>5405</v>
      </c>
      <c r="C3271" s="8" t="s">
        <v>5319</v>
      </c>
      <c r="D3271" t="s">
        <v>272</v>
      </c>
      <c r="E3271" t="s">
        <v>25</v>
      </c>
      <c r="F3271" t="s">
        <v>493</v>
      </c>
      <c r="G3271" t="s">
        <v>2898</v>
      </c>
      <c r="H3271" s="9">
        <v>44733</v>
      </c>
      <c r="I3271" t="s">
        <v>8634</v>
      </c>
      <c r="J3271" t="s">
        <v>0</v>
      </c>
      <c r="K3271" s="9">
        <v>44862</v>
      </c>
      <c r="L3271" t="s">
        <v>29</v>
      </c>
      <c r="M3271"/>
      <c r="N3271" s="9">
        <v>44778</v>
      </c>
      <c r="O3271"/>
      <c r="P3271"/>
      <c r="Q3271" s="9">
        <v>44862</v>
      </c>
      <c r="R3271"/>
      <c r="S3271"/>
      <c r="T3271"/>
      <c r="U3271"/>
    </row>
    <row r="3272" spans="1:21" hidden="1">
      <c r="A3272" s="7" t="s">
        <v>8758</v>
      </c>
      <c r="B3272" s="7" t="s">
        <v>5405</v>
      </c>
      <c r="C3272" s="8" t="s">
        <v>5319</v>
      </c>
      <c r="D3272" t="s">
        <v>272</v>
      </c>
      <c r="E3272" t="s">
        <v>25</v>
      </c>
      <c r="F3272" t="s">
        <v>493</v>
      </c>
      <c r="G3272" t="s">
        <v>2899</v>
      </c>
      <c r="H3272" s="9">
        <v>44733</v>
      </c>
      <c r="I3272" t="s">
        <v>8634</v>
      </c>
      <c r="J3272" t="s">
        <v>0</v>
      </c>
      <c r="K3272" s="9">
        <v>44862</v>
      </c>
      <c r="L3272" t="s">
        <v>29</v>
      </c>
      <c r="M3272"/>
      <c r="N3272" s="9">
        <v>44778</v>
      </c>
      <c r="O3272"/>
      <c r="P3272"/>
      <c r="Q3272" s="9">
        <v>44862</v>
      </c>
      <c r="R3272"/>
      <c r="S3272"/>
      <c r="T3272"/>
      <c r="U3272"/>
    </row>
    <row r="3273" spans="1:21" hidden="1">
      <c r="A3273" s="7" t="s">
        <v>8758</v>
      </c>
      <c r="B3273" s="7" t="s">
        <v>5405</v>
      </c>
      <c r="C3273" s="8" t="s">
        <v>5319</v>
      </c>
      <c r="D3273" t="s">
        <v>272</v>
      </c>
      <c r="E3273" t="s">
        <v>25</v>
      </c>
      <c r="F3273" t="s">
        <v>493</v>
      </c>
      <c r="G3273" t="s">
        <v>2900</v>
      </c>
      <c r="H3273" s="9">
        <v>44733</v>
      </c>
      <c r="I3273" t="s">
        <v>8634</v>
      </c>
      <c r="J3273" t="s">
        <v>0</v>
      </c>
      <c r="K3273" s="9">
        <v>44862</v>
      </c>
      <c r="L3273" t="s">
        <v>29</v>
      </c>
      <c r="M3273"/>
      <c r="N3273" s="9">
        <v>44778</v>
      </c>
      <c r="O3273"/>
      <c r="P3273"/>
      <c r="Q3273" s="9">
        <v>44862</v>
      </c>
      <c r="R3273"/>
      <c r="S3273"/>
      <c r="T3273"/>
      <c r="U3273"/>
    </row>
    <row r="3274" spans="1:21" hidden="1">
      <c r="A3274" s="7" t="s">
        <v>8758</v>
      </c>
      <c r="B3274" s="7" t="s">
        <v>5405</v>
      </c>
      <c r="C3274" s="8" t="s">
        <v>5319</v>
      </c>
      <c r="D3274" t="s">
        <v>272</v>
      </c>
      <c r="E3274" t="s">
        <v>25</v>
      </c>
      <c r="F3274" t="s">
        <v>493</v>
      </c>
      <c r="G3274" t="s">
        <v>2901</v>
      </c>
      <c r="H3274" s="9">
        <v>44733</v>
      </c>
      <c r="I3274" t="s">
        <v>8634</v>
      </c>
      <c r="J3274" t="s">
        <v>0</v>
      </c>
      <c r="K3274" s="9">
        <v>44862</v>
      </c>
      <c r="L3274" t="s">
        <v>29</v>
      </c>
      <c r="M3274"/>
      <c r="N3274" s="9">
        <v>44778</v>
      </c>
      <c r="O3274"/>
      <c r="P3274"/>
      <c r="Q3274" s="9">
        <v>44862</v>
      </c>
      <c r="R3274"/>
      <c r="S3274"/>
      <c r="T3274"/>
      <c r="U3274"/>
    </row>
    <row r="3275" spans="1:21" hidden="1">
      <c r="A3275" s="7" t="s">
        <v>8758</v>
      </c>
      <c r="B3275" s="7" t="s">
        <v>5405</v>
      </c>
      <c r="C3275" s="8" t="s">
        <v>5319</v>
      </c>
      <c r="D3275" t="s">
        <v>272</v>
      </c>
      <c r="E3275" t="s">
        <v>25</v>
      </c>
      <c r="F3275" t="s">
        <v>493</v>
      </c>
      <c r="G3275" t="s">
        <v>2902</v>
      </c>
      <c r="H3275" s="9">
        <v>44733</v>
      </c>
      <c r="I3275" t="s">
        <v>8634</v>
      </c>
      <c r="J3275" t="s">
        <v>0</v>
      </c>
      <c r="K3275" s="9">
        <v>44862</v>
      </c>
      <c r="L3275" t="s">
        <v>29</v>
      </c>
      <c r="M3275"/>
      <c r="N3275" s="9">
        <v>44778</v>
      </c>
      <c r="O3275"/>
      <c r="P3275"/>
      <c r="Q3275" s="9">
        <v>44862</v>
      </c>
      <c r="R3275"/>
      <c r="S3275"/>
      <c r="T3275"/>
      <c r="U3275"/>
    </row>
    <row r="3276" spans="1:21" hidden="1">
      <c r="A3276" s="7" t="s">
        <v>8758</v>
      </c>
      <c r="B3276" s="7" t="s">
        <v>5405</v>
      </c>
      <c r="C3276" s="8" t="s">
        <v>5319</v>
      </c>
      <c r="D3276" t="s">
        <v>272</v>
      </c>
      <c r="E3276" t="s">
        <v>25</v>
      </c>
      <c r="F3276" t="s">
        <v>493</v>
      </c>
      <c r="G3276" t="s">
        <v>2903</v>
      </c>
      <c r="H3276" s="9">
        <v>44733</v>
      </c>
      <c r="I3276" t="s">
        <v>8634</v>
      </c>
      <c r="J3276" t="s">
        <v>0</v>
      </c>
      <c r="K3276" s="9">
        <v>44862</v>
      </c>
      <c r="L3276" t="s">
        <v>29</v>
      </c>
      <c r="M3276"/>
      <c r="N3276" s="9">
        <v>44778</v>
      </c>
      <c r="O3276"/>
      <c r="P3276"/>
      <c r="Q3276" s="9">
        <v>44862</v>
      </c>
      <c r="R3276"/>
      <c r="S3276"/>
      <c r="T3276"/>
      <c r="U3276"/>
    </row>
    <row r="3277" spans="1:21" hidden="1">
      <c r="A3277" s="7" t="s">
        <v>8758</v>
      </c>
      <c r="B3277" s="7" t="s">
        <v>5405</v>
      </c>
      <c r="C3277" s="8" t="s">
        <v>5319</v>
      </c>
      <c r="D3277" t="s">
        <v>272</v>
      </c>
      <c r="E3277" t="s">
        <v>25</v>
      </c>
      <c r="F3277" t="s">
        <v>493</v>
      </c>
      <c r="G3277" t="s">
        <v>1588</v>
      </c>
      <c r="H3277" s="9">
        <v>44733</v>
      </c>
      <c r="I3277" t="s">
        <v>8634</v>
      </c>
      <c r="J3277" t="s">
        <v>0</v>
      </c>
      <c r="K3277" s="9">
        <v>44862</v>
      </c>
      <c r="L3277" t="s">
        <v>29</v>
      </c>
      <c r="M3277"/>
      <c r="N3277" s="9">
        <v>44778</v>
      </c>
      <c r="O3277"/>
      <c r="P3277"/>
      <c r="Q3277" s="9">
        <v>44862</v>
      </c>
      <c r="R3277"/>
      <c r="S3277"/>
      <c r="T3277"/>
      <c r="U3277"/>
    </row>
    <row r="3278" spans="1:21" hidden="1">
      <c r="A3278" s="7" t="s">
        <v>8758</v>
      </c>
      <c r="B3278" s="7" t="s">
        <v>5405</v>
      </c>
      <c r="C3278" s="8" t="s">
        <v>5319</v>
      </c>
      <c r="D3278" t="s">
        <v>272</v>
      </c>
      <c r="E3278" t="s">
        <v>25</v>
      </c>
      <c r="F3278" t="s">
        <v>493</v>
      </c>
      <c r="G3278" t="s">
        <v>2904</v>
      </c>
      <c r="H3278" s="9">
        <v>44733</v>
      </c>
      <c r="I3278" t="s">
        <v>8634</v>
      </c>
      <c r="J3278" t="s">
        <v>0</v>
      </c>
      <c r="K3278" s="9">
        <v>44862</v>
      </c>
      <c r="L3278" t="s">
        <v>29</v>
      </c>
      <c r="M3278"/>
      <c r="N3278" s="9">
        <v>44778</v>
      </c>
      <c r="O3278"/>
      <c r="P3278"/>
      <c r="Q3278" s="9">
        <v>44862</v>
      </c>
      <c r="R3278"/>
      <c r="S3278"/>
      <c r="T3278"/>
      <c r="U3278"/>
    </row>
    <row r="3279" spans="1:21" hidden="1">
      <c r="A3279" s="7" t="s">
        <v>8758</v>
      </c>
      <c r="B3279" s="7" t="s">
        <v>5405</v>
      </c>
      <c r="C3279" s="8" t="s">
        <v>5319</v>
      </c>
      <c r="D3279" t="s">
        <v>272</v>
      </c>
      <c r="E3279" t="s">
        <v>25</v>
      </c>
      <c r="F3279" t="s">
        <v>493</v>
      </c>
      <c r="G3279" t="s">
        <v>2905</v>
      </c>
      <c r="H3279" s="9">
        <v>44733</v>
      </c>
      <c r="I3279" t="s">
        <v>8634</v>
      </c>
      <c r="J3279" t="s">
        <v>0</v>
      </c>
      <c r="K3279" s="9">
        <v>44862</v>
      </c>
      <c r="L3279" t="s">
        <v>29</v>
      </c>
      <c r="M3279"/>
      <c r="N3279" s="9">
        <v>44778</v>
      </c>
      <c r="O3279"/>
      <c r="P3279"/>
      <c r="Q3279" s="9">
        <v>44862</v>
      </c>
      <c r="R3279"/>
      <c r="S3279"/>
      <c r="T3279"/>
      <c r="U3279"/>
    </row>
    <row r="3280" spans="1:21" hidden="1">
      <c r="A3280" s="7" t="s">
        <v>8758</v>
      </c>
      <c r="B3280" s="7" t="s">
        <v>5405</v>
      </c>
      <c r="C3280" s="8" t="s">
        <v>5319</v>
      </c>
      <c r="D3280" t="s">
        <v>272</v>
      </c>
      <c r="E3280" t="s">
        <v>25</v>
      </c>
      <c r="F3280" t="s">
        <v>493</v>
      </c>
      <c r="G3280" t="s">
        <v>1589</v>
      </c>
      <c r="H3280" s="9">
        <v>44733</v>
      </c>
      <c r="I3280" t="s">
        <v>8634</v>
      </c>
      <c r="J3280" t="s">
        <v>0</v>
      </c>
      <c r="K3280" s="9">
        <v>44862</v>
      </c>
      <c r="L3280" t="s">
        <v>29</v>
      </c>
      <c r="M3280"/>
      <c r="N3280" s="9">
        <v>44778</v>
      </c>
      <c r="O3280"/>
      <c r="P3280"/>
      <c r="Q3280" s="9">
        <v>44862</v>
      </c>
      <c r="R3280"/>
      <c r="S3280"/>
      <c r="T3280"/>
      <c r="U3280"/>
    </row>
    <row r="3281" spans="1:21" hidden="1">
      <c r="A3281" s="7" t="s">
        <v>8758</v>
      </c>
      <c r="B3281" s="7" t="s">
        <v>5405</v>
      </c>
      <c r="C3281" s="8" t="s">
        <v>5319</v>
      </c>
      <c r="D3281" t="s">
        <v>272</v>
      </c>
      <c r="E3281" t="s">
        <v>25</v>
      </c>
      <c r="F3281" t="s">
        <v>493</v>
      </c>
      <c r="G3281" t="s">
        <v>2906</v>
      </c>
      <c r="H3281" s="9">
        <v>44733</v>
      </c>
      <c r="I3281" t="s">
        <v>8634</v>
      </c>
      <c r="J3281" t="s">
        <v>0</v>
      </c>
      <c r="K3281" s="9">
        <v>44862</v>
      </c>
      <c r="L3281" t="s">
        <v>29</v>
      </c>
      <c r="M3281"/>
      <c r="N3281" s="9">
        <v>44778</v>
      </c>
      <c r="O3281"/>
      <c r="P3281"/>
      <c r="Q3281" s="9">
        <v>44862</v>
      </c>
      <c r="R3281"/>
      <c r="S3281"/>
      <c r="T3281"/>
      <c r="U3281"/>
    </row>
    <row r="3282" spans="1:21" hidden="1">
      <c r="A3282" s="7" t="s">
        <v>8758</v>
      </c>
      <c r="B3282" s="7" t="s">
        <v>5405</v>
      </c>
      <c r="C3282" s="8" t="s">
        <v>5319</v>
      </c>
      <c r="D3282" t="s">
        <v>272</v>
      </c>
      <c r="E3282" t="s">
        <v>25</v>
      </c>
      <c r="F3282" t="s">
        <v>493</v>
      </c>
      <c r="G3282" t="s">
        <v>2907</v>
      </c>
      <c r="H3282" s="9">
        <v>44733</v>
      </c>
      <c r="I3282" t="s">
        <v>8634</v>
      </c>
      <c r="J3282" t="s">
        <v>0</v>
      </c>
      <c r="K3282" s="9">
        <v>44862</v>
      </c>
      <c r="L3282" t="s">
        <v>29</v>
      </c>
      <c r="M3282"/>
      <c r="N3282" s="9">
        <v>44778</v>
      </c>
      <c r="O3282"/>
      <c r="P3282"/>
      <c r="Q3282" s="9">
        <v>44862</v>
      </c>
      <c r="R3282"/>
      <c r="S3282"/>
      <c r="T3282"/>
      <c r="U3282"/>
    </row>
    <row r="3283" spans="1:21" hidden="1">
      <c r="A3283" s="7" t="s">
        <v>8758</v>
      </c>
      <c r="B3283" s="7" t="s">
        <v>5405</v>
      </c>
      <c r="C3283" s="8" t="s">
        <v>5319</v>
      </c>
      <c r="D3283" t="s">
        <v>272</v>
      </c>
      <c r="E3283" t="s">
        <v>25</v>
      </c>
      <c r="F3283" t="s">
        <v>493</v>
      </c>
      <c r="G3283" t="s">
        <v>2908</v>
      </c>
      <c r="H3283" s="9">
        <v>44733</v>
      </c>
      <c r="I3283" t="s">
        <v>8634</v>
      </c>
      <c r="J3283" t="s">
        <v>0</v>
      </c>
      <c r="K3283" s="9">
        <v>44862</v>
      </c>
      <c r="L3283" t="s">
        <v>29</v>
      </c>
      <c r="M3283"/>
      <c r="N3283" s="9">
        <v>44778</v>
      </c>
      <c r="O3283"/>
      <c r="P3283"/>
      <c r="Q3283" s="9">
        <v>44862</v>
      </c>
      <c r="R3283"/>
      <c r="S3283"/>
      <c r="T3283"/>
      <c r="U3283"/>
    </row>
    <row r="3284" spans="1:21" hidden="1">
      <c r="A3284" s="7" t="s">
        <v>8758</v>
      </c>
      <c r="B3284" s="7" t="s">
        <v>5405</v>
      </c>
      <c r="C3284" s="8" t="s">
        <v>5319</v>
      </c>
      <c r="D3284" t="s">
        <v>272</v>
      </c>
      <c r="E3284" t="s">
        <v>25</v>
      </c>
      <c r="F3284" t="s">
        <v>493</v>
      </c>
      <c r="G3284" t="s">
        <v>2909</v>
      </c>
      <c r="H3284" s="9">
        <v>44733</v>
      </c>
      <c r="I3284" t="s">
        <v>8634</v>
      </c>
      <c r="J3284" t="s">
        <v>0</v>
      </c>
      <c r="K3284" s="9">
        <v>44862</v>
      </c>
      <c r="L3284" t="s">
        <v>29</v>
      </c>
      <c r="M3284"/>
      <c r="N3284" s="9">
        <v>44778</v>
      </c>
      <c r="O3284"/>
      <c r="P3284"/>
      <c r="Q3284" s="9">
        <v>44862</v>
      </c>
      <c r="R3284"/>
      <c r="S3284"/>
      <c r="T3284"/>
      <c r="U3284"/>
    </row>
    <row r="3285" spans="1:21" hidden="1">
      <c r="A3285" s="7" t="s">
        <v>8758</v>
      </c>
      <c r="B3285" s="7" t="s">
        <v>5405</v>
      </c>
      <c r="C3285" s="8" t="s">
        <v>5319</v>
      </c>
      <c r="D3285" t="s">
        <v>272</v>
      </c>
      <c r="E3285" t="s">
        <v>25</v>
      </c>
      <c r="F3285" t="s">
        <v>493</v>
      </c>
      <c r="G3285" t="s">
        <v>2910</v>
      </c>
      <c r="H3285" s="9">
        <v>44733</v>
      </c>
      <c r="I3285" t="s">
        <v>8634</v>
      </c>
      <c r="J3285" t="s">
        <v>0</v>
      </c>
      <c r="K3285" s="9">
        <v>44862</v>
      </c>
      <c r="L3285" t="s">
        <v>29</v>
      </c>
      <c r="M3285"/>
      <c r="N3285" s="9">
        <v>44778</v>
      </c>
      <c r="O3285"/>
      <c r="P3285"/>
      <c r="Q3285" s="9">
        <v>44862</v>
      </c>
      <c r="R3285"/>
      <c r="S3285"/>
      <c r="T3285"/>
      <c r="U3285"/>
    </row>
    <row r="3286" spans="1:21" hidden="1">
      <c r="A3286" s="7" t="s">
        <v>8712</v>
      </c>
      <c r="B3286" s="7" t="s">
        <v>5405</v>
      </c>
      <c r="C3286" s="8" t="s">
        <v>5319</v>
      </c>
      <c r="D3286" t="s">
        <v>272</v>
      </c>
      <c r="E3286" t="s">
        <v>25</v>
      </c>
      <c r="F3286" t="s">
        <v>26</v>
      </c>
      <c r="G3286" t="s">
        <v>2911</v>
      </c>
      <c r="H3286" s="9">
        <v>44733</v>
      </c>
      <c r="I3286" t="s">
        <v>8634</v>
      </c>
      <c r="J3286" t="s">
        <v>0</v>
      </c>
      <c r="K3286" s="9">
        <v>44882</v>
      </c>
      <c r="L3286" t="s">
        <v>29</v>
      </c>
      <c r="M3286"/>
      <c r="N3286" s="9">
        <v>44778</v>
      </c>
      <c r="O3286"/>
      <c r="P3286"/>
      <c r="Q3286" s="9">
        <v>44882</v>
      </c>
      <c r="R3286"/>
      <c r="S3286"/>
      <c r="T3286"/>
      <c r="U3286"/>
    </row>
    <row r="3287" spans="1:21" hidden="1">
      <c r="A3287" s="7" t="s">
        <v>8712</v>
      </c>
      <c r="B3287" s="7" t="s">
        <v>5405</v>
      </c>
      <c r="C3287" s="8" t="s">
        <v>5319</v>
      </c>
      <c r="D3287" t="s">
        <v>272</v>
      </c>
      <c r="E3287" t="s">
        <v>25</v>
      </c>
      <c r="F3287" t="s">
        <v>26</v>
      </c>
      <c r="G3287" t="s">
        <v>2912</v>
      </c>
      <c r="H3287" s="9">
        <v>44733</v>
      </c>
      <c r="I3287" t="s">
        <v>8634</v>
      </c>
      <c r="J3287" t="s">
        <v>0</v>
      </c>
      <c r="K3287" s="9">
        <v>44882</v>
      </c>
      <c r="L3287" t="s">
        <v>29</v>
      </c>
      <c r="M3287"/>
      <c r="N3287" s="9">
        <v>44778</v>
      </c>
      <c r="O3287"/>
      <c r="P3287"/>
      <c r="Q3287" s="9">
        <v>44882</v>
      </c>
      <c r="R3287"/>
      <c r="S3287"/>
      <c r="T3287"/>
      <c r="U3287"/>
    </row>
    <row r="3288" spans="1:21" hidden="1">
      <c r="A3288" s="7" t="s">
        <v>8758</v>
      </c>
      <c r="B3288" s="7" t="s">
        <v>5405</v>
      </c>
      <c r="C3288" s="8" t="s">
        <v>5319</v>
      </c>
      <c r="D3288" t="s">
        <v>272</v>
      </c>
      <c r="E3288" t="s">
        <v>25</v>
      </c>
      <c r="F3288" t="s">
        <v>493</v>
      </c>
      <c r="G3288" t="s">
        <v>2913</v>
      </c>
      <c r="H3288" s="9">
        <v>44733</v>
      </c>
      <c r="I3288" t="s">
        <v>8634</v>
      </c>
      <c r="J3288" t="s">
        <v>0</v>
      </c>
      <c r="K3288" s="9">
        <v>44862</v>
      </c>
      <c r="L3288" t="s">
        <v>29</v>
      </c>
      <c r="M3288"/>
      <c r="N3288" s="9">
        <v>44778</v>
      </c>
      <c r="O3288"/>
      <c r="P3288"/>
      <c r="Q3288" s="9">
        <v>44862</v>
      </c>
      <c r="R3288"/>
      <c r="S3288"/>
      <c r="T3288"/>
      <c r="U3288"/>
    </row>
    <row r="3289" spans="1:21" hidden="1">
      <c r="A3289" s="7" t="s">
        <v>8825</v>
      </c>
      <c r="B3289" s="7" t="s">
        <v>5405</v>
      </c>
      <c r="C3289" s="8" t="s">
        <v>5319</v>
      </c>
      <c r="D3289" t="s">
        <v>272</v>
      </c>
      <c r="E3289" t="s">
        <v>25</v>
      </c>
      <c r="F3289" t="s">
        <v>111</v>
      </c>
      <c r="G3289" t="s">
        <v>2914</v>
      </c>
      <c r="H3289" s="9">
        <v>44733</v>
      </c>
      <c r="I3289" t="s">
        <v>8634</v>
      </c>
      <c r="J3289" t="s">
        <v>0</v>
      </c>
      <c r="K3289" s="9">
        <v>44881</v>
      </c>
      <c r="L3289" t="s">
        <v>29</v>
      </c>
      <c r="M3289"/>
      <c r="N3289" s="9">
        <v>44778</v>
      </c>
      <c r="O3289"/>
      <c r="P3289"/>
      <c r="Q3289" s="9">
        <v>44881</v>
      </c>
      <c r="R3289"/>
      <c r="S3289"/>
      <c r="T3289"/>
      <c r="U3289"/>
    </row>
    <row r="3290" spans="1:21" hidden="1">
      <c r="A3290" s="7" t="s">
        <v>8712</v>
      </c>
      <c r="B3290" s="7" t="s">
        <v>5405</v>
      </c>
      <c r="C3290" s="8" t="s">
        <v>5319</v>
      </c>
      <c r="D3290" t="s">
        <v>272</v>
      </c>
      <c r="E3290" t="s">
        <v>25</v>
      </c>
      <c r="F3290" t="s">
        <v>26</v>
      </c>
      <c r="G3290" t="s">
        <v>2915</v>
      </c>
      <c r="H3290" s="9">
        <v>44733</v>
      </c>
      <c r="I3290" t="s">
        <v>8634</v>
      </c>
      <c r="J3290" t="s">
        <v>0</v>
      </c>
      <c r="K3290" s="9">
        <v>44882</v>
      </c>
      <c r="L3290" t="s">
        <v>29</v>
      </c>
      <c r="M3290"/>
      <c r="N3290" s="9">
        <v>44778</v>
      </c>
      <c r="O3290"/>
      <c r="P3290"/>
      <c r="Q3290" s="9">
        <v>44882</v>
      </c>
      <c r="R3290"/>
      <c r="S3290"/>
      <c r="T3290"/>
      <c r="U3290"/>
    </row>
    <row r="3291" spans="1:21" hidden="1">
      <c r="A3291" s="7" t="s">
        <v>8825</v>
      </c>
      <c r="B3291" s="7" t="s">
        <v>5405</v>
      </c>
      <c r="C3291" s="8" t="s">
        <v>5319</v>
      </c>
      <c r="D3291" t="s">
        <v>272</v>
      </c>
      <c r="E3291" t="s">
        <v>25</v>
      </c>
      <c r="F3291" t="s">
        <v>111</v>
      </c>
      <c r="G3291" t="s">
        <v>2916</v>
      </c>
      <c r="H3291" s="9">
        <v>44733</v>
      </c>
      <c r="I3291" t="s">
        <v>8634</v>
      </c>
      <c r="J3291" t="s">
        <v>0</v>
      </c>
      <c r="K3291" s="9">
        <v>44881</v>
      </c>
      <c r="L3291" t="s">
        <v>29</v>
      </c>
      <c r="M3291"/>
      <c r="N3291" s="9">
        <v>44778</v>
      </c>
      <c r="O3291"/>
      <c r="P3291"/>
      <c r="Q3291" s="9">
        <v>44881</v>
      </c>
      <c r="R3291"/>
      <c r="S3291"/>
      <c r="T3291"/>
      <c r="U3291"/>
    </row>
    <row r="3292" spans="1:21" hidden="1">
      <c r="A3292" s="7" t="s">
        <v>8758</v>
      </c>
      <c r="B3292" s="7" t="s">
        <v>5405</v>
      </c>
      <c r="C3292" s="8" t="s">
        <v>5319</v>
      </c>
      <c r="D3292" t="s">
        <v>272</v>
      </c>
      <c r="E3292" t="s">
        <v>25</v>
      </c>
      <c r="F3292" t="s">
        <v>493</v>
      </c>
      <c r="G3292" t="s">
        <v>2917</v>
      </c>
      <c r="H3292" s="9">
        <v>44733</v>
      </c>
      <c r="I3292" t="s">
        <v>8634</v>
      </c>
      <c r="J3292" t="s">
        <v>0</v>
      </c>
      <c r="K3292" s="9">
        <v>44862</v>
      </c>
      <c r="L3292" t="s">
        <v>29</v>
      </c>
      <c r="M3292"/>
      <c r="N3292" s="9">
        <v>44778</v>
      </c>
      <c r="O3292"/>
      <c r="P3292"/>
      <c r="Q3292" s="9">
        <v>44862</v>
      </c>
      <c r="R3292"/>
      <c r="S3292"/>
      <c r="T3292"/>
      <c r="U3292"/>
    </row>
    <row r="3293" spans="1:21" hidden="1">
      <c r="A3293" s="7" t="s">
        <v>8758</v>
      </c>
      <c r="B3293" s="7" t="s">
        <v>5405</v>
      </c>
      <c r="C3293" s="8" t="s">
        <v>5319</v>
      </c>
      <c r="D3293" t="s">
        <v>272</v>
      </c>
      <c r="E3293" t="s">
        <v>25</v>
      </c>
      <c r="F3293" t="s">
        <v>493</v>
      </c>
      <c r="G3293" t="s">
        <v>2918</v>
      </c>
      <c r="H3293" s="9">
        <v>44733</v>
      </c>
      <c r="I3293" t="s">
        <v>8634</v>
      </c>
      <c r="J3293" t="s">
        <v>0</v>
      </c>
      <c r="K3293" s="9">
        <v>44862</v>
      </c>
      <c r="L3293" t="s">
        <v>29</v>
      </c>
      <c r="M3293"/>
      <c r="N3293" s="9">
        <v>44778</v>
      </c>
      <c r="O3293"/>
      <c r="P3293"/>
      <c r="Q3293" s="9">
        <v>44862</v>
      </c>
      <c r="R3293"/>
      <c r="S3293"/>
      <c r="T3293"/>
      <c r="U3293"/>
    </row>
    <row r="3294" spans="1:21" hidden="1">
      <c r="A3294" s="7" t="s">
        <v>8712</v>
      </c>
      <c r="B3294" s="7" t="s">
        <v>5405</v>
      </c>
      <c r="C3294" s="8" t="s">
        <v>5319</v>
      </c>
      <c r="D3294" t="s">
        <v>272</v>
      </c>
      <c r="E3294" t="s">
        <v>25</v>
      </c>
      <c r="F3294" t="s">
        <v>26</v>
      </c>
      <c r="G3294" t="s">
        <v>2919</v>
      </c>
      <c r="H3294" s="9">
        <v>44733</v>
      </c>
      <c r="I3294" t="s">
        <v>8634</v>
      </c>
      <c r="J3294" t="s">
        <v>0</v>
      </c>
      <c r="K3294" s="9">
        <v>44882</v>
      </c>
      <c r="L3294" t="s">
        <v>29</v>
      </c>
      <c r="M3294"/>
      <c r="N3294" s="9">
        <v>44778</v>
      </c>
      <c r="O3294"/>
      <c r="P3294"/>
      <c r="Q3294" s="9">
        <v>44882</v>
      </c>
      <c r="R3294"/>
      <c r="S3294"/>
      <c r="T3294"/>
      <c r="U3294"/>
    </row>
    <row r="3295" spans="1:21" hidden="1">
      <c r="A3295" s="7" t="s">
        <v>8728</v>
      </c>
      <c r="B3295" s="7" t="s">
        <v>5405</v>
      </c>
      <c r="C3295" s="8" t="s">
        <v>5319</v>
      </c>
      <c r="D3295" t="s">
        <v>272</v>
      </c>
      <c r="E3295" t="s">
        <v>25</v>
      </c>
      <c r="F3295" t="s">
        <v>200</v>
      </c>
      <c r="G3295" t="s">
        <v>2920</v>
      </c>
      <c r="H3295" s="9">
        <v>44733</v>
      </c>
      <c r="I3295" t="s">
        <v>8634</v>
      </c>
      <c r="J3295" t="s">
        <v>0</v>
      </c>
      <c r="K3295" s="9">
        <v>44862</v>
      </c>
      <c r="L3295" t="s">
        <v>29</v>
      </c>
      <c r="M3295"/>
      <c r="N3295" s="9">
        <v>44778</v>
      </c>
      <c r="O3295"/>
      <c r="P3295"/>
      <c r="Q3295" s="9">
        <v>44862</v>
      </c>
      <c r="R3295"/>
      <c r="S3295"/>
      <c r="T3295"/>
      <c r="U3295"/>
    </row>
    <row r="3296" spans="1:21" hidden="1">
      <c r="A3296" s="7" t="s">
        <v>8758</v>
      </c>
      <c r="B3296" s="7" t="s">
        <v>5405</v>
      </c>
      <c r="C3296" s="8" t="s">
        <v>5319</v>
      </c>
      <c r="D3296" t="s">
        <v>272</v>
      </c>
      <c r="E3296" t="s">
        <v>25</v>
      </c>
      <c r="F3296" t="s">
        <v>493</v>
      </c>
      <c r="G3296" t="s">
        <v>2921</v>
      </c>
      <c r="H3296" s="9">
        <v>44733</v>
      </c>
      <c r="I3296" t="s">
        <v>8634</v>
      </c>
      <c r="J3296" t="s">
        <v>0</v>
      </c>
      <c r="K3296" s="9">
        <v>44862</v>
      </c>
      <c r="L3296" t="s">
        <v>29</v>
      </c>
      <c r="M3296"/>
      <c r="N3296" s="9">
        <v>44778</v>
      </c>
      <c r="O3296"/>
      <c r="P3296"/>
      <c r="Q3296" s="9">
        <v>44862</v>
      </c>
      <c r="R3296"/>
      <c r="S3296"/>
      <c r="T3296"/>
      <c r="U3296"/>
    </row>
    <row r="3297" spans="1:21" hidden="1">
      <c r="A3297" s="7" t="s">
        <v>8758</v>
      </c>
      <c r="B3297" s="7" t="s">
        <v>5405</v>
      </c>
      <c r="C3297" s="8" t="s">
        <v>5319</v>
      </c>
      <c r="D3297" t="s">
        <v>272</v>
      </c>
      <c r="E3297" t="s">
        <v>25</v>
      </c>
      <c r="F3297" t="s">
        <v>493</v>
      </c>
      <c r="G3297" t="s">
        <v>2922</v>
      </c>
      <c r="H3297" s="9">
        <v>44733</v>
      </c>
      <c r="I3297" t="s">
        <v>8634</v>
      </c>
      <c r="J3297" t="s">
        <v>0</v>
      </c>
      <c r="K3297" s="9">
        <v>44862</v>
      </c>
      <c r="L3297" t="s">
        <v>29</v>
      </c>
      <c r="M3297"/>
      <c r="N3297" s="9">
        <v>44778</v>
      </c>
      <c r="O3297"/>
      <c r="P3297"/>
      <c r="Q3297" s="9">
        <v>44862</v>
      </c>
      <c r="R3297"/>
      <c r="S3297"/>
      <c r="T3297"/>
      <c r="U3297"/>
    </row>
    <row r="3298" spans="1:21" hidden="1">
      <c r="A3298" s="7" t="s">
        <v>8758</v>
      </c>
      <c r="B3298" s="7" t="s">
        <v>5405</v>
      </c>
      <c r="C3298" s="8" t="s">
        <v>5319</v>
      </c>
      <c r="D3298" t="s">
        <v>272</v>
      </c>
      <c r="E3298" t="s">
        <v>25</v>
      </c>
      <c r="F3298" t="s">
        <v>493</v>
      </c>
      <c r="G3298" t="s">
        <v>2923</v>
      </c>
      <c r="H3298" s="9">
        <v>44733</v>
      </c>
      <c r="I3298" t="s">
        <v>8634</v>
      </c>
      <c r="J3298" t="s">
        <v>0</v>
      </c>
      <c r="K3298" s="9">
        <v>44862</v>
      </c>
      <c r="L3298" t="s">
        <v>29</v>
      </c>
      <c r="M3298"/>
      <c r="N3298" s="9">
        <v>44778</v>
      </c>
      <c r="O3298"/>
      <c r="P3298"/>
      <c r="Q3298" s="9">
        <v>44862</v>
      </c>
      <c r="R3298"/>
      <c r="S3298"/>
      <c r="T3298"/>
      <c r="U3298"/>
    </row>
    <row r="3299" spans="1:21" hidden="1">
      <c r="A3299" s="7" t="s">
        <v>8758</v>
      </c>
      <c r="B3299" s="7" t="s">
        <v>5405</v>
      </c>
      <c r="C3299" s="8" t="s">
        <v>5319</v>
      </c>
      <c r="D3299" t="s">
        <v>272</v>
      </c>
      <c r="E3299" t="s">
        <v>25</v>
      </c>
      <c r="F3299" t="s">
        <v>493</v>
      </c>
      <c r="G3299" t="s">
        <v>2924</v>
      </c>
      <c r="H3299" s="9">
        <v>44733</v>
      </c>
      <c r="I3299" t="s">
        <v>8634</v>
      </c>
      <c r="J3299" t="s">
        <v>0</v>
      </c>
      <c r="K3299" s="9">
        <v>44862</v>
      </c>
      <c r="L3299" t="s">
        <v>29</v>
      </c>
      <c r="M3299"/>
      <c r="N3299" s="9">
        <v>44778</v>
      </c>
      <c r="O3299"/>
      <c r="P3299"/>
      <c r="Q3299" s="9">
        <v>44862</v>
      </c>
      <c r="R3299"/>
      <c r="S3299"/>
      <c r="T3299"/>
      <c r="U3299"/>
    </row>
    <row r="3300" spans="1:21" hidden="1">
      <c r="A3300" s="7" t="s">
        <v>8712</v>
      </c>
      <c r="B3300" s="7" t="s">
        <v>5405</v>
      </c>
      <c r="C3300" s="8" t="s">
        <v>5319</v>
      </c>
      <c r="D3300" t="s">
        <v>272</v>
      </c>
      <c r="E3300" t="s">
        <v>25</v>
      </c>
      <c r="F3300" t="s">
        <v>26</v>
      </c>
      <c r="G3300" t="s">
        <v>2925</v>
      </c>
      <c r="H3300" s="9">
        <v>44733</v>
      </c>
      <c r="I3300" t="s">
        <v>8634</v>
      </c>
      <c r="J3300" t="s">
        <v>0</v>
      </c>
      <c r="K3300" s="9">
        <v>44882</v>
      </c>
      <c r="L3300" t="s">
        <v>29</v>
      </c>
      <c r="M3300"/>
      <c r="N3300" s="9">
        <v>44778</v>
      </c>
      <c r="O3300"/>
      <c r="P3300"/>
      <c r="Q3300" s="9">
        <v>44882</v>
      </c>
      <c r="R3300"/>
      <c r="S3300"/>
      <c r="T3300"/>
      <c r="U3300"/>
    </row>
    <row r="3301" spans="1:21" hidden="1">
      <c r="A3301" s="7" t="s">
        <v>8758</v>
      </c>
      <c r="B3301" s="7" t="s">
        <v>5405</v>
      </c>
      <c r="C3301" s="8" t="s">
        <v>5319</v>
      </c>
      <c r="D3301" t="s">
        <v>272</v>
      </c>
      <c r="E3301" t="s">
        <v>25</v>
      </c>
      <c r="F3301" t="s">
        <v>493</v>
      </c>
      <c r="G3301" t="s">
        <v>1599</v>
      </c>
      <c r="H3301" s="9">
        <v>44733</v>
      </c>
      <c r="I3301" t="s">
        <v>8634</v>
      </c>
      <c r="J3301" t="s">
        <v>0</v>
      </c>
      <c r="K3301" s="9">
        <v>44862</v>
      </c>
      <c r="L3301" t="s">
        <v>29</v>
      </c>
      <c r="M3301"/>
      <c r="N3301" s="9">
        <v>44778</v>
      </c>
      <c r="O3301"/>
      <c r="P3301"/>
      <c r="Q3301" s="9">
        <v>44862</v>
      </c>
      <c r="R3301"/>
      <c r="S3301"/>
      <c r="T3301"/>
      <c r="U3301"/>
    </row>
    <row r="3302" spans="1:21" hidden="1">
      <c r="A3302" s="7" t="s">
        <v>8712</v>
      </c>
      <c r="B3302" s="7" t="s">
        <v>5405</v>
      </c>
      <c r="C3302" s="8" t="s">
        <v>5319</v>
      </c>
      <c r="D3302" t="s">
        <v>272</v>
      </c>
      <c r="E3302" t="s">
        <v>25</v>
      </c>
      <c r="F3302" t="s">
        <v>26</v>
      </c>
      <c r="G3302" t="s">
        <v>2926</v>
      </c>
      <c r="H3302" s="9">
        <v>44733</v>
      </c>
      <c r="I3302" t="s">
        <v>8634</v>
      </c>
      <c r="J3302" t="s">
        <v>0</v>
      </c>
      <c r="K3302" s="9">
        <v>44882</v>
      </c>
      <c r="L3302" t="s">
        <v>29</v>
      </c>
      <c r="M3302"/>
      <c r="N3302" s="9">
        <v>44778</v>
      </c>
      <c r="O3302"/>
      <c r="P3302"/>
      <c r="Q3302" s="9">
        <v>44882</v>
      </c>
      <c r="R3302"/>
      <c r="S3302"/>
      <c r="T3302"/>
      <c r="U3302"/>
    </row>
    <row r="3303" spans="1:21" hidden="1">
      <c r="A3303" s="7" t="s">
        <v>8758</v>
      </c>
      <c r="B3303" s="7" t="s">
        <v>5405</v>
      </c>
      <c r="C3303" s="8" t="s">
        <v>5319</v>
      </c>
      <c r="D3303" t="s">
        <v>272</v>
      </c>
      <c r="E3303" t="s">
        <v>25</v>
      </c>
      <c r="F3303" t="s">
        <v>493</v>
      </c>
      <c r="G3303" t="s">
        <v>2927</v>
      </c>
      <c r="H3303" s="9">
        <v>44733</v>
      </c>
      <c r="I3303" t="s">
        <v>8634</v>
      </c>
      <c r="J3303" t="s">
        <v>0</v>
      </c>
      <c r="K3303" s="9">
        <v>44862</v>
      </c>
      <c r="L3303" t="s">
        <v>29</v>
      </c>
      <c r="M3303"/>
      <c r="N3303" s="9">
        <v>44778</v>
      </c>
      <c r="O3303"/>
      <c r="P3303"/>
      <c r="Q3303" s="9">
        <v>44862</v>
      </c>
      <c r="R3303"/>
      <c r="S3303"/>
      <c r="T3303"/>
      <c r="U3303"/>
    </row>
    <row r="3304" spans="1:21" hidden="1">
      <c r="A3304" s="7" t="s">
        <v>8758</v>
      </c>
      <c r="B3304" s="7" t="s">
        <v>5405</v>
      </c>
      <c r="C3304" s="8" t="s">
        <v>5319</v>
      </c>
      <c r="D3304" t="s">
        <v>272</v>
      </c>
      <c r="E3304" t="s">
        <v>25</v>
      </c>
      <c r="F3304" t="s">
        <v>493</v>
      </c>
      <c r="G3304" t="s">
        <v>2928</v>
      </c>
      <c r="H3304" s="9">
        <v>44733</v>
      </c>
      <c r="I3304" t="s">
        <v>8634</v>
      </c>
      <c r="J3304" t="s">
        <v>0</v>
      </c>
      <c r="K3304" s="9">
        <v>44862</v>
      </c>
      <c r="L3304" t="s">
        <v>29</v>
      </c>
      <c r="M3304"/>
      <c r="N3304" s="9">
        <v>44778</v>
      </c>
      <c r="O3304"/>
      <c r="P3304"/>
      <c r="Q3304" s="9">
        <v>44862</v>
      </c>
      <c r="R3304"/>
      <c r="S3304"/>
      <c r="T3304"/>
      <c r="U3304"/>
    </row>
    <row r="3305" spans="1:21" hidden="1">
      <c r="A3305" s="7" t="s">
        <v>8758</v>
      </c>
      <c r="B3305" s="7" t="s">
        <v>5405</v>
      </c>
      <c r="C3305" s="8" t="s">
        <v>5319</v>
      </c>
      <c r="D3305" t="s">
        <v>272</v>
      </c>
      <c r="E3305" t="s">
        <v>25</v>
      </c>
      <c r="F3305" t="s">
        <v>493</v>
      </c>
      <c r="G3305" t="s">
        <v>2929</v>
      </c>
      <c r="H3305" s="9">
        <v>44733</v>
      </c>
      <c r="I3305" t="s">
        <v>8634</v>
      </c>
      <c r="J3305" t="s">
        <v>0</v>
      </c>
      <c r="K3305" s="9">
        <v>44862</v>
      </c>
      <c r="L3305" t="s">
        <v>29</v>
      </c>
      <c r="M3305"/>
      <c r="N3305"/>
      <c r="O3305"/>
      <c r="P3305"/>
      <c r="Q3305" s="9">
        <v>44862</v>
      </c>
      <c r="R3305"/>
      <c r="S3305"/>
      <c r="T3305"/>
      <c r="U3305"/>
    </row>
    <row r="3306" spans="1:21" hidden="1">
      <c r="A3306" s="7" t="s">
        <v>8712</v>
      </c>
      <c r="B3306" s="7" t="s">
        <v>5405</v>
      </c>
      <c r="C3306" s="8" t="s">
        <v>5319</v>
      </c>
      <c r="D3306" t="s">
        <v>272</v>
      </c>
      <c r="E3306" t="s">
        <v>25</v>
      </c>
      <c r="F3306" t="s">
        <v>26</v>
      </c>
      <c r="G3306" t="s">
        <v>2930</v>
      </c>
      <c r="H3306" s="9">
        <v>44733</v>
      </c>
      <c r="I3306" t="s">
        <v>8634</v>
      </c>
      <c r="J3306" t="s">
        <v>0</v>
      </c>
      <c r="K3306" s="9">
        <v>44882</v>
      </c>
      <c r="L3306" t="s">
        <v>29</v>
      </c>
      <c r="M3306"/>
      <c r="N3306"/>
      <c r="O3306"/>
      <c r="P3306"/>
      <c r="Q3306" s="9">
        <v>44882</v>
      </c>
      <c r="R3306"/>
      <c r="S3306"/>
      <c r="T3306"/>
      <c r="U3306"/>
    </row>
    <row r="3307" spans="1:21" hidden="1">
      <c r="A3307" s="7" t="s">
        <v>8758</v>
      </c>
      <c r="B3307" s="7" t="s">
        <v>5405</v>
      </c>
      <c r="C3307" s="8" t="s">
        <v>5319</v>
      </c>
      <c r="D3307" t="s">
        <v>272</v>
      </c>
      <c r="E3307" t="s">
        <v>25</v>
      </c>
      <c r="F3307" t="s">
        <v>493</v>
      </c>
      <c r="G3307" t="s">
        <v>2931</v>
      </c>
      <c r="H3307" s="9">
        <v>44733</v>
      </c>
      <c r="I3307" t="s">
        <v>8634</v>
      </c>
      <c r="J3307" t="s">
        <v>0</v>
      </c>
      <c r="K3307" s="9">
        <v>44862</v>
      </c>
      <c r="L3307" t="s">
        <v>29</v>
      </c>
      <c r="M3307"/>
      <c r="N3307"/>
      <c r="O3307"/>
      <c r="P3307"/>
      <c r="Q3307" s="9">
        <v>44862</v>
      </c>
      <c r="R3307"/>
      <c r="S3307"/>
      <c r="T3307"/>
      <c r="U3307"/>
    </row>
    <row r="3308" spans="1:21" hidden="1">
      <c r="A3308" s="7" t="s">
        <v>8712</v>
      </c>
      <c r="B3308" s="7" t="s">
        <v>5405</v>
      </c>
      <c r="C3308" s="8" t="s">
        <v>5319</v>
      </c>
      <c r="D3308" t="s">
        <v>272</v>
      </c>
      <c r="E3308" t="s">
        <v>25</v>
      </c>
      <c r="F3308" t="s">
        <v>26</v>
      </c>
      <c r="G3308" t="s">
        <v>2932</v>
      </c>
      <c r="H3308" s="9">
        <v>44733</v>
      </c>
      <c r="I3308" t="s">
        <v>8634</v>
      </c>
      <c r="J3308" t="s">
        <v>0</v>
      </c>
      <c r="K3308" s="9">
        <v>44882</v>
      </c>
      <c r="L3308" t="s">
        <v>29</v>
      </c>
      <c r="M3308"/>
      <c r="N3308"/>
      <c r="O3308"/>
      <c r="P3308"/>
      <c r="Q3308" s="9">
        <v>44882</v>
      </c>
      <c r="R3308"/>
      <c r="S3308"/>
      <c r="T3308"/>
      <c r="U3308"/>
    </row>
    <row r="3309" spans="1:21" hidden="1">
      <c r="A3309" s="7" t="s">
        <v>8758</v>
      </c>
      <c r="B3309" s="7" t="s">
        <v>5405</v>
      </c>
      <c r="C3309" s="8" t="s">
        <v>5319</v>
      </c>
      <c r="D3309" t="s">
        <v>272</v>
      </c>
      <c r="E3309" t="s">
        <v>25</v>
      </c>
      <c r="F3309" t="s">
        <v>493</v>
      </c>
      <c r="G3309" t="s">
        <v>2933</v>
      </c>
      <c r="H3309" s="9">
        <v>44733</v>
      </c>
      <c r="I3309" t="s">
        <v>8634</v>
      </c>
      <c r="J3309" t="s">
        <v>0</v>
      </c>
      <c r="K3309" s="9">
        <v>44862</v>
      </c>
      <c r="L3309" t="s">
        <v>29</v>
      </c>
      <c r="M3309"/>
      <c r="N3309"/>
      <c r="O3309"/>
      <c r="P3309"/>
      <c r="Q3309" s="9">
        <v>44862</v>
      </c>
      <c r="R3309"/>
      <c r="S3309"/>
      <c r="T3309"/>
      <c r="U3309"/>
    </row>
    <row r="3310" spans="1:21" hidden="1">
      <c r="A3310" s="7" t="s">
        <v>8758</v>
      </c>
      <c r="B3310" s="7" t="s">
        <v>5405</v>
      </c>
      <c r="C3310" s="8" t="s">
        <v>5319</v>
      </c>
      <c r="D3310" t="s">
        <v>272</v>
      </c>
      <c r="E3310" t="s">
        <v>25</v>
      </c>
      <c r="F3310" t="s">
        <v>493</v>
      </c>
      <c r="G3310" t="s">
        <v>2934</v>
      </c>
      <c r="H3310" s="9">
        <v>44733</v>
      </c>
      <c r="I3310" t="s">
        <v>8634</v>
      </c>
      <c r="J3310" t="s">
        <v>0</v>
      </c>
      <c r="K3310" s="9">
        <v>44862</v>
      </c>
      <c r="L3310" t="s">
        <v>29</v>
      </c>
      <c r="M3310"/>
      <c r="N3310"/>
      <c r="O3310"/>
      <c r="P3310"/>
      <c r="Q3310" s="9">
        <v>44862</v>
      </c>
      <c r="R3310"/>
      <c r="S3310"/>
      <c r="T3310"/>
      <c r="U3310"/>
    </row>
    <row r="3311" spans="1:21" hidden="1">
      <c r="A3311" s="7" t="s">
        <v>8758</v>
      </c>
      <c r="B3311" s="7" t="s">
        <v>5405</v>
      </c>
      <c r="C3311" s="8" t="s">
        <v>5319</v>
      </c>
      <c r="D3311" t="s">
        <v>272</v>
      </c>
      <c r="E3311" t="s">
        <v>25</v>
      </c>
      <c r="F3311" t="s">
        <v>493</v>
      </c>
      <c r="G3311" t="s">
        <v>2935</v>
      </c>
      <c r="H3311" s="9">
        <v>44733</v>
      </c>
      <c r="I3311" t="s">
        <v>8634</v>
      </c>
      <c r="J3311" t="s">
        <v>0</v>
      </c>
      <c r="K3311" s="9">
        <v>44862</v>
      </c>
      <c r="L3311" t="s">
        <v>29</v>
      </c>
      <c r="M3311"/>
      <c r="N3311"/>
      <c r="O3311"/>
      <c r="P3311"/>
      <c r="Q3311" s="9">
        <v>44862</v>
      </c>
      <c r="R3311"/>
      <c r="S3311"/>
      <c r="T3311"/>
      <c r="U3311"/>
    </row>
    <row r="3312" spans="1:21" hidden="1">
      <c r="A3312" s="7" t="s">
        <v>8758</v>
      </c>
      <c r="B3312" s="7" t="s">
        <v>5405</v>
      </c>
      <c r="C3312" s="8" t="s">
        <v>5319</v>
      </c>
      <c r="D3312" t="s">
        <v>272</v>
      </c>
      <c r="E3312" t="s">
        <v>25</v>
      </c>
      <c r="F3312" t="s">
        <v>493</v>
      </c>
      <c r="G3312" t="s">
        <v>2936</v>
      </c>
      <c r="H3312" s="9">
        <v>44733</v>
      </c>
      <c r="I3312" t="s">
        <v>8634</v>
      </c>
      <c r="J3312" t="s">
        <v>0</v>
      </c>
      <c r="K3312" s="9">
        <v>44862</v>
      </c>
      <c r="L3312" t="s">
        <v>29</v>
      </c>
      <c r="M3312"/>
      <c r="N3312"/>
      <c r="O3312"/>
      <c r="P3312"/>
      <c r="Q3312" s="9">
        <v>44862</v>
      </c>
      <c r="R3312"/>
      <c r="S3312"/>
      <c r="T3312"/>
      <c r="U3312"/>
    </row>
    <row r="3313" spans="1:21" hidden="1">
      <c r="A3313" s="7" t="s">
        <v>8712</v>
      </c>
      <c r="B3313" s="7" t="s">
        <v>5405</v>
      </c>
      <c r="C3313" s="8" t="s">
        <v>5319</v>
      </c>
      <c r="D3313" t="s">
        <v>272</v>
      </c>
      <c r="E3313" t="s">
        <v>25</v>
      </c>
      <c r="F3313" t="s">
        <v>26</v>
      </c>
      <c r="G3313" t="s">
        <v>2937</v>
      </c>
      <c r="H3313" s="9">
        <v>44733</v>
      </c>
      <c r="I3313" t="s">
        <v>8634</v>
      </c>
      <c r="J3313" t="s">
        <v>0</v>
      </c>
      <c r="K3313" s="9">
        <v>44882</v>
      </c>
      <c r="L3313" t="s">
        <v>29</v>
      </c>
      <c r="M3313"/>
      <c r="N3313"/>
      <c r="O3313"/>
      <c r="P3313"/>
      <c r="Q3313" s="9">
        <v>44882</v>
      </c>
      <c r="R3313"/>
      <c r="S3313"/>
      <c r="T3313"/>
      <c r="U3313"/>
    </row>
    <row r="3314" spans="1:21" hidden="1">
      <c r="A3314" s="7" t="s">
        <v>8758</v>
      </c>
      <c r="B3314" s="7" t="s">
        <v>5405</v>
      </c>
      <c r="C3314" s="8" t="s">
        <v>5319</v>
      </c>
      <c r="D3314" t="s">
        <v>272</v>
      </c>
      <c r="E3314" t="s">
        <v>25</v>
      </c>
      <c r="F3314" t="s">
        <v>493</v>
      </c>
      <c r="G3314" t="s">
        <v>2938</v>
      </c>
      <c r="H3314" s="9">
        <v>44733</v>
      </c>
      <c r="I3314" t="s">
        <v>8634</v>
      </c>
      <c r="J3314" t="s">
        <v>0</v>
      </c>
      <c r="K3314" s="9">
        <v>44862</v>
      </c>
      <c r="L3314" t="s">
        <v>29</v>
      </c>
      <c r="M3314"/>
      <c r="N3314"/>
      <c r="O3314"/>
      <c r="P3314"/>
      <c r="Q3314" s="9">
        <v>44862</v>
      </c>
      <c r="R3314"/>
      <c r="S3314"/>
      <c r="T3314"/>
      <c r="U3314"/>
    </row>
    <row r="3315" spans="1:21" hidden="1">
      <c r="A3315" s="7" t="s">
        <v>8712</v>
      </c>
      <c r="B3315" s="7" t="s">
        <v>5405</v>
      </c>
      <c r="C3315" s="8" t="s">
        <v>5319</v>
      </c>
      <c r="D3315" t="s">
        <v>272</v>
      </c>
      <c r="E3315" t="s">
        <v>25</v>
      </c>
      <c r="F3315" t="s">
        <v>26</v>
      </c>
      <c r="G3315" t="s">
        <v>2939</v>
      </c>
      <c r="H3315" s="9">
        <v>44733</v>
      </c>
      <c r="I3315" t="s">
        <v>8634</v>
      </c>
      <c r="J3315" t="s">
        <v>0</v>
      </c>
      <c r="K3315" s="9">
        <v>44882</v>
      </c>
      <c r="L3315" t="s">
        <v>29</v>
      </c>
      <c r="M3315"/>
      <c r="N3315"/>
      <c r="O3315"/>
      <c r="P3315"/>
      <c r="Q3315" s="9">
        <v>44882</v>
      </c>
      <c r="R3315"/>
      <c r="S3315"/>
      <c r="T3315"/>
      <c r="U3315"/>
    </row>
    <row r="3316" spans="1:21" hidden="1">
      <c r="A3316" s="7" t="s">
        <v>8712</v>
      </c>
      <c r="B3316" s="7" t="s">
        <v>5405</v>
      </c>
      <c r="C3316" s="8" t="s">
        <v>5319</v>
      </c>
      <c r="D3316" t="s">
        <v>272</v>
      </c>
      <c r="E3316" t="s">
        <v>25</v>
      </c>
      <c r="F3316" t="s">
        <v>26</v>
      </c>
      <c r="G3316" t="s">
        <v>2940</v>
      </c>
      <c r="H3316" s="9">
        <v>44733</v>
      </c>
      <c r="I3316" t="s">
        <v>8634</v>
      </c>
      <c r="J3316" t="s">
        <v>0</v>
      </c>
      <c r="K3316" s="9">
        <v>44882</v>
      </c>
      <c r="L3316" t="s">
        <v>29</v>
      </c>
      <c r="M3316"/>
      <c r="N3316"/>
      <c r="O3316"/>
      <c r="P3316"/>
      <c r="Q3316" s="9">
        <v>44882</v>
      </c>
      <c r="R3316"/>
      <c r="S3316"/>
      <c r="T3316"/>
      <c r="U3316"/>
    </row>
    <row r="3317" spans="1:21" hidden="1">
      <c r="A3317" s="7" t="s">
        <v>8712</v>
      </c>
      <c r="B3317" s="7" t="s">
        <v>5405</v>
      </c>
      <c r="C3317" s="8" t="s">
        <v>5319</v>
      </c>
      <c r="D3317" t="s">
        <v>272</v>
      </c>
      <c r="E3317" t="s">
        <v>25</v>
      </c>
      <c r="F3317" t="s">
        <v>26</v>
      </c>
      <c r="G3317" t="s">
        <v>2941</v>
      </c>
      <c r="H3317" s="9">
        <v>44733</v>
      </c>
      <c r="I3317" t="s">
        <v>8634</v>
      </c>
      <c r="J3317" t="s">
        <v>0</v>
      </c>
      <c r="K3317" s="9">
        <v>44882</v>
      </c>
      <c r="L3317" t="s">
        <v>29</v>
      </c>
      <c r="M3317"/>
      <c r="N3317"/>
      <c r="O3317"/>
      <c r="P3317"/>
      <c r="Q3317" s="9">
        <v>44882</v>
      </c>
      <c r="R3317"/>
      <c r="S3317"/>
      <c r="T3317"/>
      <c r="U3317"/>
    </row>
    <row r="3318" spans="1:21" hidden="1">
      <c r="A3318" s="7" t="s">
        <v>8758</v>
      </c>
      <c r="B3318" s="7" t="s">
        <v>5405</v>
      </c>
      <c r="C3318" s="8" t="s">
        <v>5319</v>
      </c>
      <c r="D3318" t="s">
        <v>272</v>
      </c>
      <c r="E3318" t="s">
        <v>25</v>
      </c>
      <c r="F3318" t="s">
        <v>493</v>
      </c>
      <c r="G3318" t="s">
        <v>2942</v>
      </c>
      <c r="H3318" s="9">
        <v>44733</v>
      </c>
      <c r="I3318" t="s">
        <v>8634</v>
      </c>
      <c r="J3318" t="s">
        <v>0</v>
      </c>
      <c r="K3318" s="9">
        <v>44862</v>
      </c>
      <c r="L3318" t="s">
        <v>29</v>
      </c>
      <c r="M3318"/>
      <c r="N3318"/>
      <c r="O3318"/>
      <c r="P3318"/>
      <c r="Q3318" s="9">
        <v>44862</v>
      </c>
      <c r="R3318"/>
      <c r="S3318"/>
      <c r="T3318"/>
      <c r="U3318"/>
    </row>
    <row r="3319" spans="1:21" hidden="1">
      <c r="A3319" s="7" t="s">
        <v>8758</v>
      </c>
      <c r="B3319" s="7" t="s">
        <v>5405</v>
      </c>
      <c r="C3319" s="8" t="s">
        <v>5319</v>
      </c>
      <c r="D3319" t="s">
        <v>272</v>
      </c>
      <c r="E3319" t="s">
        <v>25</v>
      </c>
      <c r="F3319" t="s">
        <v>493</v>
      </c>
      <c r="G3319" t="s">
        <v>2943</v>
      </c>
      <c r="H3319" s="9">
        <v>44733</v>
      </c>
      <c r="I3319" t="s">
        <v>8634</v>
      </c>
      <c r="J3319" t="s">
        <v>0</v>
      </c>
      <c r="K3319" s="9">
        <v>44862</v>
      </c>
      <c r="L3319" t="s">
        <v>29</v>
      </c>
      <c r="M3319"/>
      <c r="N3319"/>
      <c r="O3319"/>
      <c r="P3319"/>
      <c r="Q3319" s="9">
        <v>44862</v>
      </c>
      <c r="R3319"/>
      <c r="S3319"/>
      <c r="T3319"/>
      <c r="U3319"/>
    </row>
    <row r="3320" spans="1:21" hidden="1">
      <c r="A3320" s="7" t="s">
        <v>8893</v>
      </c>
      <c r="B3320" s="7" t="s">
        <v>5405</v>
      </c>
      <c r="C3320" s="8" t="s">
        <v>5319</v>
      </c>
      <c r="D3320" t="s">
        <v>272</v>
      </c>
      <c r="E3320" t="s">
        <v>25</v>
      </c>
      <c r="F3320" t="s">
        <v>209</v>
      </c>
      <c r="G3320" t="s">
        <v>2944</v>
      </c>
      <c r="H3320" s="9">
        <v>44733</v>
      </c>
      <c r="I3320" t="s">
        <v>8634</v>
      </c>
      <c r="J3320" t="s">
        <v>0</v>
      </c>
      <c r="K3320" s="9">
        <v>44858</v>
      </c>
      <c r="L3320" t="s">
        <v>29</v>
      </c>
      <c r="M3320"/>
      <c r="N3320"/>
      <c r="O3320"/>
      <c r="P3320"/>
      <c r="Q3320" s="9">
        <v>44858</v>
      </c>
      <c r="R3320"/>
      <c r="S3320"/>
      <c r="T3320"/>
      <c r="U3320"/>
    </row>
    <row r="3321" spans="1:21" hidden="1">
      <c r="A3321" s="7" t="s">
        <v>8758</v>
      </c>
      <c r="B3321" s="7" t="s">
        <v>5405</v>
      </c>
      <c r="C3321" s="8" t="s">
        <v>5319</v>
      </c>
      <c r="D3321" t="s">
        <v>272</v>
      </c>
      <c r="E3321" t="s">
        <v>25</v>
      </c>
      <c r="F3321" t="s">
        <v>493</v>
      </c>
      <c r="G3321" t="s">
        <v>2945</v>
      </c>
      <c r="H3321" s="9">
        <v>44733</v>
      </c>
      <c r="I3321" t="s">
        <v>8634</v>
      </c>
      <c r="J3321" t="s">
        <v>0</v>
      </c>
      <c r="K3321" s="9">
        <v>44862</v>
      </c>
      <c r="L3321" t="s">
        <v>29</v>
      </c>
      <c r="M3321"/>
      <c r="N3321"/>
      <c r="O3321"/>
      <c r="P3321"/>
      <c r="Q3321" s="9">
        <v>44862</v>
      </c>
      <c r="R3321"/>
      <c r="S3321"/>
      <c r="T3321"/>
      <c r="U3321"/>
    </row>
    <row r="3322" spans="1:21" hidden="1">
      <c r="A3322" s="7" t="s">
        <v>8758</v>
      </c>
      <c r="B3322" s="7" t="s">
        <v>5405</v>
      </c>
      <c r="C3322" s="8" t="s">
        <v>5319</v>
      </c>
      <c r="D3322" t="s">
        <v>272</v>
      </c>
      <c r="E3322" t="s">
        <v>25</v>
      </c>
      <c r="F3322" t="s">
        <v>493</v>
      </c>
      <c r="G3322" t="s">
        <v>1604</v>
      </c>
      <c r="H3322" s="9">
        <v>44733</v>
      </c>
      <c r="I3322" t="s">
        <v>8634</v>
      </c>
      <c r="J3322" t="s">
        <v>0</v>
      </c>
      <c r="K3322" s="9">
        <v>44862</v>
      </c>
      <c r="L3322" t="s">
        <v>29</v>
      </c>
      <c r="M3322"/>
      <c r="N3322"/>
      <c r="O3322"/>
      <c r="P3322"/>
      <c r="Q3322" s="9">
        <v>44862</v>
      </c>
      <c r="R3322"/>
      <c r="S3322"/>
      <c r="T3322"/>
      <c r="U3322"/>
    </row>
    <row r="3323" spans="1:21" hidden="1">
      <c r="A3323" s="7" t="s">
        <v>8758</v>
      </c>
      <c r="B3323" s="7" t="s">
        <v>5405</v>
      </c>
      <c r="C3323" s="8" t="s">
        <v>5319</v>
      </c>
      <c r="D3323" t="s">
        <v>272</v>
      </c>
      <c r="E3323" t="s">
        <v>25</v>
      </c>
      <c r="F3323" t="s">
        <v>493</v>
      </c>
      <c r="G3323" t="s">
        <v>2946</v>
      </c>
      <c r="H3323" s="9">
        <v>44733</v>
      </c>
      <c r="I3323" t="s">
        <v>8634</v>
      </c>
      <c r="J3323" t="s">
        <v>0</v>
      </c>
      <c r="K3323" s="9">
        <v>44862</v>
      </c>
      <c r="L3323" t="s">
        <v>29</v>
      </c>
      <c r="M3323"/>
      <c r="N3323"/>
      <c r="O3323"/>
      <c r="P3323"/>
      <c r="Q3323" s="9">
        <v>44862</v>
      </c>
      <c r="R3323" s="9">
        <v>44776.735254629602</v>
      </c>
      <c r="S3323"/>
      <c r="T3323"/>
      <c r="U3323"/>
    </row>
    <row r="3324" spans="1:21" hidden="1">
      <c r="A3324" s="7" t="s">
        <v>8742</v>
      </c>
      <c r="B3324" s="7" t="s">
        <v>6943</v>
      </c>
      <c r="C3324" s="8" t="s">
        <v>5319</v>
      </c>
      <c r="D3324" t="s">
        <v>272</v>
      </c>
      <c r="E3324" t="s">
        <v>324</v>
      </c>
      <c r="F3324" t="s">
        <v>75</v>
      </c>
      <c r="G3324" t="s">
        <v>2947</v>
      </c>
      <c r="H3324" s="9">
        <v>44733</v>
      </c>
      <c r="I3324" t="s">
        <v>282</v>
      </c>
      <c r="J3324" t="s">
        <v>0</v>
      </c>
      <c r="K3324" s="9">
        <v>44817</v>
      </c>
      <c r="L3324" t="s">
        <v>29</v>
      </c>
      <c r="M3324"/>
      <c r="N3324" s="9">
        <v>44778</v>
      </c>
      <c r="O3324"/>
      <c r="P3324"/>
      <c r="Q3324" s="9">
        <v>44817</v>
      </c>
      <c r="R3324" s="9">
        <v>44816.486284722203</v>
      </c>
      <c r="S3324"/>
      <c r="T3324"/>
      <c r="U3324"/>
    </row>
    <row r="3325" spans="1:21" hidden="1">
      <c r="A3325" s="7" t="s">
        <v>8742</v>
      </c>
      <c r="B3325" s="7" t="s">
        <v>6943</v>
      </c>
      <c r="C3325" s="8" t="s">
        <v>5319</v>
      </c>
      <c r="D3325" t="s">
        <v>272</v>
      </c>
      <c r="E3325" t="s">
        <v>324</v>
      </c>
      <c r="F3325" t="s">
        <v>75</v>
      </c>
      <c r="G3325" t="s">
        <v>2948</v>
      </c>
      <c r="H3325" s="9">
        <v>44733</v>
      </c>
      <c r="I3325" t="s">
        <v>282</v>
      </c>
      <c r="J3325" t="s">
        <v>0</v>
      </c>
      <c r="K3325" s="9">
        <v>44817</v>
      </c>
      <c r="L3325" t="s">
        <v>29</v>
      </c>
      <c r="M3325"/>
      <c r="N3325" s="9">
        <v>44778</v>
      </c>
      <c r="O3325"/>
      <c r="P3325"/>
      <c r="Q3325" s="9">
        <v>44817</v>
      </c>
      <c r="R3325" s="9">
        <v>44816.486284722203</v>
      </c>
      <c r="S3325"/>
      <c r="T3325"/>
      <c r="U3325"/>
    </row>
    <row r="3326" spans="1:21" hidden="1">
      <c r="A3326" s="7" t="s">
        <v>8742</v>
      </c>
      <c r="B3326" s="7" t="s">
        <v>6943</v>
      </c>
      <c r="C3326" s="8" t="s">
        <v>5319</v>
      </c>
      <c r="D3326" t="s">
        <v>272</v>
      </c>
      <c r="E3326" t="s">
        <v>324</v>
      </c>
      <c r="F3326" t="s">
        <v>75</v>
      </c>
      <c r="G3326" t="s">
        <v>2949</v>
      </c>
      <c r="H3326" s="9">
        <v>44733</v>
      </c>
      <c r="I3326" t="s">
        <v>282</v>
      </c>
      <c r="J3326" t="s">
        <v>0</v>
      </c>
      <c r="K3326" s="9">
        <v>44817</v>
      </c>
      <c r="L3326" t="s">
        <v>29</v>
      </c>
      <c r="M3326"/>
      <c r="N3326" s="9">
        <v>44778</v>
      </c>
      <c r="O3326"/>
      <c r="P3326"/>
      <c r="Q3326" s="9">
        <v>44817</v>
      </c>
      <c r="R3326" s="9">
        <v>44816.486284722203</v>
      </c>
      <c r="S3326"/>
      <c r="T3326"/>
      <c r="U3326"/>
    </row>
    <row r="3327" spans="1:21" hidden="1">
      <c r="A3327" s="7" t="s">
        <v>8883</v>
      </c>
      <c r="B3327" s="7" t="s">
        <v>6806</v>
      </c>
      <c r="C3327" s="8" t="s">
        <v>5319</v>
      </c>
      <c r="D3327" t="s">
        <v>272</v>
      </c>
      <c r="E3327" t="s">
        <v>2693</v>
      </c>
      <c r="F3327" t="s">
        <v>117</v>
      </c>
      <c r="G3327" t="s">
        <v>2950</v>
      </c>
      <c r="H3327" s="9">
        <v>44733</v>
      </c>
      <c r="I3327" t="s">
        <v>211</v>
      </c>
      <c r="J3327" t="s">
        <v>5330</v>
      </c>
      <c r="K3327" s="9">
        <v>44834</v>
      </c>
      <c r="L3327" t="s">
        <v>29</v>
      </c>
      <c r="M3327"/>
      <c r="N3327" s="9">
        <v>44778</v>
      </c>
      <c r="O3327" s="9">
        <v>44834</v>
      </c>
      <c r="P3327"/>
      <c r="Q3327"/>
      <c r="R3327"/>
      <c r="S3327"/>
      <c r="T3327"/>
      <c r="U3327"/>
    </row>
    <row r="3328" spans="1:21" hidden="1">
      <c r="A3328" s="7" t="s">
        <v>8883</v>
      </c>
      <c r="B3328" s="7" t="s">
        <v>6806</v>
      </c>
      <c r="C3328" s="8" t="s">
        <v>5319</v>
      </c>
      <c r="D3328" t="s">
        <v>272</v>
      </c>
      <c r="E3328" t="s">
        <v>2693</v>
      </c>
      <c r="F3328" t="s">
        <v>117</v>
      </c>
      <c r="G3328" t="s">
        <v>2951</v>
      </c>
      <c r="H3328" s="9">
        <v>44733</v>
      </c>
      <c r="I3328" t="s">
        <v>211</v>
      </c>
      <c r="J3328" t="s">
        <v>5330</v>
      </c>
      <c r="K3328" s="9">
        <v>44834</v>
      </c>
      <c r="L3328" t="s">
        <v>29</v>
      </c>
      <c r="M3328"/>
      <c r="N3328" s="9">
        <v>44778</v>
      </c>
      <c r="O3328" s="9">
        <v>44834</v>
      </c>
      <c r="P3328"/>
      <c r="Q3328"/>
      <c r="R3328"/>
      <c r="S3328"/>
      <c r="T3328"/>
      <c r="U3328"/>
    </row>
    <row r="3329" spans="1:21" hidden="1">
      <c r="A3329" s="7" t="s">
        <v>8894</v>
      </c>
      <c r="B3329" s="7" t="s">
        <v>8361</v>
      </c>
      <c r="C3329" s="8" t="s">
        <v>5319</v>
      </c>
      <c r="D3329" t="s">
        <v>272</v>
      </c>
      <c r="E3329" t="s">
        <v>2952</v>
      </c>
      <c r="F3329" t="s">
        <v>117</v>
      </c>
      <c r="G3329" t="s">
        <v>2953</v>
      </c>
      <c r="H3329" s="9">
        <v>44733</v>
      </c>
      <c r="I3329" t="s">
        <v>2187</v>
      </c>
      <c r="J3329" t="s">
        <v>5330</v>
      </c>
      <c r="K3329" s="9">
        <v>44834</v>
      </c>
      <c r="L3329" t="s">
        <v>29</v>
      </c>
      <c r="M3329"/>
      <c r="N3329" s="9">
        <v>44778</v>
      </c>
      <c r="O3329" s="9">
        <v>44834</v>
      </c>
      <c r="P3329"/>
      <c r="Q3329"/>
      <c r="R3329"/>
      <c r="S3329"/>
      <c r="T3329"/>
      <c r="U3329"/>
    </row>
    <row r="3330" spans="1:21" hidden="1">
      <c r="A3330" s="7" t="s">
        <v>8895</v>
      </c>
      <c r="B3330" s="7" t="s">
        <v>7970</v>
      </c>
      <c r="C3330" s="8" t="s">
        <v>5319</v>
      </c>
      <c r="D3330" t="s">
        <v>272</v>
      </c>
      <c r="E3330" t="s">
        <v>2954</v>
      </c>
      <c r="F3330" t="s">
        <v>117</v>
      </c>
      <c r="G3330" t="s">
        <v>2955</v>
      </c>
      <c r="H3330" s="9">
        <v>44733</v>
      </c>
      <c r="I3330" t="s">
        <v>509</v>
      </c>
      <c r="J3330" t="s">
        <v>5330</v>
      </c>
      <c r="K3330" s="9">
        <v>44834</v>
      </c>
      <c r="L3330" t="s">
        <v>29</v>
      </c>
      <c r="M3330"/>
      <c r="N3330" s="9">
        <v>44778</v>
      </c>
      <c r="O3330" s="9">
        <v>44834</v>
      </c>
      <c r="P3330"/>
      <c r="Q3330"/>
      <c r="R3330"/>
      <c r="S3330"/>
      <c r="T3330"/>
      <c r="U3330"/>
    </row>
    <row r="3331" spans="1:21" hidden="1">
      <c r="A3331" s="7" t="s">
        <v>8895</v>
      </c>
      <c r="B3331" s="7" t="s">
        <v>7970</v>
      </c>
      <c r="C3331" s="8" t="s">
        <v>5319</v>
      </c>
      <c r="D3331" t="s">
        <v>272</v>
      </c>
      <c r="E3331" t="s">
        <v>2954</v>
      </c>
      <c r="F3331" t="s">
        <v>117</v>
      </c>
      <c r="G3331" t="s">
        <v>2956</v>
      </c>
      <c r="H3331" s="9">
        <v>44733</v>
      </c>
      <c r="I3331" t="s">
        <v>509</v>
      </c>
      <c r="J3331" t="s">
        <v>5330</v>
      </c>
      <c r="K3331" s="9">
        <v>44834</v>
      </c>
      <c r="L3331" t="s">
        <v>29</v>
      </c>
      <c r="M3331"/>
      <c r="N3331" s="9">
        <v>44778</v>
      </c>
      <c r="O3331" s="9">
        <v>44834</v>
      </c>
      <c r="P3331"/>
      <c r="Q3331"/>
      <c r="R3331"/>
      <c r="S3331"/>
      <c r="T3331"/>
      <c r="U3331"/>
    </row>
    <row r="3332" spans="1:21" hidden="1">
      <c r="A3332" s="7" t="s">
        <v>8895</v>
      </c>
      <c r="B3332" s="7" t="s">
        <v>7970</v>
      </c>
      <c r="C3332" s="8" t="s">
        <v>5319</v>
      </c>
      <c r="D3332" t="s">
        <v>272</v>
      </c>
      <c r="E3332" t="s">
        <v>2954</v>
      </c>
      <c r="F3332" t="s">
        <v>117</v>
      </c>
      <c r="G3332" t="s">
        <v>2957</v>
      </c>
      <c r="H3332" s="9">
        <v>44733</v>
      </c>
      <c r="I3332" t="s">
        <v>509</v>
      </c>
      <c r="J3332" t="s">
        <v>5330</v>
      </c>
      <c r="K3332" s="9">
        <v>44834</v>
      </c>
      <c r="L3332" t="s">
        <v>29</v>
      </c>
      <c r="M3332"/>
      <c r="N3332" s="9">
        <v>44778</v>
      </c>
      <c r="O3332" s="9">
        <v>44834</v>
      </c>
      <c r="P3332"/>
      <c r="Q3332"/>
      <c r="R3332"/>
      <c r="S3332"/>
      <c r="T3332"/>
      <c r="U3332"/>
    </row>
    <row r="3333" spans="1:21" hidden="1">
      <c r="A3333" s="7" t="s">
        <v>8895</v>
      </c>
      <c r="B3333" s="7" t="s">
        <v>7970</v>
      </c>
      <c r="C3333" s="8" t="s">
        <v>5319</v>
      </c>
      <c r="D3333" t="s">
        <v>272</v>
      </c>
      <c r="E3333" t="s">
        <v>2954</v>
      </c>
      <c r="F3333" t="s">
        <v>117</v>
      </c>
      <c r="G3333" t="s">
        <v>2958</v>
      </c>
      <c r="H3333" s="9">
        <v>44733</v>
      </c>
      <c r="I3333" t="s">
        <v>509</v>
      </c>
      <c r="J3333" t="s">
        <v>5330</v>
      </c>
      <c r="K3333" s="9">
        <v>44834</v>
      </c>
      <c r="L3333" t="s">
        <v>29</v>
      </c>
      <c r="M3333"/>
      <c r="N3333" s="9">
        <v>44778</v>
      </c>
      <c r="O3333" s="9">
        <v>44834</v>
      </c>
      <c r="P3333"/>
      <c r="Q3333"/>
      <c r="R3333"/>
      <c r="S3333"/>
      <c r="T3333"/>
      <c r="U3333"/>
    </row>
    <row r="3334" spans="1:21" hidden="1">
      <c r="A3334" s="7" t="s">
        <v>8895</v>
      </c>
      <c r="B3334" s="7" t="s">
        <v>7970</v>
      </c>
      <c r="C3334" s="8" t="s">
        <v>5319</v>
      </c>
      <c r="D3334" t="s">
        <v>272</v>
      </c>
      <c r="E3334" t="s">
        <v>2954</v>
      </c>
      <c r="F3334" t="s">
        <v>117</v>
      </c>
      <c r="G3334" t="s">
        <v>2959</v>
      </c>
      <c r="H3334" s="9">
        <v>44733</v>
      </c>
      <c r="I3334" t="s">
        <v>509</v>
      </c>
      <c r="J3334" t="s">
        <v>5330</v>
      </c>
      <c r="K3334" s="9">
        <v>44834</v>
      </c>
      <c r="L3334" t="s">
        <v>29</v>
      </c>
      <c r="M3334"/>
      <c r="N3334" s="9">
        <v>44778</v>
      </c>
      <c r="O3334" s="9">
        <v>44834</v>
      </c>
      <c r="P3334"/>
      <c r="Q3334"/>
      <c r="R3334"/>
      <c r="S3334"/>
      <c r="T3334"/>
      <c r="U3334"/>
    </row>
    <row r="3335" spans="1:21" hidden="1">
      <c r="A3335" s="7" t="s">
        <v>8895</v>
      </c>
      <c r="B3335" s="7" t="s">
        <v>7970</v>
      </c>
      <c r="C3335" s="8" t="s">
        <v>5319</v>
      </c>
      <c r="D3335" t="s">
        <v>272</v>
      </c>
      <c r="E3335" t="s">
        <v>2954</v>
      </c>
      <c r="F3335" t="s">
        <v>117</v>
      </c>
      <c r="G3335" t="s">
        <v>2960</v>
      </c>
      <c r="H3335" s="9">
        <v>44733</v>
      </c>
      <c r="I3335" t="s">
        <v>509</v>
      </c>
      <c r="J3335" t="s">
        <v>5330</v>
      </c>
      <c r="K3335" s="9">
        <v>44834</v>
      </c>
      <c r="L3335" t="s">
        <v>29</v>
      </c>
      <c r="M3335"/>
      <c r="N3335" s="9">
        <v>44778</v>
      </c>
      <c r="O3335" s="9">
        <v>44834</v>
      </c>
      <c r="P3335"/>
      <c r="Q3335"/>
      <c r="R3335"/>
      <c r="S3335"/>
      <c r="T3335"/>
      <c r="U3335"/>
    </row>
    <row r="3336" spans="1:21" hidden="1">
      <c r="A3336" s="7" t="s">
        <v>8895</v>
      </c>
      <c r="B3336" s="7" t="s">
        <v>7970</v>
      </c>
      <c r="C3336" s="8" t="s">
        <v>5319</v>
      </c>
      <c r="D3336" t="s">
        <v>272</v>
      </c>
      <c r="E3336" t="s">
        <v>2954</v>
      </c>
      <c r="F3336" t="s">
        <v>117</v>
      </c>
      <c r="G3336" t="s">
        <v>2961</v>
      </c>
      <c r="H3336" s="9">
        <v>44733</v>
      </c>
      <c r="I3336" t="s">
        <v>509</v>
      </c>
      <c r="J3336" t="s">
        <v>5330</v>
      </c>
      <c r="K3336" s="9">
        <v>44834</v>
      </c>
      <c r="L3336" t="s">
        <v>29</v>
      </c>
      <c r="M3336"/>
      <c r="N3336" s="9">
        <v>44778</v>
      </c>
      <c r="O3336" s="9">
        <v>44834</v>
      </c>
      <c r="P3336"/>
      <c r="Q3336"/>
      <c r="R3336"/>
      <c r="S3336"/>
      <c r="T3336"/>
      <c r="U3336"/>
    </row>
    <row r="3337" spans="1:21" hidden="1">
      <c r="A3337" s="7" t="s">
        <v>8895</v>
      </c>
      <c r="B3337" s="7" t="s">
        <v>7970</v>
      </c>
      <c r="C3337" s="8" t="s">
        <v>5319</v>
      </c>
      <c r="D3337" t="s">
        <v>272</v>
      </c>
      <c r="E3337" t="s">
        <v>2954</v>
      </c>
      <c r="F3337" t="s">
        <v>117</v>
      </c>
      <c r="G3337" t="s">
        <v>2962</v>
      </c>
      <c r="H3337" s="9">
        <v>44733</v>
      </c>
      <c r="I3337" t="s">
        <v>509</v>
      </c>
      <c r="J3337" t="s">
        <v>5330</v>
      </c>
      <c r="K3337" s="9">
        <v>44834</v>
      </c>
      <c r="L3337" t="s">
        <v>29</v>
      </c>
      <c r="M3337"/>
      <c r="N3337" s="9">
        <v>44778</v>
      </c>
      <c r="O3337" s="9">
        <v>44834</v>
      </c>
      <c r="P3337"/>
      <c r="Q3337"/>
      <c r="R3337"/>
      <c r="S3337"/>
      <c r="T3337"/>
      <c r="U3337"/>
    </row>
    <row r="3338" spans="1:21" hidden="1">
      <c r="A3338" s="7" t="s">
        <v>8729</v>
      </c>
      <c r="B3338" s="7" t="s">
        <v>7796</v>
      </c>
      <c r="C3338" s="8" t="s">
        <v>5319</v>
      </c>
      <c r="D3338" t="s">
        <v>272</v>
      </c>
      <c r="E3338" t="s">
        <v>206</v>
      </c>
      <c r="F3338" t="s">
        <v>117</v>
      </c>
      <c r="G3338" t="s">
        <v>2963</v>
      </c>
      <c r="H3338" s="9">
        <v>44733</v>
      </c>
      <c r="I3338" t="s">
        <v>171</v>
      </c>
      <c r="J3338" t="s">
        <v>0</v>
      </c>
      <c r="K3338" s="9">
        <v>44746</v>
      </c>
      <c r="L3338" t="s">
        <v>29</v>
      </c>
      <c r="M3338"/>
      <c r="N3338"/>
      <c r="O3338"/>
      <c r="P3338"/>
      <c r="Q3338" s="9">
        <v>44746</v>
      </c>
      <c r="R3338"/>
      <c r="S3338"/>
      <c r="T3338"/>
      <c r="U3338"/>
    </row>
    <row r="3339" spans="1:21" hidden="1">
      <c r="A3339" s="7" t="s">
        <v>8729</v>
      </c>
      <c r="B3339" s="7" t="s">
        <v>7796</v>
      </c>
      <c r="C3339" s="8" t="s">
        <v>5319</v>
      </c>
      <c r="D3339" t="s">
        <v>272</v>
      </c>
      <c r="E3339" t="s">
        <v>206</v>
      </c>
      <c r="F3339" t="s">
        <v>117</v>
      </c>
      <c r="G3339" t="s">
        <v>2964</v>
      </c>
      <c r="H3339" s="9">
        <v>44733</v>
      </c>
      <c r="I3339" t="s">
        <v>171</v>
      </c>
      <c r="J3339" t="s">
        <v>0</v>
      </c>
      <c r="K3339" s="9">
        <v>44746</v>
      </c>
      <c r="L3339" t="s">
        <v>29</v>
      </c>
      <c r="M3339"/>
      <c r="N3339"/>
      <c r="O3339"/>
      <c r="P3339"/>
      <c r="Q3339" s="9">
        <v>44746</v>
      </c>
      <c r="R3339"/>
      <c r="S3339"/>
      <c r="T3339"/>
      <c r="U3339"/>
    </row>
    <row r="3340" spans="1:21" hidden="1">
      <c r="A3340" s="7" t="s">
        <v>8729</v>
      </c>
      <c r="B3340" s="7" t="s">
        <v>7796</v>
      </c>
      <c r="C3340" s="8" t="s">
        <v>5319</v>
      </c>
      <c r="D3340" t="s">
        <v>272</v>
      </c>
      <c r="E3340" t="s">
        <v>206</v>
      </c>
      <c r="F3340" t="s">
        <v>117</v>
      </c>
      <c r="G3340" t="s">
        <v>2965</v>
      </c>
      <c r="H3340" s="9">
        <v>44733</v>
      </c>
      <c r="I3340" t="s">
        <v>171</v>
      </c>
      <c r="J3340" t="s">
        <v>0</v>
      </c>
      <c r="K3340" s="9">
        <v>44746</v>
      </c>
      <c r="L3340" t="s">
        <v>29</v>
      </c>
      <c r="M3340"/>
      <c r="N3340"/>
      <c r="O3340"/>
      <c r="P3340"/>
      <c r="Q3340" s="9">
        <v>44746</v>
      </c>
      <c r="R3340"/>
      <c r="S3340"/>
      <c r="T3340"/>
      <c r="U3340"/>
    </row>
    <row r="3341" spans="1:21" hidden="1">
      <c r="A3341" s="7" t="s">
        <v>8729</v>
      </c>
      <c r="B3341" s="7" t="s">
        <v>7796</v>
      </c>
      <c r="C3341" s="8" t="s">
        <v>5319</v>
      </c>
      <c r="D3341" t="s">
        <v>272</v>
      </c>
      <c r="E3341" t="s">
        <v>206</v>
      </c>
      <c r="F3341" t="s">
        <v>117</v>
      </c>
      <c r="G3341" t="s">
        <v>2966</v>
      </c>
      <c r="H3341" s="9">
        <v>44733</v>
      </c>
      <c r="I3341" t="s">
        <v>171</v>
      </c>
      <c r="J3341" t="s">
        <v>0</v>
      </c>
      <c r="K3341" s="9">
        <v>44746</v>
      </c>
      <c r="L3341" t="s">
        <v>29</v>
      </c>
      <c r="M3341"/>
      <c r="N3341"/>
      <c r="O3341"/>
      <c r="P3341"/>
      <c r="Q3341" s="9">
        <v>44746</v>
      </c>
      <c r="R3341"/>
      <c r="S3341"/>
      <c r="T3341"/>
      <c r="U3341"/>
    </row>
    <row r="3342" spans="1:21" hidden="1">
      <c r="A3342" s="7" t="s">
        <v>8729</v>
      </c>
      <c r="B3342" s="7" t="s">
        <v>7796</v>
      </c>
      <c r="C3342" s="8" t="s">
        <v>5319</v>
      </c>
      <c r="D3342" t="s">
        <v>272</v>
      </c>
      <c r="E3342" t="s">
        <v>206</v>
      </c>
      <c r="F3342" t="s">
        <v>117</v>
      </c>
      <c r="G3342" t="s">
        <v>2967</v>
      </c>
      <c r="H3342" s="9">
        <v>44733</v>
      </c>
      <c r="I3342" t="s">
        <v>171</v>
      </c>
      <c r="J3342" t="s">
        <v>0</v>
      </c>
      <c r="K3342" s="9">
        <v>44746</v>
      </c>
      <c r="L3342" t="s">
        <v>29</v>
      </c>
      <c r="M3342"/>
      <c r="N3342"/>
      <c r="O3342"/>
      <c r="P3342"/>
      <c r="Q3342" s="9">
        <v>44746</v>
      </c>
      <c r="R3342"/>
      <c r="S3342"/>
      <c r="T3342"/>
      <c r="U3342"/>
    </row>
    <row r="3343" spans="1:21" hidden="1">
      <c r="A3343" s="7" t="s">
        <v>8729</v>
      </c>
      <c r="B3343" s="7" t="s">
        <v>7796</v>
      </c>
      <c r="C3343" s="8" t="s">
        <v>5319</v>
      </c>
      <c r="D3343" t="s">
        <v>272</v>
      </c>
      <c r="E3343" t="s">
        <v>206</v>
      </c>
      <c r="F3343" t="s">
        <v>117</v>
      </c>
      <c r="G3343" t="s">
        <v>2968</v>
      </c>
      <c r="H3343" s="9">
        <v>44733</v>
      </c>
      <c r="I3343" t="s">
        <v>171</v>
      </c>
      <c r="J3343" t="s">
        <v>0</v>
      </c>
      <c r="K3343" s="9">
        <v>44746</v>
      </c>
      <c r="L3343" t="s">
        <v>29</v>
      </c>
      <c r="M3343"/>
      <c r="N3343"/>
      <c r="O3343"/>
      <c r="P3343"/>
      <c r="Q3343" s="9">
        <v>44746</v>
      </c>
      <c r="R3343"/>
      <c r="S3343"/>
      <c r="T3343"/>
      <c r="U3343"/>
    </row>
    <row r="3344" spans="1:21" hidden="1">
      <c r="A3344" s="7" t="s">
        <v>8729</v>
      </c>
      <c r="B3344" s="7" t="s">
        <v>7796</v>
      </c>
      <c r="C3344" s="8" t="s">
        <v>5319</v>
      </c>
      <c r="D3344" t="s">
        <v>272</v>
      </c>
      <c r="E3344" t="s">
        <v>206</v>
      </c>
      <c r="F3344" t="s">
        <v>117</v>
      </c>
      <c r="G3344" t="s">
        <v>2969</v>
      </c>
      <c r="H3344" s="9">
        <v>44733</v>
      </c>
      <c r="I3344" t="s">
        <v>171</v>
      </c>
      <c r="J3344" t="s">
        <v>0</v>
      </c>
      <c r="K3344" s="9">
        <v>44746</v>
      </c>
      <c r="L3344" t="s">
        <v>29</v>
      </c>
      <c r="M3344"/>
      <c r="N3344"/>
      <c r="O3344"/>
      <c r="P3344"/>
      <c r="Q3344" s="9">
        <v>44746</v>
      </c>
      <c r="R3344"/>
      <c r="S3344"/>
      <c r="T3344"/>
      <c r="U3344"/>
    </row>
    <row r="3345" spans="1:21" hidden="1">
      <c r="A3345" s="7" t="s">
        <v>8729</v>
      </c>
      <c r="B3345" s="7" t="s">
        <v>7796</v>
      </c>
      <c r="C3345" s="8" t="s">
        <v>5319</v>
      </c>
      <c r="D3345" t="s">
        <v>272</v>
      </c>
      <c r="E3345" t="s">
        <v>206</v>
      </c>
      <c r="F3345" t="s">
        <v>117</v>
      </c>
      <c r="G3345" t="s">
        <v>2970</v>
      </c>
      <c r="H3345" s="9">
        <v>44733</v>
      </c>
      <c r="I3345" t="s">
        <v>171</v>
      </c>
      <c r="J3345" t="s">
        <v>0</v>
      </c>
      <c r="K3345" s="9">
        <v>44746</v>
      </c>
      <c r="L3345" t="s">
        <v>29</v>
      </c>
      <c r="M3345"/>
      <c r="N3345"/>
      <c r="O3345"/>
      <c r="P3345"/>
      <c r="Q3345" s="9">
        <v>44746</v>
      </c>
      <c r="R3345"/>
      <c r="S3345"/>
      <c r="T3345"/>
      <c r="U3345"/>
    </row>
    <row r="3346" spans="1:21" hidden="1">
      <c r="A3346" s="7" t="s">
        <v>8729</v>
      </c>
      <c r="B3346" s="7" t="s">
        <v>7796</v>
      </c>
      <c r="C3346" s="8" t="s">
        <v>5319</v>
      </c>
      <c r="D3346" t="s">
        <v>272</v>
      </c>
      <c r="E3346" t="s">
        <v>206</v>
      </c>
      <c r="F3346" t="s">
        <v>117</v>
      </c>
      <c r="G3346" t="s">
        <v>2971</v>
      </c>
      <c r="H3346" s="9">
        <v>44733</v>
      </c>
      <c r="I3346" t="s">
        <v>171</v>
      </c>
      <c r="J3346" t="s">
        <v>0</v>
      </c>
      <c r="K3346" s="9">
        <v>44746</v>
      </c>
      <c r="L3346" t="s">
        <v>29</v>
      </c>
      <c r="M3346"/>
      <c r="N3346"/>
      <c r="O3346"/>
      <c r="P3346"/>
      <c r="Q3346" s="9">
        <v>44746</v>
      </c>
      <c r="R3346"/>
      <c r="S3346"/>
      <c r="T3346"/>
      <c r="U3346"/>
    </row>
    <row r="3347" spans="1:21" hidden="1">
      <c r="A3347" s="7" t="s">
        <v>8893</v>
      </c>
      <c r="B3347" s="7" t="s">
        <v>5405</v>
      </c>
      <c r="C3347" s="8" t="s">
        <v>5319</v>
      </c>
      <c r="D3347" t="s">
        <v>272</v>
      </c>
      <c r="E3347" t="s">
        <v>25</v>
      </c>
      <c r="F3347" t="s">
        <v>209</v>
      </c>
      <c r="G3347" t="s">
        <v>2972</v>
      </c>
      <c r="H3347" s="9">
        <v>44733</v>
      </c>
      <c r="I3347" t="s">
        <v>8634</v>
      </c>
      <c r="J3347" t="s">
        <v>5330</v>
      </c>
      <c r="K3347" s="9">
        <v>44834</v>
      </c>
      <c r="L3347" t="s">
        <v>29</v>
      </c>
      <c r="M3347"/>
      <c r="N3347" s="9">
        <v>44778</v>
      </c>
      <c r="O3347" s="9">
        <v>44834</v>
      </c>
      <c r="P3347"/>
      <c r="Q3347"/>
      <c r="R3347"/>
      <c r="S3347"/>
      <c r="T3347"/>
      <c r="U3347"/>
    </row>
    <row r="3348" spans="1:21" hidden="1">
      <c r="A3348" s="7" t="s">
        <v>8764</v>
      </c>
      <c r="B3348" s="7" t="s">
        <v>5405</v>
      </c>
      <c r="C3348" s="8" t="s">
        <v>5319</v>
      </c>
      <c r="D3348" t="s">
        <v>272</v>
      </c>
      <c r="E3348" t="s">
        <v>25</v>
      </c>
      <c r="F3348" t="s">
        <v>75</v>
      </c>
      <c r="G3348" t="s">
        <v>2973</v>
      </c>
      <c r="H3348" s="9">
        <v>44733</v>
      </c>
      <c r="I3348" t="s">
        <v>8634</v>
      </c>
      <c r="J3348" t="s">
        <v>5330</v>
      </c>
      <c r="K3348" s="9">
        <v>44834</v>
      </c>
      <c r="L3348" t="s">
        <v>29</v>
      </c>
      <c r="M3348"/>
      <c r="N3348" s="9">
        <v>44778</v>
      </c>
      <c r="O3348" s="9">
        <v>44834</v>
      </c>
      <c r="P3348"/>
      <c r="Q3348"/>
      <c r="R3348"/>
      <c r="S3348"/>
      <c r="T3348"/>
      <c r="U3348"/>
    </row>
    <row r="3349" spans="1:21" hidden="1">
      <c r="A3349" s="7" t="s">
        <v>8883</v>
      </c>
      <c r="B3349" s="7" t="s">
        <v>6806</v>
      </c>
      <c r="C3349" s="8" t="s">
        <v>5319</v>
      </c>
      <c r="D3349" t="s">
        <v>272</v>
      </c>
      <c r="E3349" t="s">
        <v>2693</v>
      </c>
      <c r="F3349" t="s">
        <v>117</v>
      </c>
      <c r="G3349" t="s">
        <v>2974</v>
      </c>
      <c r="H3349" s="9">
        <v>44733</v>
      </c>
      <c r="I3349" t="s">
        <v>211</v>
      </c>
      <c r="J3349" t="s">
        <v>5330</v>
      </c>
      <c r="K3349" s="9">
        <v>44834</v>
      </c>
      <c r="L3349" t="s">
        <v>29</v>
      </c>
      <c r="M3349"/>
      <c r="N3349" s="9">
        <v>44778</v>
      </c>
      <c r="O3349" s="9">
        <v>44834</v>
      </c>
      <c r="P3349"/>
      <c r="Q3349"/>
      <c r="R3349"/>
      <c r="S3349"/>
      <c r="T3349"/>
      <c r="U3349"/>
    </row>
    <row r="3350" spans="1:21" hidden="1">
      <c r="A3350" s="7" t="s">
        <v>8896</v>
      </c>
      <c r="B3350" s="7" t="s">
        <v>6934</v>
      </c>
      <c r="C3350" s="8" t="s">
        <v>5319</v>
      </c>
      <c r="D3350" t="s">
        <v>272</v>
      </c>
      <c r="E3350" t="s">
        <v>2975</v>
      </c>
      <c r="F3350" t="s">
        <v>83</v>
      </c>
      <c r="G3350" t="s">
        <v>2976</v>
      </c>
      <c r="H3350" s="9">
        <v>44735</v>
      </c>
      <c r="I3350" t="s">
        <v>2977</v>
      </c>
      <c r="J3350" t="s">
        <v>0</v>
      </c>
      <c r="K3350" s="9">
        <v>44755</v>
      </c>
      <c r="L3350" t="s">
        <v>29</v>
      </c>
      <c r="M3350"/>
      <c r="N3350"/>
      <c r="O3350"/>
      <c r="P3350"/>
      <c r="Q3350" s="9">
        <v>44755</v>
      </c>
      <c r="R3350"/>
      <c r="S3350"/>
      <c r="T3350"/>
      <c r="U3350"/>
    </row>
    <row r="3351" spans="1:21" hidden="1">
      <c r="A3351" s="7" t="s">
        <v>8896</v>
      </c>
      <c r="B3351" s="7" t="s">
        <v>6934</v>
      </c>
      <c r="C3351" s="8" t="s">
        <v>5319</v>
      </c>
      <c r="D3351" t="s">
        <v>272</v>
      </c>
      <c r="E3351" t="s">
        <v>2975</v>
      </c>
      <c r="F3351" t="s">
        <v>83</v>
      </c>
      <c r="G3351" t="s">
        <v>2978</v>
      </c>
      <c r="H3351" s="9">
        <v>44735</v>
      </c>
      <c r="I3351" t="s">
        <v>2977</v>
      </c>
      <c r="J3351" t="s">
        <v>0</v>
      </c>
      <c r="K3351" s="9">
        <v>44755</v>
      </c>
      <c r="L3351" t="s">
        <v>29</v>
      </c>
      <c r="M3351"/>
      <c r="N3351"/>
      <c r="O3351"/>
      <c r="P3351"/>
      <c r="Q3351" s="9">
        <v>44755</v>
      </c>
      <c r="R3351"/>
      <c r="S3351"/>
      <c r="T3351"/>
      <c r="U3351"/>
    </row>
    <row r="3352" spans="1:21" hidden="1">
      <c r="A3352" s="7" t="s">
        <v>8896</v>
      </c>
      <c r="B3352" s="7" t="s">
        <v>6934</v>
      </c>
      <c r="C3352" s="8" t="s">
        <v>5319</v>
      </c>
      <c r="D3352" t="s">
        <v>272</v>
      </c>
      <c r="E3352" t="s">
        <v>2975</v>
      </c>
      <c r="F3352" t="s">
        <v>83</v>
      </c>
      <c r="G3352" t="s">
        <v>2979</v>
      </c>
      <c r="H3352" s="9">
        <v>44735</v>
      </c>
      <c r="I3352" t="s">
        <v>2977</v>
      </c>
      <c r="J3352" t="s">
        <v>0</v>
      </c>
      <c r="K3352" s="9">
        <v>44755</v>
      </c>
      <c r="L3352" t="s">
        <v>29</v>
      </c>
      <c r="M3352"/>
      <c r="N3352"/>
      <c r="O3352"/>
      <c r="P3352"/>
      <c r="Q3352" s="9">
        <v>44755</v>
      </c>
      <c r="R3352"/>
      <c r="S3352"/>
      <c r="T3352"/>
      <c r="U3352"/>
    </row>
    <row r="3353" spans="1:21" hidden="1">
      <c r="A3353" s="7" t="s">
        <v>8896</v>
      </c>
      <c r="B3353" s="7" t="s">
        <v>6934</v>
      </c>
      <c r="C3353" s="8" t="s">
        <v>5319</v>
      </c>
      <c r="D3353" t="s">
        <v>272</v>
      </c>
      <c r="E3353" t="s">
        <v>2975</v>
      </c>
      <c r="F3353" t="s">
        <v>83</v>
      </c>
      <c r="G3353" t="s">
        <v>2980</v>
      </c>
      <c r="H3353" s="9">
        <v>44735</v>
      </c>
      <c r="I3353" t="s">
        <v>2977</v>
      </c>
      <c r="J3353" t="s">
        <v>276</v>
      </c>
      <c r="K3353" s="9">
        <v>44755.4377662037</v>
      </c>
      <c r="L3353" t="s">
        <v>29</v>
      </c>
      <c r="M3353"/>
      <c r="N3353"/>
      <c r="O3353"/>
      <c r="P3353"/>
      <c r="Q3353"/>
      <c r="R3353" s="9">
        <v>44755.4316203704</v>
      </c>
      <c r="S3353"/>
      <c r="T3353"/>
      <c r="U3353"/>
    </row>
    <row r="3354" spans="1:21" hidden="1">
      <c r="A3354" s="7" t="s">
        <v>8758</v>
      </c>
      <c r="B3354" s="7" t="s">
        <v>5405</v>
      </c>
      <c r="C3354" s="8" t="s">
        <v>5319</v>
      </c>
      <c r="D3354" t="s">
        <v>272</v>
      </c>
      <c r="E3354" t="s">
        <v>25</v>
      </c>
      <c r="F3354" t="s">
        <v>493</v>
      </c>
      <c r="G3354" t="s">
        <v>2981</v>
      </c>
      <c r="H3354" s="9">
        <v>44733</v>
      </c>
      <c r="I3354" t="s">
        <v>8634</v>
      </c>
      <c r="J3354" t="s">
        <v>0</v>
      </c>
      <c r="K3354" s="9">
        <v>44862</v>
      </c>
      <c r="L3354" t="s">
        <v>29</v>
      </c>
      <c r="M3354"/>
      <c r="N3354"/>
      <c r="O3354"/>
      <c r="P3354"/>
      <c r="Q3354" s="9">
        <v>44862</v>
      </c>
      <c r="R3354"/>
      <c r="S3354"/>
      <c r="T3354"/>
      <c r="U3354"/>
    </row>
    <row r="3355" spans="1:21" hidden="1">
      <c r="A3355" s="7" t="s">
        <v>8728</v>
      </c>
      <c r="B3355" s="7" t="s">
        <v>5405</v>
      </c>
      <c r="C3355" s="8" t="s">
        <v>5319</v>
      </c>
      <c r="D3355" t="s">
        <v>272</v>
      </c>
      <c r="E3355" t="s">
        <v>25</v>
      </c>
      <c r="F3355" t="s">
        <v>200</v>
      </c>
      <c r="G3355" t="s">
        <v>2982</v>
      </c>
      <c r="H3355" s="9">
        <v>44733</v>
      </c>
      <c r="I3355" t="s">
        <v>8634</v>
      </c>
      <c r="J3355" t="s">
        <v>0</v>
      </c>
      <c r="K3355" s="9">
        <v>44862</v>
      </c>
      <c r="L3355" t="s">
        <v>29</v>
      </c>
      <c r="M3355"/>
      <c r="N3355"/>
      <c r="O3355"/>
      <c r="P3355"/>
      <c r="Q3355" s="9">
        <v>44862</v>
      </c>
      <c r="R3355"/>
      <c r="S3355"/>
      <c r="T3355"/>
      <c r="U3355"/>
    </row>
    <row r="3356" spans="1:21" hidden="1">
      <c r="A3356" s="7" t="s">
        <v>8758</v>
      </c>
      <c r="B3356" s="7" t="s">
        <v>5405</v>
      </c>
      <c r="C3356" s="8" t="s">
        <v>5319</v>
      </c>
      <c r="D3356" t="s">
        <v>272</v>
      </c>
      <c r="E3356" t="s">
        <v>25</v>
      </c>
      <c r="F3356" t="s">
        <v>493</v>
      </c>
      <c r="G3356" t="s">
        <v>2983</v>
      </c>
      <c r="H3356" s="9">
        <v>44733</v>
      </c>
      <c r="I3356" t="s">
        <v>8634</v>
      </c>
      <c r="J3356" t="s">
        <v>0</v>
      </c>
      <c r="K3356" s="9">
        <v>44862</v>
      </c>
      <c r="L3356" t="s">
        <v>29</v>
      </c>
      <c r="M3356"/>
      <c r="N3356"/>
      <c r="O3356"/>
      <c r="P3356"/>
      <c r="Q3356" s="9">
        <v>44862</v>
      </c>
      <c r="R3356"/>
      <c r="S3356"/>
      <c r="T3356"/>
      <c r="U3356"/>
    </row>
    <row r="3357" spans="1:21" hidden="1">
      <c r="A3357" s="7" t="s">
        <v>8765</v>
      </c>
      <c r="B3357" s="7" t="s">
        <v>5405</v>
      </c>
      <c r="C3357" s="8" t="s">
        <v>5319</v>
      </c>
      <c r="D3357" t="s">
        <v>272</v>
      </c>
      <c r="E3357" t="s">
        <v>25</v>
      </c>
      <c r="F3357" t="s">
        <v>231</v>
      </c>
      <c r="G3357" t="s">
        <v>2984</v>
      </c>
      <c r="H3357" s="9">
        <v>44733</v>
      </c>
      <c r="I3357" t="s">
        <v>8634</v>
      </c>
      <c r="J3357" t="s">
        <v>0</v>
      </c>
      <c r="K3357" s="9">
        <v>44862</v>
      </c>
      <c r="L3357" t="s">
        <v>29</v>
      </c>
      <c r="M3357"/>
      <c r="N3357" s="9">
        <v>44778</v>
      </c>
      <c r="O3357"/>
      <c r="P3357"/>
      <c r="Q3357" s="9">
        <v>44862</v>
      </c>
      <c r="R3357"/>
      <c r="S3357"/>
      <c r="T3357"/>
      <c r="U3357"/>
    </row>
    <row r="3358" spans="1:21" hidden="1">
      <c r="A3358" s="7" t="s">
        <v>8758</v>
      </c>
      <c r="B3358" s="7" t="s">
        <v>5405</v>
      </c>
      <c r="C3358" s="8" t="s">
        <v>5319</v>
      </c>
      <c r="D3358" t="s">
        <v>272</v>
      </c>
      <c r="E3358" t="s">
        <v>25</v>
      </c>
      <c r="F3358" t="s">
        <v>493</v>
      </c>
      <c r="G3358" t="s">
        <v>2985</v>
      </c>
      <c r="H3358" s="9">
        <v>44733</v>
      </c>
      <c r="I3358" t="s">
        <v>8634</v>
      </c>
      <c r="J3358" t="s">
        <v>0</v>
      </c>
      <c r="K3358" s="9">
        <v>44862</v>
      </c>
      <c r="L3358" t="s">
        <v>29</v>
      </c>
      <c r="M3358"/>
      <c r="N3358"/>
      <c r="O3358"/>
      <c r="P3358"/>
      <c r="Q3358" s="9">
        <v>44862</v>
      </c>
      <c r="R3358"/>
      <c r="S3358"/>
      <c r="T3358"/>
      <c r="U3358"/>
    </row>
    <row r="3359" spans="1:21" hidden="1">
      <c r="A3359" s="7" t="s">
        <v>8758</v>
      </c>
      <c r="B3359" s="7" t="s">
        <v>5405</v>
      </c>
      <c r="C3359" s="8" t="s">
        <v>5319</v>
      </c>
      <c r="D3359" t="s">
        <v>272</v>
      </c>
      <c r="E3359" t="s">
        <v>25</v>
      </c>
      <c r="F3359" t="s">
        <v>493</v>
      </c>
      <c r="G3359" t="s">
        <v>2986</v>
      </c>
      <c r="H3359" s="9">
        <v>44733</v>
      </c>
      <c r="I3359" t="s">
        <v>8634</v>
      </c>
      <c r="J3359" t="s">
        <v>0</v>
      </c>
      <c r="K3359" s="9">
        <v>44862</v>
      </c>
      <c r="L3359" t="s">
        <v>29</v>
      </c>
      <c r="M3359"/>
      <c r="N3359"/>
      <c r="O3359"/>
      <c r="P3359"/>
      <c r="Q3359" s="9">
        <v>44862</v>
      </c>
      <c r="R3359"/>
      <c r="S3359"/>
      <c r="T3359"/>
      <c r="U3359"/>
    </row>
    <row r="3360" spans="1:21" hidden="1">
      <c r="A3360" s="7" t="s">
        <v>8825</v>
      </c>
      <c r="B3360" s="7" t="s">
        <v>5405</v>
      </c>
      <c r="C3360" s="8" t="s">
        <v>5319</v>
      </c>
      <c r="D3360" t="s">
        <v>272</v>
      </c>
      <c r="E3360" t="s">
        <v>25</v>
      </c>
      <c r="F3360" t="s">
        <v>111</v>
      </c>
      <c r="G3360" t="s">
        <v>2987</v>
      </c>
      <c r="H3360" s="9">
        <v>44733</v>
      </c>
      <c r="I3360" t="s">
        <v>8634</v>
      </c>
      <c r="J3360" t="s">
        <v>0</v>
      </c>
      <c r="K3360" s="9">
        <v>44881</v>
      </c>
      <c r="L3360" t="s">
        <v>29</v>
      </c>
      <c r="M3360"/>
      <c r="N3360"/>
      <c r="O3360"/>
      <c r="P3360"/>
      <c r="Q3360" s="9">
        <v>44881</v>
      </c>
      <c r="R3360" s="9">
        <v>44762.5387037037</v>
      </c>
      <c r="S3360"/>
      <c r="T3360"/>
      <c r="U3360"/>
    </row>
    <row r="3361" spans="1:21" hidden="1">
      <c r="A3361" s="7" t="s">
        <v>8712</v>
      </c>
      <c r="B3361" s="7" t="s">
        <v>5405</v>
      </c>
      <c r="C3361" s="8" t="s">
        <v>5319</v>
      </c>
      <c r="D3361" t="s">
        <v>272</v>
      </c>
      <c r="E3361" t="s">
        <v>25</v>
      </c>
      <c r="F3361" t="s">
        <v>26</v>
      </c>
      <c r="G3361" t="s">
        <v>213</v>
      </c>
      <c r="H3361" s="9">
        <v>44733</v>
      </c>
      <c r="I3361" t="s">
        <v>8634</v>
      </c>
      <c r="J3361" t="s">
        <v>0</v>
      </c>
      <c r="K3361" s="9">
        <v>44882</v>
      </c>
      <c r="L3361" t="s">
        <v>29</v>
      </c>
      <c r="M3361"/>
      <c r="N3361"/>
      <c r="O3361"/>
      <c r="P3361"/>
      <c r="Q3361" s="9">
        <v>44882</v>
      </c>
      <c r="R3361"/>
      <c r="S3361"/>
      <c r="T3361"/>
      <c r="U3361"/>
    </row>
    <row r="3362" spans="1:21" hidden="1">
      <c r="A3362" s="7" t="s">
        <v>8758</v>
      </c>
      <c r="B3362" s="7" t="s">
        <v>5405</v>
      </c>
      <c r="C3362" s="8" t="s">
        <v>5319</v>
      </c>
      <c r="D3362" t="s">
        <v>272</v>
      </c>
      <c r="E3362" t="s">
        <v>25</v>
      </c>
      <c r="F3362" t="s">
        <v>493</v>
      </c>
      <c r="G3362" t="s">
        <v>2988</v>
      </c>
      <c r="H3362" s="9">
        <v>44733</v>
      </c>
      <c r="I3362" t="s">
        <v>8634</v>
      </c>
      <c r="J3362" t="s">
        <v>0</v>
      </c>
      <c r="K3362" s="9">
        <v>44862</v>
      </c>
      <c r="L3362" t="s">
        <v>29</v>
      </c>
      <c r="M3362"/>
      <c r="N3362"/>
      <c r="O3362"/>
      <c r="P3362"/>
      <c r="Q3362" s="9">
        <v>44862</v>
      </c>
      <c r="R3362" s="9">
        <v>44776.735254629602</v>
      </c>
      <c r="S3362"/>
      <c r="T3362"/>
      <c r="U3362"/>
    </row>
    <row r="3363" spans="1:21" hidden="1">
      <c r="A3363" s="7" t="s">
        <v>8825</v>
      </c>
      <c r="B3363" s="7" t="s">
        <v>5405</v>
      </c>
      <c r="C3363" s="8" t="s">
        <v>5319</v>
      </c>
      <c r="D3363" t="s">
        <v>272</v>
      </c>
      <c r="E3363" t="s">
        <v>25</v>
      </c>
      <c r="F3363" t="s">
        <v>111</v>
      </c>
      <c r="G3363" t="s">
        <v>1617</v>
      </c>
      <c r="H3363" s="9">
        <v>44733</v>
      </c>
      <c r="I3363" t="s">
        <v>8634</v>
      </c>
      <c r="J3363" t="s">
        <v>0</v>
      </c>
      <c r="K3363" s="9">
        <v>44881</v>
      </c>
      <c r="L3363" t="s">
        <v>29</v>
      </c>
      <c r="M3363"/>
      <c r="N3363"/>
      <c r="O3363"/>
      <c r="P3363"/>
      <c r="Q3363" s="9">
        <v>44881</v>
      </c>
      <c r="R3363"/>
      <c r="S3363"/>
      <c r="T3363"/>
      <c r="U3363"/>
    </row>
    <row r="3364" spans="1:21" hidden="1">
      <c r="A3364" s="7" t="s">
        <v>8758</v>
      </c>
      <c r="B3364" s="7" t="s">
        <v>5405</v>
      </c>
      <c r="C3364" s="8" t="s">
        <v>5319</v>
      </c>
      <c r="D3364" t="s">
        <v>272</v>
      </c>
      <c r="E3364" t="s">
        <v>25</v>
      </c>
      <c r="F3364" t="s">
        <v>493</v>
      </c>
      <c r="G3364" t="s">
        <v>2989</v>
      </c>
      <c r="H3364" s="9">
        <v>44733</v>
      </c>
      <c r="I3364" t="s">
        <v>8634</v>
      </c>
      <c r="J3364" t="s">
        <v>0</v>
      </c>
      <c r="K3364" s="9">
        <v>44862</v>
      </c>
      <c r="L3364" t="s">
        <v>29</v>
      </c>
      <c r="M3364"/>
      <c r="N3364"/>
      <c r="O3364"/>
      <c r="P3364"/>
      <c r="Q3364" s="9">
        <v>44862</v>
      </c>
      <c r="R3364"/>
      <c r="S3364"/>
      <c r="T3364"/>
      <c r="U3364"/>
    </row>
    <row r="3365" spans="1:21" hidden="1">
      <c r="A3365" s="7" t="s">
        <v>8758</v>
      </c>
      <c r="B3365" s="7" t="s">
        <v>5405</v>
      </c>
      <c r="C3365" s="8" t="s">
        <v>5319</v>
      </c>
      <c r="D3365" t="s">
        <v>272</v>
      </c>
      <c r="E3365" t="s">
        <v>25</v>
      </c>
      <c r="F3365" t="s">
        <v>493</v>
      </c>
      <c r="G3365" t="s">
        <v>2990</v>
      </c>
      <c r="H3365" s="9">
        <v>44733</v>
      </c>
      <c r="I3365" t="s">
        <v>8634</v>
      </c>
      <c r="J3365" t="s">
        <v>0</v>
      </c>
      <c r="K3365" s="9">
        <v>44862</v>
      </c>
      <c r="L3365" t="s">
        <v>29</v>
      </c>
      <c r="M3365"/>
      <c r="N3365"/>
      <c r="O3365"/>
      <c r="P3365"/>
      <c r="Q3365" s="9">
        <v>44862</v>
      </c>
      <c r="R3365" s="9">
        <v>44776.735254629602</v>
      </c>
      <c r="S3365"/>
      <c r="T3365"/>
      <c r="U3365"/>
    </row>
    <row r="3366" spans="1:21" hidden="1">
      <c r="A3366" s="7" t="s">
        <v>8728</v>
      </c>
      <c r="B3366" s="7" t="s">
        <v>5405</v>
      </c>
      <c r="C3366" s="8" t="s">
        <v>5319</v>
      </c>
      <c r="D3366" t="s">
        <v>272</v>
      </c>
      <c r="E3366" t="s">
        <v>25</v>
      </c>
      <c r="F3366" t="s">
        <v>200</v>
      </c>
      <c r="G3366" t="s">
        <v>2991</v>
      </c>
      <c r="H3366" s="9">
        <v>44733</v>
      </c>
      <c r="I3366" t="s">
        <v>8634</v>
      </c>
      <c r="J3366" t="s">
        <v>0</v>
      </c>
      <c r="K3366" s="9">
        <v>44862</v>
      </c>
      <c r="L3366" t="s">
        <v>29</v>
      </c>
      <c r="M3366"/>
      <c r="N3366"/>
      <c r="O3366"/>
      <c r="P3366"/>
      <c r="Q3366" s="9">
        <v>44862</v>
      </c>
      <c r="R3366"/>
      <c r="S3366"/>
      <c r="T3366"/>
      <c r="U3366"/>
    </row>
    <row r="3367" spans="1:21" hidden="1">
      <c r="A3367" s="7" t="s">
        <v>8728</v>
      </c>
      <c r="B3367" s="7" t="s">
        <v>5405</v>
      </c>
      <c r="C3367" s="8" t="s">
        <v>5319</v>
      </c>
      <c r="D3367" t="s">
        <v>272</v>
      </c>
      <c r="E3367" t="s">
        <v>25</v>
      </c>
      <c r="F3367" t="s">
        <v>200</v>
      </c>
      <c r="G3367" t="s">
        <v>2992</v>
      </c>
      <c r="H3367" s="9">
        <v>44733</v>
      </c>
      <c r="I3367" t="s">
        <v>8634</v>
      </c>
      <c r="J3367" t="s">
        <v>0</v>
      </c>
      <c r="K3367" s="9">
        <v>44862</v>
      </c>
      <c r="L3367" t="s">
        <v>29</v>
      </c>
      <c r="M3367"/>
      <c r="N3367"/>
      <c r="O3367"/>
      <c r="P3367"/>
      <c r="Q3367" s="9">
        <v>44862</v>
      </c>
      <c r="R3367"/>
      <c r="S3367"/>
      <c r="T3367"/>
      <c r="U3367"/>
    </row>
    <row r="3368" spans="1:21" hidden="1">
      <c r="A3368" s="7" t="s">
        <v>8758</v>
      </c>
      <c r="B3368" s="7" t="s">
        <v>5405</v>
      </c>
      <c r="C3368" s="8" t="s">
        <v>5319</v>
      </c>
      <c r="D3368" t="s">
        <v>272</v>
      </c>
      <c r="E3368" t="s">
        <v>25</v>
      </c>
      <c r="F3368" t="s">
        <v>493</v>
      </c>
      <c r="G3368" t="s">
        <v>2993</v>
      </c>
      <c r="H3368" s="9">
        <v>44733</v>
      </c>
      <c r="I3368" t="s">
        <v>8634</v>
      </c>
      <c r="J3368" t="s">
        <v>0</v>
      </c>
      <c r="K3368" s="9">
        <v>44862</v>
      </c>
      <c r="L3368" t="s">
        <v>29</v>
      </c>
      <c r="M3368"/>
      <c r="N3368"/>
      <c r="O3368"/>
      <c r="P3368"/>
      <c r="Q3368" s="9">
        <v>44862</v>
      </c>
      <c r="R3368"/>
      <c r="S3368"/>
      <c r="T3368"/>
      <c r="U3368"/>
    </row>
    <row r="3369" spans="1:21" hidden="1">
      <c r="A3369" s="7" t="s">
        <v>8758</v>
      </c>
      <c r="B3369" s="7" t="s">
        <v>5405</v>
      </c>
      <c r="C3369" s="8" t="s">
        <v>5319</v>
      </c>
      <c r="D3369" t="s">
        <v>272</v>
      </c>
      <c r="E3369" t="s">
        <v>25</v>
      </c>
      <c r="F3369" t="s">
        <v>493</v>
      </c>
      <c r="G3369" t="s">
        <v>2994</v>
      </c>
      <c r="H3369" s="9">
        <v>44733</v>
      </c>
      <c r="I3369" t="s">
        <v>8634</v>
      </c>
      <c r="J3369" t="s">
        <v>0</v>
      </c>
      <c r="K3369" s="9">
        <v>44862</v>
      </c>
      <c r="L3369" t="s">
        <v>29</v>
      </c>
      <c r="M3369"/>
      <c r="N3369"/>
      <c r="O3369"/>
      <c r="P3369"/>
      <c r="Q3369" s="9">
        <v>44862</v>
      </c>
      <c r="R3369" s="9">
        <v>44776.735254629602</v>
      </c>
      <c r="S3369"/>
      <c r="T3369"/>
      <c r="U3369"/>
    </row>
    <row r="3370" spans="1:21" hidden="1">
      <c r="A3370" s="7" t="s">
        <v>8758</v>
      </c>
      <c r="B3370" s="7" t="s">
        <v>5405</v>
      </c>
      <c r="C3370" s="8" t="s">
        <v>5319</v>
      </c>
      <c r="D3370" t="s">
        <v>272</v>
      </c>
      <c r="E3370" t="s">
        <v>25</v>
      </c>
      <c r="F3370" t="s">
        <v>493</v>
      </c>
      <c r="G3370" t="s">
        <v>1621</v>
      </c>
      <c r="H3370" s="9">
        <v>44733</v>
      </c>
      <c r="I3370" t="s">
        <v>8634</v>
      </c>
      <c r="J3370" t="s">
        <v>0</v>
      </c>
      <c r="K3370" s="9">
        <v>44862</v>
      </c>
      <c r="L3370" t="s">
        <v>29</v>
      </c>
      <c r="M3370"/>
      <c r="N3370"/>
      <c r="O3370"/>
      <c r="P3370"/>
      <c r="Q3370" s="9">
        <v>44862</v>
      </c>
      <c r="R3370" s="9">
        <v>44776.735254629602</v>
      </c>
      <c r="S3370"/>
      <c r="T3370"/>
      <c r="U3370"/>
    </row>
    <row r="3371" spans="1:21" hidden="1">
      <c r="A3371" s="7" t="s">
        <v>8758</v>
      </c>
      <c r="B3371" s="7" t="s">
        <v>5405</v>
      </c>
      <c r="C3371" s="8" t="s">
        <v>5319</v>
      </c>
      <c r="D3371" t="s">
        <v>272</v>
      </c>
      <c r="E3371" t="s">
        <v>25</v>
      </c>
      <c r="F3371" t="s">
        <v>493</v>
      </c>
      <c r="G3371" t="s">
        <v>2995</v>
      </c>
      <c r="H3371" s="9">
        <v>44733</v>
      </c>
      <c r="I3371" t="s">
        <v>8634</v>
      </c>
      <c r="J3371" t="s">
        <v>0</v>
      </c>
      <c r="K3371" s="9">
        <v>44862</v>
      </c>
      <c r="L3371" t="s">
        <v>29</v>
      </c>
      <c r="M3371"/>
      <c r="N3371"/>
      <c r="O3371"/>
      <c r="P3371"/>
      <c r="Q3371" s="9">
        <v>44862</v>
      </c>
      <c r="R3371"/>
      <c r="S3371"/>
      <c r="T3371"/>
      <c r="U3371"/>
    </row>
    <row r="3372" spans="1:21" hidden="1">
      <c r="A3372" s="7" t="s">
        <v>8728</v>
      </c>
      <c r="B3372" s="7" t="s">
        <v>5405</v>
      </c>
      <c r="C3372" s="8" t="s">
        <v>5319</v>
      </c>
      <c r="D3372" t="s">
        <v>272</v>
      </c>
      <c r="E3372" t="s">
        <v>25</v>
      </c>
      <c r="F3372" t="s">
        <v>200</v>
      </c>
      <c r="G3372" t="s">
        <v>2996</v>
      </c>
      <c r="H3372" s="9">
        <v>44733</v>
      </c>
      <c r="I3372" t="s">
        <v>8634</v>
      </c>
      <c r="J3372" t="s">
        <v>0</v>
      </c>
      <c r="K3372" s="9">
        <v>44862</v>
      </c>
      <c r="L3372" t="s">
        <v>29</v>
      </c>
      <c r="M3372"/>
      <c r="N3372"/>
      <c r="O3372"/>
      <c r="P3372"/>
      <c r="Q3372" s="9">
        <v>44862</v>
      </c>
      <c r="R3372"/>
      <c r="S3372"/>
      <c r="T3372"/>
      <c r="U3372"/>
    </row>
    <row r="3373" spans="1:21" hidden="1">
      <c r="A3373" s="7" t="s">
        <v>8728</v>
      </c>
      <c r="B3373" s="7" t="s">
        <v>5405</v>
      </c>
      <c r="C3373" s="8" t="s">
        <v>5319</v>
      </c>
      <c r="D3373" t="s">
        <v>272</v>
      </c>
      <c r="E3373" t="s">
        <v>25</v>
      </c>
      <c r="F3373" t="s">
        <v>200</v>
      </c>
      <c r="G3373" t="s">
        <v>2997</v>
      </c>
      <c r="H3373" s="9">
        <v>44733</v>
      </c>
      <c r="I3373" t="s">
        <v>8634</v>
      </c>
      <c r="J3373" t="s">
        <v>0</v>
      </c>
      <c r="K3373" s="9">
        <v>44862</v>
      </c>
      <c r="L3373" t="s">
        <v>29</v>
      </c>
      <c r="M3373"/>
      <c r="N3373"/>
      <c r="O3373"/>
      <c r="P3373"/>
      <c r="Q3373" s="9">
        <v>44862</v>
      </c>
      <c r="R3373"/>
      <c r="S3373"/>
      <c r="T3373"/>
      <c r="U3373"/>
    </row>
    <row r="3374" spans="1:21" hidden="1">
      <c r="A3374" s="7" t="s">
        <v>8758</v>
      </c>
      <c r="B3374" s="7" t="s">
        <v>5405</v>
      </c>
      <c r="C3374" s="8" t="s">
        <v>5319</v>
      </c>
      <c r="D3374" t="s">
        <v>272</v>
      </c>
      <c r="E3374" t="s">
        <v>25</v>
      </c>
      <c r="F3374" t="s">
        <v>493</v>
      </c>
      <c r="G3374" t="s">
        <v>2998</v>
      </c>
      <c r="H3374" s="9">
        <v>44733</v>
      </c>
      <c r="I3374" t="s">
        <v>8634</v>
      </c>
      <c r="J3374" t="s">
        <v>0</v>
      </c>
      <c r="K3374" s="9">
        <v>44862</v>
      </c>
      <c r="L3374" t="s">
        <v>29</v>
      </c>
      <c r="M3374"/>
      <c r="N3374"/>
      <c r="O3374"/>
      <c r="P3374"/>
      <c r="Q3374" s="9">
        <v>44862</v>
      </c>
      <c r="R3374"/>
      <c r="S3374"/>
      <c r="T3374"/>
      <c r="U3374"/>
    </row>
    <row r="3375" spans="1:21" hidden="1">
      <c r="A3375" s="7" t="s">
        <v>8758</v>
      </c>
      <c r="B3375" s="7" t="s">
        <v>5405</v>
      </c>
      <c r="C3375" s="8" t="s">
        <v>5319</v>
      </c>
      <c r="D3375" t="s">
        <v>272</v>
      </c>
      <c r="E3375" t="s">
        <v>25</v>
      </c>
      <c r="F3375" t="s">
        <v>493</v>
      </c>
      <c r="G3375" t="s">
        <v>2999</v>
      </c>
      <c r="H3375" s="9">
        <v>44733</v>
      </c>
      <c r="I3375" t="s">
        <v>8634</v>
      </c>
      <c r="J3375" t="s">
        <v>0</v>
      </c>
      <c r="K3375" s="9">
        <v>44862</v>
      </c>
      <c r="L3375" t="s">
        <v>29</v>
      </c>
      <c r="M3375"/>
      <c r="N3375"/>
      <c r="O3375"/>
      <c r="P3375"/>
      <c r="Q3375" s="9">
        <v>44862</v>
      </c>
      <c r="R3375"/>
      <c r="S3375"/>
      <c r="T3375"/>
      <c r="U3375"/>
    </row>
    <row r="3376" spans="1:21" hidden="1">
      <c r="A3376" s="7" t="s">
        <v>8728</v>
      </c>
      <c r="B3376" s="7" t="s">
        <v>5405</v>
      </c>
      <c r="C3376" s="8" t="s">
        <v>5319</v>
      </c>
      <c r="D3376" t="s">
        <v>272</v>
      </c>
      <c r="E3376" t="s">
        <v>25</v>
      </c>
      <c r="F3376" t="s">
        <v>200</v>
      </c>
      <c r="G3376" t="s">
        <v>3000</v>
      </c>
      <c r="H3376" s="9">
        <v>44733</v>
      </c>
      <c r="I3376" t="s">
        <v>8634</v>
      </c>
      <c r="J3376" t="s">
        <v>0</v>
      </c>
      <c r="K3376" s="9">
        <v>44862</v>
      </c>
      <c r="L3376" t="s">
        <v>29</v>
      </c>
      <c r="M3376"/>
      <c r="N3376"/>
      <c r="O3376"/>
      <c r="P3376"/>
      <c r="Q3376" s="9">
        <v>44862</v>
      </c>
      <c r="R3376"/>
      <c r="S3376"/>
      <c r="T3376"/>
      <c r="U3376"/>
    </row>
    <row r="3377" spans="1:21" hidden="1">
      <c r="A3377" s="7" t="s">
        <v>8758</v>
      </c>
      <c r="B3377" s="7" t="s">
        <v>5405</v>
      </c>
      <c r="C3377" s="8" t="s">
        <v>5319</v>
      </c>
      <c r="D3377" t="s">
        <v>272</v>
      </c>
      <c r="E3377" t="s">
        <v>25</v>
      </c>
      <c r="F3377" t="s">
        <v>493</v>
      </c>
      <c r="G3377" t="s">
        <v>1628</v>
      </c>
      <c r="H3377" s="9">
        <v>44733</v>
      </c>
      <c r="I3377" t="s">
        <v>8634</v>
      </c>
      <c r="J3377" t="s">
        <v>0</v>
      </c>
      <c r="K3377" s="9">
        <v>44862</v>
      </c>
      <c r="L3377" t="s">
        <v>29</v>
      </c>
      <c r="M3377"/>
      <c r="N3377"/>
      <c r="O3377"/>
      <c r="P3377"/>
      <c r="Q3377" s="9">
        <v>44862</v>
      </c>
      <c r="R3377" s="9">
        <v>44776.735254629602</v>
      </c>
      <c r="S3377"/>
      <c r="T3377"/>
      <c r="U3377"/>
    </row>
    <row r="3378" spans="1:21" hidden="1">
      <c r="A3378" s="7" t="s">
        <v>8712</v>
      </c>
      <c r="B3378" s="7" t="s">
        <v>5405</v>
      </c>
      <c r="C3378" s="8" t="s">
        <v>5319</v>
      </c>
      <c r="D3378" t="s">
        <v>272</v>
      </c>
      <c r="E3378" t="s">
        <v>25</v>
      </c>
      <c r="F3378" t="s">
        <v>26</v>
      </c>
      <c r="G3378" t="s">
        <v>3001</v>
      </c>
      <c r="H3378" s="9">
        <v>44733</v>
      </c>
      <c r="I3378" t="s">
        <v>8634</v>
      </c>
      <c r="J3378" t="s">
        <v>0</v>
      </c>
      <c r="K3378" s="9">
        <v>44882</v>
      </c>
      <c r="L3378" t="s">
        <v>29</v>
      </c>
      <c r="M3378"/>
      <c r="N3378"/>
      <c r="O3378"/>
      <c r="P3378"/>
      <c r="Q3378" s="9">
        <v>44882</v>
      </c>
      <c r="R3378"/>
      <c r="S3378"/>
      <c r="T3378"/>
      <c r="U3378"/>
    </row>
    <row r="3379" spans="1:21" hidden="1">
      <c r="A3379" s="7" t="s">
        <v>8712</v>
      </c>
      <c r="B3379" s="7" t="s">
        <v>5405</v>
      </c>
      <c r="C3379" s="8" t="s">
        <v>5319</v>
      </c>
      <c r="D3379" t="s">
        <v>272</v>
      </c>
      <c r="E3379" t="s">
        <v>25</v>
      </c>
      <c r="F3379" t="s">
        <v>26</v>
      </c>
      <c r="G3379" t="s">
        <v>3002</v>
      </c>
      <c r="H3379" s="9">
        <v>44733</v>
      </c>
      <c r="I3379" t="s">
        <v>8634</v>
      </c>
      <c r="J3379" t="s">
        <v>0</v>
      </c>
      <c r="K3379" s="9">
        <v>44882</v>
      </c>
      <c r="L3379" t="s">
        <v>29</v>
      </c>
      <c r="M3379"/>
      <c r="N3379"/>
      <c r="O3379"/>
      <c r="P3379"/>
      <c r="Q3379" s="9">
        <v>44882</v>
      </c>
      <c r="R3379"/>
      <c r="S3379"/>
      <c r="T3379"/>
      <c r="U3379"/>
    </row>
    <row r="3380" spans="1:21" hidden="1">
      <c r="A3380" s="7" t="s">
        <v>8728</v>
      </c>
      <c r="B3380" s="7" t="s">
        <v>5405</v>
      </c>
      <c r="C3380" s="8" t="s">
        <v>5319</v>
      </c>
      <c r="D3380" t="s">
        <v>272</v>
      </c>
      <c r="E3380" t="s">
        <v>25</v>
      </c>
      <c r="F3380" t="s">
        <v>200</v>
      </c>
      <c r="G3380" t="s">
        <v>3003</v>
      </c>
      <c r="H3380" s="9">
        <v>44733</v>
      </c>
      <c r="I3380" t="s">
        <v>8634</v>
      </c>
      <c r="J3380" t="s">
        <v>0</v>
      </c>
      <c r="K3380" s="9">
        <v>44862</v>
      </c>
      <c r="L3380" t="s">
        <v>29</v>
      </c>
      <c r="M3380"/>
      <c r="N3380"/>
      <c r="O3380"/>
      <c r="P3380"/>
      <c r="Q3380" s="9">
        <v>44862</v>
      </c>
      <c r="R3380"/>
      <c r="S3380"/>
      <c r="T3380"/>
      <c r="U3380"/>
    </row>
    <row r="3381" spans="1:21" hidden="1">
      <c r="A3381" s="7" t="s">
        <v>8758</v>
      </c>
      <c r="B3381" s="7" t="s">
        <v>5405</v>
      </c>
      <c r="C3381" s="8" t="s">
        <v>5319</v>
      </c>
      <c r="D3381" t="s">
        <v>272</v>
      </c>
      <c r="E3381" t="s">
        <v>25</v>
      </c>
      <c r="F3381" t="s">
        <v>493</v>
      </c>
      <c r="G3381" t="s">
        <v>3004</v>
      </c>
      <c r="H3381" s="9">
        <v>44733</v>
      </c>
      <c r="I3381" t="s">
        <v>8634</v>
      </c>
      <c r="J3381" t="s">
        <v>0</v>
      </c>
      <c r="K3381" s="9">
        <v>44862</v>
      </c>
      <c r="L3381" t="s">
        <v>29</v>
      </c>
      <c r="M3381"/>
      <c r="N3381"/>
      <c r="O3381"/>
      <c r="P3381"/>
      <c r="Q3381" s="9">
        <v>44862</v>
      </c>
      <c r="R3381"/>
      <c r="S3381"/>
      <c r="T3381"/>
      <c r="U3381"/>
    </row>
    <row r="3382" spans="1:21" hidden="1">
      <c r="A3382" s="7" t="s">
        <v>8758</v>
      </c>
      <c r="B3382" s="7" t="s">
        <v>5405</v>
      </c>
      <c r="C3382" s="8" t="s">
        <v>5319</v>
      </c>
      <c r="D3382" t="s">
        <v>272</v>
      </c>
      <c r="E3382" t="s">
        <v>25</v>
      </c>
      <c r="F3382" t="s">
        <v>493</v>
      </c>
      <c r="G3382" t="s">
        <v>3005</v>
      </c>
      <c r="H3382" s="9">
        <v>44733</v>
      </c>
      <c r="I3382" t="s">
        <v>8634</v>
      </c>
      <c r="J3382" t="s">
        <v>0</v>
      </c>
      <c r="K3382" s="9">
        <v>44862</v>
      </c>
      <c r="L3382" t="s">
        <v>29</v>
      </c>
      <c r="M3382"/>
      <c r="N3382"/>
      <c r="O3382"/>
      <c r="P3382"/>
      <c r="Q3382" s="9">
        <v>44862</v>
      </c>
      <c r="R3382" s="9">
        <v>44776.735254629602</v>
      </c>
      <c r="S3382"/>
      <c r="T3382"/>
      <c r="U3382"/>
    </row>
    <row r="3383" spans="1:21" hidden="1">
      <c r="A3383" s="7" t="s">
        <v>8758</v>
      </c>
      <c r="B3383" s="7" t="s">
        <v>5405</v>
      </c>
      <c r="C3383" s="8" t="s">
        <v>5319</v>
      </c>
      <c r="D3383" t="s">
        <v>272</v>
      </c>
      <c r="E3383" t="s">
        <v>25</v>
      </c>
      <c r="F3383" t="s">
        <v>493</v>
      </c>
      <c r="G3383" t="s">
        <v>1633</v>
      </c>
      <c r="H3383" s="9">
        <v>44733</v>
      </c>
      <c r="I3383" t="s">
        <v>8634</v>
      </c>
      <c r="J3383" t="s">
        <v>0</v>
      </c>
      <c r="K3383" s="9">
        <v>44862</v>
      </c>
      <c r="L3383" t="s">
        <v>29</v>
      </c>
      <c r="M3383"/>
      <c r="N3383"/>
      <c r="O3383"/>
      <c r="P3383"/>
      <c r="Q3383" s="9">
        <v>44862</v>
      </c>
      <c r="R3383" s="9">
        <v>44776.735254629602</v>
      </c>
      <c r="S3383"/>
      <c r="T3383"/>
      <c r="U3383"/>
    </row>
    <row r="3384" spans="1:21" hidden="1">
      <c r="A3384" s="7" t="s">
        <v>8758</v>
      </c>
      <c r="B3384" s="7" t="s">
        <v>5405</v>
      </c>
      <c r="C3384" s="8" t="s">
        <v>5319</v>
      </c>
      <c r="D3384" t="s">
        <v>272</v>
      </c>
      <c r="E3384" t="s">
        <v>25</v>
      </c>
      <c r="F3384" t="s">
        <v>493</v>
      </c>
      <c r="G3384" t="s">
        <v>1635</v>
      </c>
      <c r="H3384" s="9">
        <v>44733</v>
      </c>
      <c r="I3384" t="s">
        <v>8634</v>
      </c>
      <c r="J3384" t="s">
        <v>0</v>
      </c>
      <c r="K3384" s="9">
        <v>44862</v>
      </c>
      <c r="L3384" t="s">
        <v>29</v>
      </c>
      <c r="M3384"/>
      <c r="N3384"/>
      <c r="O3384"/>
      <c r="P3384"/>
      <c r="Q3384" s="9">
        <v>44862</v>
      </c>
      <c r="R3384" s="9">
        <v>44776.735254629602</v>
      </c>
      <c r="S3384"/>
      <c r="T3384"/>
      <c r="U3384"/>
    </row>
    <row r="3385" spans="1:21" hidden="1">
      <c r="A3385" s="7" t="s">
        <v>8758</v>
      </c>
      <c r="B3385" s="7" t="s">
        <v>5405</v>
      </c>
      <c r="C3385" s="8" t="s">
        <v>5319</v>
      </c>
      <c r="D3385" t="s">
        <v>272</v>
      </c>
      <c r="E3385" t="s">
        <v>25</v>
      </c>
      <c r="F3385" t="s">
        <v>493</v>
      </c>
      <c r="G3385" t="s">
        <v>1636</v>
      </c>
      <c r="H3385" s="9">
        <v>44733</v>
      </c>
      <c r="I3385" t="s">
        <v>8634</v>
      </c>
      <c r="J3385" t="s">
        <v>0</v>
      </c>
      <c r="K3385" s="9">
        <v>44862</v>
      </c>
      <c r="L3385" t="s">
        <v>29</v>
      </c>
      <c r="M3385"/>
      <c r="N3385"/>
      <c r="O3385"/>
      <c r="P3385"/>
      <c r="Q3385" s="9">
        <v>44862</v>
      </c>
      <c r="R3385" s="9">
        <v>44776.735254629602</v>
      </c>
      <c r="S3385"/>
      <c r="T3385"/>
      <c r="U3385"/>
    </row>
    <row r="3386" spans="1:21" hidden="1">
      <c r="A3386" s="7" t="s">
        <v>8758</v>
      </c>
      <c r="B3386" s="7" t="s">
        <v>5405</v>
      </c>
      <c r="C3386" s="8" t="s">
        <v>5319</v>
      </c>
      <c r="D3386" t="s">
        <v>272</v>
      </c>
      <c r="E3386" t="s">
        <v>25</v>
      </c>
      <c r="F3386" t="s">
        <v>493</v>
      </c>
      <c r="G3386" t="s">
        <v>1637</v>
      </c>
      <c r="H3386" s="9">
        <v>44733</v>
      </c>
      <c r="I3386" t="s">
        <v>8634</v>
      </c>
      <c r="J3386" t="s">
        <v>0</v>
      </c>
      <c r="K3386" s="9">
        <v>44862</v>
      </c>
      <c r="L3386" t="s">
        <v>29</v>
      </c>
      <c r="M3386"/>
      <c r="N3386"/>
      <c r="O3386"/>
      <c r="P3386"/>
      <c r="Q3386" s="9">
        <v>44862</v>
      </c>
      <c r="R3386"/>
      <c r="S3386"/>
      <c r="T3386"/>
      <c r="U3386"/>
    </row>
    <row r="3387" spans="1:21" hidden="1">
      <c r="A3387" s="7" t="s">
        <v>8758</v>
      </c>
      <c r="B3387" s="7" t="s">
        <v>5405</v>
      </c>
      <c r="C3387" s="8" t="s">
        <v>5319</v>
      </c>
      <c r="D3387" t="s">
        <v>272</v>
      </c>
      <c r="E3387" t="s">
        <v>25</v>
      </c>
      <c r="F3387" t="s">
        <v>493</v>
      </c>
      <c r="G3387" t="s">
        <v>3006</v>
      </c>
      <c r="H3387" s="9">
        <v>44733</v>
      </c>
      <c r="I3387" t="s">
        <v>8634</v>
      </c>
      <c r="J3387" t="s">
        <v>0</v>
      </c>
      <c r="K3387" s="9">
        <v>44862</v>
      </c>
      <c r="L3387" t="s">
        <v>29</v>
      </c>
      <c r="M3387"/>
      <c r="N3387"/>
      <c r="O3387"/>
      <c r="P3387"/>
      <c r="Q3387" s="9">
        <v>44862</v>
      </c>
      <c r="R3387"/>
      <c r="S3387"/>
      <c r="T3387"/>
      <c r="U3387"/>
    </row>
    <row r="3388" spans="1:21" hidden="1">
      <c r="A3388" s="7" t="s">
        <v>8758</v>
      </c>
      <c r="B3388" s="7" t="s">
        <v>5405</v>
      </c>
      <c r="C3388" s="8" t="s">
        <v>5319</v>
      </c>
      <c r="D3388" t="s">
        <v>272</v>
      </c>
      <c r="E3388" t="s">
        <v>25</v>
      </c>
      <c r="F3388" t="s">
        <v>493</v>
      </c>
      <c r="G3388" t="s">
        <v>3007</v>
      </c>
      <c r="H3388" s="9">
        <v>44733</v>
      </c>
      <c r="I3388" t="s">
        <v>8634</v>
      </c>
      <c r="J3388" t="s">
        <v>0</v>
      </c>
      <c r="K3388" s="9">
        <v>44862</v>
      </c>
      <c r="L3388" t="s">
        <v>29</v>
      </c>
      <c r="M3388"/>
      <c r="N3388"/>
      <c r="O3388"/>
      <c r="P3388"/>
      <c r="Q3388" s="9">
        <v>44862</v>
      </c>
      <c r="R3388" s="9">
        <v>44776.735254629602</v>
      </c>
      <c r="S3388"/>
      <c r="T3388"/>
      <c r="U3388"/>
    </row>
    <row r="3389" spans="1:21" hidden="1">
      <c r="A3389" s="7" t="s">
        <v>8728</v>
      </c>
      <c r="B3389" s="7" t="s">
        <v>5405</v>
      </c>
      <c r="C3389" s="8" t="s">
        <v>5319</v>
      </c>
      <c r="D3389" t="s">
        <v>272</v>
      </c>
      <c r="E3389" t="s">
        <v>25</v>
      </c>
      <c r="F3389" t="s">
        <v>200</v>
      </c>
      <c r="G3389" t="s">
        <v>3008</v>
      </c>
      <c r="H3389" s="9">
        <v>44733</v>
      </c>
      <c r="I3389" t="s">
        <v>8634</v>
      </c>
      <c r="J3389" t="s">
        <v>0</v>
      </c>
      <c r="K3389" s="9">
        <v>44862</v>
      </c>
      <c r="L3389" t="s">
        <v>29</v>
      </c>
      <c r="M3389"/>
      <c r="N3389"/>
      <c r="O3389"/>
      <c r="P3389"/>
      <c r="Q3389" s="9">
        <v>44862</v>
      </c>
      <c r="R3389"/>
      <c r="S3389"/>
      <c r="T3389"/>
      <c r="U3389"/>
    </row>
    <row r="3390" spans="1:21" hidden="1">
      <c r="A3390" s="7" t="s">
        <v>8893</v>
      </c>
      <c r="B3390" s="7" t="s">
        <v>5405</v>
      </c>
      <c r="C3390" s="8" t="s">
        <v>5319</v>
      </c>
      <c r="D3390" t="s">
        <v>272</v>
      </c>
      <c r="E3390" t="s">
        <v>25</v>
      </c>
      <c r="F3390" t="s">
        <v>209</v>
      </c>
      <c r="G3390" t="s">
        <v>3009</v>
      </c>
      <c r="H3390" s="9">
        <v>44733</v>
      </c>
      <c r="I3390" t="s">
        <v>8634</v>
      </c>
      <c r="J3390" t="s">
        <v>0</v>
      </c>
      <c r="K3390" s="9">
        <v>44858</v>
      </c>
      <c r="L3390" t="s">
        <v>29</v>
      </c>
      <c r="M3390"/>
      <c r="N3390"/>
      <c r="O3390"/>
      <c r="P3390"/>
      <c r="Q3390" s="9">
        <v>44858</v>
      </c>
      <c r="R3390" s="9">
        <v>44778.766145833302</v>
      </c>
      <c r="S3390"/>
      <c r="T3390"/>
      <c r="U3390"/>
    </row>
    <row r="3391" spans="1:21" hidden="1">
      <c r="A3391" s="7" t="s">
        <v>8758</v>
      </c>
      <c r="B3391" s="7" t="s">
        <v>5405</v>
      </c>
      <c r="C3391" s="8" t="s">
        <v>5319</v>
      </c>
      <c r="D3391" t="s">
        <v>272</v>
      </c>
      <c r="E3391" t="s">
        <v>25</v>
      </c>
      <c r="F3391" t="s">
        <v>493</v>
      </c>
      <c r="G3391" t="s">
        <v>3010</v>
      </c>
      <c r="H3391" s="9">
        <v>44733</v>
      </c>
      <c r="I3391" t="s">
        <v>8634</v>
      </c>
      <c r="J3391" t="s">
        <v>0</v>
      </c>
      <c r="K3391" s="9">
        <v>44862</v>
      </c>
      <c r="L3391" t="s">
        <v>29</v>
      </c>
      <c r="M3391"/>
      <c r="N3391"/>
      <c r="O3391"/>
      <c r="P3391"/>
      <c r="Q3391" s="9">
        <v>44862</v>
      </c>
      <c r="R3391"/>
      <c r="S3391"/>
      <c r="T3391"/>
      <c r="U3391"/>
    </row>
    <row r="3392" spans="1:21" hidden="1">
      <c r="A3392" s="7" t="s">
        <v>8758</v>
      </c>
      <c r="B3392" s="7" t="s">
        <v>5405</v>
      </c>
      <c r="C3392" s="8" t="s">
        <v>5319</v>
      </c>
      <c r="D3392" t="s">
        <v>272</v>
      </c>
      <c r="E3392" t="s">
        <v>25</v>
      </c>
      <c r="F3392" t="s">
        <v>493</v>
      </c>
      <c r="G3392" t="s">
        <v>3011</v>
      </c>
      <c r="H3392" s="9">
        <v>44733</v>
      </c>
      <c r="I3392" t="s">
        <v>8634</v>
      </c>
      <c r="J3392" t="s">
        <v>0</v>
      </c>
      <c r="K3392" s="9">
        <v>44862</v>
      </c>
      <c r="L3392" t="s">
        <v>29</v>
      </c>
      <c r="M3392"/>
      <c r="N3392"/>
      <c r="O3392"/>
      <c r="P3392"/>
      <c r="Q3392" s="9">
        <v>44862</v>
      </c>
      <c r="R3392"/>
      <c r="S3392"/>
      <c r="T3392"/>
      <c r="U3392"/>
    </row>
    <row r="3393" spans="1:21" hidden="1">
      <c r="A3393" s="7" t="s">
        <v>8712</v>
      </c>
      <c r="B3393" s="7" t="s">
        <v>5405</v>
      </c>
      <c r="C3393" s="8" t="s">
        <v>5319</v>
      </c>
      <c r="D3393" t="s">
        <v>272</v>
      </c>
      <c r="E3393" t="s">
        <v>25</v>
      </c>
      <c r="F3393" t="s">
        <v>26</v>
      </c>
      <c r="G3393" t="s">
        <v>3012</v>
      </c>
      <c r="H3393" s="9">
        <v>44733</v>
      </c>
      <c r="I3393" t="s">
        <v>8634</v>
      </c>
      <c r="J3393" t="s">
        <v>0</v>
      </c>
      <c r="K3393" s="9">
        <v>44882</v>
      </c>
      <c r="L3393" t="s">
        <v>29</v>
      </c>
      <c r="M3393"/>
      <c r="N3393"/>
      <c r="O3393"/>
      <c r="P3393"/>
      <c r="Q3393" s="9">
        <v>44882</v>
      </c>
      <c r="R3393"/>
      <c r="S3393"/>
      <c r="T3393"/>
      <c r="U3393"/>
    </row>
    <row r="3394" spans="1:21" hidden="1">
      <c r="A3394" s="7" t="s">
        <v>8825</v>
      </c>
      <c r="B3394" s="7" t="s">
        <v>5405</v>
      </c>
      <c r="C3394" s="8" t="s">
        <v>5319</v>
      </c>
      <c r="D3394" t="s">
        <v>272</v>
      </c>
      <c r="E3394" t="s">
        <v>25</v>
      </c>
      <c r="F3394" t="s">
        <v>111</v>
      </c>
      <c r="G3394" t="s">
        <v>3013</v>
      </c>
      <c r="H3394" s="9">
        <v>44733</v>
      </c>
      <c r="I3394" t="s">
        <v>8634</v>
      </c>
      <c r="J3394" t="s">
        <v>0</v>
      </c>
      <c r="K3394" s="9">
        <v>44881</v>
      </c>
      <c r="L3394" t="s">
        <v>29</v>
      </c>
      <c r="M3394"/>
      <c r="N3394"/>
      <c r="O3394"/>
      <c r="P3394"/>
      <c r="Q3394" s="9">
        <v>44881</v>
      </c>
      <c r="R3394"/>
      <c r="S3394"/>
      <c r="T3394"/>
      <c r="U3394"/>
    </row>
    <row r="3395" spans="1:21" hidden="1">
      <c r="A3395" s="7" t="s">
        <v>8758</v>
      </c>
      <c r="B3395" s="7" t="s">
        <v>5405</v>
      </c>
      <c r="C3395" s="8" t="s">
        <v>5319</v>
      </c>
      <c r="D3395" t="s">
        <v>272</v>
      </c>
      <c r="E3395" t="s">
        <v>25</v>
      </c>
      <c r="F3395" t="s">
        <v>493</v>
      </c>
      <c r="G3395" t="s">
        <v>3014</v>
      </c>
      <c r="H3395" s="9">
        <v>44733</v>
      </c>
      <c r="I3395" t="s">
        <v>8634</v>
      </c>
      <c r="J3395" t="s">
        <v>0</v>
      </c>
      <c r="K3395" s="9">
        <v>44862</v>
      </c>
      <c r="L3395" t="s">
        <v>29</v>
      </c>
      <c r="M3395"/>
      <c r="N3395"/>
      <c r="O3395"/>
      <c r="P3395"/>
      <c r="Q3395" s="9">
        <v>44862</v>
      </c>
      <c r="R3395" s="9">
        <v>44776.735254629602</v>
      </c>
      <c r="S3395"/>
      <c r="T3395"/>
      <c r="U3395"/>
    </row>
    <row r="3396" spans="1:21" hidden="1">
      <c r="A3396" s="7" t="s">
        <v>8758</v>
      </c>
      <c r="B3396" s="7" t="s">
        <v>5405</v>
      </c>
      <c r="C3396" s="8" t="s">
        <v>5319</v>
      </c>
      <c r="D3396" t="s">
        <v>272</v>
      </c>
      <c r="E3396" t="s">
        <v>25</v>
      </c>
      <c r="F3396" t="s">
        <v>493</v>
      </c>
      <c r="G3396" t="s">
        <v>3015</v>
      </c>
      <c r="H3396" s="9">
        <v>44733</v>
      </c>
      <c r="I3396" t="s">
        <v>8634</v>
      </c>
      <c r="J3396" t="s">
        <v>0</v>
      </c>
      <c r="K3396" s="9">
        <v>44862</v>
      </c>
      <c r="L3396" t="s">
        <v>29</v>
      </c>
      <c r="M3396"/>
      <c r="N3396"/>
      <c r="O3396"/>
      <c r="P3396"/>
      <c r="Q3396" s="9">
        <v>44862</v>
      </c>
      <c r="R3396"/>
      <c r="S3396"/>
      <c r="T3396"/>
      <c r="U3396"/>
    </row>
    <row r="3397" spans="1:21" hidden="1">
      <c r="A3397" s="7" t="s">
        <v>8758</v>
      </c>
      <c r="B3397" s="7" t="s">
        <v>5405</v>
      </c>
      <c r="C3397" s="8" t="s">
        <v>5319</v>
      </c>
      <c r="D3397" t="s">
        <v>272</v>
      </c>
      <c r="E3397" t="s">
        <v>25</v>
      </c>
      <c r="F3397" t="s">
        <v>493</v>
      </c>
      <c r="G3397" t="s">
        <v>3016</v>
      </c>
      <c r="H3397" s="9">
        <v>44733</v>
      </c>
      <c r="I3397" t="s">
        <v>8634</v>
      </c>
      <c r="J3397" t="s">
        <v>0</v>
      </c>
      <c r="K3397" s="9">
        <v>44862</v>
      </c>
      <c r="L3397" t="s">
        <v>29</v>
      </c>
      <c r="M3397"/>
      <c r="N3397"/>
      <c r="O3397"/>
      <c r="P3397"/>
      <c r="Q3397" s="9">
        <v>44862</v>
      </c>
      <c r="R3397"/>
      <c r="S3397"/>
      <c r="T3397"/>
      <c r="U3397"/>
    </row>
    <row r="3398" spans="1:21" hidden="1">
      <c r="A3398" s="7" t="s">
        <v>8758</v>
      </c>
      <c r="B3398" s="7" t="s">
        <v>5405</v>
      </c>
      <c r="C3398" s="8" t="s">
        <v>5319</v>
      </c>
      <c r="D3398" t="s">
        <v>272</v>
      </c>
      <c r="E3398" t="s">
        <v>25</v>
      </c>
      <c r="F3398" t="s">
        <v>493</v>
      </c>
      <c r="G3398" t="s">
        <v>3017</v>
      </c>
      <c r="H3398" s="9">
        <v>44733</v>
      </c>
      <c r="I3398" t="s">
        <v>8634</v>
      </c>
      <c r="J3398" t="s">
        <v>0</v>
      </c>
      <c r="K3398" s="9">
        <v>44862</v>
      </c>
      <c r="L3398" t="s">
        <v>29</v>
      </c>
      <c r="M3398"/>
      <c r="N3398"/>
      <c r="O3398"/>
      <c r="P3398"/>
      <c r="Q3398" s="9">
        <v>44862</v>
      </c>
      <c r="R3398" s="9">
        <v>44776.735254629602</v>
      </c>
      <c r="S3398"/>
      <c r="T3398"/>
      <c r="U3398"/>
    </row>
    <row r="3399" spans="1:21" hidden="1">
      <c r="A3399" s="7" t="s">
        <v>8825</v>
      </c>
      <c r="B3399" s="7" t="s">
        <v>5405</v>
      </c>
      <c r="C3399" s="8" t="s">
        <v>5319</v>
      </c>
      <c r="D3399" t="s">
        <v>272</v>
      </c>
      <c r="E3399" t="s">
        <v>25</v>
      </c>
      <c r="F3399" t="s">
        <v>111</v>
      </c>
      <c r="G3399" t="s">
        <v>3018</v>
      </c>
      <c r="H3399" s="9">
        <v>44733</v>
      </c>
      <c r="I3399" t="s">
        <v>8634</v>
      </c>
      <c r="J3399" t="s">
        <v>0</v>
      </c>
      <c r="K3399" s="9">
        <v>44881</v>
      </c>
      <c r="L3399" t="s">
        <v>29</v>
      </c>
      <c r="M3399"/>
      <c r="N3399"/>
      <c r="O3399"/>
      <c r="P3399"/>
      <c r="Q3399" s="9">
        <v>44881</v>
      </c>
      <c r="R3399"/>
      <c r="S3399"/>
      <c r="T3399"/>
      <c r="U3399"/>
    </row>
    <row r="3400" spans="1:21" hidden="1">
      <c r="A3400" s="7" t="s">
        <v>8728</v>
      </c>
      <c r="B3400" s="7" t="s">
        <v>5405</v>
      </c>
      <c r="C3400" s="8" t="s">
        <v>5319</v>
      </c>
      <c r="D3400" t="s">
        <v>272</v>
      </c>
      <c r="E3400" t="s">
        <v>25</v>
      </c>
      <c r="F3400" t="s">
        <v>200</v>
      </c>
      <c r="G3400" t="s">
        <v>3019</v>
      </c>
      <c r="H3400" s="9">
        <v>44733</v>
      </c>
      <c r="I3400" t="s">
        <v>8634</v>
      </c>
      <c r="J3400" t="s">
        <v>0</v>
      </c>
      <c r="K3400" s="9">
        <v>44862</v>
      </c>
      <c r="L3400" t="s">
        <v>29</v>
      </c>
      <c r="M3400"/>
      <c r="N3400"/>
      <c r="O3400"/>
      <c r="P3400"/>
      <c r="Q3400" s="9">
        <v>44862</v>
      </c>
      <c r="R3400" s="9">
        <v>44776.7356828704</v>
      </c>
      <c r="S3400"/>
      <c r="T3400"/>
      <c r="U3400"/>
    </row>
    <row r="3401" spans="1:21" hidden="1">
      <c r="A3401" s="7" t="s">
        <v>8825</v>
      </c>
      <c r="B3401" s="7" t="s">
        <v>5405</v>
      </c>
      <c r="C3401" s="8" t="s">
        <v>5319</v>
      </c>
      <c r="D3401" t="s">
        <v>272</v>
      </c>
      <c r="E3401" t="s">
        <v>25</v>
      </c>
      <c r="F3401" t="s">
        <v>111</v>
      </c>
      <c r="G3401" t="s">
        <v>3020</v>
      </c>
      <c r="H3401" s="9">
        <v>44733</v>
      </c>
      <c r="I3401" t="s">
        <v>8634</v>
      </c>
      <c r="J3401" t="s">
        <v>0</v>
      </c>
      <c r="K3401" s="9">
        <v>44881</v>
      </c>
      <c r="L3401" t="s">
        <v>29</v>
      </c>
      <c r="M3401"/>
      <c r="N3401"/>
      <c r="O3401"/>
      <c r="P3401"/>
      <c r="Q3401" s="9">
        <v>44881</v>
      </c>
      <c r="R3401"/>
      <c r="S3401"/>
      <c r="T3401"/>
      <c r="U3401"/>
    </row>
    <row r="3402" spans="1:21" hidden="1">
      <c r="A3402" s="7" t="s">
        <v>8825</v>
      </c>
      <c r="B3402" s="7" t="s">
        <v>5405</v>
      </c>
      <c r="C3402" s="8" t="s">
        <v>5319</v>
      </c>
      <c r="D3402" t="s">
        <v>272</v>
      </c>
      <c r="E3402" t="s">
        <v>25</v>
      </c>
      <c r="F3402" t="s">
        <v>111</v>
      </c>
      <c r="G3402" t="s">
        <v>3021</v>
      </c>
      <c r="H3402" s="9">
        <v>44733</v>
      </c>
      <c r="I3402" t="s">
        <v>8634</v>
      </c>
      <c r="J3402" t="s">
        <v>0</v>
      </c>
      <c r="K3402" s="9">
        <v>44881</v>
      </c>
      <c r="L3402" t="s">
        <v>29</v>
      </c>
      <c r="M3402"/>
      <c r="N3402"/>
      <c r="O3402"/>
      <c r="P3402"/>
      <c r="Q3402" s="9">
        <v>44881</v>
      </c>
      <c r="R3402"/>
      <c r="S3402"/>
      <c r="T3402"/>
      <c r="U3402"/>
    </row>
    <row r="3403" spans="1:21" hidden="1">
      <c r="A3403" s="7" t="s">
        <v>8742</v>
      </c>
      <c r="B3403" s="7" t="s">
        <v>6943</v>
      </c>
      <c r="C3403" s="8" t="s">
        <v>5319</v>
      </c>
      <c r="D3403" t="s">
        <v>272</v>
      </c>
      <c r="E3403" t="s">
        <v>324</v>
      </c>
      <c r="F3403" t="s">
        <v>75</v>
      </c>
      <c r="G3403" t="s">
        <v>3022</v>
      </c>
      <c r="H3403" s="9">
        <v>44733</v>
      </c>
      <c r="I3403" t="s">
        <v>282</v>
      </c>
      <c r="J3403" t="s">
        <v>0</v>
      </c>
      <c r="K3403" s="9">
        <v>44817</v>
      </c>
      <c r="L3403" t="s">
        <v>29</v>
      </c>
      <c r="M3403"/>
      <c r="N3403" s="9">
        <v>44778</v>
      </c>
      <c r="O3403"/>
      <c r="P3403"/>
      <c r="Q3403" s="9">
        <v>44817</v>
      </c>
      <c r="R3403" s="9">
        <v>44816.486284722203</v>
      </c>
      <c r="S3403"/>
      <c r="T3403"/>
      <c r="U3403"/>
    </row>
    <row r="3404" spans="1:21" hidden="1">
      <c r="A3404" s="7" t="s">
        <v>8742</v>
      </c>
      <c r="B3404" s="7" t="s">
        <v>6943</v>
      </c>
      <c r="C3404" s="8" t="s">
        <v>5319</v>
      </c>
      <c r="D3404" t="s">
        <v>272</v>
      </c>
      <c r="E3404" t="s">
        <v>324</v>
      </c>
      <c r="F3404" t="s">
        <v>75</v>
      </c>
      <c r="G3404" t="s">
        <v>3023</v>
      </c>
      <c r="H3404" s="9">
        <v>44733</v>
      </c>
      <c r="I3404" t="s">
        <v>282</v>
      </c>
      <c r="J3404" t="s">
        <v>0</v>
      </c>
      <c r="K3404" s="9">
        <v>44817</v>
      </c>
      <c r="L3404" t="s">
        <v>29</v>
      </c>
      <c r="M3404"/>
      <c r="N3404" s="9">
        <v>44778</v>
      </c>
      <c r="O3404"/>
      <c r="P3404"/>
      <c r="Q3404" s="9">
        <v>44817</v>
      </c>
      <c r="R3404" s="9">
        <v>44816.486284722203</v>
      </c>
      <c r="S3404"/>
      <c r="T3404"/>
      <c r="U3404"/>
    </row>
    <row r="3405" spans="1:21" hidden="1">
      <c r="A3405" s="7" t="s">
        <v>8742</v>
      </c>
      <c r="B3405" s="7" t="s">
        <v>6943</v>
      </c>
      <c r="C3405" s="8" t="s">
        <v>5319</v>
      </c>
      <c r="D3405" t="s">
        <v>272</v>
      </c>
      <c r="E3405" t="s">
        <v>324</v>
      </c>
      <c r="F3405" t="s">
        <v>75</v>
      </c>
      <c r="G3405" t="s">
        <v>3024</v>
      </c>
      <c r="H3405" s="9">
        <v>44733</v>
      </c>
      <c r="I3405" t="s">
        <v>282</v>
      </c>
      <c r="J3405" t="s">
        <v>0</v>
      </c>
      <c r="K3405" s="9">
        <v>44817</v>
      </c>
      <c r="L3405" t="s">
        <v>29</v>
      </c>
      <c r="M3405"/>
      <c r="N3405" s="9">
        <v>44778</v>
      </c>
      <c r="O3405"/>
      <c r="P3405"/>
      <c r="Q3405" s="9">
        <v>44817</v>
      </c>
      <c r="R3405" s="9">
        <v>44816.486284722203</v>
      </c>
      <c r="S3405"/>
      <c r="T3405"/>
      <c r="U3405"/>
    </row>
    <row r="3406" spans="1:21" hidden="1">
      <c r="A3406" s="7" t="s">
        <v>8742</v>
      </c>
      <c r="B3406" s="7" t="s">
        <v>6943</v>
      </c>
      <c r="C3406" s="8" t="s">
        <v>5319</v>
      </c>
      <c r="D3406" t="s">
        <v>272</v>
      </c>
      <c r="E3406" t="s">
        <v>324</v>
      </c>
      <c r="F3406" t="s">
        <v>75</v>
      </c>
      <c r="G3406" t="s">
        <v>3025</v>
      </c>
      <c r="H3406" s="9">
        <v>44733</v>
      </c>
      <c r="I3406" t="s">
        <v>282</v>
      </c>
      <c r="J3406" t="s">
        <v>0</v>
      </c>
      <c r="K3406" s="9">
        <v>44817</v>
      </c>
      <c r="L3406" t="s">
        <v>29</v>
      </c>
      <c r="M3406"/>
      <c r="N3406" s="9">
        <v>44778</v>
      </c>
      <c r="O3406"/>
      <c r="P3406"/>
      <c r="Q3406" s="9">
        <v>44817</v>
      </c>
      <c r="R3406" s="9">
        <v>44816.486284722203</v>
      </c>
      <c r="S3406"/>
      <c r="T3406"/>
      <c r="U3406"/>
    </row>
    <row r="3407" spans="1:21" hidden="1">
      <c r="A3407" s="7" t="s">
        <v>8742</v>
      </c>
      <c r="B3407" s="7" t="s">
        <v>6943</v>
      </c>
      <c r="C3407" s="8" t="s">
        <v>5319</v>
      </c>
      <c r="D3407" t="s">
        <v>272</v>
      </c>
      <c r="E3407" t="s">
        <v>324</v>
      </c>
      <c r="F3407" t="s">
        <v>75</v>
      </c>
      <c r="G3407" t="s">
        <v>3026</v>
      </c>
      <c r="H3407" s="9">
        <v>44733</v>
      </c>
      <c r="I3407" t="s">
        <v>282</v>
      </c>
      <c r="J3407" t="s">
        <v>0</v>
      </c>
      <c r="K3407" s="9">
        <v>44817</v>
      </c>
      <c r="L3407" t="s">
        <v>29</v>
      </c>
      <c r="M3407"/>
      <c r="N3407" s="9">
        <v>44778</v>
      </c>
      <c r="O3407"/>
      <c r="P3407"/>
      <c r="Q3407" s="9">
        <v>44817</v>
      </c>
      <c r="R3407" s="9">
        <v>44816.486284722203</v>
      </c>
      <c r="S3407"/>
      <c r="T3407"/>
      <c r="U3407"/>
    </row>
    <row r="3408" spans="1:21" hidden="1">
      <c r="A3408" s="7" t="s">
        <v>8742</v>
      </c>
      <c r="B3408" s="7" t="s">
        <v>6943</v>
      </c>
      <c r="C3408" s="8" t="s">
        <v>5319</v>
      </c>
      <c r="D3408" t="s">
        <v>272</v>
      </c>
      <c r="E3408" t="s">
        <v>324</v>
      </c>
      <c r="F3408" t="s">
        <v>75</v>
      </c>
      <c r="G3408" t="s">
        <v>3027</v>
      </c>
      <c r="H3408" s="9">
        <v>44733</v>
      </c>
      <c r="I3408" t="s">
        <v>282</v>
      </c>
      <c r="J3408" t="s">
        <v>0</v>
      </c>
      <c r="K3408" s="9">
        <v>44817</v>
      </c>
      <c r="L3408" t="s">
        <v>29</v>
      </c>
      <c r="M3408"/>
      <c r="N3408" s="9">
        <v>44778</v>
      </c>
      <c r="O3408"/>
      <c r="P3408"/>
      <c r="Q3408" s="9">
        <v>44817</v>
      </c>
      <c r="R3408" s="9">
        <v>44816.486284722203</v>
      </c>
      <c r="S3408"/>
      <c r="T3408"/>
      <c r="U3408"/>
    </row>
    <row r="3409" spans="1:21" hidden="1">
      <c r="A3409" s="7" t="s">
        <v>8742</v>
      </c>
      <c r="B3409" s="7" t="s">
        <v>6943</v>
      </c>
      <c r="C3409" s="8" t="s">
        <v>5319</v>
      </c>
      <c r="D3409" t="s">
        <v>272</v>
      </c>
      <c r="E3409" t="s">
        <v>324</v>
      </c>
      <c r="F3409" t="s">
        <v>75</v>
      </c>
      <c r="G3409" t="s">
        <v>3028</v>
      </c>
      <c r="H3409" s="9">
        <v>44733</v>
      </c>
      <c r="I3409" t="s">
        <v>282</v>
      </c>
      <c r="J3409" t="s">
        <v>0</v>
      </c>
      <c r="K3409" s="9">
        <v>44817</v>
      </c>
      <c r="L3409" t="s">
        <v>29</v>
      </c>
      <c r="M3409"/>
      <c r="N3409" s="9">
        <v>44778</v>
      </c>
      <c r="O3409"/>
      <c r="P3409"/>
      <c r="Q3409" s="9">
        <v>44817</v>
      </c>
      <c r="R3409" s="9">
        <v>44816.486284722203</v>
      </c>
      <c r="S3409"/>
      <c r="T3409"/>
      <c r="U3409"/>
    </row>
    <row r="3410" spans="1:21" hidden="1">
      <c r="A3410" s="7" t="s">
        <v>8742</v>
      </c>
      <c r="B3410" s="7" t="s">
        <v>6943</v>
      </c>
      <c r="C3410" s="8" t="s">
        <v>5319</v>
      </c>
      <c r="D3410" t="s">
        <v>272</v>
      </c>
      <c r="E3410" t="s">
        <v>324</v>
      </c>
      <c r="F3410" t="s">
        <v>75</v>
      </c>
      <c r="G3410" t="s">
        <v>3029</v>
      </c>
      <c r="H3410" s="9">
        <v>44733</v>
      </c>
      <c r="I3410" t="s">
        <v>282</v>
      </c>
      <c r="J3410" t="s">
        <v>0</v>
      </c>
      <c r="K3410" s="9">
        <v>44817</v>
      </c>
      <c r="L3410" t="s">
        <v>29</v>
      </c>
      <c r="M3410"/>
      <c r="N3410" s="9">
        <v>44778</v>
      </c>
      <c r="O3410"/>
      <c r="P3410"/>
      <c r="Q3410" s="9">
        <v>44817</v>
      </c>
      <c r="R3410" s="9">
        <v>44816.486284722203</v>
      </c>
      <c r="S3410"/>
      <c r="T3410"/>
      <c r="U3410"/>
    </row>
    <row r="3411" spans="1:21" hidden="1">
      <c r="A3411" s="7" t="s">
        <v>8742</v>
      </c>
      <c r="B3411" s="7" t="s">
        <v>6943</v>
      </c>
      <c r="C3411" s="8" t="s">
        <v>5319</v>
      </c>
      <c r="D3411" t="s">
        <v>272</v>
      </c>
      <c r="E3411" t="s">
        <v>324</v>
      </c>
      <c r="F3411" t="s">
        <v>75</v>
      </c>
      <c r="G3411" t="s">
        <v>3030</v>
      </c>
      <c r="H3411" s="9">
        <v>44733</v>
      </c>
      <c r="I3411" t="s">
        <v>282</v>
      </c>
      <c r="J3411" t="s">
        <v>0</v>
      </c>
      <c r="K3411" s="9">
        <v>44817</v>
      </c>
      <c r="L3411" t="s">
        <v>29</v>
      </c>
      <c r="M3411"/>
      <c r="N3411" s="9">
        <v>44778</v>
      </c>
      <c r="O3411"/>
      <c r="P3411"/>
      <c r="Q3411" s="9">
        <v>44817</v>
      </c>
      <c r="R3411" s="9">
        <v>44816.486284722203</v>
      </c>
      <c r="S3411"/>
      <c r="T3411"/>
      <c r="U3411"/>
    </row>
    <row r="3412" spans="1:21" hidden="1">
      <c r="A3412" s="7" t="s">
        <v>8742</v>
      </c>
      <c r="B3412" s="7" t="s">
        <v>6943</v>
      </c>
      <c r="C3412" s="8" t="s">
        <v>5319</v>
      </c>
      <c r="D3412" t="s">
        <v>272</v>
      </c>
      <c r="E3412" t="s">
        <v>324</v>
      </c>
      <c r="F3412" t="s">
        <v>75</v>
      </c>
      <c r="G3412" t="s">
        <v>3031</v>
      </c>
      <c r="H3412" s="9">
        <v>44733</v>
      </c>
      <c r="I3412" t="s">
        <v>282</v>
      </c>
      <c r="J3412" t="s">
        <v>0</v>
      </c>
      <c r="K3412" s="9">
        <v>44817</v>
      </c>
      <c r="L3412" t="s">
        <v>29</v>
      </c>
      <c r="M3412"/>
      <c r="N3412" s="9">
        <v>44778</v>
      </c>
      <c r="O3412"/>
      <c r="P3412"/>
      <c r="Q3412" s="9">
        <v>44817</v>
      </c>
      <c r="R3412" s="9">
        <v>44816.486284722203</v>
      </c>
      <c r="S3412"/>
      <c r="T3412"/>
      <c r="U3412"/>
    </row>
    <row r="3413" spans="1:21" hidden="1">
      <c r="A3413" s="7" t="s">
        <v>8742</v>
      </c>
      <c r="B3413" s="7" t="s">
        <v>6943</v>
      </c>
      <c r="C3413" s="8" t="s">
        <v>5319</v>
      </c>
      <c r="D3413" t="s">
        <v>272</v>
      </c>
      <c r="E3413" t="s">
        <v>324</v>
      </c>
      <c r="F3413" t="s">
        <v>75</v>
      </c>
      <c r="G3413" t="s">
        <v>3032</v>
      </c>
      <c r="H3413" s="9">
        <v>44733</v>
      </c>
      <c r="I3413" t="s">
        <v>282</v>
      </c>
      <c r="J3413" t="s">
        <v>0</v>
      </c>
      <c r="K3413" s="9">
        <v>44817</v>
      </c>
      <c r="L3413" t="s">
        <v>29</v>
      </c>
      <c r="M3413"/>
      <c r="N3413" s="9">
        <v>44778</v>
      </c>
      <c r="O3413"/>
      <c r="P3413"/>
      <c r="Q3413" s="9">
        <v>44817</v>
      </c>
      <c r="R3413" s="9">
        <v>44816.486284722203</v>
      </c>
      <c r="S3413"/>
      <c r="T3413"/>
      <c r="U3413"/>
    </row>
    <row r="3414" spans="1:21" hidden="1">
      <c r="A3414" s="7" t="s">
        <v>8742</v>
      </c>
      <c r="B3414" s="7" t="s">
        <v>6943</v>
      </c>
      <c r="C3414" s="8" t="s">
        <v>5319</v>
      </c>
      <c r="D3414" t="s">
        <v>272</v>
      </c>
      <c r="E3414" t="s">
        <v>324</v>
      </c>
      <c r="F3414" t="s">
        <v>75</v>
      </c>
      <c r="G3414" t="s">
        <v>3033</v>
      </c>
      <c r="H3414" s="9">
        <v>44733</v>
      </c>
      <c r="I3414" t="s">
        <v>282</v>
      </c>
      <c r="J3414" t="s">
        <v>0</v>
      </c>
      <c r="K3414" s="9">
        <v>44817</v>
      </c>
      <c r="L3414" t="s">
        <v>29</v>
      </c>
      <c r="M3414"/>
      <c r="N3414" s="9">
        <v>44778</v>
      </c>
      <c r="O3414"/>
      <c r="P3414"/>
      <c r="Q3414" s="9">
        <v>44817</v>
      </c>
      <c r="R3414" s="9">
        <v>44816.486284722203</v>
      </c>
      <c r="S3414"/>
      <c r="T3414"/>
      <c r="U3414"/>
    </row>
    <row r="3415" spans="1:21" hidden="1">
      <c r="A3415" s="7" t="s">
        <v>8742</v>
      </c>
      <c r="B3415" s="7" t="s">
        <v>6943</v>
      </c>
      <c r="C3415" s="8" t="s">
        <v>5319</v>
      </c>
      <c r="D3415" t="s">
        <v>272</v>
      </c>
      <c r="E3415" t="s">
        <v>324</v>
      </c>
      <c r="F3415" t="s">
        <v>75</v>
      </c>
      <c r="G3415" t="s">
        <v>3034</v>
      </c>
      <c r="H3415" s="9">
        <v>44733</v>
      </c>
      <c r="I3415" t="s">
        <v>282</v>
      </c>
      <c r="J3415" t="s">
        <v>0</v>
      </c>
      <c r="K3415" s="9">
        <v>44817</v>
      </c>
      <c r="L3415" t="s">
        <v>29</v>
      </c>
      <c r="M3415"/>
      <c r="N3415" s="9">
        <v>44778</v>
      </c>
      <c r="O3415"/>
      <c r="P3415"/>
      <c r="Q3415" s="9">
        <v>44817</v>
      </c>
      <c r="R3415" s="9">
        <v>44816.486284722203</v>
      </c>
      <c r="S3415"/>
      <c r="T3415"/>
      <c r="U3415"/>
    </row>
    <row r="3416" spans="1:21" hidden="1">
      <c r="A3416" s="7" t="s">
        <v>8742</v>
      </c>
      <c r="B3416" s="7" t="s">
        <v>6943</v>
      </c>
      <c r="C3416" s="8" t="s">
        <v>5319</v>
      </c>
      <c r="D3416" t="s">
        <v>272</v>
      </c>
      <c r="E3416" t="s">
        <v>324</v>
      </c>
      <c r="F3416" t="s">
        <v>75</v>
      </c>
      <c r="G3416" t="s">
        <v>3035</v>
      </c>
      <c r="H3416" s="9">
        <v>44733</v>
      </c>
      <c r="I3416" t="s">
        <v>282</v>
      </c>
      <c r="J3416" t="s">
        <v>0</v>
      </c>
      <c r="K3416" s="9">
        <v>44817</v>
      </c>
      <c r="L3416" t="s">
        <v>29</v>
      </c>
      <c r="M3416"/>
      <c r="N3416" s="9">
        <v>44778</v>
      </c>
      <c r="O3416"/>
      <c r="P3416"/>
      <c r="Q3416" s="9">
        <v>44817</v>
      </c>
      <c r="R3416" s="9">
        <v>44816.486284722203</v>
      </c>
      <c r="S3416"/>
      <c r="T3416"/>
      <c r="U3416"/>
    </row>
    <row r="3417" spans="1:21" hidden="1">
      <c r="A3417" s="7" t="s">
        <v>8742</v>
      </c>
      <c r="B3417" s="7" t="s">
        <v>6943</v>
      </c>
      <c r="C3417" s="8" t="s">
        <v>5319</v>
      </c>
      <c r="D3417" t="s">
        <v>272</v>
      </c>
      <c r="E3417" t="s">
        <v>324</v>
      </c>
      <c r="F3417" t="s">
        <v>75</v>
      </c>
      <c r="G3417" t="s">
        <v>3036</v>
      </c>
      <c r="H3417" s="9">
        <v>44733</v>
      </c>
      <c r="I3417" t="s">
        <v>282</v>
      </c>
      <c r="J3417" t="s">
        <v>0</v>
      </c>
      <c r="K3417" s="9">
        <v>44817</v>
      </c>
      <c r="L3417" t="s">
        <v>29</v>
      </c>
      <c r="M3417"/>
      <c r="N3417" s="9">
        <v>44778</v>
      </c>
      <c r="O3417"/>
      <c r="P3417"/>
      <c r="Q3417" s="9">
        <v>44817</v>
      </c>
      <c r="R3417" s="9">
        <v>44816.486284722203</v>
      </c>
      <c r="S3417"/>
      <c r="T3417"/>
      <c r="U3417"/>
    </row>
    <row r="3418" spans="1:21" hidden="1">
      <c r="A3418" s="7" t="s">
        <v>8742</v>
      </c>
      <c r="B3418" s="7" t="s">
        <v>6943</v>
      </c>
      <c r="C3418" s="8" t="s">
        <v>5319</v>
      </c>
      <c r="D3418" t="s">
        <v>272</v>
      </c>
      <c r="E3418" t="s">
        <v>324</v>
      </c>
      <c r="F3418" t="s">
        <v>75</v>
      </c>
      <c r="G3418" t="s">
        <v>3037</v>
      </c>
      <c r="H3418" s="9">
        <v>44733</v>
      </c>
      <c r="I3418" t="s">
        <v>282</v>
      </c>
      <c r="J3418" t="s">
        <v>0</v>
      </c>
      <c r="K3418" s="9">
        <v>44817</v>
      </c>
      <c r="L3418" t="s">
        <v>29</v>
      </c>
      <c r="M3418"/>
      <c r="N3418" s="9">
        <v>44778</v>
      </c>
      <c r="O3418"/>
      <c r="P3418"/>
      <c r="Q3418" s="9">
        <v>44817</v>
      </c>
      <c r="R3418" s="9">
        <v>44816.486284722203</v>
      </c>
      <c r="S3418"/>
      <c r="T3418"/>
      <c r="U3418"/>
    </row>
    <row r="3419" spans="1:21" hidden="1">
      <c r="A3419" s="7" t="s">
        <v>8764</v>
      </c>
      <c r="B3419" s="7" t="s">
        <v>5405</v>
      </c>
      <c r="C3419" s="8" t="s">
        <v>5319</v>
      </c>
      <c r="D3419" t="s">
        <v>272</v>
      </c>
      <c r="E3419" t="s">
        <v>25</v>
      </c>
      <c r="F3419" t="s">
        <v>75</v>
      </c>
      <c r="G3419" t="s">
        <v>722</v>
      </c>
      <c r="H3419" s="9">
        <v>44733</v>
      </c>
      <c r="I3419" t="s">
        <v>8634</v>
      </c>
      <c r="J3419" t="s">
        <v>0</v>
      </c>
      <c r="K3419" s="9">
        <v>44862</v>
      </c>
      <c r="L3419" t="s">
        <v>29</v>
      </c>
      <c r="M3419"/>
      <c r="N3419" s="9">
        <v>44778</v>
      </c>
      <c r="O3419"/>
      <c r="P3419"/>
      <c r="Q3419" s="9">
        <v>44862</v>
      </c>
      <c r="R3419"/>
      <c r="S3419"/>
      <c r="T3419"/>
      <c r="U3419"/>
    </row>
    <row r="3420" spans="1:21" hidden="1">
      <c r="A3420" s="7" t="s">
        <v>8758</v>
      </c>
      <c r="B3420" s="7" t="s">
        <v>5405</v>
      </c>
      <c r="C3420" s="8" t="s">
        <v>5319</v>
      </c>
      <c r="D3420" t="s">
        <v>272</v>
      </c>
      <c r="E3420" t="s">
        <v>25</v>
      </c>
      <c r="F3420" t="s">
        <v>493</v>
      </c>
      <c r="G3420" t="s">
        <v>1650</v>
      </c>
      <c r="H3420" s="9">
        <v>44733</v>
      </c>
      <c r="I3420" t="s">
        <v>8634</v>
      </c>
      <c r="J3420" t="s">
        <v>0</v>
      </c>
      <c r="K3420" s="9">
        <v>44862</v>
      </c>
      <c r="L3420" t="s">
        <v>29</v>
      </c>
      <c r="M3420"/>
      <c r="N3420"/>
      <c r="O3420"/>
      <c r="P3420"/>
      <c r="Q3420" s="9">
        <v>44862</v>
      </c>
      <c r="R3420"/>
      <c r="S3420"/>
      <c r="T3420"/>
      <c r="U3420"/>
    </row>
    <row r="3421" spans="1:21" hidden="1">
      <c r="A3421" s="7" t="s">
        <v>8728</v>
      </c>
      <c r="B3421" s="7" t="s">
        <v>5405</v>
      </c>
      <c r="C3421" s="8" t="s">
        <v>5319</v>
      </c>
      <c r="D3421" t="s">
        <v>272</v>
      </c>
      <c r="E3421" t="s">
        <v>25</v>
      </c>
      <c r="F3421" t="s">
        <v>200</v>
      </c>
      <c r="G3421" t="s">
        <v>3038</v>
      </c>
      <c r="H3421" s="9">
        <v>44733</v>
      </c>
      <c r="I3421" t="s">
        <v>8634</v>
      </c>
      <c r="J3421" t="s">
        <v>0</v>
      </c>
      <c r="K3421" s="9">
        <v>44862</v>
      </c>
      <c r="L3421" t="s">
        <v>29</v>
      </c>
      <c r="M3421"/>
      <c r="N3421"/>
      <c r="O3421"/>
      <c r="P3421"/>
      <c r="Q3421" s="9">
        <v>44862</v>
      </c>
      <c r="R3421"/>
      <c r="S3421"/>
      <c r="T3421"/>
      <c r="U3421"/>
    </row>
    <row r="3422" spans="1:21" hidden="1">
      <c r="A3422" s="7" t="s">
        <v>8758</v>
      </c>
      <c r="B3422" s="7" t="s">
        <v>5405</v>
      </c>
      <c r="C3422" s="8" t="s">
        <v>5319</v>
      </c>
      <c r="D3422" t="s">
        <v>272</v>
      </c>
      <c r="E3422" t="s">
        <v>25</v>
      </c>
      <c r="F3422" t="s">
        <v>493</v>
      </c>
      <c r="G3422" t="s">
        <v>3039</v>
      </c>
      <c r="H3422" s="9">
        <v>44733</v>
      </c>
      <c r="I3422" t="s">
        <v>8634</v>
      </c>
      <c r="J3422" t="s">
        <v>0</v>
      </c>
      <c r="K3422" s="9">
        <v>44862</v>
      </c>
      <c r="L3422" t="s">
        <v>29</v>
      </c>
      <c r="M3422"/>
      <c r="N3422"/>
      <c r="O3422"/>
      <c r="P3422"/>
      <c r="Q3422" s="9">
        <v>44862</v>
      </c>
      <c r="R3422"/>
      <c r="S3422"/>
      <c r="T3422"/>
      <c r="U3422"/>
    </row>
    <row r="3423" spans="1:21" hidden="1">
      <c r="A3423" s="7" t="s">
        <v>8728</v>
      </c>
      <c r="B3423" s="7" t="s">
        <v>5405</v>
      </c>
      <c r="C3423" s="8" t="s">
        <v>5319</v>
      </c>
      <c r="D3423" t="s">
        <v>272</v>
      </c>
      <c r="E3423" t="s">
        <v>25</v>
      </c>
      <c r="F3423" t="s">
        <v>200</v>
      </c>
      <c r="G3423" t="s">
        <v>3040</v>
      </c>
      <c r="H3423" s="9">
        <v>44733</v>
      </c>
      <c r="I3423" t="s">
        <v>8634</v>
      </c>
      <c r="J3423" t="s">
        <v>0</v>
      </c>
      <c r="K3423" s="9">
        <v>44862</v>
      </c>
      <c r="L3423" t="s">
        <v>29</v>
      </c>
      <c r="M3423"/>
      <c r="N3423"/>
      <c r="O3423"/>
      <c r="P3423"/>
      <c r="Q3423" s="9">
        <v>44862</v>
      </c>
      <c r="R3423"/>
      <c r="S3423"/>
      <c r="T3423"/>
      <c r="U3423"/>
    </row>
    <row r="3424" spans="1:21" hidden="1">
      <c r="A3424" s="7" t="s">
        <v>8728</v>
      </c>
      <c r="B3424" s="7" t="s">
        <v>5405</v>
      </c>
      <c r="C3424" s="8" t="s">
        <v>5319</v>
      </c>
      <c r="D3424" t="s">
        <v>272</v>
      </c>
      <c r="E3424" t="s">
        <v>25</v>
      </c>
      <c r="F3424" t="s">
        <v>200</v>
      </c>
      <c r="G3424" t="s">
        <v>3041</v>
      </c>
      <c r="H3424" s="9">
        <v>44733</v>
      </c>
      <c r="I3424" t="s">
        <v>8634</v>
      </c>
      <c r="J3424" t="s">
        <v>0</v>
      </c>
      <c r="K3424" s="9">
        <v>44862</v>
      </c>
      <c r="L3424" t="s">
        <v>29</v>
      </c>
      <c r="M3424"/>
      <c r="N3424"/>
      <c r="O3424"/>
      <c r="P3424"/>
      <c r="Q3424" s="9">
        <v>44862</v>
      </c>
      <c r="R3424"/>
      <c r="S3424"/>
      <c r="T3424"/>
      <c r="U3424"/>
    </row>
    <row r="3425" spans="1:21" hidden="1">
      <c r="A3425" s="7" t="s">
        <v>8728</v>
      </c>
      <c r="B3425" s="7" t="s">
        <v>5405</v>
      </c>
      <c r="C3425" s="8" t="s">
        <v>5319</v>
      </c>
      <c r="D3425" t="s">
        <v>272</v>
      </c>
      <c r="E3425" t="s">
        <v>25</v>
      </c>
      <c r="F3425" t="s">
        <v>200</v>
      </c>
      <c r="G3425" t="s">
        <v>3042</v>
      </c>
      <c r="H3425" s="9">
        <v>44733</v>
      </c>
      <c r="I3425" t="s">
        <v>8634</v>
      </c>
      <c r="J3425" t="s">
        <v>0</v>
      </c>
      <c r="K3425" s="9">
        <v>44862</v>
      </c>
      <c r="L3425" t="s">
        <v>29</v>
      </c>
      <c r="M3425"/>
      <c r="N3425"/>
      <c r="O3425"/>
      <c r="P3425"/>
      <c r="Q3425" s="9">
        <v>44862</v>
      </c>
      <c r="R3425"/>
      <c r="S3425"/>
      <c r="T3425"/>
      <c r="U3425"/>
    </row>
    <row r="3426" spans="1:21" hidden="1">
      <c r="A3426" s="7" t="s">
        <v>8758</v>
      </c>
      <c r="B3426" s="7" t="s">
        <v>5405</v>
      </c>
      <c r="C3426" s="8" t="s">
        <v>5319</v>
      </c>
      <c r="D3426" t="s">
        <v>272</v>
      </c>
      <c r="E3426" t="s">
        <v>25</v>
      </c>
      <c r="F3426" t="s">
        <v>493</v>
      </c>
      <c r="G3426" t="s">
        <v>3043</v>
      </c>
      <c r="H3426" s="9">
        <v>44733</v>
      </c>
      <c r="I3426" t="s">
        <v>8634</v>
      </c>
      <c r="J3426" t="s">
        <v>0</v>
      </c>
      <c r="K3426" s="9">
        <v>44862</v>
      </c>
      <c r="L3426" t="s">
        <v>29</v>
      </c>
      <c r="M3426"/>
      <c r="N3426"/>
      <c r="O3426"/>
      <c r="P3426"/>
      <c r="Q3426" s="9">
        <v>44862</v>
      </c>
      <c r="R3426"/>
      <c r="S3426"/>
      <c r="T3426"/>
      <c r="U3426"/>
    </row>
    <row r="3427" spans="1:21" hidden="1">
      <c r="A3427" s="7" t="s">
        <v>8758</v>
      </c>
      <c r="B3427" s="7" t="s">
        <v>5405</v>
      </c>
      <c r="C3427" s="8" t="s">
        <v>5319</v>
      </c>
      <c r="D3427" t="s">
        <v>272</v>
      </c>
      <c r="E3427" t="s">
        <v>25</v>
      </c>
      <c r="F3427" t="s">
        <v>493</v>
      </c>
      <c r="G3427" t="s">
        <v>3044</v>
      </c>
      <c r="H3427" s="9">
        <v>44733</v>
      </c>
      <c r="I3427" t="s">
        <v>8634</v>
      </c>
      <c r="J3427" t="s">
        <v>0</v>
      </c>
      <c r="K3427" s="9">
        <v>44862</v>
      </c>
      <c r="L3427" t="s">
        <v>29</v>
      </c>
      <c r="M3427"/>
      <c r="N3427"/>
      <c r="O3427"/>
      <c r="P3427"/>
      <c r="Q3427" s="9">
        <v>44862</v>
      </c>
      <c r="R3427"/>
      <c r="S3427"/>
      <c r="T3427"/>
      <c r="U3427"/>
    </row>
    <row r="3428" spans="1:21" hidden="1">
      <c r="A3428" s="7" t="s">
        <v>8758</v>
      </c>
      <c r="B3428" s="7" t="s">
        <v>5405</v>
      </c>
      <c r="C3428" s="8" t="s">
        <v>5319</v>
      </c>
      <c r="D3428" t="s">
        <v>272</v>
      </c>
      <c r="E3428" t="s">
        <v>25</v>
      </c>
      <c r="F3428" t="s">
        <v>493</v>
      </c>
      <c r="G3428" t="s">
        <v>3045</v>
      </c>
      <c r="H3428" s="9">
        <v>44733</v>
      </c>
      <c r="I3428" t="s">
        <v>8634</v>
      </c>
      <c r="J3428" t="s">
        <v>0</v>
      </c>
      <c r="K3428" s="9">
        <v>44862</v>
      </c>
      <c r="L3428" t="s">
        <v>29</v>
      </c>
      <c r="M3428"/>
      <c r="N3428"/>
      <c r="O3428"/>
      <c r="P3428"/>
      <c r="Q3428" s="9">
        <v>44862</v>
      </c>
      <c r="R3428"/>
      <c r="S3428"/>
      <c r="T3428"/>
      <c r="U3428"/>
    </row>
    <row r="3429" spans="1:21" hidden="1">
      <c r="A3429" s="7" t="s">
        <v>8758</v>
      </c>
      <c r="B3429" s="7" t="s">
        <v>5405</v>
      </c>
      <c r="C3429" s="8" t="s">
        <v>5319</v>
      </c>
      <c r="D3429" t="s">
        <v>272</v>
      </c>
      <c r="E3429" t="s">
        <v>25</v>
      </c>
      <c r="F3429" t="s">
        <v>493</v>
      </c>
      <c r="G3429" t="s">
        <v>3046</v>
      </c>
      <c r="H3429" s="9">
        <v>44733</v>
      </c>
      <c r="I3429" t="s">
        <v>8634</v>
      </c>
      <c r="J3429" t="s">
        <v>0</v>
      </c>
      <c r="K3429" s="9">
        <v>44862</v>
      </c>
      <c r="L3429" t="s">
        <v>29</v>
      </c>
      <c r="M3429"/>
      <c r="N3429"/>
      <c r="O3429"/>
      <c r="P3429"/>
      <c r="Q3429" s="9">
        <v>44862</v>
      </c>
      <c r="R3429"/>
      <c r="S3429"/>
      <c r="T3429"/>
      <c r="U3429"/>
    </row>
    <row r="3430" spans="1:21" hidden="1">
      <c r="A3430" s="7" t="s">
        <v>8758</v>
      </c>
      <c r="B3430" s="7" t="s">
        <v>5405</v>
      </c>
      <c r="C3430" s="8" t="s">
        <v>5319</v>
      </c>
      <c r="D3430" t="s">
        <v>272</v>
      </c>
      <c r="E3430" t="s">
        <v>25</v>
      </c>
      <c r="F3430" t="s">
        <v>493</v>
      </c>
      <c r="G3430" t="s">
        <v>3047</v>
      </c>
      <c r="H3430" s="9">
        <v>44733</v>
      </c>
      <c r="I3430" t="s">
        <v>8634</v>
      </c>
      <c r="J3430" t="s">
        <v>0</v>
      </c>
      <c r="K3430" s="9">
        <v>44862</v>
      </c>
      <c r="L3430" t="s">
        <v>29</v>
      </c>
      <c r="M3430"/>
      <c r="N3430"/>
      <c r="O3430"/>
      <c r="P3430"/>
      <c r="Q3430" s="9">
        <v>44862</v>
      </c>
      <c r="R3430" s="9">
        <v>44776.735254629602</v>
      </c>
      <c r="S3430"/>
      <c r="T3430"/>
      <c r="U3430"/>
    </row>
    <row r="3431" spans="1:21" hidden="1">
      <c r="A3431" s="7" t="s">
        <v>8825</v>
      </c>
      <c r="B3431" s="7" t="s">
        <v>5405</v>
      </c>
      <c r="C3431" s="8" t="s">
        <v>5319</v>
      </c>
      <c r="D3431" t="s">
        <v>272</v>
      </c>
      <c r="E3431" t="s">
        <v>25</v>
      </c>
      <c r="F3431" t="s">
        <v>111</v>
      </c>
      <c r="G3431" t="s">
        <v>1652</v>
      </c>
      <c r="H3431" s="9">
        <v>44733</v>
      </c>
      <c r="I3431" t="s">
        <v>8634</v>
      </c>
      <c r="J3431" t="s">
        <v>0</v>
      </c>
      <c r="K3431" s="9">
        <v>44881</v>
      </c>
      <c r="L3431" t="s">
        <v>29</v>
      </c>
      <c r="M3431"/>
      <c r="N3431"/>
      <c r="O3431"/>
      <c r="P3431"/>
      <c r="Q3431" s="9">
        <v>44881</v>
      </c>
      <c r="R3431"/>
      <c r="S3431"/>
      <c r="T3431"/>
      <c r="U3431"/>
    </row>
    <row r="3432" spans="1:21" hidden="1">
      <c r="A3432" s="7" t="s">
        <v>8728</v>
      </c>
      <c r="B3432" s="7" t="s">
        <v>5405</v>
      </c>
      <c r="C3432" s="8" t="s">
        <v>5319</v>
      </c>
      <c r="D3432" t="s">
        <v>272</v>
      </c>
      <c r="E3432" t="s">
        <v>25</v>
      </c>
      <c r="F3432" t="s">
        <v>200</v>
      </c>
      <c r="G3432" t="s">
        <v>3048</v>
      </c>
      <c r="H3432" s="9">
        <v>44733</v>
      </c>
      <c r="I3432" t="s">
        <v>8634</v>
      </c>
      <c r="J3432" t="s">
        <v>0</v>
      </c>
      <c r="K3432" s="9">
        <v>44862</v>
      </c>
      <c r="L3432" t="s">
        <v>29</v>
      </c>
      <c r="M3432"/>
      <c r="N3432"/>
      <c r="O3432"/>
      <c r="P3432"/>
      <c r="Q3432" s="9">
        <v>44862</v>
      </c>
      <c r="R3432"/>
      <c r="S3432"/>
      <c r="T3432"/>
      <c r="U3432"/>
    </row>
    <row r="3433" spans="1:21" hidden="1">
      <c r="A3433" s="7" t="s">
        <v>8758</v>
      </c>
      <c r="B3433" s="7" t="s">
        <v>5405</v>
      </c>
      <c r="C3433" s="8" t="s">
        <v>5319</v>
      </c>
      <c r="D3433" t="s">
        <v>272</v>
      </c>
      <c r="E3433" t="s">
        <v>25</v>
      </c>
      <c r="F3433" t="s">
        <v>493</v>
      </c>
      <c r="G3433" t="s">
        <v>3049</v>
      </c>
      <c r="H3433" s="9">
        <v>44733</v>
      </c>
      <c r="I3433" t="s">
        <v>8634</v>
      </c>
      <c r="J3433" t="s">
        <v>0</v>
      </c>
      <c r="K3433" s="9">
        <v>44862</v>
      </c>
      <c r="L3433" t="s">
        <v>29</v>
      </c>
      <c r="M3433"/>
      <c r="N3433"/>
      <c r="O3433"/>
      <c r="P3433"/>
      <c r="Q3433" s="9">
        <v>44862</v>
      </c>
      <c r="R3433"/>
      <c r="S3433"/>
      <c r="T3433"/>
      <c r="U3433"/>
    </row>
    <row r="3434" spans="1:21" hidden="1">
      <c r="A3434" s="7" t="s">
        <v>8836</v>
      </c>
      <c r="B3434" s="7" t="s">
        <v>7786</v>
      </c>
      <c r="C3434" s="8" t="s">
        <v>5319</v>
      </c>
      <c r="D3434" t="s">
        <v>272</v>
      </c>
      <c r="E3434" t="s">
        <v>1888</v>
      </c>
      <c r="F3434" t="s">
        <v>117</v>
      </c>
      <c r="G3434" t="s">
        <v>1889</v>
      </c>
      <c r="H3434" s="9">
        <v>44733</v>
      </c>
      <c r="I3434" t="s">
        <v>275</v>
      </c>
      <c r="J3434" t="s">
        <v>5330</v>
      </c>
      <c r="K3434" s="9">
        <v>44834</v>
      </c>
      <c r="L3434" t="s">
        <v>29</v>
      </c>
      <c r="M3434"/>
      <c r="N3434" s="9">
        <v>44778</v>
      </c>
      <c r="O3434" s="9">
        <v>44834</v>
      </c>
      <c r="P3434"/>
      <c r="Q3434"/>
      <c r="R3434"/>
      <c r="S3434"/>
      <c r="T3434"/>
      <c r="U3434"/>
    </row>
    <row r="3435" spans="1:21" hidden="1">
      <c r="A3435" s="7" t="s">
        <v>8763</v>
      </c>
      <c r="B3435" s="7" t="s">
        <v>5405</v>
      </c>
      <c r="C3435" s="8" t="s">
        <v>5319</v>
      </c>
      <c r="D3435" t="s">
        <v>168</v>
      </c>
      <c r="E3435" t="s">
        <v>25</v>
      </c>
      <c r="F3435" t="s">
        <v>280</v>
      </c>
      <c r="G3435" t="s">
        <v>3050</v>
      </c>
      <c r="H3435" s="9">
        <v>44733</v>
      </c>
      <c r="I3435" t="s">
        <v>8634</v>
      </c>
      <c r="J3435" t="s">
        <v>0</v>
      </c>
      <c r="K3435" s="9">
        <v>44858</v>
      </c>
      <c r="L3435" t="s">
        <v>29</v>
      </c>
      <c r="M3435"/>
      <c r="N3435" s="9">
        <v>44778</v>
      </c>
      <c r="O3435"/>
      <c r="P3435"/>
      <c r="Q3435" s="9">
        <v>44858</v>
      </c>
      <c r="R3435"/>
      <c r="S3435"/>
      <c r="T3435"/>
      <c r="U3435"/>
    </row>
    <row r="3436" spans="1:21" hidden="1">
      <c r="A3436" s="7" t="s">
        <v>8763</v>
      </c>
      <c r="B3436" s="7" t="s">
        <v>5405</v>
      </c>
      <c r="C3436" s="8" t="s">
        <v>5319</v>
      </c>
      <c r="D3436" t="s">
        <v>168</v>
      </c>
      <c r="E3436" t="s">
        <v>25</v>
      </c>
      <c r="F3436" t="s">
        <v>280</v>
      </c>
      <c r="G3436" t="s">
        <v>3051</v>
      </c>
      <c r="H3436" s="9">
        <v>44733</v>
      </c>
      <c r="I3436" t="s">
        <v>8634</v>
      </c>
      <c r="J3436" t="s">
        <v>0</v>
      </c>
      <c r="K3436" s="9">
        <v>44858</v>
      </c>
      <c r="L3436" t="s">
        <v>29</v>
      </c>
      <c r="M3436"/>
      <c r="N3436" s="9">
        <v>44778</v>
      </c>
      <c r="O3436"/>
      <c r="P3436"/>
      <c r="Q3436" s="9">
        <v>44858</v>
      </c>
      <c r="R3436"/>
      <c r="S3436"/>
      <c r="T3436"/>
      <c r="U3436"/>
    </row>
    <row r="3437" spans="1:21" hidden="1">
      <c r="A3437" s="7" t="s">
        <v>8763</v>
      </c>
      <c r="B3437" s="7" t="s">
        <v>5405</v>
      </c>
      <c r="C3437" s="8" t="s">
        <v>5319</v>
      </c>
      <c r="D3437" t="s">
        <v>168</v>
      </c>
      <c r="E3437" t="s">
        <v>25</v>
      </c>
      <c r="F3437" t="s">
        <v>280</v>
      </c>
      <c r="G3437" t="s">
        <v>3052</v>
      </c>
      <c r="H3437" s="9">
        <v>44733</v>
      </c>
      <c r="I3437" t="s">
        <v>8634</v>
      </c>
      <c r="J3437" t="s">
        <v>0</v>
      </c>
      <c r="K3437" s="9">
        <v>44858</v>
      </c>
      <c r="L3437" t="s">
        <v>29</v>
      </c>
      <c r="M3437"/>
      <c r="N3437" s="9">
        <v>44778</v>
      </c>
      <c r="O3437"/>
      <c r="P3437"/>
      <c r="Q3437" s="9">
        <v>44858</v>
      </c>
      <c r="R3437"/>
      <c r="S3437"/>
      <c r="T3437"/>
      <c r="U3437"/>
    </row>
    <row r="3438" spans="1:21" hidden="1">
      <c r="A3438" s="7" t="s">
        <v>8763</v>
      </c>
      <c r="B3438" s="7" t="s">
        <v>5405</v>
      </c>
      <c r="C3438" s="8" t="s">
        <v>5319</v>
      </c>
      <c r="D3438" t="s">
        <v>168</v>
      </c>
      <c r="E3438" t="s">
        <v>25</v>
      </c>
      <c r="F3438" t="s">
        <v>280</v>
      </c>
      <c r="G3438" t="s">
        <v>3053</v>
      </c>
      <c r="H3438" s="9">
        <v>44733</v>
      </c>
      <c r="I3438" t="s">
        <v>8634</v>
      </c>
      <c r="J3438" t="s">
        <v>0</v>
      </c>
      <c r="K3438" s="9">
        <v>44858</v>
      </c>
      <c r="L3438" t="s">
        <v>29</v>
      </c>
      <c r="M3438"/>
      <c r="N3438" s="9">
        <v>44778</v>
      </c>
      <c r="O3438"/>
      <c r="P3438"/>
      <c r="Q3438" s="9">
        <v>44858</v>
      </c>
      <c r="R3438"/>
      <c r="S3438"/>
      <c r="T3438"/>
      <c r="U3438"/>
    </row>
    <row r="3439" spans="1:21" hidden="1">
      <c r="A3439" s="7" t="s">
        <v>8757</v>
      </c>
      <c r="B3439" s="7" t="s">
        <v>5405</v>
      </c>
      <c r="C3439" s="8" t="s">
        <v>5319</v>
      </c>
      <c r="D3439" t="s">
        <v>168</v>
      </c>
      <c r="E3439" t="s">
        <v>25</v>
      </c>
      <c r="F3439" t="s">
        <v>491</v>
      </c>
      <c r="G3439" t="s">
        <v>3054</v>
      </c>
      <c r="H3439" s="9">
        <v>44733</v>
      </c>
      <c r="I3439" t="s">
        <v>8634</v>
      </c>
      <c r="J3439" t="s">
        <v>0</v>
      </c>
      <c r="K3439" s="9">
        <v>44827</v>
      </c>
      <c r="L3439" t="s">
        <v>29</v>
      </c>
      <c r="M3439"/>
      <c r="N3439"/>
      <c r="O3439"/>
      <c r="P3439"/>
      <c r="Q3439" s="9">
        <v>44827</v>
      </c>
      <c r="R3439"/>
      <c r="S3439"/>
      <c r="T3439"/>
      <c r="U3439"/>
    </row>
    <row r="3440" spans="1:21" hidden="1">
      <c r="A3440" s="7" t="s">
        <v>8757</v>
      </c>
      <c r="B3440" s="7" t="s">
        <v>5405</v>
      </c>
      <c r="C3440" s="8" t="s">
        <v>5319</v>
      </c>
      <c r="D3440" t="s">
        <v>168</v>
      </c>
      <c r="E3440" t="s">
        <v>25</v>
      </c>
      <c r="F3440" t="s">
        <v>491</v>
      </c>
      <c r="G3440" t="s">
        <v>3055</v>
      </c>
      <c r="H3440" s="9">
        <v>44733</v>
      </c>
      <c r="I3440" t="s">
        <v>8634</v>
      </c>
      <c r="J3440" t="s">
        <v>0</v>
      </c>
      <c r="K3440" s="9">
        <v>44827</v>
      </c>
      <c r="L3440" t="s">
        <v>29</v>
      </c>
      <c r="M3440"/>
      <c r="N3440"/>
      <c r="O3440"/>
      <c r="P3440"/>
      <c r="Q3440" s="9">
        <v>44827</v>
      </c>
      <c r="R3440"/>
      <c r="S3440"/>
      <c r="T3440"/>
      <c r="U3440"/>
    </row>
    <row r="3441" spans="1:21" hidden="1">
      <c r="A3441" s="7" t="s">
        <v>8763</v>
      </c>
      <c r="B3441" s="7" t="s">
        <v>5405</v>
      </c>
      <c r="C3441" s="8" t="s">
        <v>5319</v>
      </c>
      <c r="D3441" t="s">
        <v>168</v>
      </c>
      <c r="E3441" t="s">
        <v>25</v>
      </c>
      <c r="F3441" t="s">
        <v>280</v>
      </c>
      <c r="G3441" t="s">
        <v>3056</v>
      </c>
      <c r="H3441" s="9">
        <v>44733</v>
      </c>
      <c r="I3441" t="s">
        <v>8634</v>
      </c>
      <c r="J3441" t="s">
        <v>0</v>
      </c>
      <c r="K3441" s="9">
        <v>44858</v>
      </c>
      <c r="L3441" t="s">
        <v>29</v>
      </c>
      <c r="M3441"/>
      <c r="N3441"/>
      <c r="O3441"/>
      <c r="P3441"/>
      <c r="Q3441" s="9">
        <v>44858</v>
      </c>
      <c r="R3441"/>
      <c r="S3441"/>
      <c r="T3441"/>
      <c r="U3441"/>
    </row>
    <row r="3442" spans="1:21" hidden="1">
      <c r="A3442" s="7" t="s">
        <v>8777</v>
      </c>
      <c r="B3442" s="7" t="s">
        <v>6307</v>
      </c>
      <c r="C3442" s="8" t="s">
        <v>5319</v>
      </c>
      <c r="D3442" t="s">
        <v>24</v>
      </c>
      <c r="E3442" t="s">
        <v>78</v>
      </c>
      <c r="F3442" t="s">
        <v>803</v>
      </c>
      <c r="G3442" t="s">
        <v>3057</v>
      </c>
      <c r="H3442" s="9">
        <v>44733</v>
      </c>
      <c r="I3442" t="s">
        <v>109</v>
      </c>
      <c r="J3442" t="s">
        <v>0</v>
      </c>
      <c r="K3442" s="9">
        <v>44855</v>
      </c>
      <c r="L3442" t="s">
        <v>29</v>
      </c>
      <c r="M3442"/>
      <c r="N3442" s="9">
        <v>44778</v>
      </c>
      <c r="O3442" s="9">
        <v>44834</v>
      </c>
      <c r="P3442"/>
      <c r="Q3442" s="9">
        <v>44855</v>
      </c>
      <c r="R3442"/>
      <c r="S3442"/>
      <c r="T3442"/>
      <c r="U3442"/>
    </row>
    <row r="3443" spans="1:21" hidden="1">
      <c r="A3443" s="7" t="s">
        <v>8714</v>
      </c>
      <c r="B3443" s="7" t="s">
        <v>6017</v>
      </c>
      <c r="C3443" s="8" t="s">
        <v>5319</v>
      </c>
      <c r="D3443" t="s">
        <v>24</v>
      </c>
      <c r="E3443" t="s">
        <v>74</v>
      </c>
      <c r="F3443" t="s">
        <v>75</v>
      </c>
      <c r="G3443" t="s">
        <v>2338</v>
      </c>
      <c r="H3443" s="9">
        <v>44733</v>
      </c>
      <c r="I3443" t="s">
        <v>77</v>
      </c>
      <c r="J3443" t="s">
        <v>5330</v>
      </c>
      <c r="K3443" s="9">
        <v>44834</v>
      </c>
      <c r="L3443" t="s">
        <v>29</v>
      </c>
      <c r="M3443"/>
      <c r="N3443" s="9">
        <v>44778</v>
      </c>
      <c r="O3443" s="9">
        <v>44834</v>
      </c>
      <c r="P3443"/>
      <c r="Q3443"/>
      <c r="R3443"/>
      <c r="S3443"/>
      <c r="T3443"/>
      <c r="U3443"/>
    </row>
    <row r="3444" spans="1:21" hidden="1">
      <c r="A3444" s="7" t="s">
        <v>8714</v>
      </c>
      <c r="B3444" s="7" t="s">
        <v>6017</v>
      </c>
      <c r="C3444" s="8" t="s">
        <v>5319</v>
      </c>
      <c r="D3444" t="s">
        <v>24</v>
      </c>
      <c r="E3444" t="s">
        <v>74</v>
      </c>
      <c r="F3444" t="s">
        <v>75</v>
      </c>
      <c r="G3444" t="s">
        <v>2339</v>
      </c>
      <c r="H3444" s="9">
        <v>44733</v>
      </c>
      <c r="I3444" t="s">
        <v>77</v>
      </c>
      <c r="J3444" t="s">
        <v>5330</v>
      </c>
      <c r="K3444" s="9">
        <v>44834</v>
      </c>
      <c r="L3444" t="s">
        <v>29</v>
      </c>
      <c r="M3444"/>
      <c r="N3444" s="9">
        <v>44778</v>
      </c>
      <c r="O3444" s="9">
        <v>44834</v>
      </c>
      <c r="P3444"/>
      <c r="Q3444"/>
      <c r="R3444"/>
      <c r="S3444"/>
      <c r="T3444"/>
      <c r="U3444"/>
    </row>
    <row r="3445" spans="1:21" hidden="1">
      <c r="A3445" s="7" t="s">
        <v>8806</v>
      </c>
      <c r="B3445" s="7" t="s">
        <v>7593</v>
      </c>
      <c r="C3445" s="8" t="s">
        <v>5319</v>
      </c>
      <c r="D3445" t="s">
        <v>24</v>
      </c>
      <c r="E3445" t="s">
        <v>1034</v>
      </c>
      <c r="F3445" t="s">
        <v>117</v>
      </c>
      <c r="G3445" t="s">
        <v>1905</v>
      </c>
      <c r="H3445" s="9">
        <v>44733</v>
      </c>
      <c r="I3445" t="s">
        <v>984</v>
      </c>
      <c r="J3445" t="s">
        <v>5330</v>
      </c>
      <c r="K3445" s="9">
        <v>44834</v>
      </c>
      <c r="L3445" t="s">
        <v>29</v>
      </c>
      <c r="M3445"/>
      <c r="N3445" s="9">
        <v>44778</v>
      </c>
      <c r="O3445" s="9">
        <v>44834</v>
      </c>
      <c r="P3445"/>
      <c r="Q3445"/>
      <c r="R3445"/>
      <c r="S3445"/>
      <c r="T3445"/>
      <c r="U3445"/>
    </row>
    <row r="3446" spans="1:21" hidden="1">
      <c r="A3446" s="7" t="s">
        <v>8716</v>
      </c>
      <c r="B3446" s="7" t="s">
        <v>6733</v>
      </c>
      <c r="C3446" s="8" t="s">
        <v>5319</v>
      </c>
      <c r="D3446" t="s">
        <v>24</v>
      </c>
      <c r="E3446" t="s">
        <v>82</v>
      </c>
      <c r="F3446" t="s">
        <v>83</v>
      </c>
      <c r="G3446" t="s">
        <v>3058</v>
      </c>
      <c r="H3446" s="9">
        <v>44733</v>
      </c>
      <c r="I3446" t="s">
        <v>85</v>
      </c>
      <c r="J3446" t="s">
        <v>5330</v>
      </c>
      <c r="K3446" s="9">
        <v>44834</v>
      </c>
      <c r="L3446" t="s">
        <v>29</v>
      </c>
      <c r="M3446"/>
      <c r="N3446" s="9">
        <v>44778</v>
      </c>
      <c r="O3446" s="9">
        <v>44834</v>
      </c>
      <c r="P3446"/>
      <c r="Q3446"/>
      <c r="R3446"/>
      <c r="S3446"/>
      <c r="T3446"/>
      <c r="U3446"/>
    </row>
    <row r="3447" spans="1:21" hidden="1">
      <c r="A3447" s="7" t="s">
        <v>8716</v>
      </c>
      <c r="B3447" s="7" t="s">
        <v>6733</v>
      </c>
      <c r="C3447" s="8" t="s">
        <v>5319</v>
      </c>
      <c r="D3447" t="s">
        <v>24</v>
      </c>
      <c r="E3447" t="s">
        <v>82</v>
      </c>
      <c r="F3447" t="s">
        <v>83</v>
      </c>
      <c r="G3447" t="s">
        <v>3059</v>
      </c>
      <c r="H3447" s="9">
        <v>44733</v>
      </c>
      <c r="I3447" t="s">
        <v>85</v>
      </c>
      <c r="J3447" t="s">
        <v>5330</v>
      </c>
      <c r="K3447" s="9">
        <v>44834</v>
      </c>
      <c r="L3447" t="s">
        <v>29</v>
      </c>
      <c r="M3447"/>
      <c r="N3447" s="9">
        <v>44778</v>
      </c>
      <c r="O3447" s="9">
        <v>44834</v>
      </c>
      <c r="P3447"/>
      <c r="Q3447"/>
      <c r="R3447"/>
      <c r="S3447"/>
      <c r="T3447"/>
      <c r="U3447"/>
    </row>
    <row r="3448" spans="1:21" hidden="1">
      <c r="A3448" s="7" t="s">
        <v>8716</v>
      </c>
      <c r="B3448" s="7" t="s">
        <v>6733</v>
      </c>
      <c r="C3448" s="8" t="s">
        <v>5319</v>
      </c>
      <c r="D3448" t="s">
        <v>24</v>
      </c>
      <c r="E3448" t="s">
        <v>82</v>
      </c>
      <c r="F3448" t="s">
        <v>83</v>
      </c>
      <c r="G3448" t="s">
        <v>3060</v>
      </c>
      <c r="H3448" s="9">
        <v>44733</v>
      </c>
      <c r="I3448" t="s">
        <v>85</v>
      </c>
      <c r="J3448" t="s">
        <v>5330</v>
      </c>
      <c r="K3448" s="9">
        <v>44834</v>
      </c>
      <c r="L3448" t="s">
        <v>29</v>
      </c>
      <c r="M3448"/>
      <c r="N3448" s="9">
        <v>44778</v>
      </c>
      <c r="O3448" s="9">
        <v>44834</v>
      </c>
      <c r="P3448"/>
      <c r="Q3448"/>
      <c r="R3448"/>
      <c r="S3448"/>
      <c r="T3448"/>
      <c r="U3448"/>
    </row>
    <row r="3449" spans="1:21" hidden="1">
      <c r="A3449" s="7" t="s">
        <v>8716</v>
      </c>
      <c r="B3449" s="7" t="s">
        <v>6733</v>
      </c>
      <c r="C3449" s="8" t="s">
        <v>5319</v>
      </c>
      <c r="D3449" t="s">
        <v>24</v>
      </c>
      <c r="E3449" t="s">
        <v>82</v>
      </c>
      <c r="F3449" t="s">
        <v>83</v>
      </c>
      <c r="G3449" t="s">
        <v>3061</v>
      </c>
      <c r="H3449" s="9">
        <v>44733</v>
      </c>
      <c r="I3449" t="s">
        <v>85</v>
      </c>
      <c r="J3449" t="s">
        <v>5330</v>
      </c>
      <c r="K3449" s="9">
        <v>44834</v>
      </c>
      <c r="L3449" t="s">
        <v>29</v>
      </c>
      <c r="M3449"/>
      <c r="N3449" s="9">
        <v>44778</v>
      </c>
      <c r="O3449" s="9">
        <v>44834</v>
      </c>
      <c r="P3449"/>
      <c r="Q3449"/>
      <c r="R3449"/>
      <c r="S3449"/>
      <c r="T3449"/>
      <c r="U3449"/>
    </row>
    <row r="3450" spans="1:21" hidden="1">
      <c r="A3450" s="7" t="s">
        <v>8716</v>
      </c>
      <c r="B3450" s="7" t="s">
        <v>6733</v>
      </c>
      <c r="C3450" s="8" t="s">
        <v>5319</v>
      </c>
      <c r="D3450" t="s">
        <v>24</v>
      </c>
      <c r="E3450" t="s">
        <v>82</v>
      </c>
      <c r="F3450" t="s">
        <v>83</v>
      </c>
      <c r="G3450" t="s">
        <v>3062</v>
      </c>
      <c r="H3450" s="9">
        <v>44733</v>
      </c>
      <c r="I3450" t="s">
        <v>85</v>
      </c>
      <c r="J3450" t="s">
        <v>5330</v>
      </c>
      <c r="K3450" s="9">
        <v>44834</v>
      </c>
      <c r="L3450" t="s">
        <v>29</v>
      </c>
      <c r="M3450"/>
      <c r="N3450" s="9">
        <v>44778</v>
      </c>
      <c r="O3450" s="9">
        <v>44834</v>
      </c>
      <c r="P3450"/>
      <c r="Q3450"/>
      <c r="R3450"/>
      <c r="S3450"/>
      <c r="T3450"/>
      <c r="U3450"/>
    </row>
    <row r="3451" spans="1:21" hidden="1">
      <c r="A3451" s="7" t="s">
        <v>8716</v>
      </c>
      <c r="B3451" s="7" t="s">
        <v>6733</v>
      </c>
      <c r="C3451" s="8" t="s">
        <v>5319</v>
      </c>
      <c r="D3451" t="s">
        <v>24</v>
      </c>
      <c r="E3451" t="s">
        <v>82</v>
      </c>
      <c r="F3451" t="s">
        <v>83</v>
      </c>
      <c r="G3451" t="s">
        <v>3063</v>
      </c>
      <c r="H3451" s="9">
        <v>44733</v>
      </c>
      <c r="I3451" t="s">
        <v>85</v>
      </c>
      <c r="J3451" t="s">
        <v>5330</v>
      </c>
      <c r="K3451" s="9">
        <v>44834</v>
      </c>
      <c r="L3451" t="s">
        <v>29</v>
      </c>
      <c r="M3451"/>
      <c r="N3451" s="9">
        <v>44778</v>
      </c>
      <c r="O3451" s="9">
        <v>44834</v>
      </c>
      <c r="P3451"/>
      <c r="Q3451"/>
      <c r="R3451"/>
      <c r="S3451"/>
      <c r="T3451"/>
      <c r="U3451"/>
    </row>
    <row r="3452" spans="1:21" hidden="1">
      <c r="A3452" s="7" t="s">
        <v>8716</v>
      </c>
      <c r="B3452" s="7" t="s">
        <v>6733</v>
      </c>
      <c r="C3452" s="8" t="s">
        <v>5319</v>
      </c>
      <c r="D3452" t="s">
        <v>24</v>
      </c>
      <c r="E3452" t="s">
        <v>82</v>
      </c>
      <c r="F3452" t="s">
        <v>83</v>
      </c>
      <c r="G3452" t="s">
        <v>3064</v>
      </c>
      <c r="H3452" s="9">
        <v>44733</v>
      </c>
      <c r="I3452" t="s">
        <v>85</v>
      </c>
      <c r="J3452" t="s">
        <v>5330</v>
      </c>
      <c r="K3452" s="9">
        <v>44834</v>
      </c>
      <c r="L3452" t="s">
        <v>29</v>
      </c>
      <c r="M3452"/>
      <c r="N3452" s="9">
        <v>44778</v>
      </c>
      <c r="O3452" s="9">
        <v>44834</v>
      </c>
      <c r="P3452"/>
      <c r="Q3452"/>
      <c r="R3452"/>
      <c r="S3452"/>
      <c r="T3452"/>
      <c r="U3452"/>
    </row>
    <row r="3453" spans="1:21" hidden="1">
      <c r="A3453" s="7" t="s">
        <v>8765</v>
      </c>
      <c r="B3453" s="7" t="s">
        <v>5405</v>
      </c>
      <c r="C3453" s="8" t="s">
        <v>5319</v>
      </c>
      <c r="D3453" t="s">
        <v>24</v>
      </c>
      <c r="E3453" t="s">
        <v>25</v>
      </c>
      <c r="F3453" t="s">
        <v>231</v>
      </c>
      <c r="G3453" t="s">
        <v>3065</v>
      </c>
      <c r="H3453" s="9">
        <v>44733</v>
      </c>
      <c r="I3453" t="s">
        <v>8634</v>
      </c>
      <c r="J3453" t="s">
        <v>5330</v>
      </c>
      <c r="K3453" s="9">
        <v>44834</v>
      </c>
      <c r="L3453" t="s">
        <v>29</v>
      </c>
      <c r="M3453"/>
      <c r="N3453" s="9">
        <v>44778</v>
      </c>
      <c r="O3453" s="9">
        <v>44834</v>
      </c>
      <c r="P3453"/>
      <c r="Q3453"/>
      <c r="R3453"/>
      <c r="S3453"/>
      <c r="T3453"/>
      <c r="U3453"/>
    </row>
    <row r="3454" spans="1:21" hidden="1">
      <c r="A3454" s="7" t="s">
        <v>8712</v>
      </c>
      <c r="B3454" s="7" t="s">
        <v>5405</v>
      </c>
      <c r="C3454" s="8" t="s">
        <v>5319</v>
      </c>
      <c r="D3454" t="s">
        <v>24</v>
      </c>
      <c r="E3454" t="s">
        <v>25</v>
      </c>
      <c r="F3454" t="s">
        <v>26</v>
      </c>
      <c r="G3454" t="s">
        <v>3066</v>
      </c>
      <c r="H3454" s="9">
        <v>44733</v>
      </c>
      <c r="I3454" t="s">
        <v>8634</v>
      </c>
      <c r="J3454" t="s">
        <v>0</v>
      </c>
      <c r="K3454" s="9">
        <v>44882</v>
      </c>
      <c r="L3454" t="s">
        <v>29</v>
      </c>
      <c r="M3454"/>
      <c r="N3454"/>
      <c r="O3454"/>
      <c r="P3454"/>
      <c r="Q3454" s="9">
        <v>44882</v>
      </c>
      <c r="R3454"/>
      <c r="S3454"/>
      <c r="T3454"/>
      <c r="U3454"/>
    </row>
    <row r="3455" spans="1:21" hidden="1">
      <c r="A3455" s="7" t="s">
        <v>8712</v>
      </c>
      <c r="B3455" s="7" t="s">
        <v>5405</v>
      </c>
      <c r="C3455" s="8" t="s">
        <v>5319</v>
      </c>
      <c r="D3455" t="s">
        <v>24</v>
      </c>
      <c r="E3455" t="s">
        <v>25</v>
      </c>
      <c r="F3455" t="s">
        <v>26</v>
      </c>
      <c r="G3455" t="s">
        <v>3067</v>
      </c>
      <c r="H3455" s="9">
        <v>44733</v>
      </c>
      <c r="I3455" t="s">
        <v>8634</v>
      </c>
      <c r="J3455" t="s">
        <v>0</v>
      </c>
      <c r="K3455" s="9">
        <v>44882</v>
      </c>
      <c r="L3455" t="s">
        <v>29</v>
      </c>
      <c r="M3455"/>
      <c r="N3455"/>
      <c r="O3455"/>
      <c r="P3455"/>
      <c r="Q3455" s="9">
        <v>44882</v>
      </c>
      <c r="R3455"/>
      <c r="S3455"/>
      <c r="T3455"/>
      <c r="U3455"/>
    </row>
    <row r="3456" spans="1:21" hidden="1">
      <c r="A3456" s="7" t="s">
        <v>8712</v>
      </c>
      <c r="B3456" s="7" t="s">
        <v>5405</v>
      </c>
      <c r="C3456" s="8" t="s">
        <v>5319</v>
      </c>
      <c r="D3456" t="s">
        <v>24</v>
      </c>
      <c r="E3456" t="s">
        <v>25</v>
      </c>
      <c r="F3456" t="s">
        <v>26</v>
      </c>
      <c r="G3456" t="s">
        <v>3068</v>
      </c>
      <c r="H3456" s="9">
        <v>44733</v>
      </c>
      <c r="I3456" t="s">
        <v>8634</v>
      </c>
      <c r="J3456" t="s">
        <v>0</v>
      </c>
      <c r="K3456" s="9">
        <v>44882</v>
      </c>
      <c r="L3456" t="s">
        <v>29</v>
      </c>
      <c r="M3456"/>
      <c r="N3456"/>
      <c r="O3456"/>
      <c r="P3456"/>
      <c r="Q3456" s="9">
        <v>44882</v>
      </c>
      <c r="R3456"/>
      <c r="S3456"/>
      <c r="T3456"/>
      <c r="U3456"/>
    </row>
    <row r="3457" spans="1:21" hidden="1">
      <c r="A3457" s="7" t="s">
        <v>8897</v>
      </c>
      <c r="B3457" s="7" t="s">
        <v>6320</v>
      </c>
      <c r="C3457" s="8" t="s">
        <v>5319</v>
      </c>
      <c r="D3457" t="s">
        <v>266</v>
      </c>
      <c r="E3457" t="s">
        <v>3069</v>
      </c>
      <c r="F3457" t="s">
        <v>3070</v>
      </c>
      <c r="G3457" t="s">
        <v>3071</v>
      </c>
      <c r="H3457" s="9">
        <v>44733</v>
      </c>
      <c r="I3457" t="s">
        <v>2187</v>
      </c>
      <c r="J3457" t="s">
        <v>5330</v>
      </c>
      <c r="K3457" s="9">
        <v>44834</v>
      </c>
      <c r="L3457" t="s">
        <v>29</v>
      </c>
      <c r="M3457"/>
      <c r="N3457" s="9">
        <v>44778</v>
      </c>
      <c r="O3457" s="9">
        <v>44834</v>
      </c>
      <c r="P3457"/>
      <c r="Q3457"/>
      <c r="R3457"/>
      <c r="S3457"/>
      <c r="T3457"/>
      <c r="U3457"/>
    </row>
    <row r="3458" spans="1:21" hidden="1">
      <c r="A3458" s="7" t="s">
        <v>8897</v>
      </c>
      <c r="B3458" s="7" t="s">
        <v>6320</v>
      </c>
      <c r="C3458" s="8" t="s">
        <v>5319</v>
      </c>
      <c r="D3458" t="s">
        <v>266</v>
      </c>
      <c r="E3458" t="s">
        <v>3069</v>
      </c>
      <c r="F3458" t="s">
        <v>3070</v>
      </c>
      <c r="G3458" t="s">
        <v>3072</v>
      </c>
      <c r="H3458" s="9">
        <v>44733</v>
      </c>
      <c r="I3458" t="s">
        <v>2187</v>
      </c>
      <c r="J3458" t="s">
        <v>5330</v>
      </c>
      <c r="K3458" s="9">
        <v>44834</v>
      </c>
      <c r="L3458" t="s">
        <v>29</v>
      </c>
      <c r="M3458"/>
      <c r="N3458" s="9">
        <v>44778</v>
      </c>
      <c r="O3458" s="9">
        <v>44834</v>
      </c>
      <c r="P3458"/>
      <c r="Q3458"/>
      <c r="R3458"/>
      <c r="S3458"/>
      <c r="T3458"/>
      <c r="U3458"/>
    </row>
    <row r="3459" spans="1:21" hidden="1">
      <c r="A3459" s="7" t="s">
        <v>8897</v>
      </c>
      <c r="B3459" s="7" t="s">
        <v>6320</v>
      </c>
      <c r="C3459" s="8" t="s">
        <v>5319</v>
      </c>
      <c r="D3459" t="s">
        <v>266</v>
      </c>
      <c r="E3459" t="s">
        <v>3069</v>
      </c>
      <c r="F3459" t="s">
        <v>3070</v>
      </c>
      <c r="G3459" t="s">
        <v>3073</v>
      </c>
      <c r="H3459" s="9">
        <v>44733</v>
      </c>
      <c r="I3459" t="s">
        <v>2187</v>
      </c>
      <c r="J3459" t="s">
        <v>5330</v>
      </c>
      <c r="K3459" s="9">
        <v>44834</v>
      </c>
      <c r="L3459" t="s">
        <v>29</v>
      </c>
      <c r="M3459"/>
      <c r="N3459" s="9">
        <v>44778</v>
      </c>
      <c r="O3459" s="9">
        <v>44834</v>
      </c>
      <c r="P3459"/>
      <c r="Q3459"/>
      <c r="R3459"/>
      <c r="S3459"/>
      <c r="T3459"/>
      <c r="U3459"/>
    </row>
    <row r="3460" spans="1:21" hidden="1">
      <c r="A3460" s="7" t="s">
        <v>8897</v>
      </c>
      <c r="B3460" s="7" t="s">
        <v>6320</v>
      </c>
      <c r="C3460" s="8" t="s">
        <v>5319</v>
      </c>
      <c r="D3460" t="s">
        <v>266</v>
      </c>
      <c r="E3460" t="s">
        <v>3069</v>
      </c>
      <c r="F3460" t="s">
        <v>3070</v>
      </c>
      <c r="G3460" t="s">
        <v>3074</v>
      </c>
      <c r="H3460" s="9">
        <v>44733</v>
      </c>
      <c r="I3460" t="s">
        <v>2187</v>
      </c>
      <c r="J3460" t="s">
        <v>5330</v>
      </c>
      <c r="K3460" s="9">
        <v>44834</v>
      </c>
      <c r="L3460" t="s">
        <v>29</v>
      </c>
      <c r="M3460"/>
      <c r="N3460" s="9">
        <v>44778</v>
      </c>
      <c r="O3460" s="9">
        <v>44834</v>
      </c>
      <c r="P3460"/>
      <c r="Q3460"/>
      <c r="R3460"/>
      <c r="S3460"/>
      <c r="T3460"/>
      <c r="U3460"/>
    </row>
    <row r="3461" spans="1:21" hidden="1">
      <c r="A3461" s="7" t="s">
        <v>8874</v>
      </c>
      <c r="B3461" s="7" t="s">
        <v>7053</v>
      </c>
      <c r="C3461" s="8" t="s">
        <v>5319</v>
      </c>
      <c r="D3461" t="s">
        <v>266</v>
      </c>
      <c r="E3461" t="s">
        <v>2503</v>
      </c>
      <c r="F3461" t="s">
        <v>280</v>
      </c>
      <c r="G3461" t="s">
        <v>3075</v>
      </c>
      <c r="H3461" s="9">
        <v>44733</v>
      </c>
      <c r="I3461" t="s">
        <v>903</v>
      </c>
      <c r="J3461" t="s">
        <v>276</v>
      </c>
      <c r="K3461" s="9">
        <v>44882.647395833301</v>
      </c>
      <c r="L3461" t="s">
        <v>29</v>
      </c>
      <c r="M3461"/>
      <c r="N3461" s="9">
        <v>44778</v>
      </c>
      <c r="O3461" s="9">
        <v>44834</v>
      </c>
      <c r="P3461"/>
      <c r="Q3461"/>
      <c r="R3461" s="9">
        <v>44882.645879629599</v>
      </c>
      <c r="S3461"/>
      <c r="T3461"/>
      <c r="U3461"/>
    </row>
    <row r="3462" spans="1:21" hidden="1">
      <c r="A3462" s="7" t="s">
        <v>8874</v>
      </c>
      <c r="B3462" s="7" t="s">
        <v>7053</v>
      </c>
      <c r="C3462" s="8" t="s">
        <v>5319</v>
      </c>
      <c r="D3462" t="s">
        <v>266</v>
      </c>
      <c r="E3462" t="s">
        <v>2503</v>
      </c>
      <c r="F3462" t="s">
        <v>280</v>
      </c>
      <c r="G3462" t="s">
        <v>3076</v>
      </c>
      <c r="H3462" s="9">
        <v>44733</v>
      </c>
      <c r="I3462" t="s">
        <v>903</v>
      </c>
      <c r="J3462" t="s">
        <v>276</v>
      </c>
      <c r="K3462" s="9">
        <v>44882.647395833301</v>
      </c>
      <c r="L3462" t="s">
        <v>29</v>
      </c>
      <c r="M3462"/>
      <c r="N3462" s="9">
        <v>44778</v>
      </c>
      <c r="O3462" s="9">
        <v>44834</v>
      </c>
      <c r="P3462"/>
      <c r="Q3462"/>
      <c r="R3462" s="9">
        <v>44882.645879629599</v>
      </c>
      <c r="S3462"/>
      <c r="T3462"/>
      <c r="U3462"/>
    </row>
    <row r="3463" spans="1:21" hidden="1">
      <c r="A3463" s="7" t="s">
        <v>8750</v>
      </c>
      <c r="B3463" s="7" t="s">
        <v>5970</v>
      </c>
      <c r="C3463" s="8" t="s">
        <v>5319</v>
      </c>
      <c r="D3463" t="s">
        <v>266</v>
      </c>
      <c r="E3463" t="s">
        <v>432</v>
      </c>
      <c r="F3463" t="s">
        <v>433</v>
      </c>
      <c r="G3463" t="s">
        <v>3077</v>
      </c>
      <c r="H3463" s="9">
        <v>44733</v>
      </c>
      <c r="I3463" t="s">
        <v>85</v>
      </c>
      <c r="J3463" t="s">
        <v>5330</v>
      </c>
      <c r="K3463" s="9">
        <v>44834</v>
      </c>
      <c r="L3463" t="s">
        <v>29</v>
      </c>
      <c r="M3463"/>
      <c r="N3463" s="9">
        <v>44778</v>
      </c>
      <c r="O3463" s="9">
        <v>44834</v>
      </c>
      <c r="P3463"/>
      <c r="Q3463"/>
      <c r="R3463"/>
      <c r="S3463"/>
      <c r="T3463"/>
      <c r="U3463"/>
    </row>
    <row r="3464" spans="1:21" hidden="1">
      <c r="A3464" s="7" t="s">
        <v>8750</v>
      </c>
      <c r="B3464" s="7" t="s">
        <v>5970</v>
      </c>
      <c r="C3464" s="8" t="s">
        <v>5319</v>
      </c>
      <c r="D3464" t="s">
        <v>266</v>
      </c>
      <c r="E3464" t="s">
        <v>432</v>
      </c>
      <c r="F3464" t="s">
        <v>433</v>
      </c>
      <c r="G3464" t="s">
        <v>434</v>
      </c>
      <c r="H3464" s="9">
        <v>44733</v>
      </c>
      <c r="I3464" t="s">
        <v>85</v>
      </c>
      <c r="J3464" t="s">
        <v>5330</v>
      </c>
      <c r="K3464" s="9">
        <v>44834</v>
      </c>
      <c r="L3464" t="s">
        <v>29</v>
      </c>
      <c r="M3464"/>
      <c r="N3464" s="9">
        <v>44778</v>
      </c>
      <c r="O3464" s="9">
        <v>44834</v>
      </c>
      <c r="P3464"/>
      <c r="Q3464"/>
      <c r="R3464"/>
      <c r="S3464"/>
      <c r="T3464"/>
      <c r="U3464"/>
    </row>
    <row r="3465" spans="1:21" hidden="1">
      <c r="A3465" s="7" t="s">
        <v>8750</v>
      </c>
      <c r="B3465" s="7" t="s">
        <v>5970</v>
      </c>
      <c r="C3465" s="8" t="s">
        <v>5319</v>
      </c>
      <c r="D3465" t="s">
        <v>266</v>
      </c>
      <c r="E3465" t="s">
        <v>432</v>
      </c>
      <c r="F3465" t="s">
        <v>433</v>
      </c>
      <c r="G3465" t="s">
        <v>3078</v>
      </c>
      <c r="H3465" s="9">
        <v>44733</v>
      </c>
      <c r="I3465" t="s">
        <v>85</v>
      </c>
      <c r="J3465" t="s">
        <v>5330</v>
      </c>
      <c r="K3465" s="9">
        <v>44834</v>
      </c>
      <c r="L3465" t="s">
        <v>29</v>
      </c>
      <c r="M3465"/>
      <c r="N3465" s="9">
        <v>44778</v>
      </c>
      <c r="O3465" s="9">
        <v>44834</v>
      </c>
      <c r="P3465"/>
      <c r="Q3465"/>
      <c r="R3465"/>
      <c r="S3465"/>
      <c r="T3465"/>
      <c r="U3465"/>
    </row>
    <row r="3466" spans="1:21" hidden="1">
      <c r="A3466" s="7" t="s">
        <v>8844</v>
      </c>
      <c r="B3466" s="7" t="s">
        <v>5466</v>
      </c>
      <c r="C3466" s="8" t="s">
        <v>5319</v>
      </c>
      <c r="D3466" t="s">
        <v>266</v>
      </c>
      <c r="E3466" t="s">
        <v>2119</v>
      </c>
      <c r="F3466" t="s">
        <v>83</v>
      </c>
      <c r="G3466" t="s">
        <v>3079</v>
      </c>
      <c r="H3466" s="9">
        <v>44733</v>
      </c>
      <c r="I3466" t="s">
        <v>2121</v>
      </c>
      <c r="J3466" t="s">
        <v>5330</v>
      </c>
      <c r="K3466" s="9">
        <v>44834</v>
      </c>
      <c r="L3466" t="s">
        <v>29</v>
      </c>
      <c r="M3466"/>
      <c r="N3466" s="9">
        <v>44778</v>
      </c>
      <c r="O3466" s="9">
        <v>44834</v>
      </c>
      <c r="P3466"/>
      <c r="Q3466"/>
      <c r="R3466"/>
      <c r="S3466"/>
      <c r="T3466"/>
      <c r="U3466"/>
    </row>
    <row r="3467" spans="1:21" hidden="1">
      <c r="A3467" s="7" t="s">
        <v>8877</v>
      </c>
      <c r="B3467" s="7" t="s">
        <v>8360</v>
      </c>
      <c r="C3467" s="8" t="s">
        <v>5319</v>
      </c>
      <c r="D3467" t="s">
        <v>266</v>
      </c>
      <c r="E3467" t="s">
        <v>2609</v>
      </c>
      <c r="F3467" t="s">
        <v>117</v>
      </c>
      <c r="G3467" t="s">
        <v>3080</v>
      </c>
      <c r="H3467" s="9">
        <v>44733</v>
      </c>
      <c r="I3467" t="s">
        <v>322</v>
      </c>
      <c r="J3467" t="s">
        <v>5330</v>
      </c>
      <c r="K3467" s="9">
        <v>44834</v>
      </c>
      <c r="L3467" t="s">
        <v>29</v>
      </c>
      <c r="M3467"/>
      <c r="N3467" s="9">
        <v>44778</v>
      </c>
      <c r="O3467" s="9">
        <v>44834</v>
      </c>
      <c r="P3467"/>
      <c r="Q3467"/>
      <c r="R3467"/>
      <c r="S3467"/>
      <c r="T3467"/>
      <c r="U3467"/>
    </row>
    <row r="3468" spans="1:21" hidden="1">
      <c r="A3468" s="7" t="s">
        <v>8877</v>
      </c>
      <c r="B3468" s="7" t="s">
        <v>8360</v>
      </c>
      <c r="C3468" s="8" t="s">
        <v>5319</v>
      </c>
      <c r="D3468" t="s">
        <v>266</v>
      </c>
      <c r="E3468" t="s">
        <v>2609</v>
      </c>
      <c r="F3468" t="s">
        <v>117</v>
      </c>
      <c r="G3468" t="s">
        <v>3081</v>
      </c>
      <c r="H3468" s="9">
        <v>44733</v>
      </c>
      <c r="I3468" t="s">
        <v>322</v>
      </c>
      <c r="J3468" t="s">
        <v>5330</v>
      </c>
      <c r="K3468" s="9">
        <v>44834</v>
      </c>
      <c r="L3468" t="s">
        <v>29</v>
      </c>
      <c r="M3468"/>
      <c r="N3468" s="9">
        <v>44778</v>
      </c>
      <c r="O3468" s="9">
        <v>44834</v>
      </c>
      <c r="P3468"/>
      <c r="Q3468"/>
      <c r="R3468"/>
      <c r="S3468"/>
      <c r="T3468"/>
      <c r="U3468"/>
    </row>
    <row r="3469" spans="1:21" hidden="1">
      <c r="A3469" s="7" t="s">
        <v>8877</v>
      </c>
      <c r="B3469" s="7" t="s">
        <v>8360</v>
      </c>
      <c r="C3469" s="8" t="s">
        <v>5319</v>
      </c>
      <c r="D3469" t="s">
        <v>266</v>
      </c>
      <c r="E3469" t="s">
        <v>2609</v>
      </c>
      <c r="F3469" t="s">
        <v>117</v>
      </c>
      <c r="G3469" t="s">
        <v>3082</v>
      </c>
      <c r="H3469" s="9">
        <v>44733</v>
      </c>
      <c r="I3469" t="s">
        <v>322</v>
      </c>
      <c r="J3469" t="s">
        <v>5330</v>
      </c>
      <c r="K3469" s="9">
        <v>44834</v>
      </c>
      <c r="L3469" t="s">
        <v>29</v>
      </c>
      <c r="M3469"/>
      <c r="N3469" s="9">
        <v>44778</v>
      </c>
      <c r="O3469" s="9">
        <v>44834</v>
      </c>
      <c r="P3469"/>
      <c r="Q3469"/>
      <c r="R3469"/>
      <c r="S3469"/>
      <c r="T3469"/>
      <c r="U3469"/>
    </row>
    <row r="3470" spans="1:21" hidden="1">
      <c r="A3470" s="7" t="s">
        <v>8898</v>
      </c>
      <c r="B3470" s="7" t="s">
        <v>6096</v>
      </c>
      <c r="C3470" s="8" t="s">
        <v>5319</v>
      </c>
      <c r="D3470" t="s">
        <v>266</v>
      </c>
      <c r="E3470" t="s">
        <v>2125</v>
      </c>
      <c r="F3470" t="s">
        <v>3083</v>
      </c>
      <c r="G3470" t="s">
        <v>3084</v>
      </c>
      <c r="H3470" s="9">
        <v>44733</v>
      </c>
      <c r="I3470" t="s">
        <v>77</v>
      </c>
      <c r="J3470" t="s">
        <v>0</v>
      </c>
      <c r="K3470" s="9">
        <v>44841</v>
      </c>
      <c r="L3470" t="s">
        <v>29</v>
      </c>
      <c r="M3470"/>
      <c r="N3470" s="9">
        <v>44778</v>
      </c>
      <c r="O3470" s="9">
        <v>44834</v>
      </c>
      <c r="P3470"/>
      <c r="Q3470" s="9">
        <v>44841</v>
      </c>
      <c r="R3470"/>
      <c r="S3470"/>
      <c r="T3470"/>
      <c r="U3470"/>
    </row>
    <row r="3471" spans="1:21" hidden="1">
      <c r="A3471" s="7" t="s">
        <v>8898</v>
      </c>
      <c r="B3471" s="7" t="s">
        <v>6096</v>
      </c>
      <c r="C3471" s="8" t="s">
        <v>5319</v>
      </c>
      <c r="D3471" t="s">
        <v>266</v>
      </c>
      <c r="E3471" t="s">
        <v>2125</v>
      </c>
      <c r="F3471" t="s">
        <v>3083</v>
      </c>
      <c r="G3471" t="s">
        <v>3085</v>
      </c>
      <c r="H3471" s="9">
        <v>44733</v>
      </c>
      <c r="I3471" t="s">
        <v>77</v>
      </c>
      <c r="J3471" t="s">
        <v>0</v>
      </c>
      <c r="K3471" s="9">
        <v>44841</v>
      </c>
      <c r="L3471" t="s">
        <v>29</v>
      </c>
      <c r="M3471"/>
      <c r="N3471" s="9">
        <v>44778</v>
      </c>
      <c r="O3471" s="9">
        <v>44834</v>
      </c>
      <c r="P3471"/>
      <c r="Q3471" s="9">
        <v>44841</v>
      </c>
      <c r="R3471"/>
      <c r="S3471"/>
      <c r="T3471"/>
      <c r="U3471"/>
    </row>
    <row r="3472" spans="1:21" hidden="1">
      <c r="A3472" s="7" t="s">
        <v>8898</v>
      </c>
      <c r="B3472" s="7" t="s">
        <v>6096</v>
      </c>
      <c r="C3472" s="8" t="s">
        <v>5319</v>
      </c>
      <c r="D3472" t="s">
        <v>266</v>
      </c>
      <c r="E3472" t="s">
        <v>2125</v>
      </c>
      <c r="F3472" t="s">
        <v>3083</v>
      </c>
      <c r="G3472" t="s">
        <v>3086</v>
      </c>
      <c r="H3472" s="9">
        <v>44733</v>
      </c>
      <c r="I3472" t="s">
        <v>77</v>
      </c>
      <c r="J3472" t="s">
        <v>0</v>
      </c>
      <c r="K3472" s="9">
        <v>44841</v>
      </c>
      <c r="L3472" t="s">
        <v>29</v>
      </c>
      <c r="M3472"/>
      <c r="N3472" s="9">
        <v>44778</v>
      </c>
      <c r="O3472" s="9">
        <v>44834</v>
      </c>
      <c r="P3472"/>
      <c r="Q3472" s="9">
        <v>44841</v>
      </c>
      <c r="R3472"/>
      <c r="S3472"/>
      <c r="T3472"/>
      <c r="U3472"/>
    </row>
    <row r="3473" spans="1:21" hidden="1">
      <c r="A3473" s="7" t="s">
        <v>8898</v>
      </c>
      <c r="B3473" s="7" t="s">
        <v>6096</v>
      </c>
      <c r="C3473" s="8" t="s">
        <v>5319</v>
      </c>
      <c r="D3473" t="s">
        <v>266</v>
      </c>
      <c r="E3473" t="s">
        <v>2125</v>
      </c>
      <c r="F3473" t="s">
        <v>3083</v>
      </c>
      <c r="G3473" t="s">
        <v>3087</v>
      </c>
      <c r="H3473" s="9">
        <v>44733</v>
      </c>
      <c r="I3473" t="s">
        <v>77</v>
      </c>
      <c r="J3473" t="s">
        <v>0</v>
      </c>
      <c r="K3473" s="9">
        <v>44841</v>
      </c>
      <c r="L3473" t="s">
        <v>29</v>
      </c>
      <c r="M3473"/>
      <c r="N3473" s="9">
        <v>44778</v>
      </c>
      <c r="O3473" s="9">
        <v>44834</v>
      </c>
      <c r="P3473"/>
      <c r="Q3473" s="9">
        <v>44841</v>
      </c>
      <c r="R3473"/>
      <c r="S3473"/>
      <c r="T3473"/>
      <c r="U3473"/>
    </row>
    <row r="3474" spans="1:21" hidden="1">
      <c r="A3474" s="7" t="s">
        <v>8899</v>
      </c>
      <c r="B3474" s="7" t="s">
        <v>6913</v>
      </c>
      <c r="C3474" s="8" t="s">
        <v>5319</v>
      </c>
      <c r="D3474" t="s">
        <v>266</v>
      </c>
      <c r="E3474" t="s">
        <v>3088</v>
      </c>
      <c r="F3474" t="s">
        <v>200</v>
      </c>
      <c r="G3474" t="s">
        <v>3089</v>
      </c>
      <c r="H3474" s="9">
        <v>44733</v>
      </c>
      <c r="I3474" t="s">
        <v>77</v>
      </c>
      <c r="J3474" t="s">
        <v>0</v>
      </c>
      <c r="K3474" s="9">
        <v>44802</v>
      </c>
      <c r="L3474" t="s">
        <v>29</v>
      </c>
      <c r="M3474"/>
      <c r="N3474" s="9">
        <v>44778</v>
      </c>
      <c r="O3474"/>
      <c r="P3474"/>
      <c r="Q3474" s="9">
        <v>44802</v>
      </c>
      <c r="R3474"/>
      <c r="S3474"/>
      <c r="T3474"/>
      <c r="U3474"/>
    </row>
    <row r="3475" spans="1:21" hidden="1">
      <c r="A3475" s="7" t="s">
        <v>8900</v>
      </c>
      <c r="B3475" s="7" t="s">
        <v>7822</v>
      </c>
      <c r="C3475" s="8" t="s">
        <v>5319</v>
      </c>
      <c r="D3475" t="s">
        <v>266</v>
      </c>
      <c r="E3475" t="s">
        <v>3090</v>
      </c>
      <c r="F3475" t="s">
        <v>111</v>
      </c>
      <c r="G3475" t="s">
        <v>3091</v>
      </c>
      <c r="H3475" s="9">
        <v>44735</v>
      </c>
      <c r="I3475" t="s">
        <v>3092</v>
      </c>
      <c r="J3475" t="s">
        <v>5330</v>
      </c>
      <c r="K3475" s="9">
        <v>44834</v>
      </c>
      <c r="L3475" t="s">
        <v>29</v>
      </c>
      <c r="M3475"/>
      <c r="N3475" s="9">
        <v>44778</v>
      </c>
      <c r="O3475" s="9">
        <v>44834</v>
      </c>
      <c r="P3475"/>
      <c r="Q3475"/>
      <c r="R3475"/>
      <c r="S3475"/>
      <c r="T3475"/>
      <c r="U3475"/>
    </row>
    <row r="3476" spans="1:21" hidden="1">
      <c r="A3476" s="7" t="s">
        <v>8900</v>
      </c>
      <c r="B3476" s="7" t="s">
        <v>7822</v>
      </c>
      <c r="C3476" s="8" t="s">
        <v>5319</v>
      </c>
      <c r="D3476" t="s">
        <v>266</v>
      </c>
      <c r="E3476" t="s">
        <v>3090</v>
      </c>
      <c r="F3476" t="s">
        <v>111</v>
      </c>
      <c r="G3476" t="s">
        <v>3093</v>
      </c>
      <c r="H3476" s="9">
        <v>44735</v>
      </c>
      <c r="I3476" t="s">
        <v>3092</v>
      </c>
      <c r="J3476" t="s">
        <v>5330</v>
      </c>
      <c r="K3476" s="9">
        <v>44834</v>
      </c>
      <c r="L3476" t="s">
        <v>29</v>
      </c>
      <c r="M3476"/>
      <c r="N3476" s="9">
        <v>44778</v>
      </c>
      <c r="O3476" s="9">
        <v>44834</v>
      </c>
      <c r="P3476"/>
      <c r="Q3476"/>
      <c r="R3476"/>
      <c r="S3476"/>
      <c r="T3476"/>
      <c r="U3476"/>
    </row>
    <row r="3477" spans="1:21" hidden="1">
      <c r="A3477" s="7" t="s">
        <v>8900</v>
      </c>
      <c r="B3477" s="7" t="s">
        <v>7822</v>
      </c>
      <c r="C3477" s="8" t="s">
        <v>5319</v>
      </c>
      <c r="D3477" t="s">
        <v>266</v>
      </c>
      <c r="E3477" t="s">
        <v>3090</v>
      </c>
      <c r="F3477" t="s">
        <v>111</v>
      </c>
      <c r="G3477" t="s">
        <v>3094</v>
      </c>
      <c r="H3477" s="9">
        <v>44735</v>
      </c>
      <c r="I3477" t="s">
        <v>3092</v>
      </c>
      <c r="J3477" t="s">
        <v>5330</v>
      </c>
      <c r="K3477" s="9">
        <v>44834</v>
      </c>
      <c r="L3477" t="s">
        <v>29</v>
      </c>
      <c r="M3477"/>
      <c r="N3477" s="9">
        <v>44778</v>
      </c>
      <c r="O3477" s="9">
        <v>44834</v>
      </c>
      <c r="P3477"/>
      <c r="Q3477"/>
      <c r="R3477"/>
      <c r="S3477"/>
      <c r="T3477"/>
      <c r="U3477"/>
    </row>
    <row r="3478" spans="1:21" hidden="1">
      <c r="A3478" s="7" t="s">
        <v>8900</v>
      </c>
      <c r="B3478" s="7" t="s">
        <v>7822</v>
      </c>
      <c r="C3478" s="8" t="s">
        <v>5319</v>
      </c>
      <c r="D3478" t="s">
        <v>266</v>
      </c>
      <c r="E3478" t="s">
        <v>3090</v>
      </c>
      <c r="F3478" t="s">
        <v>111</v>
      </c>
      <c r="G3478" t="s">
        <v>3095</v>
      </c>
      <c r="H3478" s="9">
        <v>44735</v>
      </c>
      <c r="I3478" t="s">
        <v>3092</v>
      </c>
      <c r="J3478" t="s">
        <v>5330</v>
      </c>
      <c r="K3478" s="9">
        <v>44834</v>
      </c>
      <c r="L3478" t="s">
        <v>29</v>
      </c>
      <c r="M3478"/>
      <c r="N3478" s="9">
        <v>44778</v>
      </c>
      <c r="O3478" s="9">
        <v>44834</v>
      </c>
      <c r="P3478"/>
      <c r="Q3478"/>
      <c r="R3478"/>
      <c r="S3478"/>
      <c r="T3478"/>
      <c r="U3478"/>
    </row>
    <row r="3479" spans="1:21" hidden="1">
      <c r="A3479" s="7" t="s">
        <v>8900</v>
      </c>
      <c r="B3479" s="7" t="s">
        <v>7822</v>
      </c>
      <c r="C3479" s="8" t="s">
        <v>5319</v>
      </c>
      <c r="D3479" t="s">
        <v>266</v>
      </c>
      <c r="E3479" t="s">
        <v>3090</v>
      </c>
      <c r="F3479" t="s">
        <v>111</v>
      </c>
      <c r="G3479" t="s">
        <v>3096</v>
      </c>
      <c r="H3479" s="9">
        <v>44735</v>
      </c>
      <c r="I3479" t="s">
        <v>3092</v>
      </c>
      <c r="J3479" t="s">
        <v>5330</v>
      </c>
      <c r="K3479" s="9">
        <v>44834</v>
      </c>
      <c r="L3479" t="s">
        <v>29</v>
      </c>
      <c r="M3479"/>
      <c r="N3479" s="9">
        <v>44778</v>
      </c>
      <c r="O3479" s="9">
        <v>44834</v>
      </c>
      <c r="P3479"/>
      <c r="Q3479"/>
      <c r="R3479"/>
      <c r="S3479"/>
      <c r="T3479"/>
      <c r="U3479"/>
    </row>
    <row r="3480" spans="1:21" hidden="1">
      <c r="A3480" s="7" t="s">
        <v>8849</v>
      </c>
      <c r="B3480" s="7" t="s">
        <v>6805</v>
      </c>
      <c r="C3480" s="8" t="s">
        <v>5319</v>
      </c>
      <c r="D3480" t="s">
        <v>266</v>
      </c>
      <c r="E3480" t="s">
        <v>2175</v>
      </c>
      <c r="F3480" t="s">
        <v>75</v>
      </c>
      <c r="G3480" t="s">
        <v>3097</v>
      </c>
      <c r="H3480" s="9">
        <v>44733</v>
      </c>
      <c r="I3480" t="s">
        <v>488</v>
      </c>
      <c r="J3480" t="s">
        <v>5330</v>
      </c>
      <c r="K3480" s="9">
        <v>44834</v>
      </c>
      <c r="L3480" t="s">
        <v>29</v>
      </c>
      <c r="M3480"/>
      <c r="N3480" s="9">
        <v>44778</v>
      </c>
      <c r="O3480" s="9">
        <v>44834</v>
      </c>
      <c r="P3480"/>
      <c r="Q3480"/>
      <c r="R3480"/>
      <c r="S3480"/>
      <c r="T3480"/>
      <c r="U3480"/>
    </row>
    <row r="3481" spans="1:21" hidden="1">
      <c r="A3481" s="7" t="s">
        <v>8849</v>
      </c>
      <c r="B3481" s="7" t="s">
        <v>6805</v>
      </c>
      <c r="C3481" s="8" t="s">
        <v>5319</v>
      </c>
      <c r="D3481" t="s">
        <v>266</v>
      </c>
      <c r="E3481" t="s">
        <v>2175</v>
      </c>
      <c r="F3481" t="s">
        <v>75</v>
      </c>
      <c r="G3481" t="s">
        <v>3098</v>
      </c>
      <c r="H3481" s="9">
        <v>44733</v>
      </c>
      <c r="I3481" t="s">
        <v>488</v>
      </c>
      <c r="J3481" t="s">
        <v>5330</v>
      </c>
      <c r="K3481" s="9">
        <v>44834</v>
      </c>
      <c r="L3481" t="s">
        <v>29</v>
      </c>
      <c r="M3481"/>
      <c r="N3481" s="9">
        <v>44778</v>
      </c>
      <c r="O3481" s="9">
        <v>44834</v>
      </c>
      <c r="P3481"/>
      <c r="Q3481"/>
      <c r="R3481"/>
      <c r="S3481"/>
      <c r="T3481"/>
      <c r="U3481"/>
    </row>
    <row r="3482" spans="1:21" hidden="1">
      <c r="A3482" s="7" t="s">
        <v>8768</v>
      </c>
      <c r="B3482" s="7" t="s">
        <v>6720</v>
      </c>
      <c r="C3482" s="8" t="s">
        <v>5319</v>
      </c>
      <c r="D3482" t="s">
        <v>266</v>
      </c>
      <c r="E3482" t="s">
        <v>750</v>
      </c>
      <c r="F3482" t="s">
        <v>103</v>
      </c>
      <c r="G3482" t="s">
        <v>3099</v>
      </c>
      <c r="H3482" s="9">
        <v>44733</v>
      </c>
      <c r="I3482" t="s">
        <v>43</v>
      </c>
      <c r="J3482" t="s">
        <v>0</v>
      </c>
      <c r="K3482" s="9">
        <v>44846</v>
      </c>
      <c r="L3482" t="s">
        <v>29</v>
      </c>
      <c r="M3482"/>
      <c r="N3482" s="9">
        <v>44778</v>
      </c>
      <c r="O3482" s="9">
        <v>44834</v>
      </c>
      <c r="P3482"/>
      <c r="Q3482" s="9">
        <v>44846</v>
      </c>
      <c r="R3482"/>
      <c r="S3482"/>
      <c r="T3482"/>
      <c r="U3482"/>
    </row>
    <row r="3483" spans="1:21" hidden="1">
      <c r="A3483" s="7" t="s">
        <v>8901</v>
      </c>
      <c r="B3483" s="7" t="s">
        <v>6924</v>
      </c>
      <c r="C3483" s="8" t="s">
        <v>5319</v>
      </c>
      <c r="D3483" t="s">
        <v>266</v>
      </c>
      <c r="E3483" t="s">
        <v>3100</v>
      </c>
      <c r="F3483" t="s">
        <v>26</v>
      </c>
      <c r="G3483" t="s">
        <v>3101</v>
      </c>
      <c r="H3483" s="9">
        <v>44733</v>
      </c>
      <c r="I3483" t="s">
        <v>3102</v>
      </c>
      <c r="J3483" t="s">
        <v>5330</v>
      </c>
      <c r="K3483" s="9">
        <v>44834</v>
      </c>
      <c r="L3483" t="s">
        <v>29</v>
      </c>
      <c r="M3483"/>
      <c r="N3483" s="9">
        <v>44778</v>
      </c>
      <c r="O3483" s="9">
        <v>44834</v>
      </c>
      <c r="P3483"/>
      <c r="Q3483"/>
      <c r="R3483"/>
      <c r="S3483"/>
      <c r="T3483"/>
      <c r="U3483"/>
    </row>
    <row r="3484" spans="1:21" hidden="1">
      <c r="A3484" s="7" t="s">
        <v>8758</v>
      </c>
      <c r="B3484" s="7" t="s">
        <v>5405</v>
      </c>
      <c r="C3484" s="8" t="s">
        <v>5319</v>
      </c>
      <c r="D3484" t="s">
        <v>266</v>
      </c>
      <c r="E3484" t="s">
        <v>25</v>
      </c>
      <c r="F3484" t="s">
        <v>493</v>
      </c>
      <c r="G3484" t="s">
        <v>3103</v>
      </c>
      <c r="H3484" s="9">
        <v>44733</v>
      </c>
      <c r="I3484" t="s">
        <v>8634</v>
      </c>
      <c r="J3484" t="s">
        <v>0</v>
      </c>
      <c r="K3484" s="9">
        <v>44862</v>
      </c>
      <c r="L3484" t="s">
        <v>29</v>
      </c>
      <c r="M3484"/>
      <c r="N3484" s="9">
        <v>44778</v>
      </c>
      <c r="O3484"/>
      <c r="P3484"/>
      <c r="Q3484" s="9">
        <v>44862</v>
      </c>
      <c r="R3484"/>
      <c r="S3484"/>
      <c r="T3484"/>
      <c r="U3484"/>
    </row>
    <row r="3485" spans="1:21" hidden="1">
      <c r="A3485" s="7" t="s">
        <v>8902</v>
      </c>
      <c r="B3485" s="7" t="s">
        <v>6805</v>
      </c>
      <c r="C3485" s="8" t="s">
        <v>5319</v>
      </c>
      <c r="D3485" t="s">
        <v>266</v>
      </c>
      <c r="E3485" t="s">
        <v>2175</v>
      </c>
      <c r="F3485" t="s">
        <v>117</v>
      </c>
      <c r="G3485" t="s">
        <v>3104</v>
      </c>
      <c r="H3485" s="9">
        <v>44733</v>
      </c>
      <c r="I3485" t="s">
        <v>488</v>
      </c>
      <c r="J3485" t="s">
        <v>5330</v>
      </c>
      <c r="K3485" s="9">
        <v>44834</v>
      </c>
      <c r="L3485" t="s">
        <v>29</v>
      </c>
      <c r="M3485"/>
      <c r="N3485" s="9">
        <v>44778</v>
      </c>
      <c r="O3485" s="9">
        <v>44834</v>
      </c>
      <c r="P3485"/>
      <c r="Q3485"/>
      <c r="R3485"/>
      <c r="S3485"/>
      <c r="T3485"/>
      <c r="U3485"/>
    </row>
    <row r="3486" spans="1:21" hidden="1">
      <c r="A3486" s="7" t="s">
        <v>8849</v>
      </c>
      <c r="B3486" s="7" t="s">
        <v>6805</v>
      </c>
      <c r="C3486" s="8" t="s">
        <v>5319</v>
      </c>
      <c r="D3486" t="s">
        <v>266</v>
      </c>
      <c r="E3486" t="s">
        <v>2175</v>
      </c>
      <c r="F3486" t="s">
        <v>75</v>
      </c>
      <c r="G3486" t="s">
        <v>3104</v>
      </c>
      <c r="H3486" s="9">
        <v>44733</v>
      </c>
      <c r="I3486" t="s">
        <v>488</v>
      </c>
      <c r="J3486" t="s">
        <v>5330</v>
      </c>
      <c r="K3486" s="9">
        <v>44834</v>
      </c>
      <c r="L3486" t="s">
        <v>29</v>
      </c>
      <c r="M3486"/>
      <c r="N3486" s="9">
        <v>44778</v>
      </c>
      <c r="O3486" s="9">
        <v>44834</v>
      </c>
      <c r="P3486"/>
      <c r="Q3486"/>
      <c r="R3486"/>
      <c r="S3486"/>
      <c r="T3486"/>
      <c r="U3486"/>
    </row>
    <row r="3487" spans="1:21" hidden="1">
      <c r="A3487" s="7" t="s">
        <v>8903</v>
      </c>
      <c r="B3487" s="7" t="s">
        <v>8151</v>
      </c>
      <c r="C3487" s="8" t="s">
        <v>5319</v>
      </c>
      <c r="D3487" t="s">
        <v>266</v>
      </c>
      <c r="E3487" t="s">
        <v>3105</v>
      </c>
      <c r="F3487" t="s">
        <v>231</v>
      </c>
      <c r="G3487" t="s">
        <v>3106</v>
      </c>
      <c r="H3487" s="9">
        <v>44735</v>
      </c>
      <c r="I3487" t="s">
        <v>3107</v>
      </c>
      <c r="J3487" t="s">
        <v>5330</v>
      </c>
      <c r="K3487" s="9">
        <v>44834</v>
      </c>
      <c r="L3487" t="s">
        <v>29</v>
      </c>
      <c r="M3487"/>
      <c r="N3487" s="9">
        <v>44778</v>
      </c>
      <c r="O3487" s="9">
        <v>44834</v>
      </c>
      <c r="P3487"/>
      <c r="Q3487"/>
      <c r="R3487"/>
      <c r="S3487"/>
      <c r="T3487"/>
      <c r="U3487"/>
    </row>
    <row r="3488" spans="1:21" hidden="1">
      <c r="A3488" s="7" t="s">
        <v>8903</v>
      </c>
      <c r="B3488" s="7" t="s">
        <v>8151</v>
      </c>
      <c r="C3488" s="8" t="s">
        <v>5319</v>
      </c>
      <c r="D3488" t="s">
        <v>266</v>
      </c>
      <c r="E3488" t="s">
        <v>3105</v>
      </c>
      <c r="F3488" t="s">
        <v>231</v>
      </c>
      <c r="G3488" t="s">
        <v>3108</v>
      </c>
      <c r="H3488" s="9">
        <v>44735</v>
      </c>
      <c r="I3488" t="s">
        <v>3107</v>
      </c>
      <c r="J3488" t="s">
        <v>5330</v>
      </c>
      <c r="K3488" s="9">
        <v>44834</v>
      </c>
      <c r="L3488" t="s">
        <v>29</v>
      </c>
      <c r="M3488"/>
      <c r="N3488" s="9">
        <v>44778</v>
      </c>
      <c r="O3488" s="9">
        <v>44834</v>
      </c>
      <c r="P3488"/>
      <c r="Q3488"/>
      <c r="R3488"/>
      <c r="S3488"/>
      <c r="T3488"/>
      <c r="U3488"/>
    </row>
    <row r="3489" spans="1:21" hidden="1">
      <c r="A3489" s="7" t="s">
        <v>8903</v>
      </c>
      <c r="B3489" s="7" t="s">
        <v>8151</v>
      </c>
      <c r="C3489" s="8" t="s">
        <v>5319</v>
      </c>
      <c r="D3489" t="s">
        <v>266</v>
      </c>
      <c r="E3489" t="s">
        <v>3105</v>
      </c>
      <c r="F3489" t="s">
        <v>231</v>
      </c>
      <c r="G3489" t="s">
        <v>3109</v>
      </c>
      <c r="H3489" s="9">
        <v>44735</v>
      </c>
      <c r="I3489" t="s">
        <v>3107</v>
      </c>
      <c r="J3489" t="s">
        <v>5330</v>
      </c>
      <c r="K3489" s="9">
        <v>44834</v>
      </c>
      <c r="L3489" t="s">
        <v>29</v>
      </c>
      <c r="M3489"/>
      <c r="N3489" s="9">
        <v>44778</v>
      </c>
      <c r="O3489" s="9">
        <v>44834</v>
      </c>
      <c r="P3489"/>
      <c r="Q3489"/>
      <c r="R3489"/>
      <c r="S3489"/>
      <c r="T3489"/>
      <c r="U3489"/>
    </row>
    <row r="3490" spans="1:21" hidden="1">
      <c r="A3490" s="7" t="s">
        <v>8825</v>
      </c>
      <c r="B3490" s="7" t="s">
        <v>5405</v>
      </c>
      <c r="C3490" s="8" t="s">
        <v>5319</v>
      </c>
      <c r="D3490" t="s">
        <v>266</v>
      </c>
      <c r="E3490" t="s">
        <v>25</v>
      </c>
      <c r="F3490" t="s">
        <v>111</v>
      </c>
      <c r="G3490" t="s">
        <v>3110</v>
      </c>
      <c r="H3490" s="9">
        <v>44733</v>
      </c>
      <c r="I3490" t="s">
        <v>8634</v>
      </c>
      <c r="J3490" t="s">
        <v>5330</v>
      </c>
      <c r="K3490" s="9">
        <v>44834</v>
      </c>
      <c r="L3490" t="s">
        <v>29</v>
      </c>
      <c r="M3490"/>
      <c r="N3490" s="9">
        <v>44778</v>
      </c>
      <c r="O3490" s="9">
        <v>44834</v>
      </c>
      <c r="P3490"/>
      <c r="Q3490"/>
      <c r="R3490"/>
      <c r="S3490"/>
      <c r="T3490"/>
      <c r="U3490"/>
    </row>
    <row r="3491" spans="1:21" hidden="1">
      <c r="A3491" s="7" t="s">
        <v>8825</v>
      </c>
      <c r="B3491" s="7" t="s">
        <v>5405</v>
      </c>
      <c r="C3491" s="8" t="s">
        <v>5319</v>
      </c>
      <c r="D3491" t="s">
        <v>266</v>
      </c>
      <c r="E3491" t="s">
        <v>25</v>
      </c>
      <c r="F3491" t="s">
        <v>111</v>
      </c>
      <c r="G3491" t="s">
        <v>3111</v>
      </c>
      <c r="H3491" s="9">
        <v>44733</v>
      </c>
      <c r="I3491" t="s">
        <v>8634</v>
      </c>
      <c r="J3491" t="s">
        <v>5330</v>
      </c>
      <c r="K3491" s="9">
        <v>44834</v>
      </c>
      <c r="L3491" t="s">
        <v>29</v>
      </c>
      <c r="M3491"/>
      <c r="N3491" s="9">
        <v>44778</v>
      </c>
      <c r="O3491" s="9">
        <v>44834</v>
      </c>
      <c r="P3491"/>
      <c r="Q3491"/>
      <c r="R3491"/>
      <c r="S3491"/>
      <c r="T3491"/>
      <c r="U3491"/>
    </row>
    <row r="3492" spans="1:21" hidden="1">
      <c r="A3492" s="7" t="s">
        <v>8873</v>
      </c>
      <c r="B3492" s="7" t="s">
        <v>7140</v>
      </c>
      <c r="C3492" s="8" t="s">
        <v>5319</v>
      </c>
      <c r="D3492" t="s">
        <v>266</v>
      </c>
      <c r="E3492" t="s">
        <v>2360</v>
      </c>
      <c r="F3492" t="s">
        <v>209</v>
      </c>
      <c r="G3492" t="s">
        <v>3112</v>
      </c>
      <c r="H3492" s="9">
        <v>44733</v>
      </c>
      <c r="I3492" t="s">
        <v>2362</v>
      </c>
      <c r="J3492" t="s">
        <v>5330</v>
      </c>
      <c r="K3492" s="9">
        <v>44834</v>
      </c>
      <c r="L3492" t="s">
        <v>29</v>
      </c>
      <c r="M3492"/>
      <c r="N3492" s="9">
        <v>44778</v>
      </c>
      <c r="O3492" s="9">
        <v>44834</v>
      </c>
      <c r="P3492"/>
      <c r="Q3492"/>
      <c r="R3492"/>
      <c r="S3492"/>
      <c r="T3492"/>
      <c r="U3492"/>
    </row>
    <row r="3493" spans="1:21" hidden="1">
      <c r="A3493" s="7" t="s">
        <v>8873</v>
      </c>
      <c r="B3493" s="7" t="s">
        <v>7140</v>
      </c>
      <c r="C3493" s="8" t="s">
        <v>5319</v>
      </c>
      <c r="D3493" t="s">
        <v>266</v>
      </c>
      <c r="E3493" t="s">
        <v>2360</v>
      </c>
      <c r="F3493" t="s">
        <v>209</v>
      </c>
      <c r="G3493" t="s">
        <v>3113</v>
      </c>
      <c r="H3493" s="9">
        <v>44733</v>
      </c>
      <c r="I3493" t="s">
        <v>2362</v>
      </c>
      <c r="J3493" t="s">
        <v>5330</v>
      </c>
      <c r="K3493" s="9">
        <v>44834</v>
      </c>
      <c r="L3493" t="s">
        <v>29</v>
      </c>
      <c r="M3493"/>
      <c r="N3493" s="9">
        <v>44778</v>
      </c>
      <c r="O3493" s="9">
        <v>44834</v>
      </c>
      <c r="P3493"/>
      <c r="Q3493"/>
      <c r="R3493"/>
      <c r="S3493"/>
      <c r="T3493"/>
      <c r="U3493"/>
    </row>
    <row r="3494" spans="1:21" hidden="1">
      <c r="A3494" s="7" t="s">
        <v>8873</v>
      </c>
      <c r="B3494" s="7" t="s">
        <v>7140</v>
      </c>
      <c r="C3494" s="8" t="s">
        <v>5319</v>
      </c>
      <c r="D3494" t="s">
        <v>266</v>
      </c>
      <c r="E3494" t="s">
        <v>2360</v>
      </c>
      <c r="F3494" t="s">
        <v>209</v>
      </c>
      <c r="G3494" t="s">
        <v>3114</v>
      </c>
      <c r="H3494" s="9">
        <v>44733</v>
      </c>
      <c r="I3494" t="s">
        <v>2362</v>
      </c>
      <c r="J3494" t="s">
        <v>5330</v>
      </c>
      <c r="K3494" s="9">
        <v>44834</v>
      </c>
      <c r="L3494" t="s">
        <v>29</v>
      </c>
      <c r="M3494"/>
      <c r="N3494" s="9">
        <v>44778</v>
      </c>
      <c r="O3494" s="9">
        <v>44834</v>
      </c>
      <c r="P3494"/>
      <c r="Q3494"/>
      <c r="R3494"/>
      <c r="S3494"/>
      <c r="T3494"/>
      <c r="U3494"/>
    </row>
    <row r="3495" spans="1:21" hidden="1">
      <c r="A3495" s="7" t="s">
        <v>8873</v>
      </c>
      <c r="B3495" s="7" t="s">
        <v>7140</v>
      </c>
      <c r="C3495" s="8" t="s">
        <v>5319</v>
      </c>
      <c r="D3495" t="s">
        <v>266</v>
      </c>
      <c r="E3495" t="s">
        <v>2360</v>
      </c>
      <c r="F3495" t="s">
        <v>209</v>
      </c>
      <c r="G3495" t="s">
        <v>3115</v>
      </c>
      <c r="H3495" s="9">
        <v>44733</v>
      </c>
      <c r="I3495" t="s">
        <v>2362</v>
      </c>
      <c r="J3495" t="s">
        <v>5330</v>
      </c>
      <c r="K3495" s="9">
        <v>44834</v>
      </c>
      <c r="L3495" t="s">
        <v>29</v>
      </c>
      <c r="M3495"/>
      <c r="N3495" s="9">
        <v>44778</v>
      </c>
      <c r="O3495" s="9">
        <v>44834</v>
      </c>
      <c r="P3495"/>
      <c r="Q3495"/>
      <c r="R3495"/>
      <c r="S3495"/>
      <c r="T3495"/>
      <c r="U3495"/>
    </row>
    <row r="3496" spans="1:21" hidden="1">
      <c r="A3496" s="7" t="s">
        <v>8873</v>
      </c>
      <c r="B3496" s="7" t="s">
        <v>7140</v>
      </c>
      <c r="C3496" s="8" t="s">
        <v>5319</v>
      </c>
      <c r="D3496" t="s">
        <v>266</v>
      </c>
      <c r="E3496" t="s">
        <v>2360</v>
      </c>
      <c r="F3496" t="s">
        <v>209</v>
      </c>
      <c r="G3496" t="s">
        <v>3116</v>
      </c>
      <c r="H3496" s="9">
        <v>44733</v>
      </c>
      <c r="I3496" t="s">
        <v>2362</v>
      </c>
      <c r="J3496" t="s">
        <v>5330</v>
      </c>
      <c r="K3496" s="9">
        <v>44834</v>
      </c>
      <c r="L3496" t="s">
        <v>29</v>
      </c>
      <c r="M3496"/>
      <c r="N3496" s="9">
        <v>44778</v>
      </c>
      <c r="O3496" s="9">
        <v>44834</v>
      </c>
      <c r="P3496"/>
      <c r="Q3496"/>
      <c r="R3496"/>
      <c r="S3496"/>
      <c r="T3496"/>
      <c r="U3496"/>
    </row>
    <row r="3497" spans="1:21" hidden="1">
      <c r="A3497" s="7" t="s">
        <v>8867</v>
      </c>
      <c r="B3497" s="7" t="s">
        <v>7140</v>
      </c>
      <c r="C3497" s="8" t="s">
        <v>5319</v>
      </c>
      <c r="D3497" t="s">
        <v>266</v>
      </c>
      <c r="E3497" t="s">
        <v>2360</v>
      </c>
      <c r="F3497" t="s">
        <v>231</v>
      </c>
      <c r="G3497" t="s">
        <v>3117</v>
      </c>
      <c r="H3497" s="9">
        <v>44733</v>
      </c>
      <c r="I3497" t="s">
        <v>2362</v>
      </c>
      <c r="J3497" t="s">
        <v>5330</v>
      </c>
      <c r="K3497" s="9">
        <v>44834</v>
      </c>
      <c r="L3497" t="s">
        <v>29</v>
      </c>
      <c r="M3497"/>
      <c r="N3497" s="9">
        <v>44778</v>
      </c>
      <c r="O3497" s="9">
        <v>44834</v>
      </c>
      <c r="P3497"/>
      <c r="Q3497"/>
      <c r="R3497"/>
      <c r="S3497"/>
      <c r="T3497"/>
      <c r="U3497"/>
    </row>
    <row r="3498" spans="1:21" hidden="1">
      <c r="A3498" s="7" t="s">
        <v>8873</v>
      </c>
      <c r="B3498" s="7" t="s">
        <v>7140</v>
      </c>
      <c r="C3498" s="8" t="s">
        <v>5319</v>
      </c>
      <c r="D3498" t="s">
        <v>266</v>
      </c>
      <c r="E3498" t="s">
        <v>2360</v>
      </c>
      <c r="F3498" t="s">
        <v>209</v>
      </c>
      <c r="G3498" t="s">
        <v>3117</v>
      </c>
      <c r="H3498" s="9">
        <v>44733</v>
      </c>
      <c r="I3498" t="s">
        <v>2362</v>
      </c>
      <c r="J3498" t="s">
        <v>5330</v>
      </c>
      <c r="K3498" s="9">
        <v>44834</v>
      </c>
      <c r="L3498" t="s">
        <v>29</v>
      </c>
      <c r="M3498"/>
      <c r="N3498" s="9">
        <v>44778</v>
      </c>
      <c r="O3498" s="9">
        <v>44834</v>
      </c>
      <c r="P3498"/>
      <c r="Q3498"/>
      <c r="R3498"/>
      <c r="S3498"/>
      <c r="T3498"/>
      <c r="U3498"/>
    </row>
    <row r="3499" spans="1:21" hidden="1">
      <c r="A3499" s="7" t="s">
        <v>8867</v>
      </c>
      <c r="B3499" s="7" t="s">
        <v>7140</v>
      </c>
      <c r="C3499" s="8" t="s">
        <v>5319</v>
      </c>
      <c r="D3499" t="s">
        <v>266</v>
      </c>
      <c r="E3499" t="s">
        <v>2360</v>
      </c>
      <c r="F3499" t="s">
        <v>231</v>
      </c>
      <c r="G3499" t="s">
        <v>3118</v>
      </c>
      <c r="H3499" s="9">
        <v>44733</v>
      </c>
      <c r="I3499" t="s">
        <v>2362</v>
      </c>
      <c r="J3499" t="s">
        <v>5330</v>
      </c>
      <c r="K3499" s="9">
        <v>44834</v>
      </c>
      <c r="L3499" t="s">
        <v>29</v>
      </c>
      <c r="M3499"/>
      <c r="N3499" s="9">
        <v>44778</v>
      </c>
      <c r="O3499" s="9">
        <v>44834</v>
      </c>
      <c r="P3499"/>
      <c r="Q3499"/>
      <c r="R3499"/>
      <c r="S3499"/>
      <c r="T3499"/>
      <c r="U3499"/>
    </row>
    <row r="3500" spans="1:21" hidden="1">
      <c r="A3500" s="7" t="s">
        <v>8873</v>
      </c>
      <c r="B3500" s="7" t="s">
        <v>7140</v>
      </c>
      <c r="C3500" s="8" t="s">
        <v>5319</v>
      </c>
      <c r="D3500" t="s">
        <v>266</v>
      </c>
      <c r="E3500" t="s">
        <v>2360</v>
      </c>
      <c r="F3500" t="s">
        <v>209</v>
      </c>
      <c r="G3500" t="s">
        <v>3118</v>
      </c>
      <c r="H3500" s="9">
        <v>44733</v>
      </c>
      <c r="I3500" t="s">
        <v>2362</v>
      </c>
      <c r="J3500" t="s">
        <v>5330</v>
      </c>
      <c r="K3500" s="9">
        <v>44834</v>
      </c>
      <c r="L3500" t="s">
        <v>29</v>
      </c>
      <c r="M3500"/>
      <c r="N3500" s="9">
        <v>44778</v>
      </c>
      <c r="O3500" s="9">
        <v>44834</v>
      </c>
      <c r="P3500"/>
      <c r="Q3500"/>
      <c r="R3500"/>
      <c r="S3500"/>
      <c r="T3500"/>
      <c r="U3500"/>
    </row>
    <row r="3501" spans="1:21" hidden="1">
      <c r="A3501" s="7" t="s">
        <v>8867</v>
      </c>
      <c r="B3501" s="7" t="s">
        <v>7140</v>
      </c>
      <c r="C3501" s="8" t="s">
        <v>5319</v>
      </c>
      <c r="D3501" t="s">
        <v>266</v>
      </c>
      <c r="E3501" t="s">
        <v>2360</v>
      </c>
      <c r="F3501" t="s">
        <v>231</v>
      </c>
      <c r="G3501" t="s">
        <v>3119</v>
      </c>
      <c r="H3501" s="9">
        <v>44733</v>
      </c>
      <c r="I3501" t="s">
        <v>2362</v>
      </c>
      <c r="J3501" t="s">
        <v>5330</v>
      </c>
      <c r="K3501" s="9">
        <v>44834</v>
      </c>
      <c r="L3501" t="s">
        <v>29</v>
      </c>
      <c r="M3501"/>
      <c r="N3501" s="9">
        <v>44778</v>
      </c>
      <c r="O3501" s="9">
        <v>44834</v>
      </c>
      <c r="P3501"/>
      <c r="Q3501"/>
      <c r="R3501"/>
      <c r="S3501"/>
      <c r="T3501"/>
      <c r="U3501"/>
    </row>
    <row r="3502" spans="1:21" hidden="1">
      <c r="A3502" s="7" t="s">
        <v>8873</v>
      </c>
      <c r="B3502" s="7" t="s">
        <v>7140</v>
      </c>
      <c r="C3502" s="8" t="s">
        <v>5319</v>
      </c>
      <c r="D3502" t="s">
        <v>266</v>
      </c>
      <c r="E3502" t="s">
        <v>2360</v>
      </c>
      <c r="F3502" t="s">
        <v>209</v>
      </c>
      <c r="G3502" t="s">
        <v>3119</v>
      </c>
      <c r="H3502" s="9">
        <v>44733</v>
      </c>
      <c r="I3502" t="s">
        <v>2362</v>
      </c>
      <c r="J3502" t="s">
        <v>5330</v>
      </c>
      <c r="K3502" s="9">
        <v>44834</v>
      </c>
      <c r="L3502" t="s">
        <v>29</v>
      </c>
      <c r="M3502"/>
      <c r="N3502" s="9">
        <v>44778</v>
      </c>
      <c r="O3502" s="9">
        <v>44834</v>
      </c>
      <c r="P3502"/>
      <c r="Q3502"/>
      <c r="R3502"/>
      <c r="S3502"/>
      <c r="T3502"/>
      <c r="U3502"/>
    </row>
    <row r="3503" spans="1:21" hidden="1">
      <c r="A3503" s="7" t="s">
        <v>8904</v>
      </c>
      <c r="B3503" s="7" t="s">
        <v>5934</v>
      </c>
      <c r="C3503" s="8" t="s">
        <v>5319</v>
      </c>
      <c r="D3503" t="s">
        <v>266</v>
      </c>
      <c r="E3503" t="s">
        <v>3120</v>
      </c>
      <c r="F3503" t="s">
        <v>3121</v>
      </c>
      <c r="G3503" t="s">
        <v>3122</v>
      </c>
      <c r="H3503" s="9">
        <v>44733</v>
      </c>
      <c r="I3503" t="s">
        <v>3123</v>
      </c>
      <c r="J3503" t="s">
        <v>5330</v>
      </c>
      <c r="K3503" s="9">
        <v>44834</v>
      </c>
      <c r="L3503" t="s">
        <v>29</v>
      </c>
      <c r="M3503"/>
      <c r="N3503" s="9">
        <v>44778</v>
      </c>
      <c r="O3503" s="9">
        <v>44834</v>
      </c>
      <c r="P3503"/>
      <c r="Q3503"/>
      <c r="R3503"/>
      <c r="S3503"/>
      <c r="T3503"/>
      <c r="U3503"/>
    </row>
    <row r="3504" spans="1:21" hidden="1">
      <c r="A3504" s="7" t="s">
        <v>8905</v>
      </c>
      <c r="B3504" s="7" t="s">
        <v>5934</v>
      </c>
      <c r="C3504" s="8" t="s">
        <v>5319</v>
      </c>
      <c r="D3504" t="s">
        <v>266</v>
      </c>
      <c r="E3504" t="s">
        <v>3120</v>
      </c>
      <c r="F3504" t="s">
        <v>200</v>
      </c>
      <c r="G3504" t="s">
        <v>3124</v>
      </c>
      <c r="H3504" s="9">
        <v>44733</v>
      </c>
      <c r="I3504" t="s">
        <v>2715</v>
      </c>
      <c r="J3504" t="s">
        <v>0</v>
      </c>
      <c r="K3504" s="9">
        <v>44804</v>
      </c>
      <c r="L3504" t="s">
        <v>29</v>
      </c>
      <c r="M3504"/>
      <c r="N3504" s="9">
        <v>44778</v>
      </c>
      <c r="O3504"/>
      <c r="P3504"/>
      <c r="Q3504" s="9">
        <v>44804</v>
      </c>
      <c r="R3504"/>
      <c r="S3504"/>
      <c r="T3504"/>
      <c r="U3504"/>
    </row>
    <row r="3505" spans="1:21" hidden="1">
      <c r="A3505" s="7" t="s">
        <v>8904</v>
      </c>
      <c r="B3505" s="7" t="s">
        <v>5934</v>
      </c>
      <c r="C3505" s="8" t="s">
        <v>5319</v>
      </c>
      <c r="D3505" t="s">
        <v>266</v>
      </c>
      <c r="E3505" t="s">
        <v>3120</v>
      </c>
      <c r="F3505" t="s">
        <v>3121</v>
      </c>
      <c r="G3505" t="s">
        <v>3124</v>
      </c>
      <c r="H3505" s="9">
        <v>44733</v>
      </c>
      <c r="I3505" t="s">
        <v>3123</v>
      </c>
      <c r="J3505" t="s">
        <v>5330</v>
      </c>
      <c r="K3505" s="9">
        <v>44834</v>
      </c>
      <c r="L3505" t="s">
        <v>29</v>
      </c>
      <c r="M3505"/>
      <c r="N3505" s="9">
        <v>44778</v>
      </c>
      <c r="O3505" s="9">
        <v>44834</v>
      </c>
      <c r="P3505"/>
      <c r="Q3505"/>
      <c r="R3505"/>
      <c r="S3505"/>
      <c r="T3505"/>
      <c r="U3505"/>
    </row>
    <row r="3506" spans="1:21" hidden="1">
      <c r="A3506" s="7" t="s">
        <v>8904</v>
      </c>
      <c r="B3506" s="7" t="s">
        <v>5934</v>
      </c>
      <c r="C3506" s="8" t="s">
        <v>5319</v>
      </c>
      <c r="D3506" t="s">
        <v>266</v>
      </c>
      <c r="E3506" t="s">
        <v>3120</v>
      </c>
      <c r="F3506" t="s">
        <v>3121</v>
      </c>
      <c r="G3506" t="s">
        <v>3125</v>
      </c>
      <c r="H3506" s="9">
        <v>44733</v>
      </c>
      <c r="I3506" t="s">
        <v>3123</v>
      </c>
      <c r="J3506" t="s">
        <v>5330</v>
      </c>
      <c r="K3506" s="9">
        <v>44834</v>
      </c>
      <c r="L3506" t="s">
        <v>29</v>
      </c>
      <c r="M3506"/>
      <c r="N3506" s="9">
        <v>44778</v>
      </c>
      <c r="O3506" s="9">
        <v>44834</v>
      </c>
      <c r="P3506"/>
      <c r="Q3506"/>
      <c r="R3506"/>
      <c r="S3506"/>
      <c r="T3506"/>
      <c r="U3506"/>
    </row>
    <row r="3507" spans="1:21" hidden="1">
      <c r="A3507" s="7" t="s">
        <v>8905</v>
      </c>
      <c r="B3507" s="7" t="s">
        <v>5934</v>
      </c>
      <c r="C3507" s="8" t="s">
        <v>5319</v>
      </c>
      <c r="D3507" t="s">
        <v>266</v>
      </c>
      <c r="E3507" t="s">
        <v>3120</v>
      </c>
      <c r="F3507" t="s">
        <v>200</v>
      </c>
      <c r="G3507" t="s">
        <v>3126</v>
      </c>
      <c r="H3507" s="9">
        <v>44733</v>
      </c>
      <c r="I3507" t="s">
        <v>2715</v>
      </c>
      <c r="J3507" t="s">
        <v>0</v>
      </c>
      <c r="K3507" s="9">
        <v>44804</v>
      </c>
      <c r="L3507" t="s">
        <v>29</v>
      </c>
      <c r="M3507"/>
      <c r="N3507" s="9">
        <v>44778</v>
      </c>
      <c r="O3507"/>
      <c r="P3507"/>
      <c r="Q3507" s="9">
        <v>44804</v>
      </c>
      <c r="R3507"/>
      <c r="S3507"/>
      <c r="T3507"/>
      <c r="U3507"/>
    </row>
    <row r="3508" spans="1:21" hidden="1">
      <c r="A3508" s="7" t="s">
        <v>8904</v>
      </c>
      <c r="B3508" s="7" t="s">
        <v>5934</v>
      </c>
      <c r="C3508" s="8" t="s">
        <v>5319</v>
      </c>
      <c r="D3508" t="s">
        <v>266</v>
      </c>
      <c r="E3508" t="s">
        <v>3120</v>
      </c>
      <c r="F3508" t="s">
        <v>3121</v>
      </c>
      <c r="G3508" t="s">
        <v>3126</v>
      </c>
      <c r="H3508" s="9">
        <v>44733</v>
      </c>
      <c r="I3508" t="s">
        <v>3123</v>
      </c>
      <c r="J3508" t="s">
        <v>5330</v>
      </c>
      <c r="K3508" s="9">
        <v>44834</v>
      </c>
      <c r="L3508" t="s">
        <v>29</v>
      </c>
      <c r="M3508"/>
      <c r="N3508" s="9">
        <v>44778</v>
      </c>
      <c r="O3508" s="9">
        <v>44834</v>
      </c>
      <c r="P3508"/>
      <c r="Q3508"/>
      <c r="R3508"/>
      <c r="S3508"/>
      <c r="T3508"/>
      <c r="U3508"/>
    </row>
    <row r="3509" spans="1:21" hidden="1">
      <c r="A3509" s="7" t="s">
        <v>8905</v>
      </c>
      <c r="B3509" s="7" t="s">
        <v>5934</v>
      </c>
      <c r="C3509" s="8" t="s">
        <v>5319</v>
      </c>
      <c r="D3509" t="s">
        <v>266</v>
      </c>
      <c r="E3509" t="s">
        <v>3120</v>
      </c>
      <c r="F3509" t="s">
        <v>200</v>
      </c>
      <c r="G3509" t="s">
        <v>3127</v>
      </c>
      <c r="H3509" s="9">
        <v>44733</v>
      </c>
      <c r="I3509" t="s">
        <v>2715</v>
      </c>
      <c r="J3509" t="s">
        <v>0</v>
      </c>
      <c r="K3509" s="9">
        <v>44804</v>
      </c>
      <c r="L3509" t="s">
        <v>29</v>
      </c>
      <c r="M3509"/>
      <c r="N3509" s="9">
        <v>44778</v>
      </c>
      <c r="O3509"/>
      <c r="P3509"/>
      <c r="Q3509" s="9">
        <v>44804</v>
      </c>
      <c r="R3509"/>
      <c r="S3509"/>
      <c r="T3509"/>
      <c r="U3509"/>
    </row>
    <row r="3510" spans="1:21" hidden="1">
      <c r="A3510" s="7" t="s">
        <v>8897</v>
      </c>
      <c r="B3510" s="7" t="s">
        <v>6320</v>
      </c>
      <c r="C3510" s="8" t="s">
        <v>5319</v>
      </c>
      <c r="D3510" t="s">
        <v>266</v>
      </c>
      <c r="E3510" t="s">
        <v>3069</v>
      </c>
      <c r="F3510" t="s">
        <v>3070</v>
      </c>
      <c r="G3510" t="s">
        <v>3128</v>
      </c>
      <c r="H3510" s="9">
        <v>44733</v>
      </c>
      <c r="I3510" t="s">
        <v>2187</v>
      </c>
      <c r="J3510" t="s">
        <v>5330</v>
      </c>
      <c r="K3510" s="9">
        <v>44834</v>
      </c>
      <c r="L3510" t="s">
        <v>29</v>
      </c>
      <c r="M3510"/>
      <c r="N3510" s="9">
        <v>44778</v>
      </c>
      <c r="O3510" s="9">
        <v>44834</v>
      </c>
      <c r="P3510"/>
      <c r="Q3510"/>
      <c r="R3510"/>
      <c r="S3510"/>
      <c r="T3510"/>
      <c r="U3510"/>
    </row>
    <row r="3511" spans="1:21" hidden="1">
      <c r="A3511" s="7" t="s">
        <v>8897</v>
      </c>
      <c r="B3511" s="7" t="s">
        <v>6320</v>
      </c>
      <c r="C3511" s="8" t="s">
        <v>5319</v>
      </c>
      <c r="D3511" t="s">
        <v>266</v>
      </c>
      <c r="E3511" t="s">
        <v>3069</v>
      </c>
      <c r="F3511" t="s">
        <v>3070</v>
      </c>
      <c r="G3511" t="s">
        <v>3129</v>
      </c>
      <c r="H3511" s="9">
        <v>44733</v>
      </c>
      <c r="I3511" t="s">
        <v>2187</v>
      </c>
      <c r="J3511" t="s">
        <v>5330</v>
      </c>
      <c r="K3511" s="9">
        <v>44834</v>
      </c>
      <c r="L3511" t="s">
        <v>29</v>
      </c>
      <c r="M3511"/>
      <c r="N3511" s="9">
        <v>44778</v>
      </c>
      <c r="O3511" s="9">
        <v>44834</v>
      </c>
      <c r="P3511"/>
      <c r="Q3511"/>
      <c r="R3511"/>
      <c r="S3511"/>
      <c r="T3511"/>
      <c r="U3511"/>
    </row>
    <row r="3512" spans="1:21" hidden="1">
      <c r="A3512" s="7" t="s">
        <v>8897</v>
      </c>
      <c r="B3512" s="7" t="s">
        <v>6320</v>
      </c>
      <c r="C3512" s="8" t="s">
        <v>5319</v>
      </c>
      <c r="D3512" t="s">
        <v>266</v>
      </c>
      <c r="E3512" t="s">
        <v>3069</v>
      </c>
      <c r="F3512" t="s">
        <v>3070</v>
      </c>
      <c r="G3512" t="s">
        <v>3130</v>
      </c>
      <c r="H3512" s="9">
        <v>44733</v>
      </c>
      <c r="I3512" t="s">
        <v>2187</v>
      </c>
      <c r="J3512" t="s">
        <v>5330</v>
      </c>
      <c r="K3512" s="9">
        <v>44834</v>
      </c>
      <c r="L3512" t="s">
        <v>29</v>
      </c>
      <c r="M3512"/>
      <c r="N3512" s="9">
        <v>44778</v>
      </c>
      <c r="O3512" s="9">
        <v>44834</v>
      </c>
      <c r="P3512"/>
      <c r="Q3512"/>
      <c r="R3512"/>
      <c r="S3512"/>
      <c r="T3512"/>
      <c r="U3512"/>
    </row>
    <row r="3513" spans="1:21" hidden="1">
      <c r="A3513" s="7" t="s">
        <v>8897</v>
      </c>
      <c r="B3513" s="7" t="s">
        <v>6320</v>
      </c>
      <c r="C3513" s="8" t="s">
        <v>5319</v>
      </c>
      <c r="D3513" t="s">
        <v>266</v>
      </c>
      <c r="E3513" t="s">
        <v>3069</v>
      </c>
      <c r="F3513" t="s">
        <v>3070</v>
      </c>
      <c r="G3513" t="s">
        <v>3131</v>
      </c>
      <c r="H3513" s="9">
        <v>44733</v>
      </c>
      <c r="I3513" t="s">
        <v>2187</v>
      </c>
      <c r="J3513" t="s">
        <v>5330</v>
      </c>
      <c r="K3513" s="9">
        <v>44834</v>
      </c>
      <c r="L3513" t="s">
        <v>29</v>
      </c>
      <c r="M3513"/>
      <c r="N3513" s="9">
        <v>44778</v>
      </c>
      <c r="O3513" s="9">
        <v>44834</v>
      </c>
      <c r="P3513"/>
      <c r="Q3513"/>
      <c r="R3513"/>
      <c r="S3513"/>
      <c r="T3513"/>
      <c r="U3513"/>
    </row>
    <row r="3514" spans="1:21" hidden="1">
      <c r="A3514" s="7" t="s">
        <v>8897</v>
      </c>
      <c r="B3514" s="7" t="s">
        <v>6320</v>
      </c>
      <c r="C3514" s="8" t="s">
        <v>5319</v>
      </c>
      <c r="D3514" t="s">
        <v>266</v>
      </c>
      <c r="E3514" t="s">
        <v>3069</v>
      </c>
      <c r="F3514" t="s">
        <v>3070</v>
      </c>
      <c r="G3514" t="s">
        <v>3132</v>
      </c>
      <c r="H3514" s="9">
        <v>44733</v>
      </c>
      <c r="I3514" t="s">
        <v>2187</v>
      </c>
      <c r="J3514" t="s">
        <v>5330</v>
      </c>
      <c r="K3514" s="9">
        <v>44834</v>
      </c>
      <c r="L3514" t="s">
        <v>29</v>
      </c>
      <c r="M3514"/>
      <c r="N3514" s="9">
        <v>44778</v>
      </c>
      <c r="O3514" s="9">
        <v>44834</v>
      </c>
      <c r="P3514"/>
      <c r="Q3514"/>
      <c r="R3514"/>
      <c r="S3514"/>
      <c r="T3514"/>
      <c r="U3514"/>
    </row>
    <row r="3515" spans="1:21" hidden="1">
      <c r="A3515" s="7" t="s">
        <v>8897</v>
      </c>
      <c r="B3515" s="7" t="s">
        <v>6320</v>
      </c>
      <c r="C3515" s="8" t="s">
        <v>5319</v>
      </c>
      <c r="D3515" t="s">
        <v>266</v>
      </c>
      <c r="E3515" t="s">
        <v>3069</v>
      </c>
      <c r="F3515" t="s">
        <v>3070</v>
      </c>
      <c r="G3515" t="s">
        <v>3133</v>
      </c>
      <c r="H3515" s="9">
        <v>44733</v>
      </c>
      <c r="I3515" t="s">
        <v>2187</v>
      </c>
      <c r="J3515" t="s">
        <v>5330</v>
      </c>
      <c r="K3515" s="9">
        <v>44834</v>
      </c>
      <c r="L3515" t="s">
        <v>29</v>
      </c>
      <c r="M3515"/>
      <c r="N3515" s="9">
        <v>44778</v>
      </c>
      <c r="O3515" s="9">
        <v>44834</v>
      </c>
      <c r="P3515"/>
      <c r="Q3515"/>
      <c r="R3515"/>
      <c r="S3515"/>
      <c r="T3515"/>
      <c r="U3515"/>
    </row>
    <row r="3516" spans="1:21" hidden="1">
      <c r="A3516" s="7" t="s">
        <v>8897</v>
      </c>
      <c r="B3516" s="7" t="s">
        <v>6320</v>
      </c>
      <c r="C3516" s="8" t="s">
        <v>5319</v>
      </c>
      <c r="D3516" t="s">
        <v>266</v>
      </c>
      <c r="E3516" t="s">
        <v>3069</v>
      </c>
      <c r="F3516" t="s">
        <v>3070</v>
      </c>
      <c r="G3516" t="s">
        <v>3134</v>
      </c>
      <c r="H3516" s="9">
        <v>44733</v>
      </c>
      <c r="I3516" t="s">
        <v>2187</v>
      </c>
      <c r="J3516" t="s">
        <v>5330</v>
      </c>
      <c r="K3516" s="9">
        <v>44834</v>
      </c>
      <c r="L3516" t="s">
        <v>29</v>
      </c>
      <c r="M3516"/>
      <c r="N3516" s="9">
        <v>44778</v>
      </c>
      <c r="O3516" s="9">
        <v>44834</v>
      </c>
      <c r="P3516"/>
      <c r="Q3516"/>
      <c r="R3516"/>
      <c r="S3516"/>
      <c r="T3516"/>
      <c r="U3516"/>
    </row>
    <row r="3517" spans="1:21" hidden="1">
      <c r="A3517" s="7" t="s">
        <v>8906</v>
      </c>
      <c r="B3517" s="7" t="s">
        <v>6630</v>
      </c>
      <c r="C3517" s="8" t="s">
        <v>5319</v>
      </c>
      <c r="D3517" t="s">
        <v>266</v>
      </c>
      <c r="E3517" t="s">
        <v>3135</v>
      </c>
      <c r="F3517" t="s">
        <v>231</v>
      </c>
      <c r="G3517" t="s">
        <v>3136</v>
      </c>
      <c r="H3517" s="9">
        <v>44733</v>
      </c>
      <c r="I3517" t="s">
        <v>3102</v>
      </c>
      <c r="J3517" t="s">
        <v>5330</v>
      </c>
      <c r="K3517" s="9">
        <v>44834</v>
      </c>
      <c r="L3517" t="s">
        <v>29</v>
      </c>
      <c r="M3517"/>
      <c r="N3517" s="9">
        <v>44778</v>
      </c>
      <c r="O3517" s="9">
        <v>44834</v>
      </c>
      <c r="P3517"/>
      <c r="Q3517"/>
      <c r="R3517"/>
      <c r="S3517"/>
      <c r="T3517"/>
      <c r="U3517"/>
    </row>
    <row r="3518" spans="1:21" hidden="1">
      <c r="A3518" s="7" t="s">
        <v>8906</v>
      </c>
      <c r="B3518" s="7" t="s">
        <v>6630</v>
      </c>
      <c r="C3518" s="8" t="s">
        <v>5319</v>
      </c>
      <c r="D3518" t="s">
        <v>266</v>
      </c>
      <c r="E3518" t="s">
        <v>3135</v>
      </c>
      <c r="F3518" t="s">
        <v>231</v>
      </c>
      <c r="G3518" t="s">
        <v>3137</v>
      </c>
      <c r="H3518" s="9">
        <v>44733</v>
      </c>
      <c r="I3518" t="s">
        <v>3102</v>
      </c>
      <c r="J3518" t="s">
        <v>5330</v>
      </c>
      <c r="K3518" s="9">
        <v>44834</v>
      </c>
      <c r="L3518" t="s">
        <v>29</v>
      </c>
      <c r="M3518"/>
      <c r="N3518" s="9">
        <v>44778</v>
      </c>
      <c r="O3518" s="9">
        <v>44834</v>
      </c>
      <c r="P3518"/>
      <c r="Q3518"/>
      <c r="R3518"/>
      <c r="S3518"/>
      <c r="T3518"/>
      <c r="U3518"/>
    </row>
    <row r="3519" spans="1:21" hidden="1">
      <c r="A3519" s="7" t="s">
        <v>8906</v>
      </c>
      <c r="B3519" s="7" t="s">
        <v>6630</v>
      </c>
      <c r="C3519" s="8" t="s">
        <v>5319</v>
      </c>
      <c r="D3519" t="s">
        <v>266</v>
      </c>
      <c r="E3519" t="s">
        <v>3135</v>
      </c>
      <c r="F3519" t="s">
        <v>231</v>
      </c>
      <c r="G3519" t="s">
        <v>3138</v>
      </c>
      <c r="H3519" s="9">
        <v>44733</v>
      </c>
      <c r="I3519" t="s">
        <v>3102</v>
      </c>
      <c r="J3519" t="s">
        <v>5330</v>
      </c>
      <c r="K3519" s="9">
        <v>44834</v>
      </c>
      <c r="L3519" t="s">
        <v>29</v>
      </c>
      <c r="M3519"/>
      <c r="N3519" s="9">
        <v>44778</v>
      </c>
      <c r="O3519" s="9">
        <v>44834</v>
      </c>
      <c r="P3519"/>
      <c r="Q3519"/>
      <c r="R3519"/>
      <c r="S3519"/>
      <c r="T3519"/>
      <c r="U3519"/>
    </row>
    <row r="3520" spans="1:21" hidden="1">
      <c r="A3520" s="7" t="s">
        <v>8906</v>
      </c>
      <c r="B3520" s="7" t="s">
        <v>6630</v>
      </c>
      <c r="C3520" s="8" t="s">
        <v>5319</v>
      </c>
      <c r="D3520" t="s">
        <v>266</v>
      </c>
      <c r="E3520" t="s">
        <v>3135</v>
      </c>
      <c r="F3520" t="s">
        <v>231</v>
      </c>
      <c r="G3520" t="s">
        <v>3139</v>
      </c>
      <c r="H3520" s="9">
        <v>44733</v>
      </c>
      <c r="I3520" t="s">
        <v>3102</v>
      </c>
      <c r="J3520" t="s">
        <v>5330</v>
      </c>
      <c r="K3520" s="9">
        <v>44834</v>
      </c>
      <c r="L3520" t="s">
        <v>29</v>
      </c>
      <c r="M3520"/>
      <c r="N3520" s="9">
        <v>44778</v>
      </c>
      <c r="O3520" s="9">
        <v>44834</v>
      </c>
      <c r="P3520"/>
      <c r="Q3520"/>
      <c r="R3520"/>
      <c r="S3520"/>
      <c r="T3520"/>
      <c r="U3520"/>
    </row>
    <row r="3521" spans="1:21" hidden="1">
      <c r="A3521" s="7" t="s">
        <v>8906</v>
      </c>
      <c r="B3521" s="7" t="s">
        <v>6630</v>
      </c>
      <c r="C3521" s="8" t="s">
        <v>5319</v>
      </c>
      <c r="D3521" t="s">
        <v>266</v>
      </c>
      <c r="E3521" t="s">
        <v>3135</v>
      </c>
      <c r="F3521" t="s">
        <v>231</v>
      </c>
      <c r="G3521" t="s">
        <v>3140</v>
      </c>
      <c r="H3521" s="9">
        <v>44733</v>
      </c>
      <c r="I3521" t="s">
        <v>3102</v>
      </c>
      <c r="J3521" t="s">
        <v>5330</v>
      </c>
      <c r="K3521" s="9">
        <v>44834</v>
      </c>
      <c r="L3521" t="s">
        <v>29</v>
      </c>
      <c r="M3521"/>
      <c r="N3521" s="9">
        <v>44778</v>
      </c>
      <c r="O3521" s="9">
        <v>44834</v>
      </c>
      <c r="P3521"/>
      <c r="Q3521"/>
      <c r="R3521"/>
      <c r="S3521"/>
      <c r="T3521"/>
      <c r="U3521"/>
    </row>
    <row r="3522" spans="1:21" hidden="1">
      <c r="A3522" s="7" t="s">
        <v>8906</v>
      </c>
      <c r="B3522" s="7" t="s">
        <v>6630</v>
      </c>
      <c r="C3522" s="8" t="s">
        <v>5319</v>
      </c>
      <c r="D3522" t="s">
        <v>266</v>
      </c>
      <c r="E3522" t="s">
        <v>3135</v>
      </c>
      <c r="F3522" t="s">
        <v>231</v>
      </c>
      <c r="G3522" t="s">
        <v>3141</v>
      </c>
      <c r="H3522" s="9">
        <v>44733</v>
      </c>
      <c r="I3522" t="s">
        <v>3102</v>
      </c>
      <c r="J3522" t="s">
        <v>5330</v>
      </c>
      <c r="K3522" s="9">
        <v>44834</v>
      </c>
      <c r="L3522" t="s">
        <v>29</v>
      </c>
      <c r="M3522"/>
      <c r="N3522" s="9">
        <v>44778</v>
      </c>
      <c r="O3522" s="9">
        <v>44834</v>
      </c>
      <c r="P3522"/>
      <c r="Q3522"/>
      <c r="R3522"/>
      <c r="S3522"/>
      <c r="T3522"/>
      <c r="U3522"/>
    </row>
    <row r="3523" spans="1:21" hidden="1">
      <c r="A3523" s="7" t="s">
        <v>8906</v>
      </c>
      <c r="B3523" s="7" t="s">
        <v>6630</v>
      </c>
      <c r="C3523" s="8" t="s">
        <v>5319</v>
      </c>
      <c r="D3523" t="s">
        <v>266</v>
      </c>
      <c r="E3523" t="s">
        <v>3135</v>
      </c>
      <c r="F3523" t="s">
        <v>231</v>
      </c>
      <c r="G3523" t="s">
        <v>3142</v>
      </c>
      <c r="H3523" s="9">
        <v>44733</v>
      </c>
      <c r="I3523" t="s">
        <v>3102</v>
      </c>
      <c r="J3523" t="s">
        <v>5330</v>
      </c>
      <c r="K3523" s="9">
        <v>44834</v>
      </c>
      <c r="L3523" t="s">
        <v>29</v>
      </c>
      <c r="M3523"/>
      <c r="N3523" s="9">
        <v>44778</v>
      </c>
      <c r="O3523" s="9">
        <v>44834</v>
      </c>
      <c r="P3523"/>
      <c r="Q3523"/>
      <c r="R3523"/>
      <c r="S3523"/>
      <c r="T3523"/>
      <c r="U3523"/>
    </row>
    <row r="3524" spans="1:21" hidden="1">
      <c r="A3524" s="7" t="s">
        <v>8906</v>
      </c>
      <c r="B3524" s="7" t="s">
        <v>6630</v>
      </c>
      <c r="C3524" s="8" t="s">
        <v>5319</v>
      </c>
      <c r="D3524" t="s">
        <v>266</v>
      </c>
      <c r="E3524" t="s">
        <v>3135</v>
      </c>
      <c r="F3524" t="s">
        <v>231</v>
      </c>
      <c r="G3524" t="s">
        <v>3143</v>
      </c>
      <c r="H3524" s="9">
        <v>44733</v>
      </c>
      <c r="I3524" t="s">
        <v>3102</v>
      </c>
      <c r="J3524" t="s">
        <v>5330</v>
      </c>
      <c r="K3524" s="9">
        <v>44834</v>
      </c>
      <c r="L3524" t="s">
        <v>29</v>
      </c>
      <c r="M3524"/>
      <c r="N3524" s="9">
        <v>44778</v>
      </c>
      <c r="O3524" s="9">
        <v>44834</v>
      </c>
      <c r="P3524"/>
      <c r="Q3524"/>
      <c r="R3524"/>
      <c r="S3524"/>
      <c r="T3524"/>
      <c r="U3524"/>
    </row>
    <row r="3525" spans="1:21" hidden="1">
      <c r="A3525" s="7" t="s">
        <v>8906</v>
      </c>
      <c r="B3525" s="7" t="s">
        <v>6630</v>
      </c>
      <c r="C3525" s="8" t="s">
        <v>5319</v>
      </c>
      <c r="D3525" t="s">
        <v>266</v>
      </c>
      <c r="E3525" t="s">
        <v>3135</v>
      </c>
      <c r="F3525" t="s">
        <v>231</v>
      </c>
      <c r="G3525" t="s">
        <v>3144</v>
      </c>
      <c r="H3525" s="9">
        <v>44733</v>
      </c>
      <c r="I3525" t="s">
        <v>3102</v>
      </c>
      <c r="J3525" t="s">
        <v>5330</v>
      </c>
      <c r="K3525" s="9">
        <v>44834</v>
      </c>
      <c r="L3525" t="s">
        <v>29</v>
      </c>
      <c r="M3525"/>
      <c r="N3525" s="9">
        <v>44778</v>
      </c>
      <c r="O3525" s="9">
        <v>44834</v>
      </c>
      <c r="P3525"/>
      <c r="Q3525"/>
      <c r="R3525"/>
      <c r="S3525"/>
      <c r="T3525"/>
      <c r="U3525"/>
    </row>
    <row r="3526" spans="1:21" hidden="1">
      <c r="A3526" s="7" t="s">
        <v>8906</v>
      </c>
      <c r="B3526" s="7" t="s">
        <v>6630</v>
      </c>
      <c r="C3526" s="8" t="s">
        <v>5319</v>
      </c>
      <c r="D3526" t="s">
        <v>266</v>
      </c>
      <c r="E3526" t="s">
        <v>3135</v>
      </c>
      <c r="F3526" t="s">
        <v>231</v>
      </c>
      <c r="G3526" t="s">
        <v>3145</v>
      </c>
      <c r="H3526" s="9">
        <v>44733</v>
      </c>
      <c r="I3526" t="s">
        <v>3102</v>
      </c>
      <c r="J3526" t="s">
        <v>5330</v>
      </c>
      <c r="K3526" s="9">
        <v>44834</v>
      </c>
      <c r="L3526" t="s">
        <v>29</v>
      </c>
      <c r="M3526"/>
      <c r="N3526" s="9">
        <v>44778</v>
      </c>
      <c r="O3526" s="9">
        <v>44834</v>
      </c>
      <c r="P3526"/>
      <c r="Q3526"/>
      <c r="R3526"/>
      <c r="S3526"/>
      <c r="T3526"/>
      <c r="U3526"/>
    </row>
    <row r="3527" spans="1:21" hidden="1">
      <c r="A3527" s="7" t="s">
        <v>8906</v>
      </c>
      <c r="B3527" s="7" t="s">
        <v>6630</v>
      </c>
      <c r="C3527" s="8" t="s">
        <v>5319</v>
      </c>
      <c r="D3527" t="s">
        <v>266</v>
      </c>
      <c r="E3527" t="s">
        <v>3135</v>
      </c>
      <c r="F3527" t="s">
        <v>231</v>
      </c>
      <c r="G3527" t="s">
        <v>3146</v>
      </c>
      <c r="H3527" s="9">
        <v>44733</v>
      </c>
      <c r="I3527" t="s">
        <v>3102</v>
      </c>
      <c r="J3527" t="s">
        <v>5330</v>
      </c>
      <c r="K3527" s="9">
        <v>44834</v>
      </c>
      <c r="L3527" t="s">
        <v>29</v>
      </c>
      <c r="M3527"/>
      <c r="N3527" s="9">
        <v>44778</v>
      </c>
      <c r="O3527" s="9">
        <v>44834</v>
      </c>
      <c r="P3527"/>
      <c r="Q3527"/>
      <c r="R3527"/>
      <c r="S3527"/>
      <c r="T3527"/>
      <c r="U3527"/>
    </row>
    <row r="3528" spans="1:21" hidden="1">
      <c r="A3528" s="7" t="s">
        <v>8906</v>
      </c>
      <c r="B3528" s="7" t="s">
        <v>6630</v>
      </c>
      <c r="C3528" s="8" t="s">
        <v>5319</v>
      </c>
      <c r="D3528" t="s">
        <v>266</v>
      </c>
      <c r="E3528" t="s">
        <v>3135</v>
      </c>
      <c r="F3528" t="s">
        <v>231</v>
      </c>
      <c r="G3528" t="s">
        <v>3147</v>
      </c>
      <c r="H3528" s="9">
        <v>44733</v>
      </c>
      <c r="I3528" t="s">
        <v>3102</v>
      </c>
      <c r="J3528" t="s">
        <v>5330</v>
      </c>
      <c r="K3528" s="9">
        <v>44834</v>
      </c>
      <c r="L3528" t="s">
        <v>29</v>
      </c>
      <c r="M3528"/>
      <c r="N3528" s="9">
        <v>44778</v>
      </c>
      <c r="O3528" s="9">
        <v>44834</v>
      </c>
      <c r="P3528"/>
      <c r="Q3528"/>
      <c r="R3528"/>
      <c r="S3528"/>
      <c r="T3528"/>
      <c r="U3528"/>
    </row>
    <row r="3529" spans="1:21" hidden="1">
      <c r="A3529" s="7" t="s">
        <v>8906</v>
      </c>
      <c r="B3529" s="7" t="s">
        <v>6630</v>
      </c>
      <c r="C3529" s="8" t="s">
        <v>5319</v>
      </c>
      <c r="D3529" t="s">
        <v>266</v>
      </c>
      <c r="E3529" t="s">
        <v>3135</v>
      </c>
      <c r="F3529" t="s">
        <v>231</v>
      </c>
      <c r="G3529" t="s">
        <v>3148</v>
      </c>
      <c r="H3529" s="9">
        <v>44733</v>
      </c>
      <c r="I3529" t="s">
        <v>3102</v>
      </c>
      <c r="J3529" t="s">
        <v>5330</v>
      </c>
      <c r="K3529" s="9">
        <v>44834</v>
      </c>
      <c r="L3529" t="s">
        <v>29</v>
      </c>
      <c r="M3529"/>
      <c r="N3529" s="9">
        <v>44778</v>
      </c>
      <c r="O3529" s="9">
        <v>44834</v>
      </c>
      <c r="P3529"/>
      <c r="Q3529"/>
      <c r="R3529"/>
      <c r="S3529"/>
      <c r="T3529"/>
      <c r="U3529"/>
    </row>
    <row r="3530" spans="1:21" hidden="1">
      <c r="A3530" s="7" t="s">
        <v>8906</v>
      </c>
      <c r="B3530" s="7" t="s">
        <v>6630</v>
      </c>
      <c r="C3530" s="8" t="s">
        <v>5319</v>
      </c>
      <c r="D3530" t="s">
        <v>266</v>
      </c>
      <c r="E3530" t="s">
        <v>3135</v>
      </c>
      <c r="F3530" t="s">
        <v>231</v>
      </c>
      <c r="G3530" t="s">
        <v>3149</v>
      </c>
      <c r="H3530" s="9">
        <v>44733</v>
      </c>
      <c r="I3530" t="s">
        <v>3102</v>
      </c>
      <c r="J3530" t="s">
        <v>5330</v>
      </c>
      <c r="K3530" s="9">
        <v>44834</v>
      </c>
      <c r="L3530" t="s">
        <v>29</v>
      </c>
      <c r="M3530"/>
      <c r="N3530" s="9">
        <v>44778</v>
      </c>
      <c r="O3530" s="9">
        <v>44834</v>
      </c>
      <c r="P3530"/>
      <c r="Q3530"/>
      <c r="R3530"/>
      <c r="S3530"/>
      <c r="T3530"/>
      <c r="U3530"/>
    </row>
    <row r="3531" spans="1:21" hidden="1">
      <c r="A3531" s="7" t="s">
        <v>8906</v>
      </c>
      <c r="B3531" s="7" t="s">
        <v>6630</v>
      </c>
      <c r="C3531" s="8" t="s">
        <v>5319</v>
      </c>
      <c r="D3531" t="s">
        <v>266</v>
      </c>
      <c r="E3531" t="s">
        <v>3135</v>
      </c>
      <c r="F3531" t="s">
        <v>231</v>
      </c>
      <c r="G3531" t="s">
        <v>3150</v>
      </c>
      <c r="H3531" s="9">
        <v>44733</v>
      </c>
      <c r="I3531" t="s">
        <v>3102</v>
      </c>
      <c r="J3531" t="s">
        <v>5330</v>
      </c>
      <c r="K3531" s="9">
        <v>44834</v>
      </c>
      <c r="L3531" t="s">
        <v>29</v>
      </c>
      <c r="M3531"/>
      <c r="N3531" s="9">
        <v>44778</v>
      </c>
      <c r="O3531" s="9">
        <v>44834</v>
      </c>
      <c r="P3531"/>
      <c r="Q3531"/>
      <c r="R3531"/>
      <c r="S3531"/>
      <c r="T3531"/>
      <c r="U3531"/>
    </row>
    <row r="3532" spans="1:21" hidden="1">
      <c r="A3532" s="7" t="s">
        <v>8906</v>
      </c>
      <c r="B3532" s="7" t="s">
        <v>6630</v>
      </c>
      <c r="C3532" s="8" t="s">
        <v>5319</v>
      </c>
      <c r="D3532" t="s">
        <v>266</v>
      </c>
      <c r="E3532" t="s">
        <v>3135</v>
      </c>
      <c r="F3532" t="s">
        <v>231</v>
      </c>
      <c r="G3532" t="s">
        <v>3151</v>
      </c>
      <c r="H3532" s="9">
        <v>44733</v>
      </c>
      <c r="I3532" t="s">
        <v>3102</v>
      </c>
      <c r="J3532" t="s">
        <v>5330</v>
      </c>
      <c r="K3532" s="9">
        <v>44834</v>
      </c>
      <c r="L3532" t="s">
        <v>29</v>
      </c>
      <c r="M3532"/>
      <c r="N3532" s="9">
        <v>44778</v>
      </c>
      <c r="O3532" s="9">
        <v>44834</v>
      </c>
      <c r="P3532"/>
      <c r="Q3532"/>
      <c r="R3532"/>
      <c r="S3532"/>
      <c r="T3532"/>
      <c r="U3532"/>
    </row>
    <row r="3533" spans="1:21" hidden="1">
      <c r="A3533" s="7" t="s">
        <v>8906</v>
      </c>
      <c r="B3533" s="7" t="s">
        <v>6630</v>
      </c>
      <c r="C3533" s="8" t="s">
        <v>5319</v>
      </c>
      <c r="D3533" t="s">
        <v>266</v>
      </c>
      <c r="E3533" t="s">
        <v>3135</v>
      </c>
      <c r="F3533" t="s">
        <v>231</v>
      </c>
      <c r="G3533" t="s">
        <v>3152</v>
      </c>
      <c r="H3533" s="9">
        <v>44733</v>
      </c>
      <c r="I3533" t="s">
        <v>3102</v>
      </c>
      <c r="J3533" t="s">
        <v>5330</v>
      </c>
      <c r="K3533" s="9">
        <v>44834</v>
      </c>
      <c r="L3533" t="s">
        <v>29</v>
      </c>
      <c r="M3533"/>
      <c r="N3533" s="9">
        <v>44778</v>
      </c>
      <c r="O3533" s="9">
        <v>44834</v>
      </c>
      <c r="P3533"/>
      <c r="Q3533"/>
      <c r="R3533"/>
      <c r="S3533"/>
      <c r="T3533"/>
      <c r="U3533"/>
    </row>
    <row r="3534" spans="1:21" hidden="1">
      <c r="A3534" s="7" t="s">
        <v>8906</v>
      </c>
      <c r="B3534" s="7" t="s">
        <v>6630</v>
      </c>
      <c r="C3534" s="8" t="s">
        <v>5319</v>
      </c>
      <c r="D3534" t="s">
        <v>266</v>
      </c>
      <c r="E3534" t="s">
        <v>3135</v>
      </c>
      <c r="F3534" t="s">
        <v>231</v>
      </c>
      <c r="G3534" t="s">
        <v>3153</v>
      </c>
      <c r="H3534" s="9">
        <v>44733</v>
      </c>
      <c r="I3534" t="s">
        <v>3102</v>
      </c>
      <c r="J3534" t="s">
        <v>5330</v>
      </c>
      <c r="K3534" s="9">
        <v>44834</v>
      </c>
      <c r="L3534" t="s">
        <v>29</v>
      </c>
      <c r="M3534"/>
      <c r="N3534" s="9">
        <v>44778</v>
      </c>
      <c r="O3534" s="9">
        <v>44834</v>
      </c>
      <c r="P3534"/>
      <c r="Q3534"/>
      <c r="R3534"/>
      <c r="S3534"/>
      <c r="T3534"/>
      <c r="U3534"/>
    </row>
    <row r="3535" spans="1:21" hidden="1">
      <c r="A3535" s="7" t="s">
        <v>8906</v>
      </c>
      <c r="B3535" s="7" t="s">
        <v>6630</v>
      </c>
      <c r="C3535" s="8" t="s">
        <v>5319</v>
      </c>
      <c r="D3535" t="s">
        <v>266</v>
      </c>
      <c r="E3535" t="s">
        <v>3135</v>
      </c>
      <c r="F3535" t="s">
        <v>231</v>
      </c>
      <c r="G3535" t="s">
        <v>3154</v>
      </c>
      <c r="H3535" s="9">
        <v>44733</v>
      </c>
      <c r="I3535" t="s">
        <v>3102</v>
      </c>
      <c r="J3535" t="s">
        <v>5330</v>
      </c>
      <c r="K3535" s="9">
        <v>44834</v>
      </c>
      <c r="L3535" t="s">
        <v>29</v>
      </c>
      <c r="M3535"/>
      <c r="N3535" s="9">
        <v>44778</v>
      </c>
      <c r="O3535" s="9">
        <v>44834</v>
      </c>
      <c r="P3535"/>
      <c r="Q3535"/>
      <c r="R3535"/>
      <c r="S3535"/>
      <c r="T3535"/>
      <c r="U3535"/>
    </row>
    <row r="3536" spans="1:21" hidden="1">
      <c r="A3536" s="7" t="s">
        <v>8906</v>
      </c>
      <c r="B3536" s="7" t="s">
        <v>6630</v>
      </c>
      <c r="C3536" s="8" t="s">
        <v>5319</v>
      </c>
      <c r="D3536" t="s">
        <v>266</v>
      </c>
      <c r="E3536" t="s">
        <v>3135</v>
      </c>
      <c r="F3536" t="s">
        <v>231</v>
      </c>
      <c r="G3536" t="s">
        <v>3155</v>
      </c>
      <c r="H3536" s="9">
        <v>44733</v>
      </c>
      <c r="I3536" t="s">
        <v>3102</v>
      </c>
      <c r="J3536" t="s">
        <v>5330</v>
      </c>
      <c r="K3536" s="9">
        <v>44834</v>
      </c>
      <c r="L3536" t="s">
        <v>29</v>
      </c>
      <c r="M3536"/>
      <c r="N3536" s="9">
        <v>44778</v>
      </c>
      <c r="O3536" s="9">
        <v>44834</v>
      </c>
      <c r="P3536"/>
      <c r="Q3536"/>
      <c r="R3536"/>
      <c r="S3536"/>
      <c r="T3536"/>
      <c r="U3536"/>
    </row>
    <row r="3537" spans="1:21" hidden="1">
      <c r="A3537" s="7" t="s">
        <v>8906</v>
      </c>
      <c r="B3537" s="7" t="s">
        <v>6630</v>
      </c>
      <c r="C3537" s="8" t="s">
        <v>5319</v>
      </c>
      <c r="D3537" t="s">
        <v>266</v>
      </c>
      <c r="E3537" t="s">
        <v>3135</v>
      </c>
      <c r="F3537" t="s">
        <v>231</v>
      </c>
      <c r="G3537" t="s">
        <v>3156</v>
      </c>
      <c r="H3537" s="9">
        <v>44733</v>
      </c>
      <c r="I3537" t="s">
        <v>3102</v>
      </c>
      <c r="J3537" t="s">
        <v>5330</v>
      </c>
      <c r="K3537" s="9">
        <v>44834</v>
      </c>
      <c r="L3537" t="s">
        <v>29</v>
      </c>
      <c r="M3537"/>
      <c r="N3537" s="9">
        <v>44778</v>
      </c>
      <c r="O3537" s="9">
        <v>44834</v>
      </c>
      <c r="P3537"/>
      <c r="Q3537"/>
      <c r="R3537"/>
      <c r="S3537"/>
      <c r="T3537"/>
      <c r="U3537"/>
    </row>
    <row r="3538" spans="1:21" hidden="1">
      <c r="A3538" s="7" t="s">
        <v>8906</v>
      </c>
      <c r="B3538" s="7" t="s">
        <v>6630</v>
      </c>
      <c r="C3538" s="8" t="s">
        <v>5319</v>
      </c>
      <c r="D3538" t="s">
        <v>266</v>
      </c>
      <c r="E3538" t="s">
        <v>3135</v>
      </c>
      <c r="F3538" t="s">
        <v>231</v>
      </c>
      <c r="G3538" t="s">
        <v>3157</v>
      </c>
      <c r="H3538" s="9">
        <v>44733</v>
      </c>
      <c r="I3538" t="s">
        <v>3102</v>
      </c>
      <c r="J3538" t="s">
        <v>5330</v>
      </c>
      <c r="K3538" s="9">
        <v>44834</v>
      </c>
      <c r="L3538" t="s">
        <v>29</v>
      </c>
      <c r="M3538"/>
      <c r="N3538" s="9">
        <v>44778</v>
      </c>
      <c r="O3538" s="9">
        <v>44834</v>
      </c>
      <c r="P3538"/>
      <c r="Q3538"/>
      <c r="R3538"/>
      <c r="S3538"/>
      <c r="T3538"/>
      <c r="U3538"/>
    </row>
    <row r="3539" spans="1:21" hidden="1">
      <c r="A3539" s="7" t="s">
        <v>8906</v>
      </c>
      <c r="B3539" s="7" t="s">
        <v>6630</v>
      </c>
      <c r="C3539" s="8" t="s">
        <v>5319</v>
      </c>
      <c r="D3539" t="s">
        <v>266</v>
      </c>
      <c r="E3539" t="s">
        <v>3135</v>
      </c>
      <c r="F3539" t="s">
        <v>231</v>
      </c>
      <c r="G3539" t="s">
        <v>3158</v>
      </c>
      <c r="H3539" s="9">
        <v>44733</v>
      </c>
      <c r="I3539" t="s">
        <v>3102</v>
      </c>
      <c r="J3539" t="s">
        <v>5330</v>
      </c>
      <c r="K3539" s="9">
        <v>44834</v>
      </c>
      <c r="L3539" t="s">
        <v>29</v>
      </c>
      <c r="M3539"/>
      <c r="N3539" s="9">
        <v>44778</v>
      </c>
      <c r="O3539" s="9">
        <v>44834</v>
      </c>
      <c r="P3539"/>
      <c r="Q3539"/>
      <c r="R3539"/>
      <c r="S3539"/>
      <c r="T3539"/>
      <c r="U3539"/>
    </row>
    <row r="3540" spans="1:21" hidden="1">
      <c r="A3540" s="7" t="s">
        <v>8906</v>
      </c>
      <c r="B3540" s="7" t="s">
        <v>6630</v>
      </c>
      <c r="C3540" s="8" t="s">
        <v>5319</v>
      </c>
      <c r="D3540" t="s">
        <v>266</v>
      </c>
      <c r="E3540" t="s">
        <v>3135</v>
      </c>
      <c r="F3540" t="s">
        <v>231</v>
      </c>
      <c r="G3540" t="s">
        <v>3159</v>
      </c>
      <c r="H3540" s="9">
        <v>44733</v>
      </c>
      <c r="I3540" t="s">
        <v>3102</v>
      </c>
      <c r="J3540" t="s">
        <v>5330</v>
      </c>
      <c r="K3540" s="9">
        <v>44834</v>
      </c>
      <c r="L3540" t="s">
        <v>29</v>
      </c>
      <c r="M3540"/>
      <c r="N3540" s="9">
        <v>44778</v>
      </c>
      <c r="O3540" s="9">
        <v>44834</v>
      </c>
      <c r="P3540"/>
      <c r="Q3540"/>
      <c r="R3540"/>
      <c r="S3540"/>
      <c r="T3540"/>
      <c r="U3540"/>
    </row>
    <row r="3541" spans="1:21" hidden="1">
      <c r="A3541" s="7" t="s">
        <v>8906</v>
      </c>
      <c r="B3541" s="7" t="s">
        <v>6630</v>
      </c>
      <c r="C3541" s="8" t="s">
        <v>5319</v>
      </c>
      <c r="D3541" t="s">
        <v>266</v>
      </c>
      <c r="E3541" t="s">
        <v>3135</v>
      </c>
      <c r="F3541" t="s">
        <v>231</v>
      </c>
      <c r="G3541" t="s">
        <v>3160</v>
      </c>
      <c r="H3541" s="9">
        <v>44733</v>
      </c>
      <c r="I3541" t="s">
        <v>3102</v>
      </c>
      <c r="J3541" t="s">
        <v>5330</v>
      </c>
      <c r="K3541" s="9">
        <v>44834</v>
      </c>
      <c r="L3541" t="s">
        <v>29</v>
      </c>
      <c r="M3541"/>
      <c r="N3541" s="9">
        <v>44778</v>
      </c>
      <c r="O3541" s="9">
        <v>44834</v>
      </c>
      <c r="P3541"/>
      <c r="Q3541"/>
      <c r="R3541"/>
      <c r="S3541"/>
      <c r="T3541"/>
      <c r="U3541"/>
    </row>
    <row r="3542" spans="1:21" hidden="1">
      <c r="A3542" s="7" t="s">
        <v>8906</v>
      </c>
      <c r="B3542" s="7" t="s">
        <v>6630</v>
      </c>
      <c r="C3542" s="8" t="s">
        <v>5319</v>
      </c>
      <c r="D3542" t="s">
        <v>266</v>
      </c>
      <c r="E3542" t="s">
        <v>3135</v>
      </c>
      <c r="F3542" t="s">
        <v>231</v>
      </c>
      <c r="G3542" t="s">
        <v>3161</v>
      </c>
      <c r="H3542" s="9">
        <v>44733</v>
      </c>
      <c r="I3542" t="s">
        <v>3102</v>
      </c>
      <c r="J3542" t="s">
        <v>5330</v>
      </c>
      <c r="K3542" s="9">
        <v>44834</v>
      </c>
      <c r="L3542" t="s">
        <v>29</v>
      </c>
      <c r="M3542"/>
      <c r="N3542" s="9">
        <v>44778</v>
      </c>
      <c r="O3542" s="9">
        <v>44834</v>
      </c>
      <c r="P3542"/>
      <c r="Q3542"/>
      <c r="R3542"/>
      <c r="S3542"/>
      <c r="T3542"/>
      <c r="U3542"/>
    </row>
    <row r="3543" spans="1:21" hidden="1">
      <c r="A3543" s="7" t="s">
        <v>8906</v>
      </c>
      <c r="B3543" s="7" t="s">
        <v>6630</v>
      </c>
      <c r="C3543" s="8" t="s">
        <v>5319</v>
      </c>
      <c r="D3543" t="s">
        <v>266</v>
      </c>
      <c r="E3543" t="s">
        <v>3135</v>
      </c>
      <c r="F3543" t="s">
        <v>231</v>
      </c>
      <c r="G3543" t="s">
        <v>3162</v>
      </c>
      <c r="H3543" s="9">
        <v>44733</v>
      </c>
      <c r="I3543" t="s">
        <v>3102</v>
      </c>
      <c r="J3543" t="s">
        <v>5330</v>
      </c>
      <c r="K3543" s="9">
        <v>44834</v>
      </c>
      <c r="L3543" t="s">
        <v>29</v>
      </c>
      <c r="M3543"/>
      <c r="N3543" s="9">
        <v>44778</v>
      </c>
      <c r="O3543" s="9">
        <v>44834</v>
      </c>
      <c r="P3543"/>
      <c r="Q3543"/>
      <c r="R3543"/>
      <c r="S3543"/>
      <c r="T3543"/>
      <c r="U3543"/>
    </row>
    <row r="3544" spans="1:21" hidden="1">
      <c r="A3544" s="7" t="s">
        <v>8906</v>
      </c>
      <c r="B3544" s="7" t="s">
        <v>6630</v>
      </c>
      <c r="C3544" s="8" t="s">
        <v>5319</v>
      </c>
      <c r="D3544" t="s">
        <v>266</v>
      </c>
      <c r="E3544" t="s">
        <v>3135</v>
      </c>
      <c r="F3544" t="s">
        <v>231</v>
      </c>
      <c r="G3544" t="s">
        <v>3163</v>
      </c>
      <c r="H3544" s="9">
        <v>44733</v>
      </c>
      <c r="I3544" t="s">
        <v>3102</v>
      </c>
      <c r="J3544" t="s">
        <v>5330</v>
      </c>
      <c r="K3544" s="9">
        <v>44834</v>
      </c>
      <c r="L3544" t="s">
        <v>29</v>
      </c>
      <c r="M3544"/>
      <c r="N3544" s="9">
        <v>44778</v>
      </c>
      <c r="O3544" s="9">
        <v>44834</v>
      </c>
      <c r="P3544"/>
      <c r="Q3544"/>
      <c r="R3544"/>
      <c r="S3544"/>
      <c r="T3544"/>
      <c r="U3544"/>
    </row>
    <row r="3545" spans="1:21" hidden="1">
      <c r="A3545" s="7" t="s">
        <v>8906</v>
      </c>
      <c r="B3545" s="7" t="s">
        <v>6630</v>
      </c>
      <c r="C3545" s="8" t="s">
        <v>5319</v>
      </c>
      <c r="D3545" t="s">
        <v>266</v>
      </c>
      <c r="E3545" t="s">
        <v>3135</v>
      </c>
      <c r="F3545" t="s">
        <v>231</v>
      </c>
      <c r="G3545" t="s">
        <v>3164</v>
      </c>
      <c r="H3545" s="9">
        <v>44733</v>
      </c>
      <c r="I3545" t="s">
        <v>3102</v>
      </c>
      <c r="J3545" t="s">
        <v>5330</v>
      </c>
      <c r="K3545" s="9">
        <v>44834</v>
      </c>
      <c r="L3545" t="s">
        <v>29</v>
      </c>
      <c r="M3545"/>
      <c r="N3545" s="9">
        <v>44778</v>
      </c>
      <c r="O3545" s="9">
        <v>44834</v>
      </c>
      <c r="P3545"/>
      <c r="Q3545"/>
      <c r="R3545"/>
      <c r="S3545"/>
      <c r="T3545"/>
      <c r="U3545"/>
    </row>
    <row r="3546" spans="1:21" hidden="1">
      <c r="A3546" s="7" t="s">
        <v>8906</v>
      </c>
      <c r="B3546" s="7" t="s">
        <v>6630</v>
      </c>
      <c r="C3546" s="8" t="s">
        <v>5319</v>
      </c>
      <c r="D3546" t="s">
        <v>266</v>
      </c>
      <c r="E3546" t="s">
        <v>3135</v>
      </c>
      <c r="F3546" t="s">
        <v>231</v>
      </c>
      <c r="G3546" t="s">
        <v>3165</v>
      </c>
      <c r="H3546" s="9">
        <v>44733</v>
      </c>
      <c r="I3546" t="s">
        <v>3102</v>
      </c>
      <c r="J3546" t="s">
        <v>5330</v>
      </c>
      <c r="K3546" s="9">
        <v>44834</v>
      </c>
      <c r="L3546" t="s">
        <v>29</v>
      </c>
      <c r="M3546"/>
      <c r="N3546" s="9">
        <v>44778</v>
      </c>
      <c r="O3546" s="9">
        <v>44834</v>
      </c>
      <c r="P3546"/>
      <c r="Q3546"/>
      <c r="R3546"/>
      <c r="S3546"/>
      <c r="T3546"/>
      <c r="U3546"/>
    </row>
    <row r="3547" spans="1:21" hidden="1">
      <c r="A3547" s="7" t="s">
        <v>8906</v>
      </c>
      <c r="B3547" s="7" t="s">
        <v>6630</v>
      </c>
      <c r="C3547" s="8" t="s">
        <v>5319</v>
      </c>
      <c r="D3547" t="s">
        <v>266</v>
      </c>
      <c r="E3547" t="s">
        <v>3135</v>
      </c>
      <c r="F3547" t="s">
        <v>231</v>
      </c>
      <c r="G3547" t="s">
        <v>3166</v>
      </c>
      <c r="H3547" s="9">
        <v>44733</v>
      </c>
      <c r="I3547" t="s">
        <v>3102</v>
      </c>
      <c r="J3547" t="s">
        <v>5330</v>
      </c>
      <c r="K3547" s="9">
        <v>44834</v>
      </c>
      <c r="L3547" t="s">
        <v>29</v>
      </c>
      <c r="M3547"/>
      <c r="N3547" s="9">
        <v>44778</v>
      </c>
      <c r="O3547" s="9">
        <v>44834</v>
      </c>
      <c r="P3547"/>
      <c r="Q3547"/>
      <c r="R3547"/>
      <c r="S3547"/>
      <c r="T3547"/>
      <c r="U3547"/>
    </row>
    <row r="3548" spans="1:21" hidden="1">
      <c r="A3548" s="7" t="s">
        <v>8906</v>
      </c>
      <c r="B3548" s="7" t="s">
        <v>6630</v>
      </c>
      <c r="C3548" s="8" t="s">
        <v>5319</v>
      </c>
      <c r="D3548" t="s">
        <v>266</v>
      </c>
      <c r="E3548" t="s">
        <v>3135</v>
      </c>
      <c r="F3548" t="s">
        <v>231</v>
      </c>
      <c r="G3548" t="s">
        <v>3167</v>
      </c>
      <c r="H3548" s="9">
        <v>44733</v>
      </c>
      <c r="I3548" t="s">
        <v>3102</v>
      </c>
      <c r="J3548" t="s">
        <v>5330</v>
      </c>
      <c r="K3548" s="9">
        <v>44834</v>
      </c>
      <c r="L3548" t="s">
        <v>29</v>
      </c>
      <c r="M3548"/>
      <c r="N3548" s="9">
        <v>44778</v>
      </c>
      <c r="O3548" s="9">
        <v>44834</v>
      </c>
      <c r="P3548"/>
      <c r="Q3548"/>
      <c r="R3548"/>
      <c r="S3548"/>
      <c r="T3548"/>
      <c r="U3548"/>
    </row>
    <row r="3549" spans="1:21" hidden="1">
      <c r="A3549" s="7" t="s">
        <v>8907</v>
      </c>
      <c r="B3549" s="7" t="s">
        <v>6630</v>
      </c>
      <c r="C3549" s="8" t="s">
        <v>5319</v>
      </c>
      <c r="D3549" t="s">
        <v>266</v>
      </c>
      <c r="E3549" t="s">
        <v>3135</v>
      </c>
      <c r="F3549" t="s">
        <v>75</v>
      </c>
      <c r="G3549" t="s">
        <v>3167</v>
      </c>
      <c r="H3549" s="9">
        <v>44733</v>
      </c>
      <c r="I3549" t="s">
        <v>3168</v>
      </c>
      <c r="J3549" t="s">
        <v>0</v>
      </c>
      <c r="K3549" s="9">
        <v>44802</v>
      </c>
      <c r="L3549" t="s">
        <v>29</v>
      </c>
      <c r="M3549"/>
      <c r="N3549" s="9">
        <v>44778</v>
      </c>
      <c r="O3549"/>
      <c r="P3549"/>
      <c r="Q3549" s="9">
        <v>44802</v>
      </c>
      <c r="R3549"/>
      <c r="S3549"/>
      <c r="T3549"/>
      <c r="U3549"/>
    </row>
    <row r="3550" spans="1:21" hidden="1">
      <c r="A3550" s="7" t="s">
        <v>8906</v>
      </c>
      <c r="B3550" s="7" t="s">
        <v>6630</v>
      </c>
      <c r="C3550" s="8" t="s">
        <v>5319</v>
      </c>
      <c r="D3550" t="s">
        <v>266</v>
      </c>
      <c r="E3550" t="s">
        <v>3135</v>
      </c>
      <c r="F3550" t="s">
        <v>231</v>
      </c>
      <c r="G3550" t="s">
        <v>3169</v>
      </c>
      <c r="H3550" s="9">
        <v>44733</v>
      </c>
      <c r="I3550" t="s">
        <v>3102</v>
      </c>
      <c r="J3550" t="s">
        <v>5330</v>
      </c>
      <c r="K3550" s="9">
        <v>44834</v>
      </c>
      <c r="L3550" t="s">
        <v>29</v>
      </c>
      <c r="M3550"/>
      <c r="N3550" s="9">
        <v>44778</v>
      </c>
      <c r="O3550" s="9">
        <v>44834</v>
      </c>
      <c r="P3550"/>
      <c r="Q3550"/>
      <c r="R3550"/>
      <c r="S3550"/>
      <c r="T3550"/>
      <c r="U3550"/>
    </row>
    <row r="3551" spans="1:21" hidden="1">
      <c r="A3551" s="7" t="s">
        <v>8906</v>
      </c>
      <c r="B3551" s="7" t="s">
        <v>6630</v>
      </c>
      <c r="C3551" s="8" t="s">
        <v>5319</v>
      </c>
      <c r="D3551" t="s">
        <v>266</v>
      </c>
      <c r="E3551" t="s">
        <v>3135</v>
      </c>
      <c r="F3551" t="s">
        <v>231</v>
      </c>
      <c r="G3551" t="s">
        <v>3170</v>
      </c>
      <c r="H3551" s="9">
        <v>44733</v>
      </c>
      <c r="I3551" t="s">
        <v>3102</v>
      </c>
      <c r="J3551" t="s">
        <v>5330</v>
      </c>
      <c r="K3551" s="9">
        <v>44834</v>
      </c>
      <c r="L3551" t="s">
        <v>29</v>
      </c>
      <c r="M3551"/>
      <c r="N3551" s="9">
        <v>44778</v>
      </c>
      <c r="O3551" s="9">
        <v>44834</v>
      </c>
      <c r="P3551"/>
      <c r="Q3551"/>
      <c r="R3551"/>
      <c r="S3551"/>
      <c r="T3551"/>
      <c r="U3551"/>
    </row>
    <row r="3552" spans="1:21" hidden="1">
      <c r="A3552" s="7" t="s">
        <v>8906</v>
      </c>
      <c r="B3552" s="7" t="s">
        <v>6630</v>
      </c>
      <c r="C3552" s="8" t="s">
        <v>5319</v>
      </c>
      <c r="D3552" t="s">
        <v>266</v>
      </c>
      <c r="E3552" t="s">
        <v>3135</v>
      </c>
      <c r="F3552" t="s">
        <v>231</v>
      </c>
      <c r="G3552" t="s">
        <v>3171</v>
      </c>
      <c r="H3552" s="9">
        <v>44733</v>
      </c>
      <c r="I3552" t="s">
        <v>3102</v>
      </c>
      <c r="J3552" t="s">
        <v>5330</v>
      </c>
      <c r="K3552" s="9">
        <v>44834</v>
      </c>
      <c r="L3552" t="s">
        <v>29</v>
      </c>
      <c r="M3552"/>
      <c r="N3552" s="9">
        <v>44778</v>
      </c>
      <c r="O3552" s="9">
        <v>44834</v>
      </c>
      <c r="P3552"/>
      <c r="Q3552"/>
      <c r="R3552"/>
      <c r="S3552"/>
      <c r="T3552"/>
      <c r="U3552"/>
    </row>
    <row r="3553" spans="1:21" hidden="1">
      <c r="A3553" s="7" t="s">
        <v>8906</v>
      </c>
      <c r="B3553" s="7" t="s">
        <v>6630</v>
      </c>
      <c r="C3553" s="8" t="s">
        <v>5319</v>
      </c>
      <c r="D3553" t="s">
        <v>266</v>
      </c>
      <c r="E3553" t="s">
        <v>3135</v>
      </c>
      <c r="F3553" t="s">
        <v>231</v>
      </c>
      <c r="G3553" t="s">
        <v>3172</v>
      </c>
      <c r="H3553" s="9">
        <v>44733</v>
      </c>
      <c r="I3553" t="s">
        <v>3102</v>
      </c>
      <c r="J3553" t="s">
        <v>5330</v>
      </c>
      <c r="K3553" s="9">
        <v>44834</v>
      </c>
      <c r="L3553" t="s">
        <v>29</v>
      </c>
      <c r="M3553"/>
      <c r="N3553" s="9">
        <v>44778</v>
      </c>
      <c r="O3553" s="9">
        <v>44834</v>
      </c>
      <c r="P3553"/>
      <c r="Q3553"/>
      <c r="R3553"/>
      <c r="S3553"/>
      <c r="T3553"/>
      <c r="U3553"/>
    </row>
    <row r="3554" spans="1:21" hidden="1">
      <c r="A3554" s="7" t="s">
        <v>8906</v>
      </c>
      <c r="B3554" s="7" t="s">
        <v>6630</v>
      </c>
      <c r="C3554" s="8" t="s">
        <v>5319</v>
      </c>
      <c r="D3554" t="s">
        <v>266</v>
      </c>
      <c r="E3554" t="s">
        <v>3135</v>
      </c>
      <c r="F3554" t="s">
        <v>231</v>
      </c>
      <c r="G3554" t="s">
        <v>3173</v>
      </c>
      <c r="H3554" s="9">
        <v>44733</v>
      </c>
      <c r="I3554" t="s">
        <v>3102</v>
      </c>
      <c r="J3554" t="s">
        <v>5330</v>
      </c>
      <c r="K3554" s="9">
        <v>44834</v>
      </c>
      <c r="L3554" t="s">
        <v>29</v>
      </c>
      <c r="M3554"/>
      <c r="N3554" s="9">
        <v>44778</v>
      </c>
      <c r="O3554" s="9">
        <v>44834</v>
      </c>
      <c r="P3554"/>
      <c r="Q3554"/>
      <c r="R3554"/>
      <c r="S3554"/>
      <c r="T3554"/>
      <c r="U3554"/>
    </row>
    <row r="3555" spans="1:21" hidden="1">
      <c r="A3555" s="7" t="s">
        <v>8906</v>
      </c>
      <c r="B3555" s="7" t="s">
        <v>6630</v>
      </c>
      <c r="C3555" s="8" t="s">
        <v>5319</v>
      </c>
      <c r="D3555" t="s">
        <v>266</v>
      </c>
      <c r="E3555" t="s">
        <v>3135</v>
      </c>
      <c r="F3555" t="s">
        <v>231</v>
      </c>
      <c r="G3555" t="s">
        <v>3174</v>
      </c>
      <c r="H3555" s="9">
        <v>44733</v>
      </c>
      <c r="I3555" t="s">
        <v>3102</v>
      </c>
      <c r="J3555" t="s">
        <v>5330</v>
      </c>
      <c r="K3555" s="9">
        <v>44834</v>
      </c>
      <c r="L3555" t="s">
        <v>29</v>
      </c>
      <c r="M3555"/>
      <c r="N3555" s="9">
        <v>44778</v>
      </c>
      <c r="O3555" s="9">
        <v>44834</v>
      </c>
      <c r="P3555"/>
      <c r="Q3555"/>
      <c r="R3555"/>
      <c r="S3555"/>
      <c r="T3555"/>
      <c r="U3555"/>
    </row>
    <row r="3556" spans="1:21" hidden="1">
      <c r="A3556" s="7" t="s">
        <v>8906</v>
      </c>
      <c r="B3556" s="7" t="s">
        <v>6630</v>
      </c>
      <c r="C3556" s="8" t="s">
        <v>5319</v>
      </c>
      <c r="D3556" t="s">
        <v>266</v>
      </c>
      <c r="E3556" t="s">
        <v>3135</v>
      </c>
      <c r="F3556" t="s">
        <v>231</v>
      </c>
      <c r="G3556" t="s">
        <v>3175</v>
      </c>
      <c r="H3556" s="9">
        <v>44733</v>
      </c>
      <c r="I3556" t="s">
        <v>3102</v>
      </c>
      <c r="J3556" t="s">
        <v>5330</v>
      </c>
      <c r="K3556" s="9">
        <v>44834</v>
      </c>
      <c r="L3556" t="s">
        <v>29</v>
      </c>
      <c r="M3556"/>
      <c r="N3556" s="9">
        <v>44778</v>
      </c>
      <c r="O3556" s="9">
        <v>44834</v>
      </c>
      <c r="P3556"/>
      <c r="Q3556"/>
      <c r="R3556"/>
      <c r="S3556"/>
      <c r="T3556"/>
      <c r="U3556"/>
    </row>
    <row r="3557" spans="1:21" hidden="1">
      <c r="A3557" s="7" t="s">
        <v>8906</v>
      </c>
      <c r="B3557" s="7" t="s">
        <v>6630</v>
      </c>
      <c r="C3557" s="8" t="s">
        <v>5319</v>
      </c>
      <c r="D3557" t="s">
        <v>266</v>
      </c>
      <c r="E3557" t="s">
        <v>3135</v>
      </c>
      <c r="F3557" t="s">
        <v>231</v>
      </c>
      <c r="G3557" t="s">
        <v>3176</v>
      </c>
      <c r="H3557" s="9">
        <v>44733</v>
      </c>
      <c r="I3557" t="s">
        <v>3102</v>
      </c>
      <c r="J3557" t="s">
        <v>5330</v>
      </c>
      <c r="K3557" s="9">
        <v>44834</v>
      </c>
      <c r="L3557" t="s">
        <v>29</v>
      </c>
      <c r="M3557"/>
      <c r="N3557" s="9">
        <v>44778</v>
      </c>
      <c r="O3557" s="9">
        <v>44834</v>
      </c>
      <c r="P3557"/>
      <c r="Q3557"/>
      <c r="R3557"/>
      <c r="S3557"/>
      <c r="T3557"/>
      <c r="U3557"/>
    </row>
    <row r="3558" spans="1:21" hidden="1">
      <c r="A3558" s="7" t="s">
        <v>8906</v>
      </c>
      <c r="B3558" s="7" t="s">
        <v>6630</v>
      </c>
      <c r="C3558" s="8" t="s">
        <v>5319</v>
      </c>
      <c r="D3558" t="s">
        <v>266</v>
      </c>
      <c r="E3558" t="s">
        <v>3135</v>
      </c>
      <c r="F3558" t="s">
        <v>231</v>
      </c>
      <c r="G3558" t="s">
        <v>3177</v>
      </c>
      <c r="H3558" s="9">
        <v>44733</v>
      </c>
      <c r="I3558" t="s">
        <v>3102</v>
      </c>
      <c r="J3558" t="s">
        <v>5330</v>
      </c>
      <c r="K3558" s="9">
        <v>44834</v>
      </c>
      <c r="L3558" t="s">
        <v>29</v>
      </c>
      <c r="M3558"/>
      <c r="N3558" s="9">
        <v>44778</v>
      </c>
      <c r="O3558" s="9">
        <v>44834</v>
      </c>
      <c r="P3558"/>
      <c r="Q3558"/>
      <c r="R3558"/>
      <c r="S3558"/>
      <c r="T3558"/>
      <c r="U3558"/>
    </row>
    <row r="3559" spans="1:21" hidden="1">
      <c r="A3559" s="7" t="s">
        <v>8902</v>
      </c>
      <c r="B3559" s="7" t="s">
        <v>6805</v>
      </c>
      <c r="C3559" s="8" t="s">
        <v>5319</v>
      </c>
      <c r="D3559" t="s">
        <v>266</v>
      </c>
      <c r="E3559" t="s">
        <v>2175</v>
      </c>
      <c r="F3559" t="s">
        <v>117</v>
      </c>
      <c r="G3559" t="s">
        <v>3178</v>
      </c>
      <c r="H3559" s="9">
        <v>44733</v>
      </c>
      <c r="I3559" t="s">
        <v>488</v>
      </c>
      <c r="J3559" t="s">
        <v>5330</v>
      </c>
      <c r="K3559" s="9">
        <v>44834</v>
      </c>
      <c r="L3559" t="s">
        <v>29</v>
      </c>
      <c r="M3559"/>
      <c r="N3559" s="9">
        <v>44778</v>
      </c>
      <c r="O3559" s="9">
        <v>44834</v>
      </c>
      <c r="P3559"/>
      <c r="Q3559"/>
      <c r="R3559"/>
      <c r="S3559"/>
      <c r="T3559"/>
      <c r="U3559"/>
    </row>
    <row r="3560" spans="1:21" hidden="1">
      <c r="A3560" s="7" t="s">
        <v>8849</v>
      </c>
      <c r="B3560" s="7" t="s">
        <v>6805</v>
      </c>
      <c r="C3560" s="8" t="s">
        <v>5319</v>
      </c>
      <c r="D3560" t="s">
        <v>266</v>
      </c>
      <c r="E3560" t="s">
        <v>2175</v>
      </c>
      <c r="F3560" t="s">
        <v>75</v>
      </c>
      <c r="G3560" t="s">
        <v>3178</v>
      </c>
      <c r="H3560" s="9">
        <v>44733</v>
      </c>
      <c r="I3560" t="s">
        <v>488</v>
      </c>
      <c r="J3560" t="s">
        <v>5330</v>
      </c>
      <c r="K3560" s="9">
        <v>44834</v>
      </c>
      <c r="L3560" t="s">
        <v>29</v>
      </c>
      <c r="M3560"/>
      <c r="N3560" s="9">
        <v>44778</v>
      </c>
      <c r="O3560" s="9">
        <v>44834</v>
      </c>
      <c r="P3560"/>
      <c r="Q3560"/>
      <c r="R3560"/>
      <c r="S3560"/>
      <c r="T3560"/>
      <c r="U3560"/>
    </row>
    <row r="3561" spans="1:21" hidden="1">
      <c r="A3561" s="7" t="s">
        <v>8908</v>
      </c>
      <c r="B3561" s="7" t="s">
        <v>6755</v>
      </c>
      <c r="C3561" s="8" t="s">
        <v>5319</v>
      </c>
      <c r="D3561" t="s">
        <v>266</v>
      </c>
      <c r="E3561" t="s">
        <v>3179</v>
      </c>
      <c r="F3561" t="s">
        <v>117</v>
      </c>
      <c r="G3561" t="s">
        <v>3180</v>
      </c>
      <c r="H3561" s="9">
        <v>44733</v>
      </c>
      <c r="I3561" t="s">
        <v>3102</v>
      </c>
      <c r="J3561" t="s">
        <v>5330</v>
      </c>
      <c r="K3561" s="9">
        <v>44834</v>
      </c>
      <c r="L3561" t="s">
        <v>29</v>
      </c>
      <c r="M3561"/>
      <c r="N3561" s="9">
        <v>44778</v>
      </c>
      <c r="O3561" s="9">
        <v>44834</v>
      </c>
      <c r="P3561"/>
      <c r="Q3561"/>
      <c r="R3561"/>
      <c r="S3561"/>
      <c r="T3561"/>
      <c r="U3561"/>
    </row>
    <row r="3562" spans="1:21" hidden="1">
      <c r="A3562" s="7" t="s">
        <v>8908</v>
      </c>
      <c r="B3562" s="7" t="s">
        <v>6755</v>
      </c>
      <c r="C3562" s="8" t="s">
        <v>5319</v>
      </c>
      <c r="D3562" t="s">
        <v>266</v>
      </c>
      <c r="E3562" t="s">
        <v>3179</v>
      </c>
      <c r="F3562" t="s">
        <v>117</v>
      </c>
      <c r="G3562" t="s">
        <v>3181</v>
      </c>
      <c r="H3562" s="9">
        <v>44733</v>
      </c>
      <c r="I3562" t="s">
        <v>3102</v>
      </c>
      <c r="J3562" t="s">
        <v>5330</v>
      </c>
      <c r="K3562" s="9">
        <v>44834</v>
      </c>
      <c r="L3562" t="s">
        <v>29</v>
      </c>
      <c r="M3562"/>
      <c r="N3562" s="9">
        <v>44778</v>
      </c>
      <c r="O3562" s="9">
        <v>44834</v>
      </c>
      <c r="P3562"/>
      <c r="Q3562"/>
      <c r="R3562"/>
      <c r="S3562"/>
      <c r="T3562"/>
      <c r="U3562"/>
    </row>
    <row r="3563" spans="1:21" hidden="1">
      <c r="A3563" s="7" t="s">
        <v>8908</v>
      </c>
      <c r="B3563" s="7" t="s">
        <v>6755</v>
      </c>
      <c r="C3563" s="8" t="s">
        <v>5319</v>
      </c>
      <c r="D3563" t="s">
        <v>266</v>
      </c>
      <c r="E3563" t="s">
        <v>3179</v>
      </c>
      <c r="F3563" t="s">
        <v>117</v>
      </c>
      <c r="G3563" t="s">
        <v>3182</v>
      </c>
      <c r="H3563" s="9">
        <v>44733</v>
      </c>
      <c r="I3563" t="s">
        <v>3102</v>
      </c>
      <c r="J3563" t="s">
        <v>5330</v>
      </c>
      <c r="K3563" s="9">
        <v>44834</v>
      </c>
      <c r="L3563" t="s">
        <v>29</v>
      </c>
      <c r="M3563"/>
      <c r="N3563" s="9">
        <v>44778</v>
      </c>
      <c r="O3563" s="9">
        <v>44834</v>
      </c>
      <c r="P3563"/>
      <c r="Q3563"/>
      <c r="R3563"/>
      <c r="S3563"/>
      <c r="T3563"/>
      <c r="U3563"/>
    </row>
    <row r="3564" spans="1:21" hidden="1">
      <c r="A3564" s="7" t="s">
        <v>8908</v>
      </c>
      <c r="B3564" s="7" t="s">
        <v>6755</v>
      </c>
      <c r="C3564" s="8" t="s">
        <v>5319</v>
      </c>
      <c r="D3564" t="s">
        <v>266</v>
      </c>
      <c r="E3564" t="s">
        <v>3179</v>
      </c>
      <c r="F3564" t="s">
        <v>117</v>
      </c>
      <c r="G3564" t="s">
        <v>3183</v>
      </c>
      <c r="H3564" s="9">
        <v>44733</v>
      </c>
      <c r="I3564" t="s">
        <v>3102</v>
      </c>
      <c r="J3564" t="s">
        <v>5330</v>
      </c>
      <c r="K3564" s="9">
        <v>44834</v>
      </c>
      <c r="L3564" t="s">
        <v>29</v>
      </c>
      <c r="M3564"/>
      <c r="N3564" s="9">
        <v>44778</v>
      </c>
      <c r="O3564" s="9">
        <v>44834</v>
      </c>
      <c r="P3564"/>
      <c r="Q3564"/>
      <c r="R3564"/>
      <c r="S3564"/>
      <c r="T3564"/>
      <c r="U3564"/>
    </row>
    <row r="3565" spans="1:21" hidden="1">
      <c r="A3565" s="7" t="s">
        <v>8908</v>
      </c>
      <c r="B3565" s="7" t="s">
        <v>6755</v>
      </c>
      <c r="C3565" s="8" t="s">
        <v>5319</v>
      </c>
      <c r="D3565" t="s">
        <v>266</v>
      </c>
      <c r="E3565" t="s">
        <v>3179</v>
      </c>
      <c r="F3565" t="s">
        <v>117</v>
      </c>
      <c r="G3565" t="s">
        <v>3184</v>
      </c>
      <c r="H3565" s="9">
        <v>44733</v>
      </c>
      <c r="I3565" t="s">
        <v>3102</v>
      </c>
      <c r="J3565" t="s">
        <v>5330</v>
      </c>
      <c r="K3565" s="9">
        <v>44834</v>
      </c>
      <c r="L3565" t="s">
        <v>29</v>
      </c>
      <c r="M3565"/>
      <c r="N3565" s="9">
        <v>44778</v>
      </c>
      <c r="O3565" s="9">
        <v>44834</v>
      </c>
      <c r="P3565"/>
      <c r="Q3565"/>
      <c r="R3565"/>
      <c r="S3565"/>
      <c r="T3565"/>
      <c r="U3565"/>
    </row>
    <row r="3566" spans="1:21" hidden="1">
      <c r="A3566" s="7" t="s">
        <v>8908</v>
      </c>
      <c r="B3566" s="7" t="s">
        <v>6755</v>
      </c>
      <c r="C3566" s="8" t="s">
        <v>5319</v>
      </c>
      <c r="D3566" t="s">
        <v>266</v>
      </c>
      <c r="E3566" t="s">
        <v>3179</v>
      </c>
      <c r="F3566" t="s">
        <v>117</v>
      </c>
      <c r="G3566" t="s">
        <v>3185</v>
      </c>
      <c r="H3566" s="9">
        <v>44733</v>
      </c>
      <c r="I3566" t="s">
        <v>3102</v>
      </c>
      <c r="J3566" t="s">
        <v>5330</v>
      </c>
      <c r="K3566" s="9">
        <v>44834</v>
      </c>
      <c r="L3566" t="s">
        <v>29</v>
      </c>
      <c r="M3566"/>
      <c r="N3566" s="9">
        <v>44778</v>
      </c>
      <c r="O3566" s="9">
        <v>44834</v>
      </c>
      <c r="P3566"/>
      <c r="Q3566"/>
      <c r="R3566"/>
      <c r="S3566"/>
      <c r="T3566"/>
      <c r="U3566"/>
    </row>
    <row r="3567" spans="1:21" hidden="1">
      <c r="A3567" s="7" t="s">
        <v>8908</v>
      </c>
      <c r="B3567" s="7" t="s">
        <v>6755</v>
      </c>
      <c r="C3567" s="8" t="s">
        <v>5319</v>
      </c>
      <c r="D3567" t="s">
        <v>266</v>
      </c>
      <c r="E3567" t="s">
        <v>3179</v>
      </c>
      <c r="F3567" t="s">
        <v>117</v>
      </c>
      <c r="G3567" t="s">
        <v>3186</v>
      </c>
      <c r="H3567" s="9">
        <v>44733</v>
      </c>
      <c r="I3567" t="s">
        <v>3102</v>
      </c>
      <c r="J3567" t="s">
        <v>5330</v>
      </c>
      <c r="K3567" s="9">
        <v>44834</v>
      </c>
      <c r="L3567" t="s">
        <v>29</v>
      </c>
      <c r="M3567"/>
      <c r="N3567" s="9">
        <v>44778</v>
      </c>
      <c r="O3567" s="9">
        <v>44834</v>
      </c>
      <c r="P3567"/>
      <c r="Q3567"/>
      <c r="R3567"/>
      <c r="S3567"/>
      <c r="T3567"/>
      <c r="U3567"/>
    </row>
    <row r="3568" spans="1:21" hidden="1">
      <c r="A3568" s="7" t="s">
        <v>8909</v>
      </c>
      <c r="B3568" s="7" t="s">
        <v>6924</v>
      </c>
      <c r="C3568" s="8" t="s">
        <v>5319</v>
      </c>
      <c r="D3568" t="s">
        <v>266</v>
      </c>
      <c r="E3568" t="s">
        <v>3100</v>
      </c>
      <c r="F3568" t="s">
        <v>111</v>
      </c>
      <c r="G3568" t="s">
        <v>3187</v>
      </c>
      <c r="H3568" s="9">
        <v>44733</v>
      </c>
      <c r="I3568" t="s">
        <v>2715</v>
      </c>
      <c r="J3568" t="s">
        <v>5330</v>
      </c>
      <c r="K3568" s="9">
        <v>44834</v>
      </c>
      <c r="L3568" t="s">
        <v>29</v>
      </c>
      <c r="M3568"/>
      <c r="N3568" s="9">
        <v>44778</v>
      </c>
      <c r="O3568" s="9">
        <v>44834</v>
      </c>
      <c r="P3568"/>
      <c r="Q3568"/>
      <c r="R3568"/>
      <c r="S3568"/>
      <c r="T3568"/>
      <c r="U3568"/>
    </row>
    <row r="3569" spans="1:21" hidden="1">
      <c r="A3569" s="7" t="s">
        <v>8910</v>
      </c>
      <c r="B3569" s="7" t="s">
        <v>8362</v>
      </c>
      <c r="C3569" s="8" t="s">
        <v>5319</v>
      </c>
      <c r="D3569" t="s">
        <v>266</v>
      </c>
      <c r="E3569" t="s">
        <v>3188</v>
      </c>
      <c r="F3569" t="s">
        <v>433</v>
      </c>
      <c r="G3569" t="s">
        <v>3189</v>
      </c>
      <c r="H3569" s="9">
        <v>44735</v>
      </c>
      <c r="I3569" t="s">
        <v>3190</v>
      </c>
      <c r="J3569" t="s">
        <v>5330</v>
      </c>
      <c r="K3569" s="9">
        <v>44834</v>
      </c>
      <c r="L3569" t="s">
        <v>29</v>
      </c>
      <c r="M3569"/>
      <c r="N3569" s="9">
        <v>44778</v>
      </c>
      <c r="O3569" s="9">
        <v>44834</v>
      </c>
      <c r="P3569"/>
      <c r="Q3569"/>
      <c r="R3569"/>
      <c r="S3569"/>
      <c r="T3569"/>
      <c r="U3569"/>
    </row>
    <row r="3570" spans="1:21" hidden="1">
      <c r="A3570" s="7" t="s">
        <v>8899</v>
      </c>
      <c r="B3570" s="7" t="s">
        <v>6913</v>
      </c>
      <c r="C3570" s="8" t="s">
        <v>5319</v>
      </c>
      <c r="D3570" t="s">
        <v>266</v>
      </c>
      <c r="E3570" t="s">
        <v>3088</v>
      </c>
      <c r="F3570" t="s">
        <v>200</v>
      </c>
      <c r="G3570" t="s">
        <v>3191</v>
      </c>
      <c r="H3570" s="9">
        <v>44733</v>
      </c>
      <c r="I3570" t="s">
        <v>77</v>
      </c>
      <c r="J3570" t="s">
        <v>0</v>
      </c>
      <c r="K3570" s="9">
        <v>44802</v>
      </c>
      <c r="L3570" t="s">
        <v>29</v>
      </c>
      <c r="M3570"/>
      <c r="N3570" s="9">
        <v>44778</v>
      </c>
      <c r="O3570"/>
      <c r="P3570"/>
      <c r="Q3570" s="9">
        <v>44802</v>
      </c>
      <c r="R3570"/>
      <c r="S3570"/>
      <c r="T3570"/>
      <c r="U3570"/>
    </row>
    <row r="3571" spans="1:21" hidden="1">
      <c r="A3571" s="7" t="s">
        <v>8898</v>
      </c>
      <c r="B3571" s="7" t="s">
        <v>6096</v>
      </c>
      <c r="C3571" s="8" t="s">
        <v>5319</v>
      </c>
      <c r="D3571" t="s">
        <v>266</v>
      </c>
      <c r="E3571" t="s">
        <v>2125</v>
      </c>
      <c r="F3571" t="s">
        <v>3083</v>
      </c>
      <c r="G3571" t="s">
        <v>3192</v>
      </c>
      <c r="H3571" s="9">
        <v>44733</v>
      </c>
      <c r="I3571" t="s">
        <v>77</v>
      </c>
      <c r="J3571" t="s">
        <v>0</v>
      </c>
      <c r="K3571" s="9">
        <v>44841</v>
      </c>
      <c r="L3571" t="s">
        <v>29</v>
      </c>
      <c r="M3571"/>
      <c r="N3571" s="9">
        <v>44778</v>
      </c>
      <c r="O3571" s="9">
        <v>44834</v>
      </c>
      <c r="P3571"/>
      <c r="Q3571" s="9">
        <v>44841</v>
      </c>
      <c r="R3571"/>
      <c r="S3571"/>
      <c r="T3571"/>
      <c r="U3571"/>
    </row>
    <row r="3572" spans="1:21" hidden="1">
      <c r="A3572" s="7" t="s">
        <v>8898</v>
      </c>
      <c r="B3572" s="7" t="s">
        <v>6096</v>
      </c>
      <c r="C3572" s="8" t="s">
        <v>5319</v>
      </c>
      <c r="D3572" t="s">
        <v>266</v>
      </c>
      <c r="E3572" t="s">
        <v>2125</v>
      </c>
      <c r="F3572" t="s">
        <v>3083</v>
      </c>
      <c r="G3572" t="s">
        <v>3193</v>
      </c>
      <c r="H3572" s="9">
        <v>44733</v>
      </c>
      <c r="I3572" t="s">
        <v>77</v>
      </c>
      <c r="J3572" t="s">
        <v>0</v>
      </c>
      <c r="K3572" s="9">
        <v>44841</v>
      </c>
      <c r="L3572" t="s">
        <v>29</v>
      </c>
      <c r="M3572"/>
      <c r="N3572" s="9">
        <v>44778</v>
      </c>
      <c r="O3572" s="9">
        <v>44834</v>
      </c>
      <c r="P3572"/>
      <c r="Q3572" s="9">
        <v>44841</v>
      </c>
      <c r="R3572"/>
      <c r="S3572"/>
      <c r="T3572"/>
      <c r="U3572"/>
    </row>
    <row r="3573" spans="1:21" hidden="1">
      <c r="A3573" s="7" t="s">
        <v>8898</v>
      </c>
      <c r="B3573" s="7" t="s">
        <v>6096</v>
      </c>
      <c r="C3573" s="8" t="s">
        <v>5319</v>
      </c>
      <c r="D3573" t="s">
        <v>266</v>
      </c>
      <c r="E3573" t="s">
        <v>2125</v>
      </c>
      <c r="F3573" t="s">
        <v>3083</v>
      </c>
      <c r="G3573" t="s">
        <v>3194</v>
      </c>
      <c r="H3573" s="9">
        <v>44733</v>
      </c>
      <c r="I3573" t="s">
        <v>77</v>
      </c>
      <c r="J3573" t="s">
        <v>0</v>
      </c>
      <c r="K3573" s="9">
        <v>44841</v>
      </c>
      <c r="L3573" t="s">
        <v>29</v>
      </c>
      <c r="M3573"/>
      <c r="N3573" s="9">
        <v>44778</v>
      </c>
      <c r="O3573" s="9">
        <v>44834</v>
      </c>
      <c r="P3573"/>
      <c r="Q3573" s="9">
        <v>44841</v>
      </c>
      <c r="R3573"/>
      <c r="S3573"/>
      <c r="T3573"/>
      <c r="U3573"/>
    </row>
    <row r="3574" spans="1:21" hidden="1">
      <c r="A3574" s="7" t="s">
        <v>8898</v>
      </c>
      <c r="B3574" s="7" t="s">
        <v>6096</v>
      </c>
      <c r="C3574" s="8" t="s">
        <v>5319</v>
      </c>
      <c r="D3574" t="s">
        <v>266</v>
      </c>
      <c r="E3574" t="s">
        <v>2125</v>
      </c>
      <c r="F3574" t="s">
        <v>3083</v>
      </c>
      <c r="G3574" t="s">
        <v>3195</v>
      </c>
      <c r="H3574" s="9">
        <v>44733</v>
      </c>
      <c r="I3574" t="s">
        <v>77</v>
      </c>
      <c r="J3574" t="s">
        <v>0</v>
      </c>
      <c r="K3574" s="9">
        <v>44841</v>
      </c>
      <c r="L3574" t="s">
        <v>29</v>
      </c>
      <c r="M3574"/>
      <c r="N3574" s="9">
        <v>44778</v>
      </c>
      <c r="O3574" s="9">
        <v>44834</v>
      </c>
      <c r="P3574"/>
      <c r="Q3574" s="9">
        <v>44841</v>
      </c>
      <c r="R3574"/>
      <c r="S3574"/>
      <c r="T3574"/>
      <c r="U3574"/>
    </row>
    <row r="3575" spans="1:21" hidden="1">
      <c r="A3575" s="7" t="s">
        <v>8899</v>
      </c>
      <c r="B3575" s="7" t="s">
        <v>6913</v>
      </c>
      <c r="C3575" s="8" t="s">
        <v>5319</v>
      </c>
      <c r="D3575" t="s">
        <v>266</v>
      </c>
      <c r="E3575" t="s">
        <v>3088</v>
      </c>
      <c r="F3575" t="s">
        <v>200</v>
      </c>
      <c r="G3575" t="s">
        <v>3196</v>
      </c>
      <c r="H3575" s="9">
        <v>44733</v>
      </c>
      <c r="I3575" t="s">
        <v>77</v>
      </c>
      <c r="J3575" t="s">
        <v>0</v>
      </c>
      <c r="K3575" s="9">
        <v>44802</v>
      </c>
      <c r="L3575" t="s">
        <v>29</v>
      </c>
      <c r="M3575"/>
      <c r="N3575" s="9">
        <v>44778</v>
      </c>
      <c r="O3575"/>
      <c r="P3575"/>
      <c r="Q3575" s="9">
        <v>44802</v>
      </c>
      <c r="R3575"/>
      <c r="S3575"/>
      <c r="T3575"/>
      <c r="U3575"/>
    </row>
    <row r="3576" spans="1:21" hidden="1">
      <c r="A3576" s="7" t="s">
        <v>8898</v>
      </c>
      <c r="B3576" s="7" t="s">
        <v>6096</v>
      </c>
      <c r="C3576" s="8" t="s">
        <v>5319</v>
      </c>
      <c r="D3576" t="s">
        <v>266</v>
      </c>
      <c r="E3576" t="s">
        <v>2125</v>
      </c>
      <c r="F3576" t="s">
        <v>3083</v>
      </c>
      <c r="G3576" t="s">
        <v>3197</v>
      </c>
      <c r="H3576" s="9">
        <v>44733</v>
      </c>
      <c r="I3576" t="s">
        <v>77</v>
      </c>
      <c r="J3576" t="s">
        <v>0</v>
      </c>
      <c r="K3576" s="9">
        <v>44841</v>
      </c>
      <c r="L3576" t="s">
        <v>29</v>
      </c>
      <c r="M3576"/>
      <c r="N3576" s="9">
        <v>44778</v>
      </c>
      <c r="O3576" s="9">
        <v>44834</v>
      </c>
      <c r="P3576"/>
      <c r="Q3576" s="9">
        <v>44841</v>
      </c>
      <c r="R3576"/>
      <c r="S3576"/>
      <c r="T3576"/>
      <c r="U3576"/>
    </row>
    <row r="3577" spans="1:21" hidden="1">
      <c r="A3577" s="7" t="s">
        <v>8861</v>
      </c>
      <c r="B3577" s="7" t="s">
        <v>8218</v>
      </c>
      <c r="C3577" s="8" t="s">
        <v>5319</v>
      </c>
      <c r="D3577" t="s">
        <v>266</v>
      </c>
      <c r="E3577" t="s">
        <v>2260</v>
      </c>
      <c r="F3577" t="s">
        <v>117</v>
      </c>
      <c r="G3577" t="s">
        <v>3198</v>
      </c>
      <c r="H3577" s="9">
        <v>44733</v>
      </c>
      <c r="I3577" t="s">
        <v>2262</v>
      </c>
      <c r="J3577" t="s">
        <v>0</v>
      </c>
      <c r="K3577" s="9">
        <v>44879</v>
      </c>
      <c r="L3577" t="s">
        <v>29</v>
      </c>
      <c r="M3577"/>
      <c r="N3577" s="9">
        <v>44778</v>
      </c>
      <c r="O3577" s="9">
        <v>44834</v>
      </c>
      <c r="P3577"/>
      <c r="Q3577" s="9">
        <v>44879</v>
      </c>
      <c r="R3577"/>
      <c r="S3577"/>
      <c r="T3577"/>
      <c r="U3577"/>
    </row>
    <row r="3578" spans="1:21" hidden="1">
      <c r="A3578" s="7" t="s">
        <v>8911</v>
      </c>
      <c r="B3578" s="7" t="s">
        <v>6887</v>
      </c>
      <c r="C3578" s="8" t="s">
        <v>5319</v>
      </c>
      <c r="D3578" t="s">
        <v>266</v>
      </c>
      <c r="E3578" t="s">
        <v>3199</v>
      </c>
      <c r="F3578" t="s">
        <v>209</v>
      </c>
      <c r="G3578" t="s">
        <v>3200</v>
      </c>
      <c r="H3578" s="9">
        <v>44733</v>
      </c>
      <c r="I3578" t="s">
        <v>2262</v>
      </c>
      <c r="J3578" t="s">
        <v>276</v>
      </c>
      <c r="K3578" s="9">
        <v>44790.585023148102</v>
      </c>
      <c r="L3578" t="s">
        <v>29</v>
      </c>
      <c r="M3578"/>
      <c r="N3578" s="9">
        <v>44778</v>
      </c>
      <c r="O3578"/>
      <c r="P3578"/>
      <c r="Q3578"/>
      <c r="R3578" s="9">
        <v>44790.573379629597</v>
      </c>
      <c r="S3578"/>
      <c r="T3578"/>
      <c r="U3578"/>
    </row>
    <row r="3579" spans="1:21" hidden="1">
      <c r="A3579" s="7" t="s">
        <v>8911</v>
      </c>
      <c r="B3579" s="7" t="s">
        <v>6887</v>
      </c>
      <c r="C3579" s="8" t="s">
        <v>5319</v>
      </c>
      <c r="D3579" t="s">
        <v>266</v>
      </c>
      <c r="E3579" t="s">
        <v>3199</v>
      </c>
      <c r="F3579" t="s">
        <v>209</v>
      </c>
      <c r="G3579" t="s">
        <v>3201</v>
      </c>
      <c r="H3579" s="9">
        <v>44733</v>
      </c>
      <c r="I3579" t="s">
        <v>2262</v>
      </c>
      <c r="J3579" t="s">
        <v>276</v>
      </c>
      <c r="K3579" s="9">
        <v>44790.585023148102</v>
      </c>
      <c r="L3579" t="s">
        <v>29</v>
      </c>
      <c r="M3579"/>
      <c r="N3579" s="9">
        <v>44778</v>
      </c>
      <c r="O3579"/>
      <c r="P3579"/>
      <c r="Q3579"/>
      <c r="R3579" s="9">
        <v>44790.573379629597</v>
      </c>
      <c r="S3579"/>
      <c r="T3579"/>
      <c r="U3579"/>
    </row>
    <row r="3580" spans="1:21" hidden="1">
      <c r="A3580" s="7" t="s">
        <v>8898</v>
      </c>
      <c r="B3580" s="7" t="s">
        <v>6096</v>
      </c>
      <c r="C3580" s="8" t="s">
        <v>5319</v>
      </c>
      <c r="D3580" t="s">
        <v>266</v>
      </c>
      <c r="E3580" t="s">
        <v>2125</v>
      </c>
      <c r="F3580" t="s">
        <v>3083</v>
      </c>
      <c r="G3580" t="s">
        <v>3202</v>
      </c>
      <c r="H3580" s="9">
        <v>44733</v>
      </c>
      <c r="I3580" t="s">
        <v>77</v>
      </c>
      <c r="J3580" t="s">
        <v>0</v>
      </c>
      <c r="K3580" s="9">
        <v>44841</v>
      </c>
      <c r="L3580" t="s">
        <v>29</v>
      </c>
      <c r="M3580"/>
      <c r="N3580" s="9">
        <v>44778</v>
      </c>
      <c r="O3580" s="9">
        <v>44834</v>
      </c>
      <c r="P3580"/>
      <c r="Q3580" s="9">
        <v>44841</v>
      </c>
      <c r="R3580"/>
      <c r="S3580"/>
      <c r="T3580"/>
      <c r="U3580"/>
    </row>
    <row r="3581" spans="1:21" hidden="1">
      <c r="A3581" s="7" t="s">
        <v>8861</v>
      </c>
      <c r="B3581" s="7" t="s">
        <v>8218</v>
      </c>
      <c r="C3581" s="8" t="s">
        <v>5319</v>
      </c>
      <c r="D3581" t="s">
        <v>266</v>
      </c>
      <c r="E3581" t="s">
        <v>2260</v>
      </c>
      <c r="F3581" t="s">
        <v>117</v>
      </c>
      <c r="G3581" t="s">
        <v>2261</v>
      </c>
      <c r="H3581" s="9">
        <v>44733</v>
      </c>
      <c r="I3581" t="s">
        <v>2262</v>
      </c>
      <c r="J3581" t="s">
        <v>0</v>
      </c>
      <c r="K3581" s="9">
        <v>44879</v>
      </c>
      <c r="L3581" t="s">
        <v>29</v>
      </c>
      <c r="M3581"/>
      <c r="N3581" s="9">
        <v>44778</v>
      </c>
      <c r="O3581" s="9">
        <v>44834</v>
      </c>
      <c r="P3581"/>
      <c r="Q3581" s="9">
        <v>44879</v>
      </c>
      <c r="R3581"/>
      <c r="S3581"/>
      <c r="T3581"/>
      <c r="U3581"/>
    </row>
    <row r="3582" spans="1:21" hidden="1">
      <c r="A3582" s="7" t="s">
        <v>8911</v>
      </c>
      <c r="B3582" s="7" t="s">
        <v>6887</v>
      </c>
      <c r="C3582" s="8" t="s">
        <v>5319</v>
      </c>
      <c r="D3582" t="s">
        <v>266</v>
      </c>
      <c r="E3582" t="s">
        <v>3199</v>
      </c>
      <c r="F3582" t="s">
        <v>209</v>
      </c>
      <c r="G3582" t="s">
        <v>3203</v>
      </c>
      <c r="H3582" s="9">
        <v>44733</v>
      </c>
      <c r="I3582" t="s">
        <v>2262</v>
      </c>
      <c r="J3582" t="s">
        <v>276</v>
      </c>
      <c r="K3582" s="9">
        <v>44790.585023148102</v>
      </c>
      <c r="L3582" t="s">
        <v>29</v>
      </c>
      <c r="M3582"/>
      <c r="N3582" s="9">
        <v>44778</v>
      </c>
      <c r="O3582"/>
      <c r="P3582"/>
      <c r="Q3582"/>
      <c r="R3582" s="9">
        <v>44790.573379629597</v>
      </c>
      <c r="S3582"/>
      <c r="T3582"/>
      <c r="U3582"/>
    </row>
    <row r="3583" spans="1:21" hidden="1">
      <c r="A3583" s="7" t="s">
        <v>8861</v>
      </c>
      <c r="B3583" s="7" t="s">
        <v>8218</v>
      </c>
      <c r="C3583" s="8" t="s">
        <v>5319</v>
      </c>
      <c r="D3583" t="s">
        <v>266</v>
      </c>
      <c r="E3583" t="s">
        <v>2260</v>
      </c>
      <c r="F3583" t="s">
        <v>117</v>
      </c>
      <c r="G3583" t="s">
        <v>3204</v>
      </c>
      <c r="H3583" s="9">
        <v>44733</v>
      </c>
      <c r="I3583" t="s">
        <v>2262</v>
      </c>
      <c r="J3583" t="s">
        <v>0</v>
      </c>
      <c r="K3583" s="9">
        <v>44879</v>
      </c>
      <c r="L3583" t="s">
        <v>29</v>
      </c>
      <c r="M3583"/>
      <c r="N3583" s="9">
        <v>44778</v>
      </c>
      <c r="O3583" s="9">
        <v>44834</v>
      </c>
      <c r="P3583"/>
      <c r="Q3583" s="9">
        <v>44879</v>
      </c>
      <c r="R3583"/>
      <c r="S3583"/>
      <c r="T3583"/>
      <c r="U3583"/>
    </row>
    <row r="3584" spans="1:21" hidden="1">
      <c r="A3584" s="7" t="s">
        <v>8861</v>
      </c>
      <c r="B3584" s="7" t="s">
        <v>8218</v>
      </c>
      <c r="C3584" s="8" t="s">
        <v>5319</v>
      </c>
      <c r="D3584" t="s">
        <v>266</v>
      </c>
      <c r="E3584" t="s">
        <v>2260</v>
      </c>
      <c r="F3584" t="s">
        <v>117</v>
      </c>
      <c r="G3584" t="s">
        <v>3205</v>
      </c>
      <c r="H3584" s="9">
        <v>44733</v>
      </c>
      <c r="I3584" t="s">
        <v>2262</v>
      </c>
      <c r="J3584" t="s">
        <v>0</v>
      </c>
      <c r="K3584" s="9">
        <v>44879</v>
      </c>
      <c r="L3584" t="s">
        <v>29</v>
      </c>
      <c r="M3584"/>
      <c r="N3584" s="9">
        <v>44778</v>
      </c>
      <c r="O3584" s="9">
        <v>44834</v>
      </c>
      <c r="P3584"/>
      <c r="Q3584" s="9">
        <v>44879</v>
      </c>
      <c r="R3584"/>
      <c r="S3584"/>
      <c r="T3584"/>
      <c r="U3584"/>
    </row>
    <row r="3585" spans="1:21" hidden="1">
      <c r="A3585" s="7" t="s">
        <v>8861</v>
      </c>
      <c r="B3585" s="7" t="s">
        <v>8218</v>
      </c>
      <c r="C3585" s="8" t="s">
        <v>5319</v>
      </c>
      <c r="D3585" t="s">
        <v>266</v>
      </c>
      <c r="E3585" t="s">
        <v>2260</v>
      </c>
      <c r="F3585" t="s">
        <v>117</v>
      </c>
      <c r="G3585" t="s">
        <v>3206</v>
      </c>
      <c r="H3585" s="9">
        <v>44733</v>
      </c>
      <c r="I3585" t="s">
        <v>2262</v>
      </c>
      <c r="J3585" t="s">
        <v>0</v>
      </c>
      <c r="K3585" s="9">
        <v>44879</v>
      </c>
      <c r="L3585" t="s">
        <v>29</v>
      </c>
      <c r="M3585"/>
      <c r="N3585" s="9">
        <v>44778</v>
      </c>
      <c r="O3585" s="9">
        <v>44834</v>
      </c>
      <c r="P3585"/>
      <c r="Q3585" s="9">
        <v>44879</v>
      </c>
      <c r="R3585"/>
      <c r="S3585"/>
      <c r="T3585"/>
      <c r="U3585"/>
    </row>
    <row r="3586" spans="1:21" hidden="1">
      <c r="A3586" s="7" t="s">
        <v>8861</v>
      </c>
      <c r="B3586" s="7" t="s">
        <v>8218</v>
      </c>
      <c r="C3586" s="8" t="s">
        <v>5319</v>
      </c>
      <c r="D3586" t="s">
        <v>266</v>
      </c>
      <c r="E3586" t="s">
        <v>2260</v>
      </c>
      <c r="F3586" t="s">
        <v>117</v>
      </c>
      <c r="G3586" t="s">
        <v>2306</v>
      </c>
      <c r="H3586" s="9">
        <v>44733</v>
      </c>
      <c r="I3586" t="s">
        <v>2262</v>
      </c>
      <c r="J3586" t="s">
        <v>0</v>
      </c>
      <c r="K3586" s="9">
        <v>44879</v>
      </c>
      <c r="L3586" t="s">
        <v>29</v>
      </c>
      <c r="M3586"/>
      <c r="N3586" s="9">
        <v>44778</v>
      </c>
      <c r="O3586" s="9">
        <v>44834</v>
      </c>
      <c r="P3586"/>
      <c r="Q3586" s="9">
        <v>44879</v>
      </c>
      <c r="R3586"/>
      <c r="S3586"/>
      <c r="T3586"/>
      <c r="U3586"/>
    </row>
    <row r="3587" spans="1:21" hidden="1">
      <c r="A3587" s="7" t="s">
        <v>8861</v>
      </c>
      <c r="B3587" s="7" t="s">
        <v>8218</v>
      </c>
      <c r="C3587" s="8" t="s">
        <v>5319</v>
      </c>
      <c r="D3587" t="s">
        <v>266</v>
      </c>
      <c r="E3587" t="s">
        <v>2260</v>
      </c>
      <c r="F3587" t="s">
        <v>117</v>
      </c>
      <c r="G3587" t="s">
        <v>3207</v>
      </c>
      <c r="H3587" s="9">
        <v>44733</v>
      </c>
      <c r="I3587" t="s">
        <v>2262</v>
      </c>
      <c r="J3587" t="s">
        <v>0</v>
      </c>
      <c r="K3587" s="9">
        <v>44879</v>
      </c>
      <c r="L3587" t="s">
        <v>29</v>
      </c>
      <c r="M3587"/>
      <c r="N3587" s="9">
        <v>44778</v>
      </c>
      <c r="O3587" s="9">
        <v>44834</v>
      </c>
      <c r="P3587"/>
      <c r="Q3587" s="9">
        <v>44879</v>
      </c>
      <c r="R3587"/>
      <c r="S3587"/>
      <c r="T3587"/>
      <c r="U3587"/>
    </row>
    <row r="3588" spans="1:21" hidden="1">
      <c r="A3588" s="7" t="s">
        <v>8861</v>
      </c>
      <c r="B3588" s="7" t="s">
        <v>8218</v>
      </c>
      <c r="C3588" s="8" t="s">
        <v>5319</v>
      </c>
      <c r="D3588" t="s">
        <v>266</v>
      </c>
      <c r="E3588" t="s">
        <v>2260</v>
      </c>
      <c r="F3588" t="s">
        <v>117</v>
      </c>
      <c r="G3588" t="s">
        <v>3208</v>
      </c>
      <c r="H3588" s="9">
        <v>44733</v>
      </c>
      <c r="I3588" t="s">
        <v>2262</v>
      </c>
      <c r="J3588" t="s">
        <v>0</v>
      </c>
      <c r="K3588" s="9">
        <v>44879</v>
      </c>
      <c r="L3588" t="s">
        <v>29</v>
      </c>
      <c r="M3588"/>
      <c r="N3588" s="9">
        <v>44778</v>
      </c>
      <c r="O3588" s="9">
        <v>44834</v>
      </c>
      <c r="P3588"/>
      <c r="Q3588" s="9">
        <v>44879</v>
      </c>
      <c r="R3588"/>
      <c r="S3588"/>
      <c r="T3588"/>
      <c r="U3588"/>
    </row>
    <row r="3589" spans="1:21" hidden="1">
      <c r="A3589" s="7" t="s">
        <v>8912</v>
      </c>
      <c r="B3589" s="7" t="s">
        <v>7969</v>
      </c>
      <c r="C3589" s="8" t="s">
        <v>5319</v>
      </c>
      <c r="D3589" t="s">
        <v>266</v>
      </c>
      <c r="E3589" t="s">
        <v>3209</v>
      </c>
      <c r="F3589" t="s">
        <v>209</v>
      </c>
      <c r="G3589" t="s">
        <v>3210</v>
      </c>
      <c r="H3589" s="9">
        <v>44733</v>
      </c>
      <c r="I3589" t="s">
        <v>3211</v>
      </c>
      <c r="J3589" t="s">
        <v>5330</v>
      </c>
      <c r="K3589" s="9">
        <v>44834</v>
      </c>
      <c r="L3589" t="s">
        <v>29</v>
      </c>
      <c r="M3589"/>
      <c r="N3589" s="9">
        <v>44778</v>
      </c>
      <c r="O3589" s="9">
        <v>44834</v>
      </c>
      <c r="P3589"/>
      <c r="Q3589"/>
      <c r="R3589"/>
      <c r="S3589"/>
      <c r="T3589"/>
      <c r="U3589"/>
    </row>
    <row r="3590" spans="1:21" hidden="1">
      <c r="A3590" s="7" t="s">
        <v>8912</v>
      </c>
      <c r="B3590" s="7" t="s">
        <v>7969</v>
      </c>
      <c r="C3590" s="8" t="s">
        <v>5319</v>
      </c>
      <c r="D3590" t="s">
        <v>266</v>
      </c>
      <c r="E3590" t="s">
        <v>3209</v>
      </c>
      <c r="F3590" t="s">
        <v>209</v>
      </c>
      <c r="G3590" t="s">
        <v>3212</v>
      </c>
      <c r="H3590" s="9">
        <v>44733</v>
      </c>
      <c r="I3590" t="s">
        <v>3211</v>
      </c>
      <c r="J3590" t="s">
        <v>5330</v>
      </c>
      <c r="K3590" s="9">
        <v>44834</v>
      </c>
      <c r="L3590" t="s">
        <v>29</v>
      </c>
      <c r="M3590"/>
      <c r="N3590" s="9">
        <v>44778</v>
      </c>
      <c r="O3590" s="9">
        <v>44834</v>
      </c>
      <c r="P3590"/>
      <c r="Q3590"/>
      <c r="R3590"/>
      <c r="S3590"/>
      <c r="T3590"/>
      <c r="U3590"/>
    </row>
    <row r="3591" spans="1:21" hidden="1">
      <c r="A3591" s="7" t="s">
        <v>8785</v>
      </c>
      <c r="B3591" s="7" t="s">
        <v>6820</v>
      </c>
      <c r="C3591" s="8" t="s">
        <v>5319</v>
      </c>
      <c r="D3591" t="s">
        <v>266</v>
      </c>
      <c r="E3591" t="s">
        <v>892</v>
      </c>
      <c r="F3591" t="s">
        <v>117</v>
      </c>
      <c r="G3591" t="s">
        <v>3213</v>
      </c>
      <c r="H3591" s="9">
        <v>44733</v>
      </c>
      <c r="I3591" t="s">
        <v>99</v>
      </c>
      <c r="J3591" t="s">
        <v>5330</v>
      </c>
      <c r="K3591" s="9">
        <v>44834</v>
      </c>
      <c r="L3591" t="s">
        <v>29</v>
      </c>
      <c r="M3591"/>
      <c r="N3591" s="9">
        <v>44778</v>
      </c>
      <c r="O3591" s="9">
        <v>44834</v>
      </c>
      <c r="P3591"/>
      <c r="Q3591"/>
      <c r="R3591"/>
      <c r="S3591"/>
      <c r="T3591"/>
      <c r="U3591"/>
    </row>
    <row r="3592" spans="1:21" hidden="1">
      <c r="A3592" s="7" t="s">
        <v>8861</v>
      </c>
      <c r="B3592" s="7" t="s">
        <v>8218</v>
      </c>
      <c r="C3592" s="8" t="s">
        <v>5319</v>
      </c>
      <c r="D3592" t="s">
        <v>266</v>
      </c>
      <c r="E3592" t="s">
        <v>2260</v>
      </c>
      <c r="F3592" t="s">
        <v>117</v>
      </c>
      <c r="G3592" t="s">
        <v>3214</v>
      </c>
      <c r="H3592" s="9">
        <v>44733</v>
      </c>
      <c r="I3592" t="s">
        <v>2262</v>
      </c>
      <c r="J3592" t="s">
        <v>0</v>
      </c>
      <c r="K3592" s="9">
        <v>44879</v>
      </c>
      <c r="L3592" t="s">
        <v>29</v>
      </c>
      <c r="M3592"/>
      <c r="N3592" s="9">
        <v>44778</v>
      </c>
      <c r="O3592" s="9">
        <v>44834</v>
      </c>
      <c r="P3592"/>
      <c r="Q3592" s="9">
        <v>44879</v>
      </c>
      <c r="R3592"/>
      <c r="S3592"/>
      <c r="T3592"/>
      <c r="U3592"/>
    </row>
    <row r="3593" spans="1:21" hidden="1">
      <c r="A3593" s="7" t="s">
        <v>8861</v>
      </c>
      <c r="B3593" s="7" t="s">
        <v>8218</v>
      </c>
      <c r="C3593" s="8" t="s">
        <v>5319</v>
      </c>
      <c r="D3593" t="s">
        <v>266</v>
      </c>
      <c r="E3593" t="s">
        <v>2260</v>
      </c>
      <c r="F3593" t="s">
        <v>117</v>
      </c>
      <c r="G3593" t="s">
        <v>3215</v>
      </c>
      <c r="H3593" s="9">
        <v>44733</v>
      </c>
      <c r="I3593" t="s">
        <v>2262</v>
      </c>
      <c r="J3593" t="s">
        <v>0</v>
      </c>
      <c r="K3593" s="9">
        <v>44879</v>
      </c>
      <c r="L3593" t="s">
        <v>29</v>
      </c>
      <c r="M3593"/>
      <c r="N3593" s="9">
        <v>44778</v>
      </c>
      <c r="O3593" s="9">
        <v>44834</v>
      </c>
      <c r="P3593"/>
      <c r="Q3593" s="9">
        <v>44879</v>
      </c>
      <c r="R3593"/>
      <c r="S3593"/>
      <c r="T3593"/>
      <c r="U3593"/>
    </row>
    <row r="3594" spans="1:21" hidden="1">
      <c r="A3594" s="7" t="s">
        <v>8861</v>
      </c>
      <c r="B3594" s="7" t="s">
        <v>8218</v>
      </c>
      <c r="C3594" s="8" t="s">
        <v>5319</v>
      </c>
      <c r="D3594" t="s">
        <v>266</v>
      </c>
      <c r="E3594" t="s">
        <v>2260</v>
      </c>
      <c r="F3594" t="s">
        <v>117</v>
      </c>
      <c r="G3594" t="s">
        <v>2350</v>
      </c>
      <c r="H3594" s="9">
        <v>44733</v>
      </c>
      <c r="I3594" t="s">
        <v>2262</v>
      </c>
      <c r="J3594" t="s">
        <v>0</v>
      </c>
      <c r="K3594" s="9">
        <v>44879</v>
      </c>
      <c r="L3594" t="s">
        <v>29</v>
      </c>
      <c r="M3594"/>
      <c r="N3594" s="9">
        <v>44778</v>
      </c>
      <c r="O3594" s="9">
        <v>44834</v>
      </c>
      <c r="P3594"/>
      <c r="Q3594" s="9">
        <v>44879</v>
      </c>
      <c r="R3594"/>
      <c r="S3594"/>
      <c r="T3594"/>
      <c r="U3594"/>
    </row>
    <row r="3595" spans="1:21" hidden="1">
      <c r="A3595" s="7" t="s">
        <v>8861</v>
      </c>
      <c r="B3595" s="7" t="s">
        <v>8218</v>
      </c>
      <c r="C3595" s="8" t="s">
        <v>5319</v>
      </c>
      <c r="D3595" t="s">
        <v>266</v>
      </c>
      <c r="E3595" t="s">
        <v>2260</v>
      </c>
      <c r="F3595" t="s">
        <v>117</v>
      </c>
      <c r="G3595" t="s">
        <v>3216</v>
      </c>
      <c r="H3595" s="9">
        <v>44733</v>
      </c>
      <c r="I3595" t="s">
        <v>2262</v>
      </c>
      <c r="J3595" t="s">
        <v>0</v>
      </c>
      <c r="K3595" s="9">
        <v>44879</v>
      </c>
      <c r="L3595" t="s">
        <v>29</v>
      </c>
      <c r="M3595"/>
      <c r="N3595" s="9">
        <v>44778</v>
      </c>
      <c r="O3595" s="9">
        <v>44834</v>
      </c>
      <c r="P3595"/>
      <c r="Q3595" s="9">
        <v>44879</v>
      </c>
      <c r="R3595"/>
      <c r="S3595"/>
      <c r="T3595"/>
      <c r="U3595"/>
    </row>
    <row r="3596" spans="1:21" hidden="1">
      <c r="A3596" s="7" t="s">
        <v>8861</v>
      </c>
      <c r="B3596" s="7" t="s">
        <v>8218</v>
      </c>
      <c r="C3596" s="8" t="s">
        <v>5319</v>
      </c>
      <c r="D3596" t="s">
        <v>266</v>
      </c>
      <c r="E3596" t="s">
        <v>2260</v>
      </c>
      <c r="F3596" t="s">
        <v>117</v>
      </c>
      <c r="G3596" t="s">
        <v>3217</v>
      </c>
      <c r="H3596" s="9">
        <v>44733</v>
      </c>
      <c r="I3596" t="s">
        <v>2262</v>
      </c>
      <c r="J3596" t="s">
        <v>0</v>
      </c>
      <c r="K3596" s="9">
        <v>44879</v>
      </c>
      <c r="L3596" t="s">
        <v>29</v>
      </c>
      <c r="M3596"/>
      <c r="N3596" s="9">
        <v>44778</v>
      </c>
      <c r="O3596" s="9">
        <v>44834</v>
      </c>
      <c r="P3596"/>
      <c r="Q3596" s="9">
        <v>44879</v>
      </c>
      <c r="R3596"/>
      <c r="S3596"/>
      <c r="T3596"/>
      <c r="U3596"/>
    </row>
    <row r="3597" spans="1:21" hidden="1">
      <c r="A3597" s="7" t="s">
        <v>8861</v>
      </c>
      <c r="B3597" s="7" t="s">
        <v>8218</v>
      </c>
      <c r="C3597" s="8" t="s">
        <v>5319</v>
      </c>
      <c r="D3597" t="s">
        <v>266</v>
      </c>
      <c r="E3597" t="s">
        <v>2260</v>
      </c>
      <c r="F3597" t="s">
        <v>117</v>
      </c>
      <c r="G3597" t="s">
        <v>2351</v>
      </c>
      <c r="H3597" s="9">
        <v>44733</v>
      </c>
      <c r="I3597" t="s">
        <v>2262</v>
      </c>
      <c r="J3597" t="s">
        <v>0</v>
      </c>
      <c r="K3597" s="9">
        <v>44879</v>
      </c>
      <c r="L3597" t="s">
        <v>29</v>
      </c>
      <c r="M3597"/>
      <c r="N3597" s="9">
        <v>44778</v>
      </c>
      <c r="O3597" s="9">
        <v>44834</v>
      </c>
      <c r="P3597"/>
      <c r="Q3597" s="9">
        <v>44879</v>
      </c>
      <c r="R3597"/>
      <c r="S3597"/>
      <c r="T3597"/>
      <c r="U3597"/>
    </row>
    <row r="3598" spans="1:21" hidden="1">
      <c r="A3598" s="7" t="s">
        <v>8861</v>
      </c>
      <c r="B3598" s="7" t="s">
        <v>8218</v>
      </c>
      <c r="C3598" s="8" t="s">
        <v>5319</v>
      </c>
      <c r="D3598" t="s">
        <v>266</v>
      </c>
      <c r="E3598" t="s">
        <v>2260</v>
      </c>
      <c r="F3598" t="s">
        <v>117</v>
      </c>
      <c r="G3598" t="s">
        <v>3218</v>
      </c>
      <c r="H3598" s="9">
        <v>44733</v>
      </c>
      <c r="I3598" t="s">
        <v>2262</v>
      </c>
      <c r="J3598" t="s">
        <v>0</v>
      </c>
      <c r="K3598" s="9">
        <v>44879</v>
      </c>
      <c r="L3598" t="s">
        <v>29</v>
      </c>
      <c r="M3598"/>
      <c r="N3598" s="9">
        <v>44778</v>
      </c>
      <c r="O3598" s="9">
        <v>44834</v>
      </c>
      <c r="P3598"/>
      <c r="Q3598" s="9">
        <v>44879</v>
      </c>
      <c r="R3598"/>
      <c r="S3598"/>
      <c r="T3598"/>
      <c r="U3598"/>
    </row>
    <row r="3599" spans="1:21" hidden="1">
      <c r="A3599" s="7" t="s">
        <v>8861</v>
      </c>
      <c r="B3599" s="7" t="s">
        <v>8218</v>
      </c>
      <c r="C3599" s="8" t="s">
        <v>5319</v>
      </c>
      <c r="D3599" t="s">
        <v>266</v>
      </c>
      <c r="E3599" t="s">
        <v>2260</v>
      </c>
      <c r="F3599" t="s">
        <v>117</v>
      </c>
      <c r="G3599" t="s">
        <v>3219</v>
      </c>
      <c r="H3599" s="9">
        <v>44733</v>
      </c>
      <c r="I3599" t="s">
        <v>2262</v>
      </c>
      <c r="J3599" t="s">
        <v>0</v>
      </c>
      <c r="K3599" s="9">
        <v>44879</v>
      </c>
      <c r="L3599" t="s">
        <v>29</v>
      </c>
      <c r="M3599"/>
      <c r="N3599" s="9">
        <v>44778</v>
      </c>
      <c r="O3599" s="9">
        <v>44834</v>
      </c>
      <c r="P3599"/>
      <c r="Q3599" s="9">
        <v>44879</v>
      </c>
      <c r="R3599"/>
      <c r="S3599"/>
      <c r="T3599"/>
      <c r="U3599"/>
    </row>
    <row r="3600" spans="1:21" hidden="1">
      <c r="A3600" s="7" t="s">
        <v>8867</v>
      </c>
      <c r="B3600" s="7" t="s">
        <v>7140</v>
      </c>
      <c r="C3600" s="8" t="s">
        <v>5319</v>
      </c>
      <c r="D3600" t="s">
        <v>266</v>
      </c>
      <c r="E3600" t="s">
        <v>2360</v>
      </c>
      <c r="F3600" t="s">
        <v>231</v>
      </c>
      <c r="G3600" t="s">
        <v>3220</v>
      </c>
      <c r="H3600" s="9">
        <v>44733</v>
      </c>
      <c r="I3600" t="s">
        <v>2362</v>
      </c>
      <c r="J3600" t="s">
        <v>5330</v>
      </c>
      <c r="K3600" s="9">
        <v>44834</v>
      </c>
      <c r="L3600" t="s">
        <v>29</v>
      </c>
      <c r="M3600"/>
      <c r="N3600" s="9">
        <v>44778</v>
      </c>
      <c r="O3600" s="9">
        <v>44834</v>
      </c>
      <c r="P3600"/>
      <c r="Q3600"/>
      <c r="R3600"/>
      <c r="S3600"/>
      <c r="T3600"/>
      <c r="U3600"/>
    </row>
    <row r="3601" spans="1:21" hidden="1">
      <c r="A3601" s="7" t="s">
        <v>8867</v>
      </c>
      <c r="B3601" s="7" t="s">
        <v>7140</v>
      </c>
      <c r="C3601" s="8" t="s">
        <v>5319</v>
      </c>
      <c r="D3601" t="s">
        <v>266</v>
      </c>
      <c r="E3601" t="s">
        <v>2360</v>
      </c>
      <c r="F3601" t="s">
        <v>231</v>
      </c>
      <c r="G3601" t="s">
        <v>3221</v>
      </c>
      <c r="H3601" s="9">
        <v>44733</v>
      </c>
      <c r="I3601" t="s">
        <v>2362</v>
      </c>
      <c r="J3601" t="s">
        <v>5330</v>
      </c>
      <c r="K3601" s="9">
        <v>44834</v>
      </c>
      <c r="L3601" t="s">
        <v>29</v>
      </c>
      <c r="M3601"/>
      <c r="N3601" s="9">
        <v>44778</v>
      </c>
      <c r="O3601" s="9">
        <v>44834</v>
      </c>
      <c r="P3601"/>
      <c r="Q3601"/>
      <c r="R3601"/>
      <c r="S3601"/>
      <c r="T3601"/>
      <c r="U3601"/>
    </row>
    <row r="3602" spans="1:21" hidden="1">
      <c r="A3602" s="7" t="s">
        <v>8867</v>
      </c>
      <c r="B3602" s="7" t="s">
        <v>7140</v>
      </c>
      <c r="C3602" s="8" t="s">
        <v>5319</v>
      </c>
      <c r="D3602" t="s">
        <v>266</v>
      </c>
      <c r="E3602" t="s">
        <v>2360</v>
      </c>
      <c r="F3602" t="s">
        <v>231</v>
      </c>
      <c r="G3602" t="s">
        <v>3222</v>
      </c>
      <c r="H3602" s="9">
        <v>44733</v>
      </c>
      <c r="I3602" t="s">
        <v>2362</v>
      </c>
      <c r="J3602" t="s">
        <v>5330</v>
      </c>
      <c r="K3602" s="9">
        <v>44834</v>
      </c>
      <c r="L3602" t="s">
        <v>29</v>
      </c>
      <c r="M3602"/>
      <c r="N3602" s="9">
        <v>44778</v>
      </c>
      <c r="O3602" s="9">
        <v>44834</v>
      </c>
      <c r="P3602"/>
      <c r="Q3602"/>
      <c r="R3602"/>
      <c r="S3602"/>
      <c r="T3602"/>
      <c r="U3602"/>
    </row>
    <row r="3603" spans="1:21" hidden="1">
      <c r="A3603" s="7" t="s">
        <v>8873</v>
      </c>
      <c r="B3603" s="7" t="s">
        <v>7140</v>
      </c>
      <c r="C3603" s="8" t="s">
        <v>5319</v>
      </c>
      <c r="D3603" t="s">
        <v>266</v>
      </c>
      <c r="E3603" t="s">
        <v>2360</v>
      </c>
      <c r="F3603" t="s">
        <v>209</v>
      </c>
      <c r="G3603" t="s">
        <v>3222</v>
      </c>
      <c r="H3603" s="9">
        <v>44733</v>
      </c>
      <c r="I3603" t="s">
        <v>2362</v>
      </c>
      <c r="J3603" t="s">
        <v>5330</v>
      </c>
      <c r="K3603" s="9">
        <v>44834</v>
      </c>
      <c r="L3603" t="s">
        <v>29</v>
      </c>
      <c r="M3603"/>
      <c r="N3603" s="9">
        <v>44778</v>
      </c>
      <c r="O3603" s="9">
        <v>44834</v>
      </c>
      <c r="P3603"/>
      <c r="Q3603"/>
      <c r="R3603"/>
      <c r="S3603"/>
      <c r="T3603"/>
      <c r="U3603"/>
    </row>
    <row r="3604" spans="1:21" hidden="1">
      <c r="A3604" s="7" t="s">
        <v>8873</v>
      </c>
      <c r="B3604" s="7" t="s">
        <v>7140</v>
      </c>
      <c r="C3604" s="8" t="s">
        <v>5319</v>
      </c>
      <c r="D3604" t="s">
        <v>266</v>
      </c>
      <c r="E3604" t="s">
        <v>2360</v>
      </c>
      <c r="F3604" t="s">
        <v>209</v>
      </c>
      <c r="G3604" t="s">
        <v>3223</v>
      </c>
      <c r="H3604" s="9">
        <v>44733</v>
      </c>
      <c r="I3604" t="s">
        <v>2362</v>
      </c>
      <c r="J3604" t="s">
        <v>5330</v>
      </c>
      <c r="K3604" s="9">
        <v>44834</v>
      </c>
      <c r="L3604" t="s">
        <v>29</v>
      </c>
      <c r="M3604"/>
      <c r="N3604" s="9">
        <v>44778</v>
      </c>
      <c r="O3604" s="9">
        <v>44834</v>
      </c>
      <c r="P3604"/>
      <c r="Q3604"/>
      <c r="R3604"/>
      <c r="S3604"/>
      <c r="T3604"/>
      <c r="U3604"/>
    </row>
    <row r="3605" spans="1:21" hidden="1">
      <c r="A3605" s="7" t="s">
        <v>8866</v>
      </c>
      <c r="B3605" s="7" t="s">
        <v>6820</v>
      </c>
      <c r="C3605" s="8" t="s">
        <v>5319</v>
      </c>
      <c r="D3605" t="s">
        <v>266</v>
      </c>
      <c r="E3605" t="s">
        <v>892</v>
      </c>
      <c r="F3605" t="s">
        <v>75</v>
      </c>
      <c r="G3605" t="s">
        <v>2363</v>
      </c>
      <c r="H3605" s="9">
        <v>44733</v>
      </c>
      <c r="I3605" t="s">
        <v>99</v>
      </c>
      <c r="J3605" t="s">
        <v>5330</v>
      </c>
      <c r="K3605" s="9">
        <v>44834</v>
      </c>
      <c r="L3605" t="s">
        <v>29</v>
      </c>
      <c r="M3605"/>
      <c r="N3605" s="9">
        <v>44778</v>
      </c>
      <c r="O3605" s="9">
        <v>44834</v>
      </c>
      <c r="P3605"/>
      <c r="Q3605"/>
      <c r="R3605"/>
      <c r="S3605"/>
      <c r="T3605"/>
      <c r="U3605"/>
    </row>
    <row r="3606" spans="1:21" hidden="1">
      <c r="A3606" s="7" t="s">
        <v>8866</v>
      </c>
      <c r="B3606" s="7" t="s">
        <v>6820</v>
      </c>
      <c r="C3606" s="8" t="s">
        <v>5319</v>
      </c>
      <c r="D3606" t="s">
        <v>266</v>
      </c>
      <c r="E3606" t="s">
        <v>892</v>
      </c>
      <c r="F3606" t="s">
        <v>75</v>
      </c>
      <c r="G3606" t="s">
        <v>2364</v>
      </c>
      <c r="H3606" s="9">
        <v>44733</v>
      </c>
      <c r="I3606" t="s">
        <v>99</v>
      </c>
      <c r="J3606" t="s">
        <v>5330</v>
      </c>
      <c r="K3606" s="9">
        <v>44834</v>
      </c>
      <c r="L3606" t="s">
        <v>29</v>
      </c>
      <c r="M3606"/>
      <c r="N3606" s="9">
        <v>44778</v>
      </c>
      <c r="O3606" s="9">
        <v>44834</v>
      </c>
      <c r="P3606"/>
      <c r="Q3606"/>
      <c r="R3606"/>
      <c r="S3606"/>
      <c r="T3606"/>
      <c r="U3606"/>
    </row>
    <row r="3607" spans="1:21" hidden="1">
      <c r="A3607" s="7" t="s">
        <v>8785</v>
      </c>
      <c r="B3607" s="7" t="s">
        <v>6820</v>
      </c>
      <c r="C3607" s="8" t="s">
        <v>5319</v>
      </c>
      <c r="D3607" t="s">
        <v>266</v>
      </c>
      <c r="E3607" t="s">
        <v>892</v>
      </c>
      <c r="F3607" t="s">
        <v>117</v>
      </c>
      <c r="G3607" t="s">
        <v>3224</v>
      </c>
      <c r="H3607" s="9">
        <v>44733</v>
      </c>
      <c r="I3607" t="s">
        <v>99</v>
      </c>
      <c r="J3607" t="s">
        <v>5330</v>
      </c>
      <c r="K3607" s="9">
        <v>44834</v>
      </c>
      <c r="L3607" t="s">
        <v>29</v>
      </c>
      <c r="M3607"/>
      <c r="N3607" s="9">
        <v>44778</v>
      </c>
      <c r="O3607" s="9">
        <v>44834</v>
      </c>
      <c r="P3607"/>
      <c r="Q3607"/>
      <c r="R3607"/>
      <c r="S3607"/>
      <c r="T3607"/>
      <c r="U3607"/>
    </row>
    <row r="3608" spans="1:21" hidden="1">
      <c r="A3608" s="7" t="s">
        <v>8785</v>
      </c>
      <c r="B3608" s="7" t="s">
        <v>6820</v>
      </c>
      <c r="C3608" s="8" t="s">
        <v>5319</v>
      </c>
      <c r="D3608" t="s">
        <v>266</v>
      </c>
      <c r="E3608" t="s">
        <v>892</v>
      </c>
      <c r="F3608" t="s">
        <v>117</v>
      </c>
      <c r="G3608" t="s">
        <v>3225</v>
      </c>
      <c r="H3608" s="9">
        <v>44733</v>
      </c>
      <c r="I3608" t="s">
        <v>99</v>
      </c>
      <c r="J3608" t="s">
        <v>5330</v>
      </c>
      <c r="K3608" s="9">
        <v>44834</v>
      </c>
      <c r="L3608" t="s">
        <v>29</v>
      </c>
      <c r="M3608"/>
      <c r="N3608" s="9">
        <v>44778</v>
      </c>
      <c r="O3608" s="9">
        <v>44834</v>
      </c>
      <c r="P3608"/>
      <c r="Q3608"/>
      <c r="R3608"/>
      <c r="S3608"/>
      <c r="T3608"/>
      <c r="U3608"/>
    </row>
    <row r="3609" spans="1:21" hidden="1">
      <c r="A3609" s="7" t="s">
        <v>8785</v>
      </c>
      <c r="B3609" s="7" t="s">
        <v>6820</v>
      </c>
      <c r="C3609" s="8" t="s">
        <v>5319</v>
      </c>
      <c r="D3609" t="s">
        <v>266</v>
      </c>
      <c r="E3609" t="s">
        <v>892</v>
      </c>
      <c r="F3609" t="s">
        <v>117</v>
      </c>
      <c r="G3609" t="s">
        <v>3226</v>
      </c>
      <c r="H3609" s="9">
        <v>44733</v>
      </c>
      <c r="I3609" t="s">
        <v>99</v>
      </c>
      <c r="J3609" t="s">
        <v>5330</v>
      </c>
      <c r="K3609" s="9">
        <v>44834</v>
      </c>
      <c r="L3609" t="s">
        <v>29</v>
      </c>
      <c r="M3609"/>
      <c r="N3609" s="9">
        <v>44778</v>
      </c>
      <c r="O3609" s="9">
        <v>44834</v>
      </c>
      <c r="P3609"/>
      <c r="Q3609"/>
      <c r="R3609"/>
      <c r="S3609"/>
      <c r="T3609"/>
      <c r="U3609"/>
    </row>
    <row r="3610" spans="1:21" hidden="1">
      <c r="A3610" s="7" t="s">
        <v>8785</v>
      </c>
      <c r="B3610" s="7" t="s">
        <v>6820</v>
      </c>
      <c r="C3610" s="8" t="s">
        <v>5319</v>
      </c>
      <c r="D3610" t="s">
        <v>266</v>
      </c>
      <c r="E3610" t="s">
        <v>892</v>
      </c>
      <c r="F3610" t="s">
        <v>117</v>
      </c>
      <c r="G3610" t="s">
        <v>3227</v>
      </c>
      <c r="H3610" s="9">
        <v>44733</v>
      </c>
      <c r="I3610" t="s">
        <v>99</v>
      </c>
      <c r="J3610" t="s">
        <v>5330</v>
      </c>
      <c r="K3610" s="9">
        <v>44834</v>
      </c>
      <c r="L3610" t="s">
        <v>29</v>
      </c>
      <c r="M3610"/>
      <c r="N3610" s="9">
        <v>44778</v>
      </c>
      <c r="O3610" s="9">
        <v>44834</v>
      </c>
      <c r="P3610"/>
      <c r="Q3610"/>
      <c r="R3610"/>
      <c r="S3610"/>
      <c r="T3610"/>
      <c r="U3610"/>
    </row>
    <row r="3611" spans="1:21" hidden="1">
      <c r="A3611" s="7" t="s">
        <v>8873</v>
      </c>
      <c r="B3611" s="7" t="s">
        <v>7140</v>
      </c>
      <c r="C3611" s="8" t="s">
        <v>5319</v>
      </c>
      <c r="D3611" t="s">
        <v>266</v>
      </c>
      <c r="E3611" t="s">
        <v>2360</v>
      </c>
      <c r="F3611" t="s">
        <v>209</v>
      </c>
      <c r="G3611" t="s">
        <v>3228</v>
      </c>
      <c r="H3611" s="9">
        <v>44733</v>
      </c>
      <c r="I3611" t="s">
        <v>2362</v>
      </c>
      <c r="J3611" t="s">
        <v>5330</v>
      </c>
      <c r="K3611" s="9">
        <v>44834</v>
      </c>
      <c r="L3611" t="s">
        <v>29</v>
      </c>
      <c r="M3611"/>
      <c r="N3611" s="9">
        <v>44778</v>
      </c>
      <c r="O3611" s="9">
        <v>44834</v>
      </c>
      <c r="P3611"/>
      <c r="Q3611"/>
      <c r="R3611"/>
      <c r="S3611"/>
      <c r="T3611"/>
      <c r="U3611"/>
    </row>
    <row r="3612" spans="1:21" hidden="1">
      <c r="A3612" s="7" t="s">
        <v>8873</v>
      </c>
      <c r="B3612" s="7" t="s">
        <v>7140</v>
      </c>
      <c r="C3612" s="8" t="s">
        <v>5319</v>
      </c>
      <c r="D3612" t="s">
        <v>266</v>
      </c>
      <c r="E3612" t="s">
        <v>2360</v>
      </c>
      <c r="F3612" t="s">
        <v>209</v>
      </c>
      <c r="G3612" t="s">
        <v>3229</v>
      </c>
      <c r="H3612" s="9">
        <v>44733</v>
      </c>
      <c r="I3612" t="s">
        <v>2362</v>
      </c>
      <c r="J3612" t="s">
        <v>5330</v>
      </c>
      <c r="K3612" s="9">
        <v>44834</v>
      </c>
      <c r="L3612" t="s">
        <v>29</v>
      </c>
      <c r="M3612"/>
      <c r="N3612" s="9">
        <v>44778</v>
      </c>
      <c r="O3612" s="9">
        <v>44834</v>
      </c>
      <c r="P3612"/>
      <c r="Q3612"/>
      <c r="R3612"/>
      <c r="S3612"/>
      <c r="T3612"/>
      <c r="U3612"/>
    </row>
    <row r="3613" spans="1:21" hidden="1">
      <c r="A3613" s="7" t="s">
        <v>8873</v>
      </c>
      <c r="B3613" s="7" t="s">
        <v>7140</v>
      </c>
      <c r="C3613" s="8" t="s">
        <v>5319</v>
      </c>
      <c r="D3613" t="s">
        <v>266</v>
      </c>
      <c r="E3613" t="s">
        <v>2360</v>
      </c>
      <c r="F3613" t="s">
        <v>209</v>
      </c>
      <c r="G3613" t="s">
        <v>3230</v>
      </c>
      <c r="H3613" s="9">
        <v>44733</v>
      </c>
      <c r="I3613" t="s">
        <v>2362</v>
      </c>
      <c r="J3613" t="s">
        <v>5330</v>
      </c>
      <c r="K3613" s="9">
        <v>44834</v>
      </c>
      <c r="L3613" t="s">
        <v>29</v>
      </c>
      <c r="M3613"/>
      <c r="N3613" s="9">
        <v>44778</v>
      </c>
      <c r="O3613" s="9">
        <v>44834</v>
      </c>
      <c r="P3613"/>
      <c r="Q3613"/>
      <c r="R3613"/>
      <c r="S3613"/>
      <c r="T3613"/>
      <c r="U3613"/>
    </row>
    <row r="3614" spans="1:21" hidden="1">
      <c r="A3614" s="7" t="s">
        <v>8913</v>
      </c>
      <c r="B3614" s="7" t="s">
        <v>6153</v>
      </c>
      <c r="C3614" s="8" t="s">
        <v>5319</v>
      </c>
      <c r="D3614" t="s">
        <v>266</v>
      </c>
      <c r="E3614" t="s">
        <v>3231</v>
      </c>
      <c r="F3614" t="s">
        <v>280</v>
      </c>
      <c r="G3614" t="s">
        <v>3232</v>
      </c>
      <c r="H3614" s="9">
        <v>44733</v>
      </c>
      <c r="I3614" t="s">
        <v>322</v>
      </c>
      <c r="J3614" t="s">
        <v>5330</v>
      </c>
      <c r="K3614" s="9">
        <v>44834</v>
      </c>
      <c r="L3614" t="s">
        <v>29</v>
      </c>
      <c r="M3614"/>
      <c r="N3614" s="9">
        <v>44778</v>
      </c>
      <c r="O3614" s="9">
        <v>44834</v>
      </c>
      <c r="P3614"/>
      <c r="Q3614"/>
      <c r="R3614"/>
      <c r="S3614"/>
      <c r="T3614"/>
      <c r="U3614"/>
    </row>
    <row r="3615" spans="1:21" hidden="1">
      <c r="A3615" s="7" t="s">
        <v>8861</v>
      </c>
      <c r="B3615" s="7" t="s">
        <v>8218</v>
      </c>
      <c r="C3615" s="8" t="s">
        <v>5319</v>
      </c>
      <c r="D3615" t="s">
        <v>266</v>
      </c>
      <c r="E3615" t="s">
        <v>2260</v>
      </c>
      <c r="F3615" t="s">
        <v>117</v>
      </c>
      <c r="G3615" t="s">
        <v>3233</v>
      </c>
      <c r="H3615" s="9">
        <v>44733</v>
      </c>
      <c r="I3615" t="s">
        <v>2262</v>
      </c>
      <c r="J3615" t="s">
        <v>0</v>
      </c>
      <c r="K3615" s="9">
        <v>44879</v>
      </c>
      <c r="L3615" t="s">
        <v>29</v>
      </c>
      <c r="M3615"/>
      <c r="N3615" s="9">
        <v>44778</v>
      </c>
      <c r="O3615" s="9">
        <v>44834</v>
      </c>
      <c r="P3615"/>
      <c r="Q3615" s="9">
        <v>44879</v>
      </c>
      <c r="R3615"/>
      <c r="S3615"/>
      <c r="T3615"/>
      <c r="U3615"/>
    </row>
    <row r="3616" spans="1:21" hidden="1">
      <c r="A3616" s="7" t="s">
        <v>8861</v>
      </c>
      <c r="B3616" s="7" t="s">
        <v>8218</v>
      </c>
      <c r="C3616" s="8" t="s">
        <v>5319</v>
      </c>
      <c r="D3616" t="s">
        <v>266</v>
      </c>
      <c r="E3616" t="s">
        <v>2260</v>
      </c>
      <c r="F3616" t="s">
        <v>117</v>
      </c>
      <c r="G3616" t="s">
        <v>3234</v>
      </c>
      <c r="H3616" s="9">
        <v>44733</v>
      </c>
      <c r="I3616" t="s">
        <v>2262</v>
      </c>
      <c r="J3616" t="s">
        <v>0</v>
      </c>
      <c r="K3616" s="9">
        <v>44879</v>
      </c>
      <c r="L3616" t="s">
        <v>29</v>
      </c>
      <c r="M3616"/>
      <c r="N3616" s="9">
        <v>44778</v>
      </c>
      <c r="O3616" s="9">
        <v>44834</v>
      </c>
      <c r="P3616"/>
      <c r="Q3616" s="9">
        <v>44879</v>
      </c>
      <c r="R3616"/>
      <c r="S3616"/>
      <c r="T3616"/>
      <c r="U3616"/>
    </row>
    <row r="3617" spans="1:21" hidden="1">
      <c r="A3617" s="7" t="s">
        <v>8861</v>
      </c>
      <c r="B3617" s="7" t="s">
        <v>8218</v>
      </c>
      <c r="C3617" s="8" t="s">
        <v>5319</v>
      </c>
      <c r="D3617" t="s">
        <v>266</v>
      </c>
      <c r="E3617" t="s">
        <v>2260</v>
      </c>
      <c r="F3617" t="s">
        <v>117</v>
      </c>
      <c r="G3617" t="s">
        <v>3235</v>
      </c>
      <c r="H3617" s="9">
        <v>44733</v>
      </c>
      <c r="I3617" t="s">
        <v>2262</v>
      </c>
      <c r="J3617" t="s">
        <v>0</v>
      </c>
      <c r="K3617" s="9">
        <v>44879</v>
      </c>
      <c r="L3617" t="s">
        <v>29</v>
      </c>
      <c r="M3617"/>
      <c r="N3617" s="9">
        <v>44778</v>
      </c>
      <c r="O3617" s="9">
        <v>44834</v>
      </c>
      <c r="P3617"/>
      <c r="Q3617" s="9">
        <v>44879</v>
      </c>
      <c r="R3617"/>
      <c r="S3617"/>
      <c r="T3617"/>
      <c r="U3617"/>
    </row>
    <row r="3618" spans="1:21" hidden="1">
      <c r="A3618" s="7" t="s">
        <v>8861</v>
      </c>
      <c r="B3618" s="7" t="s">
        <v>8218</v>
      </c>
      <c r="C3618" s="8" t="s">
        <v>5319</v>
      </c>
      <c r="D3618" t="s">
        <v>266</v>
      </c>
      <c r="E3618" t="s">
        <v>2260</v>
      </c>
      <c r="F3618" t="s">
        <v>117</v>
      </c>
      <c r="G3618" t="s">
        <v>3236</v>
      </c>
      <c r="H3618" s="9">
        <v>44733</v>
      </c>
      <c r="I3618" t="s">
        <v>2262</v>
      </c>
      <c r="J3618" t="s">
        <v>0</v>
      </c>
      <c r="K3618" s="9">
        <v>44879</v>
      </c>
      <c r="L3618" t="s">
        <v>29</v>
      </c>
      <c r="M3618"/>
      <c r="N3618" s="9">
        <v>44778</v>
      </c>
      <c r="O3618" s="9">
        <v>44834</v>
      </c>
      <c r="P3618"/>
      <c r="Q3618" s="9">
        <v>44879</v>
      </c>
      <c r="R3618"/>
      <c r="S3618"/>
      <c r="T3618"/>
      <c r="U3618"/>
    </row>
    <row r="3619" spans="1:21" hidden="1">
      <c r="A3619" s="7" t="s">
        <v>8849</v>
      </c>
      <c r="B3619" s="7" t="s">
        <v>6805</v>
      </c>
      <c r="C3619" s="8" t="s">
        <v>5319</v>
      </c>
      <c r="D3619" t="s">
        <v>266</v>
      </c>
      <c r="E3619" t="s">
        <v>2175</v>
      </c>
      <c r="F3619" t="s">
        <v>75</v>
      </c>
      <c r="G3619" t="s">
        <v>3237</v>
      </c>
      <c r="H3619" s="9">
        <v>44733</v>
      </c>
      <c r="I3619" t="s">
        <v>488</v>
      </c>
      <c r="J3619" t="s">
        <v>5330</v>
      </c>
      <c r="K3619" s="9">
        <v>44834</v>
      </c>
      <c r="L3619" t="s">
        <v>29</v>
      </c>
      <c r="M3619"/>
      <c r="N3619" s="9">
        <v>44778</v>
      </c>
      <c r="O3619" s="9">
        <v>44834</v>
      </c>
      <c r="P3619"/>
      <c r="Q3619"/>
      <c r="R3619"/>
      <c r="S3619"/>
      <c r="T3619"/>
      <c r="U3619"/>
    </row>
    <row r="3620" spans="1:21" hidden="1">
      <c r="A3620" s="7" t="s">
        <v>8914</v>
      </c>
      <c r="B3620" s="7" t="s">
        <v>8340</v>
      </c>
      <c r="C3620" s="8" t="s">
        <v>5319</v>
      </c>
      <c r="D3620" t="s">
        <v>266</v>
      </c>
      <c r="E3620" t="s">
        <v>3238</v>
      </c>
      <c r="F3620" t="s">
        <v>117</v>
      </c>
      <c r="G3620" t="s">
        <v>3239</v>
      </c>
      <c r="H3620" s="9">
        <v>44733</v>
      </c>
      <c r="I3620" t="s">
        <v>2187</v>
      </c>
      <c r="J3620" t="s">
        <v>5330</v>
      </c>
      <c r="K3620" s="9">
        <v>44834</v>
      </c>
      <c r="L3620" t="s">
        <v>29</v>
      </c>
      <c r="M3620"/>
      <c r="N3620" s="9">
        <v>44778</v>
      </c>
      <c r="O3620" s="9">
        <v>44834</v>
      </c>
      <c r="P3620"/>
      <c r="Q3620"/>
      <c r="R3620"/>
      <c r="S3620"/>
      <c r="T3620"/>
      <c r="U3620"/>
    </row>
    <row r="3621" spans="1:21" hidden="1">
      <c r="A3621" s="7" t="s">
        <v>8873</v>
      </c>
      <c r="B3621" s="7" t="s">
        <v>7140</v>
      </c>
      <c r="C3621" s="8" t="s">
        <v>5319</v>
      </c>
      <c r="D3621" t="s">
        <v>266</v>
      </c>
      <c r="E3621" t="s">
        <v>2360</v>
      </c>
      <c r="F3621" t="s">
        <v>209</v>
      </c>
      <c r="G3621" t="s">
        <v>3240</v>
      </c>
      <c r="H3621" s="9">
        <v>44733</v>
      </c>
      <c r="I3621" t="s">
        <v>2362</v>
      </c>
      <c r="J3621" t="s">
        <v>5330</v>
      </c>
      <c r="K3621" s="9">
        <v>44834</v>
      </c>
      <c r="L3621" t="s">
        <v>29</v>
      </c>
      <c r="M3621"/>
      <c r="N3621" s="9">
        <v>44778</v>
      </c>
      <c r="O3621" s="9">
        <v>44834</v>
      </c>
      <c r="P3621"/>
      <c r="Q3621"/>
      <c r="R3621"/>
      <c r="S3621"/>
      <c r="T3621"/>
      <c r="U3621"/>
    </row>
    <row r="3622" spans="1:21" hidden="1">
      <c r="A3622" s="7" t="s">
        <v>8795</v>
      </c>
      <c r="B3622" s="7" t="s">
        <v>5590</v>
      </c>
      <c r="C3622" s="8" t="s">
        <v>5319</v>
      </c>
      <c r="D3622" t="s">
        <v>266</v>
      </c>
      <c r="E3622" t="s">
        <v>990</v>
      </c>
      <c r="F3622" t="s">
        <v>111</v>
      </c>
      <c r="G3622" t="s">
        <v>3241</v>
      </c>
      <c r="H3622" s="9">
        <v>44733</v>
      </c>
      <c r="I3622" t="s">
        <v>408</v>
      </c>
      <c r="J3622" t="s">
        <v>5330</v>
      </c>
      <c r="K3622" s="9">
        <v>44834</v>
      </c>
      <c r="L3622" t="s">
        <v>29</v>
      </c>
      <c r="M3622"/>
      <c r="N3622" s="9">
        <v>44778</v>
      </c>
      <c r="O3622" s="9">
        <v>44834</v>
      </c>
      <c r="P3622"/>
      <c r="Q3622"/>
      <c r="R3622"/>
      <c r="S3622"/>
      <c r="T3622"/>
      <c r="U3622"/>
    </row>
    <row r="3623" spans="1:21" hidden="1">
      <c r="A3623" s="7" t="s">
        <v>8873</v>
      </c>
      <c r="B3623" s="7" t="s">
        <v>7140</v>
      </c>
      <c r="C3623" s="8" t="s">
        <v>5319</v>
      </c>
      <c r="D3623" t="s">
        <v>266</v>
      </c>
      <c r="E3623" t="s">
        <v>2360</v>
      </c>
      <c r="F3623" t="s">
        <v>209</v>
      </c>
      <c r="G3623" t="s">
        <v>3242</v>
      </c>
      <c r="H3623" s="9">
        <v>44733</v>
      </c>
      <c r="I3623" t="s">
        <v>2362</v>
      </c>
      <c r="J3623" t="s">
        <v>5330</v>
      </c>
      <c r="K3623" s="9">
        <v>44834</v>
      </c>
      <c r="L3623" t="s">
        <v>29</v>
      </c>
      <c r="M3623"/>
      <c r="N3623" s="9">
        <v>44778</v>
      </c>
      <c r="O3623" s="9">
        <v>44834</v>
      </c>
      <c r="P3623"/>
      <c r="Q3623"/>
      <c r="R3623"/>
      <c r="S3623"/>
      <c r="T3623"/>
      <c r="U3623"/>
    </row>
    <row r="3624" spans="1:21" hidden="1">
      <c r="A3624" s="7" t="s">
        <v>8873</v>
      </c>
      <c r="B3624" s="7" t="s">
        <v>7140</v>
      </c>
      <c r="C3624" s="8" t="s">
        <v>5319</v>
      </c>
      <c r="D3624" t="s">
        <v>266</v>
      </c>
      <c r="E3624" t="s">
        <v>2360</v>
      </c>
      <c r="F3624" t="s">
        <v>209</v>
      </c>
      <c r="G3624" t="s">
        <v>3243</v>
      </c>
      <c r="H3624" s="9">
        <v>44733</v>
      </c>
      <c r="I3624" t="s">
        <v>2362</v>
      </c>
      <c r="J3624" t="s">
        <v>5330</v>
      </c>
      <c r="K3624" s="9">
        <v>44834</v>
      </c>
      <c r="L3624" t="s">
        <v>29</v>
      </c>
      <c r="M3624"/>
      <c r="N3624" s="9">
        <v>44778</v>
      </c>
      <c r="O3624" s="9">
        <v>44834</v>
      </c>
      <c r="P3624"/>
      <c r="Q3624"/>
      <c r="R3624"/>
      <c r="S3624"/>
      <c r="T3624"/>
      <c r="U3624"/>
    </row>
    <row r="3625" spans="1:21" hidden="1">
      <c r="A3625" s="7" t="s">
        <v>8909</v>
      </c>
      <c r="B3625" s="7" t="s">
        <v>6924</v>
      </c>
      <c r="C3625" s="8" t="s">
        <v>5319</v>
      </c>
      <c r="D3625" t="s">
        <v>266</v>
      </c>
      <c r="E3625" t="s">
        <v>3100</v>
      </c>
      <c r="F3625" t="s">
        <v>111</v>
      </c>
      <c r="G3625" t="s">
        <v>3244</v>
      </c>
      <c r="H3625" s="9">
        <v>44733</v>
      </c>
      <c r="I3625" t="s">
        <v>2715</v>
      </c>
      <c r="J3625" t="s">
        <v>5330</v>
      </c>
      <c r="K3625" s="9">
        <v>44834</v>
      </c>
      <c r="L3625" t="s">
        <v>29</v>
      </c>
      <c r="M3625"/>
      <c r="N3625" s="9">
        <v>44778</v>
      </c>
      <c r="O3625" s="9">
        <v>44834</v>
      </c>
      <c r="P3625"/>
      <c r="Q3625"/>
      <c r="R3625"/>
      <c r="S3625"/>
      <c r="T3625"/>
      <c r="U3625"/>
    </row>
    <row r="3626" spans="1:21" hidden="1">
      <c r="A3626" s="7" t="s">
        <v>8874</v>
      </c>
      <c r="B3626" s="7" t="s">
        <v>7053</v>
      </c>
      <c r="C3626" s="8" t="s">
        <v>5319</v>
      </c>
      <c r="D3626" t="s">
        <v>266</v>
      </c>
      <c r="E3626" t="s">
        <v>2503</v>
      </c>
      <c r="F3626" t="s">
        <v>280</v>
      </c>
      <c r="G3626" t="s">
        <v>3245</v>
      </c>
      <c r="H3626" s="9">
        <v>44733</v>
      </c>
      <c r="I3626" t="s">
        <v>903</v>
      </c>
      <c r="J3626" t="s">
        <v>276</v>
      </c>
      <c r="K3626" s="9">
        <v>44882.647395833301</v>
      </c>
      <c r="L3626" t="s">
        <v>29</v>
      </c>
      <c r="M3626"/>
      <c r="N3626" s="9">
        <v>44778</v>
      </c>
      <c r="O3626" s="9">
        <v>44834</v>
      </c>
      <c r="P3626"/>
      <c r="Q3626"/>
      <c r="R3626" s="9">
        <v>44882.645879629599</v>
      </c>
      <c r="S3626"/>
      <c r="T3626"/>
      <c r="U3626"/>
    </row>
    <row r="3627" spans="1:21" hidden="1">
      <c r="A3627" s="7" t="s">
        <v>8867</v>
      </c>
      <c r="B3627" s="7" t="s">
        <v>7140</v>
      </c>
      <c r="C3627" s="8" t="s">
        <v>5319</v>
      </c>
      <c r="D3627" t="s">
        <v>266</v>
      </c>
      <c r="E3627" t="s">
        <v>2360</v>
      </c>
      <c r="F3627" t="s">
        <v>231</v>
      </c>
      <c r="G3627" t="s">
        <v>3246</v>
      </c>
      <c r="H3627" s="9">
        <v>44733</v>
      </c>
      <c r="I3627" t="s">
        <v>2362</v>
      </c>
      <c r="J3627" t="s">
        <v>5330</v>
      </c>
      <c r="K3627" s="9">
        <v>44834</v>
      </c>
      <c r="L3627" t="s">
        <v>29</v>
      </c>
      <c r="M3627"/>
      <c r="N3627" s="9">
        <v>44778</v>
      </c>
      <c r="O3627" s="9">
        <v>44834</v>
      </c>
      <c r="P3627"/>
      <c r="Q3627"/>
      <c r="R3627"/>
      <c r="S3627"/>
      <c r="T3627"/>
      <c r="U3627"/>
    </row>
    <row r="3628" spans="1:21" hidden="1">
      <c r="A3628" s="7" t="s">
        <v>8915</v>
      </c>
      <c r="B3628" s="7" t="s">
        <v>8363</v>
      </c>
      <c r="C3628" s="8" t="s">
        <v>5319</v>
      </c>
      <c r="D3628" t="s">
        <v>266</v>
      </c>
      <c r="E3628" t="s">
        <v>3247</v>
      </c>
      <c r="F3628" t="s">
        <v>117</v>
      </c>
      <c r="G3628" t="s">
        <v>3248</v>
      </c>
      <c r="H3628" s="9">
        <v>44733</v>
      </c>
      <c r="I3628" t="s">
        <v>99</v>
      </c>
      <c r="J3628" t="s">
        <v>0</v>
      </c>
      <c r="K3628" s="9">
        <v>44879</v>
      </c>
      <c r="L3628" t="s">
        <v>29</v>
      </c>
      <c r="M3628"/>
      <c r="N3628" s="9">
        <v>44778</v>
      </c>
      <c r="O3628" s="9">
        <v>44834</v>
      </c>
      <c r="P3628"/>
      <c r="Q3628" s="9">
        <v>44879</v>
      </c>
      <c r="R3628"/>
      <c r="S3628"/>
      <c r="T3628"/>
      <c r="U3628"/>
    </row>
    <row r="3629" spans="1:21" hidden="1">
      <c r="A3629" s="7" t="s">
        <v>8915</v>
      </c>
      <c r="B3629" s="7" t="s">
        <v>8363</v>
      </c>
      <c r="C3629" s="8" t="s">
        <v>5319</v>
      </c>
      <c r="D3629" t="s">
        <v>266</v>
      </c>
      <c r="E3629" t="s">
        <v>3247</v>
      </c>
      <c r="F3629" t="s">
        <v>117</v>
      </c>
      <c r="G3629" t="s">
        <v>3249</v>
      </c>
      <c r="H3629" s="9">
        <v>44733</v>
      </c>
      <c r="I3629" t="s">
        <v>99</v>
      </c>
      <c r="J3629" t="s">
        <v>0</v>
      </c>
      <c r="K3629" s="9">
        <v>44879</v>
      </c>
      <c r="L3629" t="s">
        <v>29</v>
      </c>
      <c r="M3629"/>
      <c r="N3629" s="9">
        <v>44778</v>
      </c>
      <c r="O3629" s="9">
        <v>44834</v>
      </c>
      <c r="P3629"/>
      <c r="Q3629" s="9">
        <v>44879</v>
      </c>
      <c r="R3629"/>
      <c r="S3629"/>
      <c r="T3629"/>
      <c r="U3629"/>
    </row>
    <row r="3630" spans="1:21" hidden="1">
      <c r="A3630" s="7" t="s">
        <v>8915</v>
      </c>
      <c r="B3630" s="7" t="s">
        <v>8363</v>
      </c>
      <c r="C3630" s="8" t="s">
        <v>5319</v>
      </c>
      <c r="D3630" t="s">
        <v>266</v>
      </c>
      <c r="E3630" t="s">
        <v>3247</v>
      </c>
      <c r="F3630" t="s">
        <v>117</v>
      </c>
      <c r="G3630" t="s">
        <v>3250</v>
      </c>
      <c r="H3630" s="9">
        <v>44733</v>
      </c>
      <c r="I3630" t="s">
        <v>99</v>
      </c>
      <c r="J3630" t="s">
        <v>0</v>
      </c>
      <c r="K3630" s="9">
        <v>44879</v>
      </c>
      <c r="L3630" t="s">
        <v>29</v>
      </c>
      <c r="M3630"/>
      <c r="N3630" s="9">
        <v>44778</v>
      </c>
      <c r="O3630" s="9">
        <v>44834</v>
      </c>
      <c r="P3630"/>
      <c r="Q3630" s="9">
        <v>44879</v>
      </c>
      <c r="R3630"/>
      <c r="S3630"/>
      <c r="T3630"/>
      <c r="U3630"/>
    </row>
    <row r="3631" spans="1:21" hidden="1">
      <c r="A3631" s="7" t="s">
        <v>8915</v>
      </c>
      <c r="B3631" s="7" t="s">
        <v>8363</v>
      </c>
      <c r="C3631" s="8" t="s">
        <v>5319</v>
      </c>
      <c r="D3631" t="s">
        <v>266</v>
      </c>
      <c r="E3631" t="s">
        <v>3247</v>
      </c>
      <c r="F3631" t="s">
        <v>117</v>
      </c>
      <c r="G3631" t="s">
        <v>3251</v>
      </c>
      <c r="H3631" s="9">
        <v>44733</v>
      </c>
      <c r="I3631" t="s">
        <v>99</v>
      </c>
      <c r="J3631" t="s">
        <v>0</v>
      </c>
      <c r="K3631" s="9">
        <v>44879</v>
      </c>
      <c r="L3631" t="s">
        <v>29</v>
      </c>
      <c r="M3631"/>
      <c r="N3631" s="9">
        <v>44778</v>
      </c>
      <c r="O3631" s="9">
        <v>44834</v>
      </c>
      <c r="P3631"/>
      <c r="Q3631" s="9">
        <v>44879</v>
      </c>
      <c r="R3631"/>
      <c r="S3631"/>
      <c r="T3631"/>
      <c r="U3631"/>
    </row>
    <row r="3632" spans="1:21" hidden="1">
      <c r="A3632" s="7" t="s">
        <v>8915</v>
      </c>
      <c r="B3632" s="7" t="s">
        <v>8363</v>
      </c>
      <c r="C3632" s="8" t="s">
        <v>5319</v>
      </c>
      <c r="D3632" t="s">
        <v>266</v>
      </c>
      <c r="E3632" t="s">
        <v>3247</v>
      </c>
      <c r="F3632" t="s">
        <v>117</v>
      </c>
      <c r="G3632" t="s">
        <v>3252</v>
      </c>
      <c r="H3632" s="9">
        <v>44733</v>
      </c>
      <c r="I3632" t="s">
        <v>99</v>
      </c>
      <c r="J3632" t="s">
        <v>0</v>
      </c>
      <c r="K3632" s="9">
        <v>44879</v>
      </c>
      <c r="L3632" t="s">
        <v>29</v>
      </c>
      <c r="M3632"/>
      <c r="N3632" s="9">
        <v>44778</v>
      </c>
      <c r="O3632" s="9">
        <v>44834</v>
      </c>
      <c r="P3632"/>
      <c r="Q3632" s="9">
        <v>44879</v>
      </c>
      <c r="R3632"/>
      <c r="S3632"/>
      <c r="T3632"/>
      <c r="U3632"/>
    </row>
    <row r="3633" spans="1:21" hidden="1">
      <c r="A3633" s="7" t="s">
        <v>8915</v>
      </c>
      <c r="B3633" s="7" t="s">
        <v>8363</v>
      </c>
      <c r="C3633" s="8" t="s">
        <v>5319</v>
      </c>
      <c r="D3633" t="s">
        <v>266</v>
      </c>
      <c r="E3633" t="s">
        <v>3247</v>
      </c>
      <c r="F3633" t="s">
        <v>117</v>
      </c>
      <c r="G3633" t="s">
        <v>3253</v>
      </c>
      <c r="H3633" s="9">
        <v>44733</v>
      </c>
      <c r="I3633" t="s">
        <v>99</v>
      </c>
      <c r="J3633" t="s">
        <v>0</v>
      </c>
      <c r="K3633" s="9">
        <v>44879</v>
      </c>
      <c r="L3633" t="s">
        <v>29</v>
      </c>
      <c r="M3633"/>
      <c r="N3633" s="9">
        <v>44778</v>
      </c>
      <c r="O3633" s="9">
        <v>44834</v>
      </c>
      <c r="P3633"/>
      <c r="Q3633" s="9">
        <v>44879</v>
      </c>
      <c r="R3633"/>
      <c r="S3633"/>
      <c r="T3633"/>
      <c r="U3633"/>
    </row>
    <row r="3634" spans="1:21" hidden="1">
      <c r="A3634" s="7" t="s">
        <v>8915</v>
      </c>
      <c r="B3634" s="7" t="s">
        <v>8363</v>
      </c>
      <c r="C3634" s="8" t="s">
        <v>5319</v>
      </c>
      <c r="D3634" t="s">
        <v>266</v>
      </c>
      <c r="E3634" t="s">
        <v>3247</v>
      </c>
      <c r="F3634" t="s">
        <v>117</v>
      </c>
      <c r="G3634" t="s">
        <v>3254</v>
      </c>
      <c r="H3634" s="9">
        <v>44733</v>
      </c>
      <c r="I3634" t="s">
        <v>99</v>
      </c>
      <c r="J3634" t="s">
        <v>0</v>
      </c>
      <c r="K3634" s="9">
        <v>44879</v>
      </c>
      <c r="L3634" t="s">
        <v>29</v>
      </c>
      <c r="M3634"/>
      <c r="N3634" s="9">
        <v>44778</v>
      </c>
      <c r="O3634" s="9">
        <v>44834</v>
      </c>
      <c r="P3634"/>
      <c r="Q3634" s="9">
        <v>44879</v>
      </c>
      <c r="R3634"/>
      <c r="S3634"/>
      <c r="T3634"/>
      <c r="U3634"/>
    </row>
    <row r="3635" spans="1:21" hidden="1">
      <c r="A3635" s="7" t="s">
        <v>8915</v>
      </c>
      <c r="B3635" s="7" t="s">
        <v>8363</v>
      </c>
      <c r="C3635" s="8" t="s">
        <v>5319</v>
      </c>
      <c r="D3635" t="s">
        <v>266</v>
      </c>
      <c r="E3635" t="s">
        <v>3247</v>
      </c>
      <c r="F3635" t="s">
        <v>117</v>
      </c>
      <c r="G3635" t="s">
        <v>3255</v>
      </c>
      <c r="H3635" s="9">
        <v>44733</v>
      </c>
      <c r="I3635" t="s">
        <v>99</v>
      </c>
      <c r="J3635" t="s">
        <v>0</v>
      </c>
      <c r="K3635" s="9">
        <v>44879</v>
      </c>
      <c r="L3635" t="s">
        <v>29</v>
      </c>
      <c r="M3635"/>
      <c r="N3635" s="9">
        <v>44778</v>
      </c>
      <c r="O3635" s="9">
        <v>44834</v>
      </c>
      <c r="P3635"/>
      <c r="Q3635" s="9">
        <v>44879</v>
      </c>
      <c r="R3635"/>
      <c r="S3635"/>
      <c r="T3635"/>
      <c r="U3635"/>
    </row>
    <row r="3636" spans="1:21" hidden="1">
      <c r="A3636" s="7" t="s">
        <v>8915</v>
      </c>
      <c r="B3636" s="7" t="s">
        <v>8363</v>
      </c>
      <c r="C3636" s="8" t="s">
        <v>5319</v>
      </c>
      <c r="D3636" t="s">
        <v>266</v>
      </c>
      <c r="E3636" t="s">
        <v>3247</v>
      </c>
      <c r="F3636" t="s">
        <v>117</v>
      </c>
      <c r="G3636" t="s">
        <v>3256</v>
      </c>
      <c r="H3636" s="9">
        <v>44733</v>
      </c>
      <c r="I3636" t="s">
        <v>99</v>
      </c>
      <c r="J3636" t="s">
        <v>0</v>
      </c>
      <c r="K3636" s="9">
        <v>44879</v>
      </c>
      <c r="L3636" t="s">
        <v>29</v>
      </c>
      <c r="M3636"/>
      <c r="N3636" s="9">
        <v>44778</v>
      </c>
      <c r="O3636" s="9">
        <v>44834</v>
      </c>
      <c r="P3636"/>
      <c r="Q3636" s="9">
        <v>44879</v>
      </c>
      <c r="R3636"/>
      <c r="S3636"/>
      <c r="T3636"/>
      <c r="U3636"/>
    </row>
    <row r="3637" spans="1:21" hidden="1">
      <c r="A3637" s="7" t="s">
        <v>8916</v>
      </c>
      <c r="B3637" s="7" t="s">
        <v>6766</v>
      </c>
      <c r="C3637" s="8" t="s">
        <v>5319</v>
      </c>
      <c r="D3637" t="s">
        <v>266</v>
      </c>
      <c r="E3637" t="s">
        <v>3257</v>
      </c>
      <c r="F3637" t="s">
        <v>117</v>
      </c>
      <c r="G3637" t="s">
        <v>3258</v>
      </c>
      <c r="H3637" s="9">
        <v>44733</v>
      </c>
      <c r="I3637" t="s">
        <v>408</v>
      </c>
      <c r="J3637" t="s">
        <v>5330</v>
      </c>
      <c r="K3637" s="9">
        <v>44834</v>
      </c>
      <c r="L3637" t="s">
        <v>29</v>
      </c>
      <c r="M3637"/>
      <c r="N3637" s="9">
        <v>44778</v>
      </c>
      <c r="O3637" s="9">
        <v>44834</v>
      </c>
      <c r="P3637"/>
      <c r="Q3637"/>
      <c r="R3637"/>
      <c r="S3637"/>
      <c r="T3637"/>
      <c r="U3637"/>
    </row>
    <row r="3638" spans="1:21" hidden="1">
      <c r="A3638" s="7" t="s">
        <v>8916</v>
      </c>
      <c r="B3638" s="7" t="s">
        <v>6766</v>
      </c>
      <c r="C3638" s="8" t="s">
        <v>5319</v>
      </c>
      <c r="D3638" t="s">
        <v>266</v>
      </c>
      <c r="E3638" t="s">
        <v>3257</v>
      </c>
      <c r="F3638" t="s">
        <v>117</v>
      </c>
      <c r="G3638" t="s">
        <v>3259</v>
      </c>
      <c r="H3638" s="9">
        <v>44733</v>
      </c>
      <c r="I3638" t="s">
        <v>408</v>
      </c>
      <c r="J3638" t="s">
        <v>5330</v>
      </c>
      <c r="K3638" s="9">
        <v>44834</v>
      </c>
      <c r="L3638" t="s">
        <v>29</v>
      </c>
      <c r="M3638"/>
      <c r="N3638" s="9">
        <v>44778</v>
      </c>
      <c r="O3638" s="9">
        <v>44834</v>
      </c>
      <c r="P3638"/>
      <c r="Q3638"/>
      <c r="R3638"/>
      <c r="S3638"/>
      <c r="T3638"/>
      <c r="U3638"/>
    </row>
    <row r="3639" spans="1:21" hidden="1">
      <c r="A3639" s="7" t="s">
        <v>8874</v>
      </c>
      <c r="B3639" s="7" t="s">
        <v>7053</v>
      </c>
      <c r="C3639" s="8" t="s">
        <v>5319</v>
      </c>
      <c r="D3639" t="s">
        <v>266</v>
      </c>
      <c r="E3639" t="s">
        <v>2503</v>
      </c>
      <c r="F3639" t="s">
        <v>280</v>
      </c>
      <c r="G3639" t="s">
        <v>3260</v>
      </c>
      <c r="H3639" s="9">
        <v>44733</v>
      </c>
      <c r="I3639" t="s">
        <v>903</v>
      </c>
      <c r="J3639" t="s">
        <v>276</v>
      </c>
      <c r="K3639" s="9">
        <v>44882.647395833301</v>
      </c>
      <c r="L3639" t="s">
        <v>29</v>
      </c>
      <c r="M3639"/>
      <c r="N3639" s="9">
        <v>44778</v>
      </c>
      <c r="O3639" s="9">
        <v>44834</v>
      </c>
      <c r="P3639"/>
      <c r="Q3639"/>
      <c r="R3639" s="9">
        <v>44882.645879629599</v>
      </c>
      <c r="S3639"/>
      <c r="T3639"/>
      <c r="U3639"/>
    </row>
    <row r="3640" spans="1:21" hidden="1">
      <c r="A3640" s="7" t="s">
        <v>8916</v>
      </c>
      <c r="B3640" s="7" t="s">
        <v>6766</v>
      </c>
      <c r="C3640" s="8" t="s">
        <v>5319</v>
      </c>
      <c r="D3640" t="s">
        <v>266</v>
      </c>
      <c r="E3640" t="s">
        <v>3257</v>
      </c>
      <c r="F3640" t="s">
        <v>117</v>
      </c>
      <c r="G3640" t="s">
        <v>3261</v>
      </c>
      <c r="H3640" s="9">
        <v>44733</v>
      </c>
      <c r="I3640" t="s">
        <v>408</v>
      </c>
      <c r="J3640" t="s">
        <v>5330</v>
      </c>
      <c r="K3640" s="9">
        <v>44834</v>
      </c>
      <c r="L3640" t="s">
        <v>29</v>
      </c>
      <c r="M3640"/>
      <c r="N3640" s="9">
        <v>44778</v>
      </c>
      <c r="O3640" s="9">
        <v>44834</v>
      </c>
      <c r="P3640"/>
      <c r="Q3640"/>
      <c r="R3640"/>
      <c r="S3640"/>
      <c r="T3640"/>
      <c r="U3640"/>
    </row>
    <row r="3641" spans="1:21" hidden="1">
      <c r="A3641" s="7" t="s">
        <v>8916</v>
      </c>
      <c r="B3641" s="7" t="s">
        <v>6766</v>
      </c>
      <c r="C3641" s="8" t="s">
        <v>5319</v>
      </c>
      <c r="D3641" t="s">
        <v>266</v>
      </c>
      <c r="E3641" t="s">
        <v>3257</v>
      </c>
      <c r="F3641" t="s">
        <v>117</v>
      </c>
      <c r="G3641" t="s">
        <v>3262</v>
      </c>
      <c r="H3641" s="9">
        <v>44733</v>
      </c>
      <c r="I3641" t="s">
        <v>408</v>
      </c>
      <c r="J3641" t="s">
        <v>5330</v>
      </c>
      <c r="K3641" s="9">
        <v>44834</v>
      </c>
      <c r="L3641" t="s">
        <v>29</v>
      </c>
      <c r="M3641"/>
      <c r="N3641" s="9">
        <v>44778</v>
      </c>
      <c r="O3641" s="9">
        <v>44834</v>
      </c>
      <c r="P3641"/>
      <c r="Q3641"/>
      <c r="R3641"/>
      <c r="S3641"/>
      <c r="T3641"/>
      <c r="U3641"/>
    </row>
    <row r="3642" spans="1:21" hidden="1">
      <c r="A3642" s="7" t="s">
        <v>8916</v>
      </c>
      <c r="B3642" s="7" t="s">
        <v>6766</v>
      </c>
      <c r="C3642" s="8" t="s">
        <v>5319</v>
      </c>
      <c r="D3642" t="s">
        <v>266</v>
      </c>
      <c r="E3642" t="s">
        <v>3257</v>
      </c>
      <c r="F3642" t="s">
        <v>117</v>
      </c>
      <c r="G3642" t="s">
        <v>3263</v>
      </c>
      <c r="H3642" s="9">
        <v>44733</v>
      </c>
      <c r="I3642" t="s">
        <v>408</v>
      </c>
      <c r="J3642" t="s">
        <v>5330</v>
      </c>
      <c r="K3642" s="9">
        <v>44834</v>
      </c>
      <c r="L3642" t="s">
        <v>29</v>
      </c>
      <c r="M3642"/>
      <c r="N3642" s="9">
        <v>44778</v>
      </c>
      <c r="O3642" s="9">
        <v>44834</v>
      </c>
      <c r="P3642"/>
      <c r="Q3642"/>
      <c r="R3642"/>
      <c r="S3642"/>
      <c r="T3642"/>
      <c r="U3642"/>
    </row>
    <row r="3643" spans="1:21" hidden="1">
      <c r="A3643" s="7" t="s">
        <v>8916</v>
      </c>
      <c r="B3643" s="7" t="s">
        <v>6766</v>
      </c>
      <c r="C3643" s="8" t="s">
        <v>5319</v>
      </c>
      <c r="D3643" t="s">
        <v>266</v>
      </c>
      <c r="E3643" t="s">
        <v>3257</v>
      </c>
      <c r="F3643" t="s">
        <v>117</v>
      </c>
      <c r="G3643" t="s">
        <v>3264</v>
      </c>
      <c r="H3643" s="9">
        <v>44733</v>
      </c>
      <c r="I3643" t="s">
        <v>408</v>
      </c>
      <c r="J3643" t="s">
        <v>5330</v>
      </c>
      <c r="K3643" s="9">
        <v>44834</v>
      </c>
      <c r="L3643" t="s">
        <v>29</v>
      </c>
      <c r="M3643"/>
      <c r="N3643" s="9">
        <v>44778</v>
      </c>
      <c r="O3643" s="9">
        <v>44834</v>
      </c>
      <c r="P3643"/>
      <c r="Q3643"/>
      <c r="R3643"/>
      <c r="S3643"/>
      <c r="T3643"/>
      <c r="U3643"/>
    </row>
    <row r="3644" spans="1:21" hidden="1">
      <c r="A3644" s="7" t="s">
        <v>8909</v>
      </c>
      <c r="B3644" s="7" t="s">
        <v>6924</v>
      </c>
      <c r="C3644" s="8" t="s">
        <v>5319</v>
      </c>
      <c r="D3644" t="s">
        <v>266</v>
      </c>
      <c r="E3644" t="s">
        <v>3100</v>
      </c>
      <c r="F3644" t="s">
        <v>111</v>
      </c>
      <c r="G3644" t="s">
        <v>3265</v>
      </c>
      <c r="H3644" s="9">
        <v>44733</v>
      </c>
      <c r="I3644" t="s">
        <v>2715</v>
      </c>
      <c r="J3644" t="s">
        <v>5330</v>
      </c>
      <c r="K3644" s="9">
        <v>44834</v>
      </c>
      <c r="L3644" t="s">
        <v>29</v>
      </c>
      <c r="M3644"/>
      <c r="N3644" s="9">
        <v>44778</v>
      </c>
      <c r="O3644" s="9">
        <v>44834</v>
      </c>
      <c r="P3644"/>
      <c r="Q3644"/>
      <c r="R3644"/>
      <c r="S3644"/>
      <c r="T3644"/>
      <c r="U3644"/>
    </row>
    <row r="3645" spans="1:21" hidden="1">
      <c r="A3645" s="7" t="s">
        <v>8849</v>
      </c>
      <c r="B3645" s="7" t="s">
        <v>6805</v>
      </c>
      <c r="C3645" s="8" t="s">
        <v>5319</v>
      </c>
      <c r="D3645" t="s">
        <v>266</v>
      </c>
      <c r="E3645" t="s">
        <v>2175</v>
      </c>
      <c r="F3645" t="s">
        <v>75</v>
      </c>
      <c r="G3645" t="s">
        <v>3266</v>
      </c>
      <c r="H3645" s="9">
        <v>44733</v>
      </c>
      <c r="I3645" t="s">
        <v>488</v>
      </c>
      <c r="J3645" t="s">
        <v>5330</v>
      </c>
      <c r="K3645" s="9">
        <v>44834</v>
      </c>
      <c r="L3645" t="s">
        <v>29</v>
      </c>
      <c r="M3645"/>
      <c r="N3645" s="9">
        <v>44778</v>
      </c>
      <c r="O3645" s="9">
        <v>44834</v>
      </c>
      <c r="P3645"/>
      <c r="Q3645"/>
      <c r="R3645"/>
      <c r="S3645"/>
      <c r="T3645"/>
      <c r="U3645"/>
    </row>
    <row r="3646" spans="1:21" hidden="1">
      <c r="A3646" s="7" t="s">
        <v>8849</v>
      </c>
      <c r="B3646" s="7" t="s">
        <v>6805</v>
      </c>
      <c r="C3646" s="8" t="s">
        <v>5319</v>
      </c>
      <c r="D3646" t="s">
        <v>266</v>
      </c>
      <c r="E3646" t="s">
        <v>2175</v>
      </c>
      <c r="F3646" t="s">
        <v>75</v>
      </c>
      <c r="G3646" t="s">
        <v>3267</v>
      </c>
      <c r="H3646" s="9">
        <v>44733</v>
      </c>
      <c r="I3646" t="s">
        <v>488</v>
      </c>
      <c r="J3646" t="s">
        <v>5330</v>
      </c>
      <c r="K3646" s="9">
        <v>44834</v>
      </c>
      <c r="L3646" t="s">
        <v>29</v>
      </c>
      <c r="M3646"/>
      <c r="N3646" s="9">
        <v>44778</v>
      </c>
      <c r="O3646" s="9">
        <v>44834</v>
      </c>
      <c r="P3646"/>
      <c r="Q3646"/>
      <c r="R3646"/>
      <c r="S3646"/>
      <c r="T3646"/>
      <c r="U3646"/>
    </row>
    <row r="3647" spans="1:21" hidden="1">
      <c r="A3647" s="7" t="s">
        <v>8901</v>
      </c>
      <c r="B3647" s="7" t="s">
        <v>6924</v>
      </c>
      <c r="C3647" s="8" t="s">
        <v>5319</v>
      </c>
      <c r="D3647" t="s">
        <v>266</v>
      </c>
      <c r="E3647" t="s">
        <v>3100</v>
      </c>
      <c r="F3647" t="s">
        <v>26</v>
      </c>
      <c r="G3647" t="s">
        <v>3268</v>
      </c>
      <c r="H3647" s="9">
        <v>44733</v>
      </c>
      <c r="I3647" t="s">
        <v>3102</v>
      </c>
      <c r="J3647" t="s">
        <v>5330</v>
      </c>
      <c r="K3647" s="9">
        <v>44834</v>
      </c>
      <c r="L3647" t="s">
        <v>29</v>
      </c>
      <c r="M3647"/>
      <c r="N3647" s="9">
        <v>44778</v>
      </c>
      <c r="O3647" s="9">
        <v>44834</v>
      </c>
      <c r="P3647"/>
      <c r="Q3647"/>
      <c r="R3647"/>
      <c r="S3647"/>
      <c r="T3647"/>
      <c r="U3647"/>
    </row>
    <row r="3648" spans="1:21" hidden="1">
      <c r="A3648" s="7" t="s">
        <v>8901</v>
      </c>
      <c r="B3648" s="7" t="s">
        <v>6924</v>
      </c>
      <c r="C3648" s="8" t="s">
        <v>5319</v>
      </c>
      <c r="D3648" t="s">
        <v>266</v>
      </c>
      <c r="E3648" t="s">
        <v>3100</v>
      </c>
      <c r="F3648" t="s">
        <v>26</v>
      </c>
      <c r="G3648" t="s">
        <v>3269</v>
      </c>
      <c r="H3648" s="9">
        <v>44733</v>
      </c>
      <c r="I3648" t="s">
        <v>3102</v>
      </c>
      <c r="J3648" t="s">
        <v>5330</v>
      </c>
      <c r="K3648" s="9">
        <v>44834</v>
      </c>
      <c r="L3648" t="s">
        <v>29</v>
      </c>
      <c r="M3648"/>
      <c r="N3648" s="9">
        <v>44778</v>
      </c>
      <c r="O3648" s="9">
        <v>44834</v>
      </c>
      <c r="P3648"/>
      <c r="Q3648"/>
      <c r="R3648"/>
      <c r="S3648"/>
      <c r="T3648"/>
      <c r="U3648"/>
    </row>
    <row r="3649" spans="1:21" hidden="1">
      <c r="A3649" s="7" t="s">
        <v>8901</v>
      </c>
      <c r="B3649" s="7" t="s">
        <v>6924</v>
      </c>
      <c r="C3649" s="8" t="s">
        <v>5319</v>
      </c>
      <c r="D3649" t="s">
        <v>266</v>
      </c>
      <c r="E3649" t="s">
        <v>3100</v>
      </c>
      <c r="F3649" t="s">
        <v>26</v>
      </c>
      <c r="G3649" t="s">
        <v>3270</v>
      </c>
      <c r="H3649" s="9">
        <v>44733</v>
      </c>
      <c r="I3649" t="s">
        <v>3102</v>
      </c>
      <c r="J3649" t="s">
        <v>5330</v>
      </c>
      <c r="K3649" s="9">
        <v>44834</v>
      </c>
      <c r="L3649" t="s">
        <v>29</v>
      </c>
      <c r="M3649"/>
      <c r="N3649" s="9">
        <v>44778</v>
      </c>
      <c r="O3649" s="9">
        <v>44834</v>
      </c>
      <c r="P3649"/>
      <c r="Q3649"/>
      <c r="R3649"/>
      <c r="S3649"/>
      <c r="T3649"/>
      <c r="U3649"/>
    </row>
    <row r="3650" spans="1:21" hidden="1">
      <c r="A3650" s="7" t="s">
        <v>8795</v>
      </c>
      <c r="B3650" s="7" t="s">
        <v>5590</v>
      </c>
      <c r="C3650" s="8" t="s">
        <v>5319</v>
      </c>
      <c r="D3650" t="s">
        <v>266</v>
      </c>
      <c r="E3650" t="s">
        <v>990</v>
      </c>
      <c r="F3650" t="s">
        <v>111</v>
      </c>
      <c r="G3650" t="s">
        <v>3271</v>
      </c>
      <c r="H3650" s="9">
        <v>44733</v>
      </c>
      <c r="I3650" t="s">
        <v>408</v>
      </c>
      <c r="J3650" t="s">
        <v>5330</v>
      </c>
      <c r="K3650" s="9">
        <v>44834</v>
      </c>
      <c r="L3650" t="s">
        <v>29</v>
      </c>
      <c r="M3650"/>
      <c r="N3650" s="9">
        <v>44778</v>
      </c>
      <c r="O3650" s="9">
        <v>44834</v>
      </c>
      <c r="P3650"/>
      <c r="Q3650"/>
      <c r="R3650"/>
      <c r="S3650"/>
      <c r="T3650"/>
      <c r="U3650"/>
    </row>
    <row r="3651" spans="1:21" hidden="1">
      <c r="A3651" s="7" t="s">
        <v>8917</v>
      </c>
      <c r="B3651" s="7" t="s">
        <v>6774</v>
      </c>
      <c r="C3651" s="8" t="s">
        <v>5319</v>
      </c>
      <c r="D3651" t="s">
        <v>266</v>
      </c>
      <c r="E3651" t="s">
        <v>3272</v>
      </c>
      <c r="F3651" t="s">
        <v>117</v>
      </c>
      <c r="G3651" t="s">
        <v>3273</v>
      </c>
      <c r="H3651" s="9">
        <v>44733</v>
      </c>
      <c r="I3651" t="s">
        <v>2715</v>
      </c>
      <c r="J3651" t="s">
        <v>5330</v>
      </c>
      <c r="K3651" s="9">
        <v>44834</v>
      </c>
      <c r="L3651" t="s">
        <v>29</v>
      </c>
      <c r="M3651"/>
      <c r="N3651" s="9">
        <v>44778</v>
      </c>
      <c r="O3651" s="9">
        <v>44834</v>
      </c>
      <c r="P3651"/>
      <c r="Q3651"/>
      <c r="R3651"/>
      <c r="S3651"/>
      <c r="T3651"/>
      <c r="U3651"/>
    </row>
    <row r="3652" spans="1:21" hidden="1">
      <c r="A3652" s="7" t="s">
        <v>8917</v>
      </c>
      <c r="B3652" s="7" t="s">
        <v>6774</v>
      </c>
      <c r="C3652" s="8" t="s">
        <v>5319</v>
      </c>
      <c r="D3652" t="s">
        <v>266</v>
      </c>
      <c r="E3652" t="s">
        <v>3272</v>
      </c>
      <c r="F3652" t="s">
        <v>117</v>
      </c>
      <c r="G3652" t="s">
        <v>3274</v>
      </c>
      <c r="H3652" s="9">
        <v>44733</v>
      </c>
      <c r="I3652" t="s">
        <v>2715</v>
      </c>
      <c r="J3652" t="s">
        <v>5330</v>
      </c>
      <c r="K3652" s="9">
        <v>44834</v>
      </c>
      <c r="L3652" t="s">
        <v>29</v>
      </c>
      <c r="M3652"/>
      <c r="N3652" s="9">
        <v>44778</v>
      </c>
      <c r="O3652" s="9">
        <v>44834</v>
      </c>
      <c r="P3652"/>
      <c r="Q3652"/>
      <c r="R3652"/>
      <c r="S3652"/>
      <c r="T3652"/>
      <c r="U3652"/>
    </row>
    <row r="3653" spans="1:21" hidden="1">
      <c r="A3653" s="7" t="s">
        <v>8788</v>
      </c>
      <c r="B3653" s="7" t="s">
        <v>7708</v>
      </c>
      <c r="C3653" s="8" t="s">
        <v>5319</v>
      </c>
      <c r="D3653" t="s">
        <v>266</v>
      </c>
      <c r="E3653" t="s">
        <v>905</v>
      </c>
      <c r="F3653" t="s">
        <v>75</v>
      </c>
      <c r="G3653" t="s">
        <v>2398</v>
      </c>
      <c r="H3653" s="9">
        <v>44733</v>
      </c>
      <c r="I3653" t="s">
        <v>408</v>
      </c>
      <c r="J3653" t="s">
        <v>5330</v>
      </c>
      <c r="K3653" s="9">
        <v>44834</v>
      </c>
      <c r="L3653" t="s">
        <v>29</v>
      </c>
      <c r="M3653"/>
      <c r="N3653" s="9">
        <v>44778</v>
      </c>
      <c r="O3653" s="9">
        <v>44834</v>
      </c>
      <c r="P3653"/>
      <c r="Q3653"/>
      <c r="R3653"/>
      <c r="S3653"/>
      <c r="T3653"/>
      <c r="U3653"/>
    </row>
    <row r="3654" spans="1:21" hidden="1">
      <c r="A3654" s="7" t="s">
        <v>8788</v>
      </c>
      <c r="B3654" s="7" t="s">
        <v>7708</v>
      </c>
      <c r="C3654" s="8" t="s">
        <v>5319</v>
      </c>
      <c r="D3654" t="s">
        <v>266</v>
      </c>
      <c r="E3654" t="s">
        <v>905</v>
      </c>
      <c r="F3654" t="s">
        <v>75</v>
      </c>
      <c r="G3654" t="s">
        <v>2399</v>
      </c>
      <c r="H3654" s="9">
        <v>44733</v>
      </c>
      <c r="I3654" t="s">
        <v>408</v>
      </c>
      <c r="J3654" t="s">
        <v>5330</v>
      </c>
      <c r="K3654" s="9">
        <v>44834</v>
      </c>
      <c r="L3654" t="s">
        <v>29</v>
      </c>
      <c r="M3654"/>
      <c r="N3654" s="9">
        <v>44778</v>
      </c>
      <c r="O3654" s="9">
        <v>44834</v>
      </c>
      <c r="P3654"/>
      <c r="Q3654"/>
      <c r="R3654"/>
      <c r="S3654"/>
      <c r="T3654"/>
      <c r="U3654"/>
    </row>
    <row r="3655" spans="1:21" hidden="1">
      <c r="A3655" s="7" t="s">
        <v>8916</v>
      </c>
      <c r="B3655" s="7" t="s">
        <v>6766</v>
      </c>
      <c r="C3655" s="8" t="s">
        <v>5319</v>
      </c>
      <c r="D3655" t="s">
        <v>266</v>
      </c>
      <c r="E3655" t="s">
        <v>3257</v>
      </c>
      <c r="F3655" t="s">
        <v>117</v>
      </c>
      <c r="G3655" t="s">
        <v>3275</v>
      </c>
      <c r="H3655" s="9">
        <v>44733</v>
      </c>
      <c r="I3655" t="s">
        <v>408</v>
      </c>
      <c r="J3655" t="s">
        <v>5330</v>
      </c>
      <c r="K3655" s="9">
        <v>44834</v>
      </c>
      <c r="L3655" t="s">
        <v>29</v>
      </c>
      <c r="M3655"/>
      <c r="N3655" s="9">
        <v>44778</v>
      </c>
      <c r="O3655" s="9">
        <v>44834</v>
      </c>
      <c r="P3655"/>
      <c r="Q3655"/>
      <c r="R3655"/>
      <c r="S3655"/>
      <c r="T3655"/>
      <c r="U3655"/>
    </row>
    <row r="3656" spans="1:21" hidden="1">
      <c r="A3656" s="7" t="s">
        <v>8916</v>
      </c>
      <c r="B3656" s="7" t="s">
        <v>6766</v>
      </c>
      <c r="C3656" s="8" t="s">
        <v>5319</v>
      </c>
      <c r="D3656" t="s">
        <v>266</v>
      </c>
      <c r="E3656" t="s">
        <v>3257</v>
      </c>
      <c r="F3656" t="s">
        <v>117</v>
      </c>
      <c r="G3656" t="s">
        <v>3276</v>
      </c>
      <c r="H3656" s="9">
        <v>44733</v>
      </c>
      <c r="I3656" t="s">
        <v>408</v>
      </c>
      <c r="J3656" t="s">
        <v>5330</v>
      </c>
      <c r="K3656" s="9">
        <v>44834</v>
      </c>
      <c r="L3656" t="s">
        <v>29</v>
      </c>
      <c r="M3656"/>
      <c r="N3656" s="9">
        <v>44778</v>
      </c>
      <c r="O3656" s="9">
        <v>44834</v>
      </c>
      <c r="P3656"/>
      <c r="Q3656"/>
      <c r="R3656"/>
      <c r="S3656"/>
      <c r="T3656"/>
      <c r="U3656"/>
    </row>
    <row r="3657" spans="1:21" hidden="1">
      <c r="A3657" s="7" t="s">
        <v>8916</v>
      </c>
      <c r="B3657" s="7" t="s">
        <v>6766</v>
      </c>
      <c r="C3657" s="8" t="s">
        <v>5319</v>
      </c>
      <c r="D3657" t="s">
        <v>266</v>
      </c>
      <c r="E3657" t="s">
        <v>3257</v>
      </c>
      <c r="F3657" t="s">
        <v>117</v>
      </c>
      <c r="G3657" t="s">
        <v>3277</v>
      </c>
      <c r="H3657" s="9">
        <v>44733</v>
      </c>
      <c r="I3657" t="s">
        <v>408</v>
      </c>
      <c r="J3657" t="s">
        <v>5330</v>
      </c>
      <c r="K3657" s="9">
        <v>44834</v>
      </c>
      <c r="L3657" t="s">
        <v>29</v>
      </c>
      <c r="M3657"/>
      <c r="N3657" s="9">
        <v>44778</v>
      </c>
      <c r="O3657" s="9">
        <v>44834</v>
      </c>
      <c r="P3657"/>
      <c r="Q3657"/>
      <c r="R3657"/>
      <c r="S3657"/>
      <c r="T3657"/>
      <c r="U3657"/>
    </row>
    <row r="3658" spans="1:21" hidden="1">
      <c r="A3658" s="7" t="s">
        <v>8918</v>
      </c>
      <c r="B3658" s="7" t="s">
        <v>6755</v>
      </c>
      <c r="C3658" s="8" t="s">
        <v>5319</v>
      </c>
      <c r="D3658" t="s">
        <v>266</v>
      </c>
      <c r="E3658" t="s">
        <v>3179</v>
      </c>
      <c r="F3658" t="s">
        <v>79</v>
      </c>
      <c r="G3658" t="s">
        <v>3278</v>
      </c>
      <c r="H3658" s="9">
        <v>44733</v>
      </c>
      <c r="I3658" t="s">
        <v>984</v>
      </c>
      <c r="J3658" t="s">
        <v>5330</v>
      </c>
      <c r="K3658" s="9">
        <v>44834</v>
      </c>
      <c r="L3658" t="s">
        <v>29</v>
      </c>
      <c r="M3658"/>
      <c r="N3658" s="9">
        <v>44778</v>
      </c>
      <c r="O3658" s="9">
        <v>44834</v>
      </c>
      <c r="P3658"/>
      <c r="Q3658"/>
      <c r="R3658"/>
      <c r="S3658"/>
      <c r="T3658"/>
      <c r="U3658"/>
    </row>
    <row r="3659" spans="1:21" hidden="1">
      <c r="A3659" s="7" t="s">
        <v>8919</v>
      </c>
      <c r="B3659" s="7" t="s">
        <v>8364</v>
      </c>
      <c r="C3659" s="8" t="s">
        <v>5319</v>
      </c>
      <c r="D3659" t="s">
        <v>266</v>
      </c>
      <c r="E3659" t="s">
        <v>3279</v>
      </c>
      <c r="F3659" t="s">
        <v>75</v>
      </c>
      <c r="G3659" t="s">
        <v>3278</v>
      </c>
      <c r="H3659" s="9">
        <v>44733</v>
      </c>
      <c r="I3659" t="s">
        <v>984</v>
      </c>
      <c r="J3659" t="s">
        <v>5330</v>
      </c>
      <c r="K3659" s="9">
        <v>44834</v>
      </c>
      <c r="L3659" t="s">
        <v>29</v>
      </c>
      <c r="M3659"/>
      <c r="N3659" s="9">
        <v>44778</v>
      </c>
      <c r="O3659" s="9">
        <v>44834</v>
      </c>
      <c r="P3659"/>
      <c r="Q3659"/>
      <c r="R3659"/>
      <c r="S3659"/>
      <c r="T3659"/>
      <c r="U3659"/>
    </row>
    <row r="3660" spans="1:21" hidden="1">
      <c r="A3660" s="7" t="s">
        <v>8918</v>
      </c>
      <c r="B3660" s="7" t="s">
        <v>6755</v>
      </c>
      <c r="C3660" s="8" t="s">
        <v>5319</v>
      </c>
      <c r="D3660" t="s">
        <v>266</v>
      </c>
      <c r="E3660" t="s">
        <v>3179</v>
      </c>
      <c r="F3660" t="s">
        <v>79</v>
      </c>
      <c r="G3660" t="s">
        <v>3280</v>
      </c>
      <c r="H3660" s="9">
        <v>44733</v>
      </c>
      <c r="I3660" t="s">
        <v>984</v>
      </c>
      <c r="J3660" t="s">
        <v>5330</v>
      </c>
      <c r="K3660" s="9">
        <v>44834</v>
      </c>
      <c r="L3660" t="s">
        <v>29</v>
      </c>
      <c r="M3660"/>
      <c r="N3660" s="9">
        <v>44778</v>
      </c>
      <c r="O3660" s="9">
        <v>44834</v>
      </c>
      <c r="P3660"/>
      <c r="Q3660"/>
      <c r="R3660"/>
      <c r="S3660"/>
      <c r="T3660"/>
      <c r="U3660"/>
    </row>
    <row r="3661" spans="1:21" hidden="1">
      <c r="A3661" s="7" t="s">
        <v>8919</v>
      </c>
      <c r="B3661" s="7" t="s">
        <v>8364</v>
      </c>
      <c r="C3661" s="8" t="s">
        <v>5319</v>
      </c>
      <c r="D3661" t="s">
        <v>266</v>
      </c>
      <c r="E3661" t="s">
        <v>3279</v>
      </c>
      <c r="F3661" t="s">
        <v>75</v>
      </c>
      <c r="G3661" t="s">
        <v>3280</v>
      </c>
      <c r="H3661" s="9">
        <v>44733</v>
      </c>
      <c r="I3661" t="s">
        <v>984</v>
      </c>
      <c r="J3661" t="s">
        <v>5330</v>
      </c>
      <c r="K3661" s="9">
        <v>44834</v>
      </c>
      <c r="L3661" t="s">
        <v>29</v>
      </c>
      <c r="M3661"/>
      <c r="N3661" s="9">
        <v>44778</v>
      </c>
      <c r="O3661" s="9">
        <v>44834</v>
      </c>
      <c r="P3661"/>
      <c r="Q3661"/>
      <c r="R3661"/>
      <c r="S3661"/>
      <c r="T3661"/>
      <c r="U3661"/>
    </row>
    <row r="3662" spans="1:21" hidden="1">
      <c r="A3662" s="7" t="s">
        <v>8918</v>
      </c>
      <c r="B3662" s="7" t="s">
        <v>6755</v>
      </c>
      <c r="C3662" s="8" t="s">
        <v>5319</v>
      </c>
      <c r="D3662" t="s">
        <v>266</v>
      </c>
      <c r="E3662" t="s">
        <v>3179</v>
      </c>
      <c r="F3662" t="s">
        <v>79</v>
      </c>
      <c r="G3662" t="s">
        <v>3281</v>
      </c>
      <c r="H3662" s="9">
        <v>44733</v>
      </c>
      <c r="I3662" t="s">
        <v>984</v>
      </c>
      <c r="J3662" t="s">
        <v>5330</v>
      </c>
      <c r="K3662" s="9">
        <v>44834</v>
      </c>
      <c r="L3662" t="s">
        <v>29</v>
      </c>
      <c r="M3662"/>
      <c r="N3662" s="9">
        <v>44778</v>
      </c>
      <c r="O3662" s="9">
        <v>44834</v>
      </c>
      <c r="P3662"/>
      <c r="Q3662"/>
      <c r="R3662"/>
      <c r="S3662"/>
      <c r="T3662"/>
      <c r="U3662"/>
    </row>
    <row r="3663" spans="1:21" hidden="1">
      <c r="A3663" s="7" t="s">
        <v>8919</v>
      </c>
      <c r="B3663" s="7" t="s">
        <v>8364</v>
      </c>
      <c r="C3663" s="8" t="s">
        <v>5319</v>
      </c>
      <c r="D3663" t="s">
        <v>266</v>
      </c>
      <c r="E3663" t="s">
        <v>3279</v>
      </c>
      <c r="F3663" t="s">
        <v>75</v>
      </c>
      <c r="G3663" t="s">
        <v>3281</v>
      </c>
      <c r="H3663" s="9">
        <v>44733</v>
      </c>
      <c r="I3663" t="s">
        <v>984</v>
      </c>
      <c r="J3663" t="s">
        <v>5330</v>
      </c>
      <c r="K3663" s="9">
        <v>44834</v>
      </c>
      <c r="L3663" t="s">
        <v>29</v>
      </c>
      <c r="M3663"/>
      <c r="N3663" s="9">
        <v>44778</v>
      </c>
      <c r="O3663" s="9">
        <v>44834</v>
      </c>
      <c r="P3663"/>
      <c r="Q3663"/>
      <c r="R3663"/>
      <c r="S3663"/>
      <c r="T3663"/>
      <c r="U3663"/>
    </row>
    <row r="3664" spans="1:21" hidden="1">
      <c r="A3664" s="7" t="s">
        <v>8920</v>
      </c>
      <c r="B3664" s="7" t="s">
        <v>7673</v>
      </c>
      <c r="C3664" s="8" t="s">
        <v>5319</v>
      </c>
      <c r="D3664" t="s">
        <v>266</v>
      </c>
      <c r="E3664" t="s">
        <v>3282</v>
      </c>
      <c r="F3664" t="s">
        <v>117</v>
      </c>
      <c r="G3664" t="s">
        <v>3283</v>
      </c>
      <c r="H3664" s="9">
        <v>44733</v>
      </c>
      <c r="I3664" t="s">
        <v>758</v>
      </c>
      <c r="J3664" t="s">
        <v>5330</v>
      </c>
      <c r="K3664" s="9">
        <v>44834</v>
      </c>
      <c r="L3664" t="s">
        <v>29</v>
      </c>
      <c r="M3664"/>
      <c r="N3664" s="9">
        <v>44778</v>
      </c>
      <c r="O3664" s="9">
        <v>44834</v>
      </c>
      <c r="P3664"/>
      <c r="Q3664"/>
      <c r="R3664"/>
      <c r="S3664"/>
      <c r="T3664"/>
      <c r="U3664"/>
    </row>
    <row r="3665" spans="1:21" hidden="1">
      <c r="A3665" s="7" t="s">
        <v>8781</v>
      </c>
      <c r="B3665" s="7" t="s">
        <v>8313</v>
      </c>
      <c r="C3665" s="8" t="s">
        <v>5319</v>
      </c>
      <c r="D3665" t="s">
        <v>266</v>
      </c>
      <c r="E3665" t="s">
        <v>880</v>
      </c>
      <c r="F3665" t="s">
        <v>231</v>
      </c>
      <c r="G3665" t="s">
        <v>3284</v>
      </c>
      <c r="H3665" s="9">
        <v>44733</v>
      </c>
      <c r="I3665" t="s">
        <v>882</v>
      </c>
      <c r="J3665" t="s">
        <v>276</v>
      </c>
      <c r="K3665" s="9">
        <v>44881.653749999998</v>
      </c>
      <c r="L3665" t="s">
        <v>29</v>
      </c>
      <c r="M3665"/>
      <c r="N3665" s="9">
        <v>44778</v>
      </c>
      <c r="O3665" s="9">
        <v>44834</v>
      </c>
      <c r="P3665"/>
      <c r="Q3665"/>
      <c r="R3665" s="9">
        <v>44881.650972222204</v>
      </c>
      <c r="S3665"/>
      <c r="T3665"/>
      <c r="U3665"/>
    </row>
    <row r="3666" spans="1:21" hidden="1">
      <c r="A3666" s="7" t="s">
        <v>8781</v>
      </c>
      <c r="B3666" s="7" t="s">
        <v>8313</v>
      </c>
      <c r="C3666" s="8" t="s">
        <v>5319</v>
      </c>
      <c r="D3666" t="s">
        <v>266</v>
      </c>
      <c r="E3666" t="s">
        <v>880</v>
      </c>
      <c r="F3666" t="s">
        <v>231</v>
      </c>
      <c r="G3666" t="s">
        <v>3285</v>
      </c>
      <c r="H3666" s="9">
        <v>44733</v>
      </c>
      <c r="I3666" t="s">
        <v>882</v>
      </c>
      <c r="J3666" t="s">
        <v>276</v>
      </c>
      <c r="K3666" s="9">
        <v>44881.653749999998</v>
      </c>
      <c r="L3666" t="s">
        <v>29</v>
      </c>
      <c r="M3666"/>
      <c r="N3666" s="9">
        <v>44778</v>
      </c>
      <c r="O3666" s="9">
        <v>44834</v>
      </c>
      <c r="P3666"/>
      <c r="Q3666"/>
      <c r="R3666" s="9">
        <v>44881.650972222204</v>
      </c>
      <c r="S3666"/>
      <c r="T3666"/>
      <c r="U3666"/>
    </row>
    <row r="3667" spans="1:21" hidden="1">
      <c r="A3667" s="7" t="s">
        <v>8781</v>
      </c>
      <c r="B3667" s="7" t="s">
        <v>8313</v>
      </c>
      <c r="C3667" s="8" t="s">
        <v>5319</v>
      </c>
      <c r="D3667" t="s">
        <v>266</v>
      </c>
      <c r="E3667" t="s">
        <v>880</v>
      </c>
      <c r="F3667" t="s">
        <v>231</v>
      </c>
      <c r="G3667" t="s">
        <v>3286</v>
      </c>
      <c r="H3667" s="9">
        <v>44733</v>
      </c>
      <c r="I3667" t="s">
        <v>882</v>
      </c>
      <c r="J3667" t="s">
        <v>276</v>
      </c>
      <c r="K3667" s="9">
        <v>44881.653749999998</v>
      </c>
      <c r="L3667" t="s">
        <v>29</v>
      </c>
      <c r="M3667"/>
      <c r="N3667" s="9">
        <v>44778</v>
      </c>
      <c r="O3667" s="9">
        <v>44834</v>
      </c>
      <c r="P3667"/>
      <c r="Q3667"/>
      <c r="R3667" s="9">
        <v>44881.650972222204</v>
      </c>
      <c r="S3667"/>
      <c r="T3667"/>
      <c r="U3667"/>
    </row>
    <row r="3668" spans="1:21" hidden="1">
      <c r="A3668" s="7" t="s">
        <v>8781</v>
      </c>
      <c r="B3668" s="7" t="s">
        <v>8313</v>
      </c>
      <c r="C3668" s="8" t="s">
        <v>5319</v>
      </c>
      <c r="D3668" t="s">
        <v>266</v>
      </c>
      <c r="E3668" t="s">
        <v>880</v>
      </c>
      <c r="F3668" t="s">
        <v>231</v>
      </c>
      <c r="G3668" t="s">
        <v>3287</v>
      </c>
      <c r="H3668" s="9">
        <v>44733</v>
      </c>
      <c r="I3668" t="s">
        <v>882</v>
      </c>
      <c r="J3668" t="s">
        <v>276</v>
      </c>
      <c r="K3668" s="9">
        <v>44881.653749999998</v>
      </c>
      <c r="L3668" t="s">
        <v>29</v>
      </c>
      <c r="M3668"/>
      <c r="N3668" s="9">
        <v>44778</v>
      </c>
      <c r="O3668" s="9">
        <v>44834</v>
      </c>
      <c r="P3668"/>
      <c r="Q3668"/>
      <c r="R3668" s="9">
        <v>44881.650972222204</v>
      </c>
      <c r="S3668"/>
      <c r="T3668"/>
      <c r="U3668"/>
    </row>
    <row r="3669" spans="1:21" hidden="1">
      <c r="A3669" s="7" t="s">
        <v>8921</v>
      </c>
      <c r="B3669" s="7" t="s">
        <v>6949</v>
      </c>
      <c r="C3669" s="8" t="s">
        <v>5319</v>
      </c>
      <c r="D3669" t="s">
        <v>266</v>
      </c>
      <c r="E3669" t="s">
        <v>3288</v>
      </c>
      <c r="F3669" t="s">
        <v>75</v>
      </c>
      <c r="G3669" t="s">
        <v>3289</v>
      </c>
      <c r="H3669" s="9">
        <v>44733</v>
      </c>
      <c r="I3669" t="s">
        <v>882</v>
      </c>
      <c r="J3669" t="s">
        <v>5330</v>
      </c>
      <c r="K3669" s="9">
        <v>44834</v>
      </c>
      <c r="L3669" t="s">
        <v>29</v>
      </c>
      <c r="M3669"/>
      <c r="N3669" s="9">
        <v>44778</v>
      </c>
      <c r="O3669" s="9">
        <v>44834</v>
      </c>
      <c r="P3669"/>
      <c r="Q3669"/>
      <c r="R3669"/>
      <c r="S3669"/>
      <c r="T3669"/>
      <c r="U3669"/>
    </row>
    <row r="3670" spans="1:21" hidden="1">
      <c r="A3670" s="7" t="s">
        <v>8921</v>
      </c>
      <c r="B3670" s="7" t="s">
        <v>6949</v>
      </c>
      <c r="C3670" s="8" t="s">
        <v>5319</v>
      </c>
      <c r="D3670" t="s">
        <v>266</v>
      </c>
      <c r="E3670" t="s">
        <v>3288</v>
      </c>
      <c r="F3670" t="s">
        <v>75</v>
      </c>
      <c r="G3670" t="s">
        <v>3290</v>
      </c>
      <c r="H3670" s="9">
        <v>44733</v>
      </c>
      <c r="I3670" t="s">
        <v>882</v>
      </c>
      <c r="J3670" t="s">
        <v>5330</v>
      </c>
      <c r="K3670" s="9">
        <v>44834</v>
      </c>
      <c r="L3670" t="s">
        <v>29</v>
      </c>
      <c r="M3670"/>
      <c r="N3670" s="9">
        <v>44778</v>
      </c>
      <c r="O3670" s="9">
        <v>44834</v>
      </c>
      <c r="P3670"/>
      <c r="Q3670"/>
      <c r="R3670"/>
      <c r="S3670"/>
      <c r="T3670"/>
      <c r="U3670"/>
    </row>
    <row r="3671" spans="1:21" hidden="1">
      <c r="A3671" s="7" t="s">
        <v>8921</v>
      </c>
      <c r="B3671" s="7" t="s">
        <v>6949</v>
      </c>
      <c r="C3671" s="8" t="s">
        <v>5319</v>
      </c>
      <c r="D3671" t="s">
        <v>266</v>
      </c>
      <c r="E3671" t="s">
        <v>3288</v>
      </c>
      <c r="F3671" t="s">
        <v>75</v>
      </c>
      <c r="G3671" t="s">
        <v>3291</v>
      </c>
      <c r="H3671" s="9">
        <v>44733</v>
      </c>
      <c r="I3671" t="s">
        <v>882</v>
      </c>
      <c r="J3671" t="s">
        <v>5330</v>
      </c>
      <c r="K3671" s="9">
        <v>44834</v>
      </c>
      <c r="L3671" t="s">
        <v>29</v>
      </c>
      <c r="M3671"/>
      <c r="N3671" s="9">
        <v>44778</v>
      </c>
      <c r="O3671" s="9">
        <v>44834</v>
      </c>
      <c r="P3671"/>
      <c r="Q3671"/>
      <c r="R3671"/>
      <c r="S3671"/>
      <c r="T3671"/>
      <c r="U3671"/>
    </row>
    <row r="3672" spans="1:21" hidden="1">
      <c r="A3672" s="7" t="s">
        <v>8921</v>
      </c>
      <c r="B3672" s="7" t="s">
        <v>6949</v>
      </c>
      <c r="C3672" s="8" t="s">
        <v>5319</v>
      </c>
      <c r="D3672" t="s">
        <v>266</v>
      </c>
      <c r="E3672" t="s">
        <v>3288</v>
      </c>
      <c r="F3672" t="s">
        <v>75</v>
      </c>
      <c r="G3672" t="s">
        <v>3292</v>
      </c>
      <c r="H3672" s="9">
        <v>44733</v>
      </c>
      <c r="I3672" t="s">
        <v>882</v>
      </c>
      <c r="J3672" t="s">
        <v>5330</v>
      </c>
      <c r="K3672" s="9">
        <v>44834</v>
      </c>
      <c r="L3672" t="s">
        <v>29</v>
      </c>
      <c r="M3672"/>
      <c r="N3672" s="9">
        <v>44778</v>
      </c>
      <c r="O3672" s="9">
        <v>44834</v>
      </c>
      <c r="P3672"/>
      <c r="Q3672"/>
      <c r="R3672"/>
      <c r="S3672"/>
      <c r="T3672"/>
      <c r="U3672"/>
    </row>
    <row r="3673" spans="1:21" hidden="1">
      <c r="A3673" s="7" t="s">
        <v>8918</v>
      </c>
      <c r="B3673" s="7" t="s">
        <v>6755</v>
      </c>
      <c r="C3673" s="8" t="s">
        <v>5319</v>
      </c>
      <c r="D3673" t="s">
        <v>266</v>
      </c>
      <c r="E3673" t="s">
        <v>3179</v>
      </c>
      <c r="F3673" t="s">
        <v>79</v>
      </c>
      <c r="G3673" t="s">
        <v>3293</v>
      </c>
      <c r="H3673" s="9">
        <v>44733</v>
      </c>
      <c r="I3673" t="s">
        <v>984</v>
      </c>
      <c r="J3673" t="s">
        <v>5330</v>
      </c>
      <c r="K3673" s="9">
        <v>44834</v>
      </c>
      <c r="L3673" t="s">
        <v>29</v>
      </c>
      <c r="M3673"/>
      <c r="N3673" s="9">
        <v>44778</v>
      </c>
      <c r="O3673" s="9">
        <v>44834</v>
      </c>
      <c r="P3673"/>
      <c r="Q3673"/>
      <c r="R3673"/>
      <c r="S3673"/>
      <c r="T3673"/>
      <c r="U3673"/>
    </row>
    <row r="3674" spans="1:21" hidden="1">
      <c r="A3674" s="7" t="s">
        <v>8919</v>
      </c>
      <c r="B3674" s="7" t="s">
        <v>8364</v>
      </c>
      <c r="C3674" s="8" t="s">
        <v>5319</v>
      </c>
      <c r="D3674" t="s">
        <v>266</v>
      </c>
      <c r="E3674" t="s">
        <v>3279</v>
      </c>
      <c r="F3674" t="s">
        <v>75</v>
      </c>
      <c r="G3674" t="s">
        <v>3293</v>
      </c>
      <c r="H3674" s="9">
        <v>44733</v>
      </c>
      <c r="I3674" t="s">
        <v>984</v>
      </c>
      <c r="J3674" t="s">
        <v>5330</v>
      </c>
      <c r="K3674" s="9">
        <v>44834</v>
      </c>
      <c r="L3674" t="s">
        <v>29</v>
      </c>
      <c r="M3674"/>
      <c r="N3674" s="9">
        <v>44778</v>
      </c>
      <c r="O3674" s="9">
        <v>44834</v>
      </c>
      <c r="P3674"/>
      <c r="Q3674"/>
      <c r="R3674"/>
      <c r="S3674"/>
      <c r="T3674"/>
      <c r="U3674"/>
    </row>
    <row r="3675" spans="1:21" hidden="1">
      <c r="A3675" s="7" t="s">
        <v>8874</v>
      </c>
      <c r="B3675" s="7" t="s">
        <v>7053</v>
      </c>
      <c r="C3675" s="8" t="s">
        <v>5319</v>
      </c>
      <c r="D3675" t="s">
        <v>266</v>
      </c>
      <c r="E3675" t="s">
        <v>2503</v>
      </c>
      <c r="F3675" t="s">
        <v>280</v>
      </c>
      <c r="G3675" t="s">
        <v>3294</v>
      </c>
      <c r="H3675" s="9">
        <v>44733</v>
      </c>
      <c r="I3675" t="s">
        <v>903</v>
      </c>
      <c r="J3675" t="s">
        <v>276</v>
      </c>
      <c r="K3675" s="9">
        <v>44882.647395833301</v>
      </c>
      <c r="L3675" t="s">
        <v>29</v>
      </c>
      <c r="M3675"/>
      <c r="N3675" s="9">
        <v>44778</v>
      </c>
      <c r="O3675" s="9">
        <v>44834</v>
      </c>
      <c r="P3675"/>
      <c r="Q3675"/>
      <c r="R3675" s="9">
        <v>44882.645879629599</v>
      </c>
      <c r="S3675"/>
      <c r="T3675"/>
      <c r="U3675"/>
    </row>
    <row r="3676" spans="1:21" hidden="1">
      <c r="A3676" s="7" t="s">
        <v>8874</v>
      </c>
      <c r="B3676" s="7" t="s">
        <v>7053</v>
      </c>
      <c r="C3676" s="8" t="s">
        <v>5319</v>
      </c>
      <c r="D3676" t="s">
        <v>266</v>
      </c>
      <c r="E3676" t="s">
        <v>2503</v>
      </c>
      <c r="F3676" t="s">
        <v>280</v>
      </c>
      <c r="G3676" t="s">
        <v>3295</v>
      </c>
      <c r="H3676" s="9">
        <v>44733</v>
      </c>
      <c r="I3676" t="s">
        <v>903</v>
      </c>
      <c r="J3676" t="s">
        <v>276</v>
      </c>
      <c r="K3676" s="9">
        <v>44882.647395833301</v>
      </c>
      <c r="L3676" t="s">
        <v>29</v>
      </c>
      <c r="M3676"/>
      <c r="N3676" s="9">
        <v>44778</v>
      </c>
      <c r="O3676" s="9">
        <v>44834</v>
      </c>
      <c r="P3676"/>
      <c r="Q3676"/>
      <c r="R3676" s="9">
        <v>44882.645879629599</v>
      </c>
      <c r="S3676"/>
      <c r="T3676"/>
      <c r="U3676"/>
    </row>
    <row r="3677" spans="1:21" hidden="1">
      <c r="A3677" s="7" t="s">
        <v>8874</v>
      </c>
      <c r="B3677" s="7" t="s">
        <v>7053</v>
      </c>
      <c r="C3677" s="8" t="s">
        <v>5319</v>
      </c>
      <c r="D3677" t="s">
        <v>266</v>
      </c>
      <c r="E3677" t="s">
        <v>2503</v>
      </c>
      <c r="F3677" t="s">
        <v>280</v>
      </c>
      <c r="G3677" t="s">
        <v>3296</v>
      </c>
      <c r="H3677" s="9">
        <v>44733</v>
      </c>
      <c r="I3677" t="s">
        <v>903</v>
      </c>
      <c r="J3677" t="s">
        <v>276</v>
      </c>
      <c r="K3677" s="9">
        <v>44882.647395833301</v>
      </c>
      <c r="L3677" t="s">
        <v>29</v>
      </c>
      <c r="M3677"/>
      <c r="N3677" s="9">
        <v>44778</v>
      </c>
      <c r="O3677" s="9">
        <v>44834</v>
      </c>
      <c r="P3677"/>
      <c r="Q3677"/>
      <c r="R3677" s="9">
        <v>44882.645879629599</v>
      </c>
      <c r="S3677"/>
      <c r="T3677"/>
      <c r="U3677"/>
    </row>
    <row r="3678" spans="1:21" hidden="1">
      <c r="A3678" s="7" t="s">
        <v>8874</v>
      </c>
      <c r="B3678" s="7" t="s">
        <v>7053</v>
      </c>
      <c r="C3678" s="8" t="s">
        <v>5319</v>
      </c>
      <c r="D3678" t="s">
        <v>266</v>
      </c>
      <c r="E3678" t="s">
        <v>2503</v>
      </c>
      <c r="F3678" t="s">
        <v>280</v>
      </c>
      <c r="G3678" t="s">
        <v>3297</v>
      </c>
      <c r="H3678" s="9">
        <v>44733</v>
      </c>
      <c r="I3678" t="s">
        <v>903</v>
      </c>
      <c r="J3678" t="s">
        <v>276</v>
      </c>
      <c r="K3678" s="9">
        <v>44882.647395833301</v>
      </c>
      <c r="L3678" t="s">
        <v>29</v>
      </c>
      <c r="M3678"/>
      <c r="N3678" s="9">
        <v>44778</v>
      </c>
      <c r="O3678" s="9">
        <v>44834</v>
      </c>
      <c r="P3678"/>
      <c r="Q3678"/>
      <c r="R3678" s="9">
        <v>44882.645879629599</v>
      </c>
      <c r="S3678"/>
      <c r="T3678"/>
      <c r="U3678"/>
    </row>
    <row r="3679" spans="1:21" hidden="1">
      <c r="A3679" s="7" t="s">
        <v>8916</v>
      </c>
      <c r="B3679" s="7" t="s">
        <v>6766</v>
      </c>
      <c r="C3679" s="8" t="s">
        <v>5319</v>
      </c>
      <c r="D3679" t="s">
        <v>266</v>
      </c>
      <c r="E3679" t="s">
        <v>3257</v>
      </c>
      <c r="F3679" t="s">
        <v>117</v>
      </c>
      <c r="G3679" t="s">
        <v>3298</v>
      </c>
      <c r="H3679" s="9">
        <v>44733</v>
      </c>
      <c r="I3679" t="s">
        <v>408</v>
      </c>
      <c r="J3679" t="s">
        <v>5330</v>
      </c>
      <c r="K3679" s="9">
        <v>44834</v>
      </c>
      <c r="L3679" t="s">
        <v>29</v>
      </c>
      <c r="M3679"/>
      <c r="N3679" s="9">
        <v>44778</v>
      </c>
      <c r="O3679" s="9">
        <v>44834</v>
      </c>
      <c r="P3679"/>
      <c r="Q3679"/>
      <c r="R3679"/>
      <c r="S3679"/>
      <c r="T3679"/>
      <c r="U3679"/>
    </row>
    <row r="3680" spans="1:21" hidden="1">
      <c r="A3680" s="7" t="s">
        <v>8916</v>
      </c>
      <c r="B3680" s="7" t="s">
        <v>6766</v>
      </c>
      <c r="C3680" s="8" t="s">
        <v>5319</v>
      </c>
      <c r="D3680" t="s">
        <v>266</v>
      </c>
      <c r="E3680" t="s">
        <v>3257</v>
      </c>
      <c r="F3680" t="s">
        <v>117</v>
      </c>
      <c r="G3680" t="s">
        <v>3299</v>
      </c>
      <c r="H3680" s="9">
        <v>44733</v>
      </c>
      <c r="I3680" t="s">
        <v>408</v>
      </c>
      <c r="J3680" t="s">
        <v>5330</v>
      </c>
      <c r="K3680" s="9">
        <v>44834</v>
      </c>
      <c r="L3680" t="s">
        <v>29</v>
      </c>
      <c r="M3680"/>
      <c r="N3680" s="9">
        <v>44778</v>
      </c>
      <c r="O3680" s="9">
        <v>44834</v>
      </c>
      <c r="P3680"/>
      <c r="Q3680"/>
      <c r="R3680"/>
      <c r="S3680"/>
      <c r="T3680"/>
      <c r="U3680"/>
    </row>
    <row r="3681" spans="1:21" hidden="1">
      <c r="A3681" s="7" t="s">
        <v>8789</v>
      </c>
      <c r="B3681" s="7" t="s">
        <v>6643</v>
      </c>
      <c r="C3681" s="8" t="s">
        <v>5319</v>
      </c>
      <c r="D3681" t="s">
        <v>266</v>
      </c>
      <c r="E3681" t="s">
        <v>908</v>
      </c>
      <c r="F3681" t="s">
        <v>83</v>
      </c>
      <c r="G3681" t="s">
        <v>3300</v>
      </c>
      <c r="H3681" s="9">
        <v>44733</v>
      </c>
      <c r="I3681" t="s">
        <v>408</v>
      </c>
      <c r="J3681" t="s">
        <v>0</v>
      </c>
      <c r="K3681" s="9">
        <v>44888</v>
      </c>
      <c r="L3681" t="s">
        <v>29</v>
      </c>
      <c r="M3681"/>
      <c r="N3681" s="9">
        <v>44778</v>
      </c>
      <c r="O3681" s="9">
        <v>44834</v>
      </c>
      <c r="P3681"/>
      <c r="Q3681" s="9">
        <v>44888</v>
      </c>
      <c r="R3681"/>
      <c r="S3681"/>
      <c r="T3681"/>
      <c r="U3681"/>
    </row>
    <row r="3682" spans="1:21" hidden="1">
      <c r="A3682" s="7" t="s">
        <v>8918</v>
      </c>
      <c r="B3682" s="7" t="s">
        <v>6755</v>
      </c>
      <c r="C3682" s="8" t="s">
        <v>5319</v>
      </c>
      <c r="D3682" t="s">
        <v>266</v>
      </c>
      <c r="E3682" t="s">
        <v>3179</v>
      </c>
      <c r="F3682" t="s">
        <v>79</v>
      </c>
      <c r="G3682" t="s">
        <v>3301</v>
      </c>
      <c r="H3682" s="9">
        <v>44733</v>
      </c>
      <c r="I3682" t="s">
        <v>984</v>
      </c>
      <c r="J3682" t="s">
        <v>5330</v>
      </c>
      <c r="K3682" s="9">
        <v>44834</v>
      </c>
      <c r="L3682" t="s">
        <v>29</v>
      </c>
      <c r="M3682"/>
      <c r="N3682" s="9">
        <v>44778</v>
      </c>
      <c r="O3682" s="9">
        <v>44834</v>
      </c>
      <c r="P3682"/>
      <c r="Q3682"/>
      <c r="R3682"/>
      <c r="S3682"/>
      <c r="T3682"/>
      <c r="U3682"/>
    </row>
    <row r="3683" spans="1:21" hidden="1">
      <c r="A3683" s="7" t="s">
        <v>8919</v>
      </c>
      <c r="B3683" s="7" t="s">
        <v>8364</v>
      </c>
      <c r="C3683" s="8" t="s">
        <v>5319</v>
      </c>
      <c r="D3683" t="s">
        <v>266</v>
      </c>
      <c r="E3683" t="s">
        <v>3279</v>
      </c>
      <c r="F3683" t="s">
        <v>75</v>
      </c>
      <c r="G3683" t="s">
        <v>3301</v>
      </c>
      <c r="H3683" s="9">
        <v>44733</v>
      </c>
      <c r="I3683" t="s">
        <v>984</v>
      </c>
      <c r="J3683" t="s">
        <v>5330</v>
      </c>
      <c r="K3683" s="9">
        <v>44834</v>
      </c>
      <c r="L3683" t="s">
        <v>29</v>
      </c>
      <c r="M3683"/>
      <c r="N3683" s="9">
        <v>44778</v>
      </c>
      <c r="O3683" s="9">
        <v>44834</v>
      </c>
      <c r="P3683"/>
      <c r="Q3683"/>
      <c r="R3683"/>
      <c r="S3683"/>
      <c r="T3683"/>
      <c r="U3683"/>
    </row>
    <row r="3684" spans="1:21" hidden="1">
      <c r="A3684" s="7" t="s">
        <v>8918</v>
      </c>
      <c r="B3684" s="7" t="s">
        <v>6755</v>
      </c>
      <c r="C3684" s="8" t="s">
        <v>5319</v>
      </c>
      <c r="D3684" t="s">
        <v>266</v>
      </c>
      <c r="E3684" t="s">
        <v>3179</v>
      </c>
      <c r="F3684" t="s">
        <v>79</v>
      </c>
      <c r="G3684" t="s">
        <v>3302</v>
      </c>
      <c r="H3684" s="9">
        <v>44733</v>
      </c>
      <c r="I3684" t="s">
        <v>984</v>
      </c>
      <c r="J3684" t="s">
        <v>5330</v>
      </c>
      <c r="K3684" s="9">
        <v>44834</v>
      </c>
      <c r="L3684" t="s">
        <v>29</v>
      </c>
      <c r="M3684"/>
      <c r="N3684" s="9">
        <v>44778</v>
      </c>
      <c r="O3684" s="9">
        <v>44834</v>
      </c>
      <c r="P3684"/>
      <c r="Q3684"/>
      <c r="R3684"/>
      <c r="S3684"/>
      <c r="T3684"/>
      <c r="U3684"/>
    </row>
    <row r="3685" spans="1:21" hidden="1">
      <c r="A3685" s="7" t="s">
        <v>8919</v>
      </c>
      <c r="B3685" s="7" t="s">
        <v>8364</v>
      </c>
      <c r="C3685" s="8" t="s">
        <v>5319</v>
      </c>
      <c r="D3685" t="s">
        <v>266</v>
      </c>
      <c r="E3685" t="s">
        <v>3279</v>
      </c>
      <c r="F3685" t="s">
        <v>75</v>
      </c>
      <c r="G3685" t="s">
        <v>3302</v>
      </c>
      <c r="H3685" s="9">
        <v>44733</v>
      </c>
      <c r="I3685" t="s">
        <v>984</v>
      </c>
      <c r="J3685" t="s">
        <v>5330</v>
      </c>
      <c r="K3685" s="9">
        <v>44834</v>
      </c>
      <c r="L3685" t="s">
        <v>29</v>
      </c>
      <c r="M3685"/>
      <c r="N3685" s="9">
        <v>44778</v>
      </c>
      <c r="O3685" s="9">
        <v>44834</v>
      </c>
      <c r="P3685"/>
      <c r="Q3685"/>
      <c r="R3685"/>
      <c r="S3685"/>
      <c r="T3685"/>
      <c r="U3685"/>
    </row>
    <row r="3686" spans="1:21" hidden="1">
      <c r="A3686" s="7" t="s">
        <v>8918</v>
      </c>
      <c r="B3686" s="7" t="s">
        <v>6755</v>
      </c>
      <c r="C3686" s="8" t="s">
        <v>5319</v>
      </c>
      <c r="D3686" t="s">
        <v>266</v>
      </c>
      <c r="E3686" t="s">
        <v>3179</v>
      </c>
      <c r="F3686" t="s">
        <v>79</v>
      </c>
      <c r="G3686" t="s">
        <v>3303</v>
      </c>
      <c r="H3686" s="9">
        <v>44733</v>
      </c>
      <c r="I3686" t="s">
        <v>984</v>
      </c>
      <c r="J3686" t="s">
        <v>5330</v>
      </c>
      <c r="K3686" s="9">
        <v>44834</v>
      </c>
      <c r="L3686" t="s">
        <v>29</v>
      </c>
      <c r="M3686"/>
      <c r="N3686" s="9">
        <v>44778</v>
      </c>
      <c r="O3686" s="9">
        <v>44834</v>
      </c>
      <c r="P3686"/>
      <c r="Q3686"/>
      <c r="R3686"/>
      <c r="S3686"/>
      <c r="T3686"/>
      <c r="U3686"/>
    </row>
    <row r="3687" spans="1:21" hidden="1">
      <c r="A3687" s="7" t="s">
        <v>8919</v>
      </c>
      <c r="B3687" s="7" t="s">
        <v>8364</v>
      </c>
      <c r="C3687" s="8" t="s">
        <v>5319</v>
      </c>
      <c r="D3687" t="s">
        <v>266</v>
      </c>
      <c r="E3687" t="s">
        <v>3279</v>
      </c>
      <c r="F3687" t="s">
        <v>75</v>
      </c>
      <c r="G3687" t="s">
        <v>3303</v>
      </c>
      <c r="H3687" s="9">
        <v>44733</v>
      </c>
      <c r="I3687" t="s">
        <v>984</v>
      </c>
      <c r="J3687" t="s">
        <v>5330</v>
      </c>
      <c r="K3687" s="9">
        <v>44834</v>
      </c>
      <c r="L3687" t="s">
        <v>29</v>
      </c>
      <c r="M3687"/>
      <c r="N3687" s="9">
        <v>44778</v>
      </c>
      <c r="O3687" s="9">
        <v>44834</v>
      </c>
      <c r="P3687"/>
      <c r="Q3687"/>
      <c r="R3687"/>
      <c r="S3687"/>
      <c r="T3687"/>
      <c r="U3687"/>
    </row>
    <row r="3688" spans="1:21" hidden="1">
      <c r="A3688" s="7" t="s">
        <v>8918</v>
      </c>
      <c r="B3688" s="7" t="s">
        <v>6755</v>
      </c>
      <c r="C3688" s="8" t="s">
        <v>5319</v>
      </c>
      <c r="D3688" t="s">
        <v>266</v>
      </c>
      <c r="E3688" t="s">
        <v>3179</v>
      </c>
      <c r="F3688" t="s">
        <v>79</v>
      </c>
      <c r="G3688" t="s">
        <v>3304</v>
      </c>
      <c r="H3688" s="9">
        <v>44733</v>
      </c>
      <c r="I3688" t="s">
        <v>984</v>
      </c>
      <c r="J3688" t="s">
        <v>5330</v>
      </c>
      <c r="K3688" s="9">
        <v>44834</v>
      </c>
      <c r="L3688" t="s">
        <v>29</v>
      </c>
      <c r="M3688"/>
      <c r="N3688" s="9">
        <v>44778</v>
      </c>
      <c r="O3688" s="9">
        <v>44834</v>
      </c>
      <c r="P3688"/>
      <c r="Q3688"/>
      <c r="R3688"/>
      <c r="S3688"/>
      <c r="T3688"/>
      <c r="U3688"/>
    </row>
    <row r="3689" spans="1:21" hidden="1">
      <c r="A3689" s="7" t="s">
        <v>8919</v>
      </c>
      <c r="B3689" s="7" t="s">
        <v>8364</v>
      </c>
      <c r="C3689" s="8" t="s">
        <v>5319</v>
      </c>
      <c r="D3689" t="s">
        <v>266</v>
      </c>
      <c r="E3689" t="s">
        <v>3279</v>
      </c>
      <c r="F3689" t="s">
        <v>75</v>
      </c>
      <c r="G3689" t="s">
        <v>3304</v>
      </c>
      <c r="H3689" s="9">
        <v>44733</v>
      </c>
      <c r="I3689" t="s">
        <v>984</v>
      </c>
      <c r="J3689" t="s">
        <v>5330</v>
      </c>
      <c r="K3689" s="9">
        <v>44834</v>
      </c>
      <c r="L3689" t="s">
        <v>29</v>
      </c>
      <c r="M3689"/>
      <c r="N3689" s="9">
        <v>44778</v>
      </c>
      <c r="O3689" s="9">
        <v>44834</v>
      </c>
      <c r="P3689"/>
      <c r="Q3689"/>
      <c r="R3689"/>
      <c r="S3689"/>
      <c r="T3689"/>
      <c r="U3689"/>
    </row>
    <row r="3690" spans="1:21" hidden="1">
      <c r="A3690" s="7" t="s">
        <v>8869</v>
      </c>
      <c r="B3690" s="7" t="s">
        <v>7903</v>
      </c>
      <c r="C3690" s="8" t="s">
        <v>5319</v>
      </c>
      <c r="D3690" t="s">
        <v>266</v>
      </c>
      <c r="E3690" t="s">
        <v>2407</v>
      </c>
      <c r="F3690" t="s">
        <v>231</v>
      </c>
      <c r="G3690" t="s">
        <v>2408</v>
      </c>
      <c r="H3690" s="9">
        <v>44733</v>
      </c>
      <c r="I3690" t="s">
        <v>99</v>
      </c>
      <c r="J3690" t="s">
        <v>0</v>
      </c>
      <c r="K3690" s="9">
        <v>44839</v>
      </c>
      <c r="L3690" t="s">
        <v>29</v>
      </c>
      <c r="M3690"/>
      <c r="N3690" s="9">
        <v>44778</v>
      </c>
      <c r="O3690" s="9">
        <v>44834</v>
      </c>
      <c r="P3690"/>
      <c r="Q3690" s="9">
        <v>44839</v>
      </c>
      <c r="R3690"/>
      <c r="S3690"/>
      <c r="T3690"/>
      <c r="U3690"/>
    </row>
    <row r="3691" spans="1:21" hidden="1">
      <c r="A3691" s="7" t="s">
        <v>8869</v>
      </c>
      <c r="B3691" s="7" t="s">
        <v>7903</v>
      </c>
      <c r="C3691" s="8" t="s">
        <v>5319</v>
      </c>
      <c r="D3691" t="s">
        <v>266</v>
      </c>
      <c r="E3691" t="s">
        <v>2407</v>
      </c>
      <c r="F3691" t="s">
        <v>231</v>
      </c>
      <c r="G3691" t="s">
        <v>2409</v>
      </c>
      <c r="H3691" s="9">
        <v>44733</v>
      </c>
      <c r="I3691" t="s">
        <v>99</v>
      </c>
      <c r="J3691" t="s">
        <v>0</v>
      </c>
      <c r="K3691" s="9">
        <v>44839</v>
      </c>
      <c r="L3691" t="s">
        <v>29</v>
      </c>
      <c r="M3691"/>
      <c r="N3691" s="9">
        <v>44778</v>
      </c>
      <c r="O3691" s="9">
        <v>44834</v>
      </c>
      <c r="P3691"/>
      <c r="Q3691" s="9">
        <v>44839</v>
      </c>
      <c r="R3691"/>
      <c r="S3691"/>
      <c r="T3691"/>
      <c r="U3691"/>
    </row>
    <row r="3692" spans="1:21" hidden="1">
      <c r="A3692" s="7" t="s">
        <v>8869</v>
      </c>
      <c r="B3692" s="7" t="s">
        <v>7903</v>
      </c>
      <c r="C3692" s="8" t="s">
        <v>5319</v>
      </c>
      <c r="D3692" t="s">
        <v>266</v>
      </c>
      <c r="E3692" t="s">
        <v>2407</v>
      </c>
      <c r="F3692" t="s">
        <v>231</v>
      </c>
      <c r="G3692" t="s">
        <v>2410</v>
      </c>
      <c r="H3692" s="9">
        <v>44733</v>
      </c>
      <c r="I3692" t="s">
        <v>99</v>
      </c>
      <c r="J3692" t="s">
        <v>0</v>
      </c>
      <c r="K3692" s="9">
        <v>44839</v>
      </c>
      <c r="L3692" t="s">
        <v>29</v>
      </c>
      <c r="M3692"/>
      <c r="N3692" s="9">
        <v>44778</v>
      </c>
      <c r="O3692" s="9">
        <v>44834</v>
      </c>
      <c r="P3692"/>
      <c r="Q3692" s="9">
        <v>44839</v>
      </c>
      <c r="R3692"/>
      <c r="S3692"/>
      <c r="T3692"/>
      <c r="U3692"/>
    </row>
    <row r="3693" spans="1:21" hidden="1">
      <c r="A3693" s="7" t="s">
        <v>8869</v>
      </c>
      <c r="B3693" s="7" t="s">
        <v>7903</v>
      </c>
      <c r="C3693" s="8" t="s">
        <v>5319</v>
      </c>
      <c r="D3693" t="s">
        <v>266</v>
      </c>
      <c r="E3693" t="s">
        <v>2407</v>
      </c>
      <c r="F3693" t="s">
        <v>231</v>
      </c>
      <c r="G3693" t="s">
        <v>2411</v>
      </c>
      <c r="H3693" s="9">
        <v>44733</v>
      </c>
      <c r="I3693" t="s">
        <v>99</v>
      </c>
      <c r="J3693" t="s">
        <v>0</v>
      </c>
      <c r="K3693" s="9">
        <v>44839</v>
      </c>
      <c r="L3693" t="s">
        <v>29</v>
      </c>
      <c r="M3693"/>
      <c r="N3693" s="9">
        <v>44778</v>
      </c>
      <c r="O3693" s="9">
        <v>44834</v>
      </c>
      <c r="P3693"/>
      <c r="Q3693" s="9">
        <v>44839</v>
      </c>
      <c r="R3693"/>
      <c r="S3693"/>
      <c r="T3693"/>
      <c r="U3693"/>
    </row>
    <row r="3694" spans="1:21" hidden="1">
      <c r="A3694" s="7" t="s">
        <v>8869</v>
      </c>
      <c r="B3694" s="7" t="s">
        <v>7903</v>
      </c>
      <c r="C3694" s="8" t="s">
        <v>5319</v>
      </c>
      <c r="D3694" t="s">
        <v>266</v>
      </c>
      <c r="E3694" t="s">
        <v>2407</v>
      </c>
      <c r="F3694" t="s">
        <v>231</v>
      </c>
      <c r="G3694" t="s">
        <v>2412</v>
      </c>
      <c r="H3694" s="9">
        <v>44733</v>
      </c>
      <c r="I3694" t="s">
        <v>99</v>
      </c>
      <c r="J3694" t="s">
        <v>0</v>
      </c>
      <c r="K3694" s="9">
        <v>44839</v>
      </c>
      <c r="L3694" t="s">
        <v>29</v>
      </c>
      <c r="M3694"/>
      <c r="N3694" s="9">
        <v>44778</v>
      </c>
      <c r="O3694" s="9">
        <v>44834</v>
      </c>
      <c r="P3694"/>
      <c r="Q3694" s="9">
        <v>44839</v>
      </c>
      <c r="R3694"/>
      <c r="S3694"/>
      <c r="T3694"/>
      <c r="U3694"/>
    </row>
    <row r="3695" spans="1:21" hidden="1">
      <c r="A3695" s="7" t="s">
        <v>8869</v>
      </c>
      <c r="B3695" s="7" t="s">
        <v>7903</v>
      </c>
      <c r="C3695" s="8" t="s">
        <v>5319</v>
      </c>
      <c r="D3695" t="s">
        <v>266</v>
      </c>
      <c r="E3695" t="s">
        <v>2407</v>
      </c>
      <c r="F3695" t="s">
        <v>231</v>
      </c>
      <c r="G3695" t="s">
        <v>3305</v>
      </c>
      <c r="H3695" s="9">
        <v>44733</v>
      </c>
      <c r="I3695" t="s">
        <v>99</v>
      </c>
      <c r="J3695" t="s">
        <v>0</v>
      </c>
      <c r="K3695" s="9">
        <v>44839</v>
      </c>
      <c r="L3695" t="s">
        <v>29</v>
      </c>
      <c r="M3695"/>
      <c r="N3695" s="9">
        <v>44778</v>
      </c>
      <c r="O3695" s="9">
        <v>44834</v>
      </c>
      <c r="P3695"/>
      <c r="Q3695" s="9">
        <v>44839</v>
      </c>
      <c r="R3695"/>
      <c r="S3695"/>
      <c r="T3695"/>
      <c r="U3695"/>
    </row>
    <row r="3696" spans="1:21" hidden="1">
      <c r="A3696" s="7" t="s">
        <v>8869</v>
      </c>
      <c r="B3696" s="7" t="s">
        <v>7903</v>
      </c>
      <c r="C3696" s="8" t="s">
        <v>5319</v>
      </c>
      <c r="D3696" t="s">
        <v>266</v>
      </c>
      <c r="E3696" t="s">
        <v>2407</v>
      </c>
      <c r="F3696" t="s">
        <v>231</v>
      </c>
      <c r="G3696" t="s">
        <v>3306</v>
      </c>
      <c r="H3696" s="9">
        <v>44733</v>
      </c>
      <c r="I3696" t="s">
        <v>99</v>
      </c>
      <c r="J3696" t="s">
        <v>0</v>
      </c>
      <c r="K3696" s="9">
        <v>44839</v>
      </c>
      <c r="L3696" t="s">
        <v>29</v>
      </c>
      <c r="M3696"/>
      <c r="N3696" s="9">
        <v>44778</v>
      </c>
      <c r="O3696" s="9">
        <v>44834</v>
      </c>
      <c r="P3696"/>
      <c r="Q3696" s="9">
        <v>44839</v>
      </c>
      <c r="R3696"/>
      <c r="S3696"/>
      <c r="T3696"/>
      <c r="U3696"/>
    </row>
    <row r="3697" spans="1:21" hidden="1">
      <c r="A3697" s="7" t="s">
        <v>8869</v>
      </c>
      <c r="B3697" s="7" t="s">
        <v>7903</v>
      </c>
      <c r="C3697" s="8" t="s">
        <v>5319</v>
      </c>
      <c r="D3697" t="s">
        <v>266</v>
      </c>
      <c r="E3697" t="s">
        <v>2407</v>
      </c>
      <c r="F3697" t="s">
        <v>231</v>
      </c>
      <c r="G3697" t="s">
        <v>3307</v>
      </c>
      <c r="H3697" s="9">
        <v>44733</v>
      </c>
      <c r="I3697" t="s">
        <v>99</v>
      </c>
      <c r="J3697" t="s">
        <v>0</v>
      </c>
      <c r="K3697" s="9">
        <v>44839</v>
      </c>
      <c r="L3697" t="s">
        <v>29</v>
      </c>
      <c r="M3697"/>
      <c r="N3697" s="9">
        <v>44778</v>
      </c>
      <c r="O3697" s="9">
        <v>44834</v>
      </c>
      <c r="P3697"/>
      <c r="Q3697" s="9">
        <v>44839</v>
      </c>
      <c r="R3697"/>
      <c r="S3697"/>
      <c r="T3697"/>
      <c r="U3697"/>
    </row>
    <row r="3698" spans="1:21" hidden="1">
      <c r="A3698" s="7" t="s">
        <v>8869</v>
      </c>
      <c r="B3698" s="7" t="s">
        <v>7903</v>
      </c>
      <c r="C3698" s="8" t="s">
        <v>5319</v>
      </c>
      <c r="D3698" t="s">
        <v>266</v>
      </c>
      <c r="E3698" t="s">
        <v>2407</v>
      </c>
      <c r="F3698" t="s">
        <v>231</v>
      </c>
      <c r="G3698" t="s">
        <v>3308</v>
      </c>
      <c r="H3698" s="9">
        <v>44733</v>
      </c>
      <c r="I3698" t="s">
        <v>99</v>
      </c>
      <c r="J3698" t="s">
        <v>0</v>
      </c>
      <c r="K3698" s="9">
        <v>44839</v>
      </c>
      <c r="L3698" t="s">
        <v>29</v>
      </c>
      <c r="M3698"/>
      <c r="N3698" s="9">
        <v>44778</v>
      </c>
      <c r="O3698" s="9">
        <v>44834</v>
      </c>
      <c r="P3698"/>
      <c r="Q3698" s="9">
        <v>44839</v>
      </c>
      <c r="R3698"/>
      <c r="S3698"/>
      <c r="T3698"/>
      <c r="U3698"/>
    </row>
    <row r="3699" spans="1:21" hidden="1">
      <c r="A3699" s="7" t="s">
        <v>8869</v>
      </c>
      <c r="B3699" s="7" t="s">
        <v>7903</v>
      </c>
      <c r="C3699" s="8" t="s">
        <v>5319</v>
      </c>
      <c r="D3699" t="s">
        <v>266</v>
      </c>
      <c r="E3699" t="s">
        <v>2407</v>
      </c>
      <c r="F3699" t="s">
        <v>231</v>
      </c>
      <c r="G3699" t="s">
        <v>3309</v>
      </c>
      <c r="H3699" s="9">
        <v>44733</v>
      </c>
      <c r="I3699" t="s">
        <v>99</v>
      </c>
      <c r="J3699" t="s">
        <v>0</v>
      </c>
      <c r="K3699" s="9">
        <v>44839</v>
      </c>
      <c r="L3699" t="s">
        <v>29</v>
      </c>
      <c r="M3699"/>
      <c r="N3699" s="9">
        <v>44778</v>
      </c>
      <c r="O3699" s="9">
        <v>44834</v>
      </c>
      <c r="P3699"/>
      <c r="Q3699" s="9">
        <v>44839</v>
      </c>
      <c r="R3699"/>
      <c r="S3699"/>
      <c r="T3699"/>
      <c r="U3699"/>
    </row>
    <row r="3700" spans="1:21" hidden="1">
      <c r="A3700" s="7" t="s">
        <v>8869</v>
      </c>
      <c r="B3700" s="7" t="s">
        <v>7903</v>
      </c>
      <c r="C3700" s="8" t="s">
        <v>5319</v>
      </c>
      <c r="D3700" t="s">
        <v>266</v>
      </c>
      <c r="E3700" t="s">
        <v>2407</v>
      </c>
      <c r="F3700" t="s">
        <v>231</v>
      </c>
      <c r="G3700" t="s">
        <v>2413</v>
      </c>
      <c r="H3700" s="9">
        <v>44733</v>
      </c>
      <c r="I3700" t="s">
        <v>99</v>
      </c>
      <c r="J3700" t="s">
        <v>0</v>
      </c>
      <c r="K3700" s="9">
        <v>44839</v>
      </c>
      <c r="L3700" t="s">
        <v>29</v>
      </c>
      <c r="M3700"/>
      <c r="N3700" s="9">
        <v>44778</v>
      </c>
      <c r="O3700" s="9">
        <v>44834</v>
      </c>
      <c r="P3700"/>
      <c r="Q3700" s="9">
        <v>44839</v>
      </c>
      <c r="R3700"/>
      <c r="S3700"/>
      <c r="T3700"/>
      <c r="U3700"/>
    </row>
    <row r="3701" spans="1:21" hidden="1">
      <c r="A3701" s="7" t="s">
        <v>8795</v>
      </c>
      <c r="B3701" s="7" t="s">
        <v>5590</v>
      </c>
      <c r="C3701" s="8" t="s">
        <v>5319</v>
      </c>
      <c r="D3701" t="s">
        <v>266</v>
      </c>
      <c r="E3701" t="s">
        <v>990</v>
      </c>
      <c r="F3701" t="s">
        <v>111</v>
      </c>
      <c r="G3701" t="s">
        <v>3310</v>
      </c>
      <c r="H3701" s="9">
        <v>44733</v>
      </c>
      <c r="I3701" t="s">
        <v>408</v>
      </c>
      <c r="J3701" t="s">
        <v>5330</v>
      </c>
      <c r="K3701" s="9">
        <v>44834</v>
      </c>
      <c r="L3701" t="s">
        <v>29</v>
      </c>
      <c r="M3701"/>
      <c r="N3701" s="9">
        <v>44778</v>
      </c>
      <c r="O3701" s="9">
        <v>44834</v>
      </c>
      <c r="P3701"/>
      <c r="Q3701"/>
      <c r="R3701"/>
      <c r="S3701"/>
      <c r="T3701"/>
      <c r="U3701"/>
    </row>
    <row r="3702" spans="1:21" hidden="1">
      <c r="A3702" s="7" t="s">
        <v>8921</v>
      </c>
      <c r="B3702" s="7" t="s">
        <v>6949</v>
      </c>
      <c r="C3702" s="8" t="s">
        <v>5319</v>
      </c>
      <c r="D3702" t="s">
        <v>266</v>
      </c>
      <c r="E3702" t="s">
        <v>3288</v>
      </c>
      <c r="F3702" t="s">
        <v>75</v>
      </c>
      <c r="G3702" t="s">
        <v>3311</v>
      </c>
      <c r="H3702" s="9">
        <v>44733</v>
      </c>
      <c r="I3702" t="s">
        <v>882</v>
      </c>
      <c r="J3702" t="s">
        <v>5330</v>
      </c>
      <c r="K3702" s="9">
        <v>44834</v>
      </c>
      <c r="L3702" t="s">
        <v>29</v>
      </c>
      <c r="M3702"/>
      <c r="N3702" s="9">
        <v>44778</v>
      </c>
      <c r="O3702" s="9">
        <v>44834</v>
      </c>
      <c r="P3702"/>
      <c r="Q3702"/>
      <c r="R3702"/>
      <c r="S3702"/>
      <c r="T3702"/>
      <c r="U3702"/>
    </row>
    <row r="3703" spans="1:21" hidden="1">
      <c r="A3703" s="7" t="s">
        <v>8921</v>
      </c>
      <c r="B3703" s="7" t="s">
        <v>6949</v>
      </c>
      <c r="C3703" s="8" t="s">
        <v>5319</v>
      </c>
      <c r="D3703" t="s">
        <v>266</v>
      </c>
      <c r="E3703" t="s">
        <v>3288</v>
      </c>
      <c r="F3703" t="s">
        <v>75</v>
      </c>
      <c r="G3703" t="s">
        <v>3312</v>
      </c>
      <c r="H3703" s="9">
        <v>44733</v>
      </c>
      <c r="I3703" t="s">
        <v>882</v>
      </c>
      <c r="J3703" t="s">
        <v>5330</v>
      </c>
      <c r="K3703" s="9">
        <v>44834</v>
      </c>
      <c r="L3703" t="s">
        <v>29</v>
      </c>
      <c r="M3703"/>
      <c r="N3703" s="9">
        <v>44778</v>
      </c>
      <c r="O3703" s="9">
        <v>44834</v>
      </c>
      <c r="P3703"/>
      <c r="Q3703"/>
      <c r="R3703"/>
      <c r="S3703"/>
      <c r="T3703"/>
      <c r="U3703"/>
    </row>
    <row r="3704" spans="1:21" hidden="1">
      <c r="A3704" s="7" t="s">
        <v>8921</v>
      </c>
      <c r="B3704" s="7" t="s">
        <v>6949</v>
      </c>
      <c r="C3704" s="8" t="s">
        <v>5319</v>
      </c>
      <c r="D3704" t="s">
        <v>266</v>
      </c>
      <c r="E3704" t="s">
        <v>3288</v>
      </c>
      <c r="F3704" t="s">
        <v>75</v>
      </c>
      <c r="G3704" t="s">
        <v>3313</v>
      </c>
      <c r="H3704" s="9">
        <v>44733</v>
      </c>
      <c r="I3704" t="s">
        <v>882</v>
      </c>
      <c r="J3704" t="s">
        <v>5330</v>
      </c>
      <c r="K3704" s="9">
        <v>44834</v>
      </c>
      <c r="L3704" t="s">
        <v>29</v>
      </c>
      <c r="M3704"/>
      <c r="N3704" s="9">
        <v>44778</v>
      </c>
      <c r="O3704" s="9">
        <v>44834</v>
      </c>
      <c r="P3704"/>
      <c r="Q3704"/>
      <c r="R3704"/>
      <c r="S3704"/>
      <c r="T3704"/>
      <c r="U3704"/>
    </row>
    <row r="3705" spans="1:21" hidden="1">
      <c r="A3705" s="7" t="s">
        <v>8916</v>
      </c>
      <c r="B3705" s="7" t="s">
        <v>6766</v>
      </c>
      <c r="C3705" s="8" t="s">
        <v>5319</v>
      </c>
      <c r="D3705" t="s">
        <v>266</v>
      </c>
      <c r="E3705" t="s">
        <v>3257</v>
      </c>
      <c r="F3705" t="s">
        <v>117</v>
      </c>
      <c r="G3705" t="s">
        <v>3314</v>
      </c>
      <c r="H3705" s="9">
        <v>44733</v>
      </c>
      <c r="I3705" t="s">
        <v>408</v>
      </c>
      <c r="J3705" t="s">
        <v>5330</v>
      </c>
      <c r="K3705" s="9">
        <v>44834</v>
      </c>
      <c r="L3705" t="s">
        <v>29</v>
      </c>
      <c r="M3705"/>
      <c r="N3705" s="9">
        <v>44778</v>
      </c>
      <c r="O3705" s="9">
        <v>44834</v>
      </c>
      <c r="P3705"/>
      <c r="Q3705"/>
      <c r="R3705"/>
      <c r="S3705"/>
      <c r="T3705"/>
      <c r="U3705"/>
    </row>
    <row r="3706" spans="1:21" hidden="1">
      <c r="A3706" s="7" t="s">
        <v>8796</v>
      </c>
      <c r="B3706" s="7" t="s">
        <v>6933</v>
      </c>
      <c r="C3706" s="8" t="s">
        <v>5319</v>
      </c>
      <c r="D3706" t="s">
        <v>266</v>
      </c>
      <c r="E3706" t="s">
        <v>993</v>
      </c>
      <c r="F3706" t="s">
        <v>117</v>
      </c>
      <c r="G3706" t="s">
        <v>3315</v>
      </c>
      <c r="H3706" s="9">
        <v>44733</v>
      </c>
      <c r="I3706" t="s">
        <v>408</v>
      </c>
      <c r="J3706" t="s">
        <v>5330</v>
      </c>
      <c r="K3706" s="9">
        <v>44834</v>
      </c>
      <c r="L3706" t="s">
        <v>29</v>
      </c>
      <c r="M3706"/>
      <c r="N3706" s="9">
        <v>44778</v>
      </c>
      <c r="O3706" s="9">
        <v>44834</v>
      </c>
      <c r="P3706"/>
      <c r="Q3706"/>
      <c r="R3706"/>
      <c r="S3706"/>
      <c r="T3706"/>
      <c r="U3706"/>
    </row>
    <row r="3707" spans="1:21" hidden="1">
      <c r="A3707" s="7" t="s">
        <v>8796</v>
      </c>
      <c r="B3707" s="7" t="s">
        <v>6933</v>
      </c>
      <c r="C3707" s="8" t="s">
        <v>5319</v>
      </c>
      <c r="D3707" t="s">
        <v>266</v>
      </c>
      <c r="E3707" t="s">
        <v>993</v>
      </c>
      <c r="F3707" t="s">
        <v>117</v>
      </c>
      <c r="G3707" t="s">
        <v>3316</v>
      </c>
      <c r="H3707" s="9">
        <v>44733</v>
      </c>
      <c r="I3707" t="s">
        <v>408</v>
      </c>
      <c r="J3707" t="s">
        <v>5330</v>
      </c>
      <c r="K3707" s="9">
        <v>44834</v>
      </c>
      <c r="L3707" t="s">
        <v>29</v>
      </c>
      <c r="M3707"/>
      <c r="N3707" s="9">
        <v>44778</v>
      </c>
      <c r="O3707" s="9">
        <v>44834</v>
      </c>
      <c r="P3707"/>
      <c r="Q3707"/>
      <c r="R3707"/>
      <c r="S3707"/>
      <c r="T3707"/>
      <c r="U3707"/>
    </row>
    <row r="3708" spans="1:21" hidden="1">
      <c r="A3708" s="7" t="s">
        <v>8781</v>
      </c>
      <c r="B3708" s="7" t="s">
        <v>8313</v>
      </c>
      <c r="C3708" s="8" t="s">
        <v>5319</v>
      </c>
      <c r="D3708" t="s">
        <v>266</v>
      </c>
      <c r="E3708" t="s">
        <v>880</v>
      </c>
      <c r="F3708" t="s">
        <v>231</v>
      </c>
      <c r="G3708" t="s">
        <v>3317</v>
      </c>
      <c r="H3708" s="9">
        <v>44733</v>
      </c>
      <c r="I3708" t="s">
        <v>882</v>
      </c>
      <c r="J3708" t="s">
        <v>276</v>
      </c>
      <c r="K3708" s="9">
        <v>44881.653749999998</v>
      </c>
      <c r="L3708" t="s">
        <v>29</v>
      </c>
      <c r="M3708"/>
      <c r="N3708" s="9">
        <v>44778</v>
      </c>
      <c r="O3708" s="9">
        <v>44834</v>
      </c>
      <c r="P3708"/>
      <c r="Q3708"/>
      <c r="R3708" s="9">
        <v>44881.650972222204</v>
      </c>
      <c r="S3708"/>
      <c r="T3708"/>
      <c r="U3708"/>
    </row>
    <row r="3709" spans="1:21" hidden="1">
      <c r="A3709" s="7" t="s">
        <v>8781</v>
      </c>
      <c r="B3709" s="7" t="s">
        <v>8313</v>
      </c>
      <c r="C3709" s="8" t="s">
        <v>5319</v>
      </c>
      <c r="D3709" t="s">
        <v>266</v>
      </c>
      <c r="E3709" t="s">
        <v>880</v>
      </c>
      <c r="F3709" t="s">
        <v>231</v>
      </c>
      <c r="G3709" t="s">
        <v>3318</v>
      </c>
      <c r="H3709" s="9">
        <v>44733</v>
      </c>
      <c r="I3709" t="s">
        <v>882</v>
      </c>
      <c r="J3709" t="s">
        <v>276</v>
      </c>
      <c r="K3709" s="9">
        <v>44881.653749999998</v>
      </c>
      <c r="L3709" t="s">
        <v>29</v>
      </c>
      <c r="M3709"/>
      <c r="N3709" s="9">
        <v>44778</v>
      </c>
      <c r="O3709" s="9">
        <v>44834</v>
      </c>
      <c r="P3709"/>
      <c r="Q3709"/>
      <c r="R3709" s="9">
        <v>44881.650972222204</v>
      </c>
      <c r="S3709"/>
      <c r="T3709"/>
      <c r="U3709"/>
    </row>
    <row r="3710" spans="1:21" hidden="1">
      <c r="A3710" s="7" t="s">
        <v>8781</v>
      </c>
      <c r="B3710" s="7" t="s">
        <v>8313</v>
      </c>
      <c r="C3710" s="8" t="s">
        <v>5319</v>
      </c>
      <c r="D3710" t="s">
        <v>266</v>
      </c>
      <c r="E3710" t="s">
        <v>880</v>
      </c>
      <c r="F3710" t="s">
        <v>231</v>
      </c>
      <c r="G3710" t="s">
        <v>3319</v>
      </c>
      <c r="H3710" s="9">
        <v>44733</v>
      </c>
      <c r="I3710" t="s">
        <v>882</v>
      </c>
      <c r="J3710" t="s">
        <v>276</v>
      </c>
      <c r="K3710" s="9">
        <v>44881.653749999998</v>
      </c>
      <c r="L3710" t="s">
        <v>29</v>
      </c>
      <c r="M3710"/>
      <c r="N3710" s="9">
        <v>44778</v>
      </c>
      <c r="O3710" s="9">
        <v>44834</v>
      </c>
      <c r="P3710"/>
      <c r="Q3710"/>
      <c r="R3710" s="9">
        <v>44881.650972222204</v>
      </c>
      <c r="S3710"/>
      <c r="T3710"/>
      <c r="U3710"/>
    </row>
    <row r="3711" spans="1:21" hidden="1">
      <c r="A3711" s="7" t="s">
        <v>8781</v>
      </c>
      <c r="B3711" s="7" t="s">
        <v>8313</v>
      </c>
      <c r="C3711" s="8" t="s">
        <v>5319</v>
      </c>
      <c r="D3711" t="s">
        <v>266</v>
      </c>
      <c r="E3711" t="s">
        <v>880</v>
      </c>
      <c r="F3711" t="s">
        <v>231</v>
      </c>
      <c r="G3711" t="s">
        <v>3320</v>
      </c>
      <c r="H3711" s="9">
        <v>44733</v>
      </c>
      <c r="I3711" t="s">
        <v>882</v>
      </c>
      <c r="J3711" t="s">
        <v>276</v>
      </c>
      <c r="K3711" s="9">
        <v>44881.653749999998</v>
      </c>
      <c r="L3711" t="s">
        <v>29</v>
      </c>
      <c r="M3711"/>
      <c r="N3711" s="9">
        <v>44778</v>
      </c>
      <c r="O3711" s="9">
        <v>44834</v>
      </c>
      <c r="P3711"/>
      <c r="Q3711"/>
      <c r="R3711" s="9">
        <v>44881.650972222204</v>
      </c>
      <c r="S3711"/>
      <c r="T3711"/>
      <c r="U3711"/>
    </row>
    <row r="3712" spans="1:21" hidden="1">
      <c r="A3712" s="7" t="s">
        <v>8781</v>
      </c>
      <c r="B3712" s="7" t="s">
        <v>8313</v>
      </c>
      <c r="C3712" s="8" t="s">
        <v>5319</v>
      </c>
      <c r="D3712" t="s">
        <v>266</v>
      </c>
      <c r="E3712" t="s">
        <v>880</v>
      </c>
      <c r="F3712" t="s">
        <v>231</v>
      </c>
      <c r="G3712" t="s">
        <v>3321</v>
      </c>
      <c r="H3712" s="9">
        <v>44733</v>
      </c>
      <c r="I3712" t="s">
        <v>882</v>
      </c>
      <c r="J3712" t="s">
        <v>276</v>
      </c>
      <c r="K3712" s="9">
        <v>44881.653749999998</v>
      </c>
      <c r="L3712" t="s">
        <v>29</v>
      </c>
      <c r="M3712"/>
      <c r="N3712" s="9">
        <v>44778</v>
      </c>
      <c r="O3712" s="9">
        <v>44834</v>
      </c>
      <c r="P3712"/>
      <c r="Q3712"/>
      <c r="R3712" s="9">
        <v>44881.650972222204</v>
      </c>
      <c r="S3712"/>
      <c r="T3712"/>
      <c r="U3712"/>
    </row>
    <row r="3713" spans="1:21" hidden="1">
      <c r="A3713" s="7" t="s">
        <v>8871</v>
      </c>
      <c r="B3713" s="7" t="s">
        <v>8280</v>
      </c>
      <c r="C3713" s="8" t="s">
        <v>5319</v>
      </c>
      <c r="D3713" t="s">
        <v>266</v>
      </c>
      <c r="E3713" t="s">
        <v>2463</v>
      </c>
      <c r="F3713" t="s">
        <v>231</v>
      </c>
      <c r="G3713" t="s">
        <v>3322</v>
      </c>
      <c r="H3713" s="9">
        <v>44733</v>
      </c>
      <c r="I3713" t="s">
        <v>903</v>
      </c>
      <c r="J3713" t="s">
        <v>212</v>
      </c>
      <c r="K3713" s="9">
        <v>44806.4850925926</v>
      </c>
      <c r="L3713" t="s">
        <v>29</v>
      </c>
      <c r="M3713"/>
      <c r="N3713" s="9">
        <v>44778</v>
      </c>
      <c r="O3713"/>
      <c r="P3713"/>
      <c r="Q3713"/>
      <c r="R3713" s="9">
        <v>44806.484525462998</v>
      </c>
      <c r="S3713"/>
      <c r="T3713"/>
      <c r="U3713"/>
    </row>
    <row r="3714" spans="1:21" hidden="1">
      <c r="A3714" s="7" t="s">
        <v>8871</v>
      </c>
      <c r="B3714" s="7" t="s">
        <v>8280</v>
      </c>
      <c r="C3714" s="8" t="s">
        <v>5319</v>
      </c>
      <c r="D3714" t="s">
        <v>266</v>
      </c>
      <c r="E3714" t="s">
        <v>2463</v>
      </c>
      <c r="F3714" t="s">
        <v>231</v>
      </c>
      <c r="G3714" t="s">
        <v>3323</v>
      </c>
      <c r="H3714" s="9">
        <v>44733</v>
      </c>
      <c r="I3714" t="s">
        <v>903</v>
      </c>
      <c r="J3714" t="s">
        <v>212</v>
      </c>
      <c r="K3714" s="9">
        <v>44806.4850925926</v>
      </c>
      <c r="L3714" t="s">
        <v>29</v>
      </c>
      <c r="M3714"/>
      <c r="N3714" s="9">
        <v>44778</v>
      </c>
      <c r="O3714"/>
      <c r="P3714"/>
      <c r="Q3714"/>
      <c r="R3714" s="9">
        <v>44806.484525462998</v>
      </c>
      <c r="S3714"/>
      <c r="T3714"/>
      <c r="U3714"/>
    </row>
    <row r="3715" spans="1:21" hidden="1">
      <c r="A3715" s="7" t="s">
        <v>8871</v>
      </c>
      <c r="B3715" s="7" t="s">
        <v>8280</v>
      </c>
      <c r="C3715" s="8" t="s">
        <v>5319</v>
      </c>
      <c r="D3715" t="s">
        <v>266</v>
      </c>
      <c r="E3715" t="s">
        <v>2463</v>
      </c>
      <c r="F3715" t="s">
        <v>231</v>
      </c>
      <c r="G3715" t="s">
        <v>3324</v>
      </c>
      <c r="H3715" s="9">
        <v>44733</v>
      </c>
      <c r="I3715" t="s">
        <v>903</v>
      </c>
      <c r="J3715" t="s">
        <v>212</v>
      </c>
      <c r="K3715" s="9">
        <v>44806.4850925926</v>
      </c>
      <c r="L3715" t="s">
        <v>29</v>
      </c>
      <c r="M3715"/>
      <c r="N3715" s="9">
        <v>44778</v>
      </c>
      <c r="O3715"/>
      <c r="P3715"/>
      <c r="Q3715"/>
      <c r="R3715" s="9">
        <v>44806.484525462998</v>
      </c>
      <c r="S3715"/>
      <c r="T3715"/>
      <c r="U3715"/>
    </row>
    <row r="3716" spans="1:21" hidden="1">
      <c r="A3716" s="7" t="s">
        <v>8871</v>
      </c>
      <c r="B3716" s="7" t="s">
        <v>8280</v>
      </c>
      <c r="C3716" s="8" t="s">
        <v>5319</v>
      </c>
      <c r="D3716" t="s">
        <v>266</v>
      </c>
      <c r="E3716" t="s">
        <v>2463</v>
      </c>
      <c r="F3716" t="s">
        <v>231</v>
      </c>
      <c r="G3716" t="s">
        <v>3325</v>
      </c>
      <c r="H3716" s="9">
        <v>44733</v>
      </c>
      <c r="I3716" t="s">
        <v>903</v>
      </c>
      <c r="J3716" t="s">
        <v>212</v>
      </c>
      <c r="K3716" s="9">
        <v>44806.4850925926</v>
      </c>
      <c r="L3716" t="s">
        <v>29</v>
      </c>
      <c r="M3716"/>
      <c r="N3716" s="9">
        <v>44778</v>
      </c>
      <c r="O3716"/>
      <c r="P3716"/>
      <c r="Q3716"/>
      <c r="R3716" s="9">
        <v>44806.484525462998</v>
      </c>
      <c r="S3716"/>
      <c r="T3716"/>
      <c r="U3716"/>
    </row>
    <row r="3717" spans="1:21" hidden="1">
      <c r="A3717" s="7" t="s">
        <v>8871</v>
      </c>
      <c r="B3717" s="7" t="s">
        <v>8280</v>
      </c>
      <c r="C3717" s="8" t="s">
        <v>5319</v>
      </c>
      <c r="D3717" t="s">
        <v>266</v>
      </c>
      <c r="E3717" t="s">
        <v>2463</v>
      </c>
      <c r="F3717" t="s">
        <v>231</v>
      </c>
      <c r="G3717" t="s">
        <v>3326</v>
      </c>
      <c r="H3717" s="9">
        <v>44733</v>
      </c>
      <c r="I3717" t="s">
        <v>903</v>
      </c>
      <c r="J3717" t="s">
        <v>212</v>
      </c>
      <c r="K3717" s="9">
        <v>44806.4850925926</v>
      </c>
      <c r="L3717" t="s">
        <v>29</v>
      </c>
      <c r="M3717"/>
      <c r="N3717" s="9">
        <v>44778</v>
      </c>
      <c r="O3717"/>
      <c r="P3717"/>
      <c r="Q3717"/>
      <c r="R3717" s="9">
        <v>44806.484525462998</v>
      </c>
      <c r="S3717"/>
      <c r="T3717"/>
      <c r="U3717"/>
    </row>
    <row r="3718" spans="1:21" hidden="1">
      <c r="A3718" s="7" t="s">
        <v>8871</v>
      </c>
      <c r="B3718" s="7" t="s">
        <v>8280</v>
      </c>
      <c r="C3718" s="8" t="s">
        <v>5319</v>
      </c>
      <c r="D3718" t="s">
        <v>266</v>
      </c>
      <c r="E3718" t="s">
        <v>2463</v>
      </c>
      <c r="F3718" t="s">
        <v>231</v>
      </c>
      <c r="G3718" t="s">
        <v>3327</v>
      </c>
      <c r="H3718" s="9">
        <v>44733</v>
      </c>
      <c r="I3718" t="s">
        <v>903</v>
      </c>
      <c r="J3718" t="s">
        <v>212</v>
      </c>
      <c r="K3718" s="9">
        <v>44806.4850925926</v>
      </c>
      <c r="L3718" t="s">
        <v>29</v>
      </c>
      <c r="M3718"/>
      <c r="N3718" s="9">
        <v>44778</v>
      </c>
      <c r="O3718"/>
      <c r="P3718"/>
      <c r="Q3718"/>
      <c r="R3718" s="9">
        <v>44806.484525462998</v>
      </c>
      <c r="S3718"/>
      <c r="T3718"/>
      <c r="U3718"/>
    </row>
    <row r="3719" spans="1:21" hidden="1">
      <c r="A3719" s="7" t="s">
        <v>8871</v>
      </c>
      <c r="B3719" s="7" t="s">
        <v>8280</v>
      </c>
      <c r="C3719" s="8" t="s">
        <v>5319</v>
      </c>
      <c r="D3719" t="s">
        <v>266</v>
      </c>
      <c r="E3719" t="s">
        <v>2463</v>
      </c>
      <c r="F3719" t="s">
        <v>231</v>
      </c>
      <c r="G3719" t="s">
        <v>3328</v>
      </c>
      <c r="H3719" s="9">
        <v>44733</v>
      </c>
      <c r="I3719" t="s">
        <v>903</v>
      </c>
      <c r="J3719" t="s">
        <v>212</v>
      </c>
      <c r="K3719" s="9">
        <v>44806.4850925926</v>
      </c>
      <c r="L3719" t="s">
        <v>29</v>
      </c>
      <c r="M3719"/>
      <c r="N3719" s="9">
        <v>44778</v>
      </c>
      <c r="O3719"/>
      <c r="P3719"/>
      <c r="Q3719"/>
      <c r="R3719" s="9">
        <v>44806.484525462998</v>
      </c>
      <c r="S3719"/>
      <c r="T3719"/>
      <c r="U3719"/>
    </row>
    <row r="3720" spans="1:21" hidden="1">
      <c r="A3720" s="7" t="s">
        <v>8871</v>
      </c>
      <c r="B3720" s="7" t="s">
        <v>8280</v>
      </c>
      <c r="C3720" s="8" t="s">
        <v>5319</v>
      </c>
      <c r="D3720" t="s">
        <v>266</v>
      </c>
      <c r="E3720" t="s">
        <v>2463</v>
      </c>
      <c r="F3720" t="s">
        <v>231</v>
      </c>
      <c r="G3720" t="s">
        <v>3329</v>
      </c>
      <c r="H3720" s="9">
        <v>44733</v>
      </c>
      <c r="I3720" t="s">
        <v>903</v>
      </c>
      <c r="J3720" t="s">
        <v>212</v>
      </c>
      <c r="K3720" s="9">
        <v>44806.4850925926</v>
      </c>
      <c r="L3720" t="s">
        <v>29</v>
      </c>
      <c r="M3720"/>
      <c r="N3720" s="9">
        <v>44778</v>
      </c>
      <c r="O3720"/>
      <c r="P3720"/>
      <c r="Q3720"/>
      <c r="R3720" s="9">
        <v>44806.484525462998</v>
      </c>
      <c r="S3720"/>
      <c r="T3720"/>
      <c r="U3720"/>
    </row>
    <row r="3721" spans="1:21" hidden="1">
      <c r="A3721" s="7" t="s">
        <v>8871</v>
      </c>
      <c r="B3721" s="7" t="s">
        <v>8280</v>
      </c>
      <c r="C3721" s="8" t="s">
        <v>5319</v>
      </c>
      <c r="D3721" t="s">
        <v>266</v>
      </c>
      <c r="E3721" t="s">
        <v>2463</v>
      </c>
      <c r="F3721" t="s">
        <v>231</v>
      </c>
      <c r="G3721" t="s">
        <v>3330</v>
      </c>
      <c r="H3721" s="9">
        <v>44733</v>
      </c>
      <c r="I3721" t="s">
        <v>903</v>
      </c>
      <c r="J3721" t="s">
        <v>212</v>
      </c>
      <c r="K3721" s="9">
        <v>44806.4850925926</v>
      </c>
      <c r="L3721" t="s">
        <v>29</v>
      </c>
      <c r="M3721"/>
      <c r="N3721" s="9">
        <v>44778</v>
      </c>
      <c r="O3721"/>
      <c r="P3721"/>
      <c r="Q3721"/>
      <c r="R3721" s="9">
        <v>44806.484525462998</v>
      </c>
      <c r="S3721"/>
      <c r="T3721"/>
      <c r="U3721"/>
    </row>
    <row r="3722" spans="1:21" hidden="1">
      <c r="A3722" s="7" t="s">
        <v>8871</v>
      </c>
      <c r="B3722" s="7" t="s">
        <v>8280</v>
      </c>
      <c r="C3722" s="8" t="s">
        <v>5319</v>
      </c>
      <c r="D3722" t="s">
        <v>266</v>
      </c>
      <c r="E3722" t="s">
        <v>2463</v>
      </c>
      <c r="F3722" t="s">
        <v>231</v>
      </c>
      <c r="G3722" t="s">
        <v>3331</v>
      </c>
      <c r="H3722" s="9">
        <v>44733</v>
      </c>
      <c r="I3722" t="s">
        <v>903</v>
      </c>
      <c r="J3722" t="s">
        <v>212</v>
      </c>
      <c r="K3722" s="9">
        <v>44806.4850925926</v>
      </c>
      <c r="L3722" t="s">
        <v>29</v>
      </c>
      <c r="M3722"/>
      <c r="N3722" s="9">
        <v>44778</v>
      </c>
      <c r="O3722"/>
      <c r="P3722"/>
      <c r="Q3722"/>
      <c r="R3722" s="9">
        <v>44806.484525462998</v>
      </c>
      <c r="S3722"/>
      <c r="T3722"/>
      <c r="U3722"/>
    </row>
    <row r="3723" spans="1:21" hidden="1">
      <c r="A3723" s="7" t="s">
        <v>8871</v>
      </c>
      <c r="B3723" s="7" t="s">
        <v>8280</v>
      </c>
      <c r="C3723" s="8" t="s">
        <v>5319</v>
      </c>
      <c r="D3723" t="s">
        <v>266</v>
      </c>
      <c r="E3723" t="s">
        <v>2463</v>
      </c>
      <c r="F3723" t="s">
        <v>231</v>
      </c>
      <c r="G3723" t="s">
        <v>3332</v>
      </c>
      <c r="H3723" s="9">
        <v>44733</v>
      </c>
      <c r="I3723" t="s">
        <v>903</v>
      </c>
      <c r="J3723" t="s">
        <v>212</v>
      </c>
      <c r="K3723" s="9">
        <v>44806.4850925926</v>
      </c>
      <c r="L3723" t="s">
        <v>29</v>
      </c>
      <c r="M3723"/>
      <c r="N3723" s="9">
        <v>44778</v>
      </c>
      <c r="O3723"/>
      <c r="P3723"/>
      <c r="Q3723"/>
      <c r="R3723" s="9">
        <v>44806.484525462998</v>
      </c>
      <c r="S3723"/>
      <c r="T3723"/>
      <c r="U3723"/>
    </row>
    <row r="3724" spans="1:21" hidden="1">
      <c r="A3724" s="7" t="s">
        <v>8922</v>
      </c>
      <c r="B3724" s="7" t="s">
        <v>8091</v>
      </c>
      <c r="C3724" s="8" t="s">
        <v>5319</v>
      </c>
      <c r="D3724" t="s">
        <v>266</v>
      </c>
      <c r="E3724" t="s">
        <v>3333</v>
      </c>
      <c r="F3724" t="s">
        <v>117</v>
      </c>
      <c r="G3724" t="s">
        <v>3334</v>
      </c>
      <c r="H3724" s="9">
        <v>44733</v>
      </c>
      <c r="I3724" t="s">
        <v>903</v>
      </c>
      <c r="J3724" t="s">
        <v>5330</v>
      </c>
      <c r="K3724" s="9">
        <v>44834</v>
      </c>
      <c r="L3724" t="s">
        <v>29</v>
      </c>
      <c r="M3724"/>
      <c r="N3724" s="9">
        <v>44778</v>
      </c>
      <c r="O3724" s="9">
        <v>44834</v>
      </c>
      <c r="P3724"/>
      <c r="Q3724"/>
      <c r="R3724"/>
      <c r="S3724"/>
      <c r="T3724"/>
      <c r="U3724"/>
    </row>
    <row r="3725" spans="1:21" hidden="1">
      <c r="A3725" s="7" t="s">
        <v>8922</v>
      </c>
      <c r="B3725" s="7" t="s">
        <v>8091</v>
      </c>
      <c r="C3725" s="8" t="s">
        <v>5319</v>
      </c>
      <c r="D3725" t="s">
        <v>266</v>
      </c>
      <c r="E3725" t="s">
        <v>3333</v>
      </c>
      <c r="F3725" t="s">
        <v>117</v>
      </c>
      <c r="G3725" t="s">
        <v>3335</v>
      </c>
      <c r="H3725" s="9">
        <v>44733</v>
      </c>
      <c r="I3725" t="s">
        <v>903</v>
      </c>
      <c r="J3725" t="s">
        <v>5330</v>
      </c>
      <c r="K3725" s="9">
        <v>44834</v>
      </c>
      <c r="L3725" t="s">
        <v>29</v>
      </c>
      <c r="M3725"/>
      <c r="N3725" s="9">
        <v>44778</v>
      </c>
      <c r="O3725" s="9">
        <v>44834</v>
      </c>
      <c r="P3725"/>
      <c r="Q3725"/>
      <c r="R3725"/>
      <c r="S3725"/>
      <c r="T3725"/>
      <c r="U3725"/>
    </row>
    <row r="3726" spans="1:21" hidden="1">
      <c r="A3726" s="7" t="s">
        <v>8922</v>
      </c>
      <c r="B3726" s="7" t="s">
        <v>8091</v>
      </c>
      <c r="C3726" s="8" t="s">
        <v>5319</v>
      </c>
      <c r="D3726" t="s">
        <v>266</v>
      </c>
      <c r="E3726" t="s">
        <v>3333</v>
      </c>
      <c r="F3726" t="s">
        <v>117</v>
      </c>
      <c r="G3726" t="s">
        <v>3336</v>
      </c>
      <c r="H3726" s="9">
        <v>44733</v>
      </c>
      <c r="I3726" t="s">
        <v>903</v>
      </c>
      <c r="J3726" t="s">
        <v>5330</v>
      </c>
      <c r="K3726" s="9">
        <v>44834</v>
      </c>
      <c r="L3726" t="s">
        <v>29</v>
      </c>
      <c r="M3726"/>
      <c r="N3726" s="9">
        <v>44778</v>
      </c>
      <c r="O3726" s="9">
        <v>44834</v>
      </c>
      <c r="P3726"/>
      <c r="Q3726"/>
      <c r="R3726"/>
      <c r="S3726"/>
      <c r="T3726"/>
      <c r="U3726"/>
    </row>
    <row r="3727" spans="1:21" hidden="1">
      <c r="A3727" s="7" t="s">
        <v>8922</v>
      </c>
      <c r="B3727" s="7" t="s">
        <v>8091</v>
      </c>
      <c r="C3727" s="8" t="s">
        <v>5319</v>
      </c>
      <c r="D3727" t="s">
        <v>266</v>
      </c>
      <c r="E3727" t="s">
        <v>3333</v>
      </c>
      <c r="F3727" t="s">
        <v>117</v>
      </c>
      <c r="G3727" t="s">
        <v>3337</v>
      </c>
      <c r="H3727" s="9">
        <v>44733</v>
      </c>
      <c r="I3727" t="s">
        <v>903</v>
      </c>
      <c r="J3727" t="s">
        <v>5330</v>
      </c>
      <c r="K3727" s="9">
        <v>44834</v>
      </c>
      <c r="L3727" t="s">
        <v>29</v>
      </c>
      <c r="M3727"/>
      <c r="N3727" s="9">
        <v>44778</v>
      </c>
      <c r="O3727" s="9">
        <v>44834</v>
      </c>
      <c r="P3727"/>
      <c r="Q3727"/>
      <c r="R3727"/>
      <c r="S3727"/>
      <c r="T3727"/>
      <c r="U3727"/>
    </row>
    <row r="3728" spans="1:21" hidden="1">
      <c r="A3728" s="7" t="s">
        <v>8922</v>
      </c>
      <c r="B3728" s="7" t="s">
        <v>8091</v>
      </c>
      <c r="C3728" s="8" t="s">
        <v>5319</v>
      </c>
      <c r="D3728" t="s">
        <v>266</v>
      </c>
      <c r="E3728" t="s">
        <v>3333</v>
      </c>
      <c r="F3728" t="s">
        <v>117</v>
      </c>
      <c r="G3728" t="s">
        <v>3338</v>
      </c>
      <c r="H3728" s="9">
        <v>44733</v>
      </c>
      <c r="I3728" t="s">
        <v>903</v>
      </c>
      <c r="J3728" t="s">
        <v>5330</v>
      </c>
      <c r="K3728" s="9">
        <v>44834</v>
      </c>
      <c r="L3728" t="s">
        <v>29</v>
      </c>
      <c r="M3728"/>
      <c r="N3728" s="9">
        <v>44778</v>
      </c>
      <c r="O3728" s="9">
        <v>44834</v>
      </c>
      <c r="P3728"/>
      <c r="Q3728"/>
      <c r="R3728"/>
      <c r="S3728"/>
      <c r="T3728"/>
      <c r="U3728"/>
    </row>
    <row r="3729" spans="1:21" hidden="1">
      <c r="A3729" s="7" t="s">
        <v>8922</v>
      </c>
      <c r="B3729" s="7" t="s">
        <v>8091</v>
      </c>
      <c r="C3729" s="8" t="s">
        <v>5319</v>
      </c>
      <c r="D3729" t="s">
        <v>266</v>
      </c>
      <c r="E3729" t="s">
        <v>3333</v>
      </c>
      <c r="F3729" t="s">
        <v>117</v>
      </c>
      <c r="G3729" t="s">
        <v>3339</v>
      </c>
      <c r="H3729" s="9">
        <v>44733</v>
      </c>
      <c r="I3729" t="s">
        <v>903</v>
      </c>
      <c r="J3729" t="s">
        <v>5330</v>
      </c>
      <c r="K3729" s="9">
        <v>44834</v>
      </c>
      <c r="L3729" t="s">
        <v>29</v>
      </c>
      <c r="M3729"/>
      <c r="N3729" s="9">
        <v>44778</v>
      </c>
      <c r="O3729" s="9">
        <v>44834</v>
      </c>
      <c r="P3729"/>
      <c r="Q3729"/>
      <c r="R3729"/>
      <c r="S3729"/>
      <c r="T3729"/>
      <c r="U3729"/>
    </row>
    <row r="3730" spans="1:21" hidden="1">
      <c r="A3730" s="7" t="s">
        <v>8922</v>
      </c>
      <c r="B3730" s="7" t="s">
        <v>8091</v>
      </c>
      <c r="C3730" s="8" t="s">
        <v>5319</v>
      </c>
      <c r="D3730" t="s">
        <v>266</v>
      </c>
      <c r="E3730" t="s">
        <v>3333</v>
      </c>
      <c r="F3730" t="s">
        <v>117</v>
      </c>
      <c r="G3730" t="s">
        <v>3340</v>
      </c>
      <c r="H3730" s="9">
        <v>44733</v>
      </c>
      <c r="I3730" t="s">
        <v>903</v>
      </c>
      <c r="J3730" t="s">
        <v>5330</v>
      </c>
      <c r="K3730" s="9">
        <v>44834</v>
      </c>
      <c r="L3730" t="s">
        <v>29</v>
      </c>
      <c r="M3730"/>
      <c r="N3730" s="9">
        <v>44778</v>
      </c>
      <c r="O3730" s="9">
        <v>44834</v>
      </c>
      <c r="P3730"/>
      <c r="Q3730"/>
      <c r="R3730"/>
      <c r="S3730"/>
      <c r="T3730"/>
      <c r="U3730"/>
    </row>
    <row r="3731" spans="1:21" hidden="1">
      <c r="A3731" s="7" t="s">
        <v>8922</v>
      </c>
      <c r="B3731" s="7" t="s">
        <v>8091</v>
      </c>
      <c r="C3731" s="8" t="s">
        <v>5319</v>
      </c>
      <c r="D3731" t="s">
        <v>266</v>
      </c>
      <c r="E3731" t="s">
        <v>3333</v>
      </c>
      <c r="F3731" t="s">
        <v>117</v>
      </c>
      <c r="G3731" t="s">
        <v>3341</v>
      </c>
      <c r="H3731" s="9">
        <v>44733</v>
      </c>
      <c r="I3731" t="s">
        <v>903</v>
      </c>
      <c r="J3731" t="s">
        <v>5330</v>
      </c>
      <c r="K3731" s="9">
        <v>44834</v>
      </c>
      <c r="L3731" t="s">
        <v>29</v>
      </c>
      <c r="M3731"/>
      <c r="N3731" s="9">
        <v>44778</v>
      </c>
      <c r="O3731" s="9">
        <v>44834</v>
      </c>
      <c r="P3731"/>
      <c r="Q3731"/>
      <c r="R3731"/>
      <c r="S3731"/>
      <c r="T3731"/>
      <c r="U3731"/>
    </row>
    <row r="3732" spans="1:21" hidden="1">
      <c r="A3732" s="7" t="s">
        <v>8922</v>
      </c>
      <c r="B3732" s="7" t="s">
        <v>8091</v>
      </c>
      <c r="C3732" s="8" t="s">
        <v>5319</v>
      </c>
      <c r="D3732" t="s">
        <v>266</v>
      </c>
      <c r="E3732" t="s">
        <v>3333</v>
      </c>
      <c r="F3732" t="s">
        <v>117</v>
      </c>
      <c r="G3732" t="s">
        <v>3342</v>
      </c>
      <c r="H3732" s="9">
        <v>44733</v>
      </c>
      <c r="I3732" t="s">
        <v>903</v>
      </c>
      <c r="J3732" t="s">
        <v>5330</v>
      </c>
      <c r="K3732" s="9">
        <v>44834</v>
      </c>
      <c r="L3732" t="s">
        <v>29</v>
      </c>
      <c r="M3732"/>
      <c r="N3732" s="9">
        <v>44778</v>
      </c>
      <c r="O3732" s="9">
        <v>44834</v>
      </c>
      <c r="P3732"/>
      <c r="Q3732"/>
      <c r="R3732"/>
      <c r="S3732"/>
      <c r="T3732"/>
      <c r="U3732"/>
    </row>
    <row r="3733" spans="1:21" hidden="1">
      <c r="A3733" s="7" t="s">
        <v>8922</v>
      </c>
      <c r="B3733" s="7" t="s">
        <v>8091</v>
      </c>
      <c r="C3733" s="8" t="s">
        <v>5319</v>
      </c>
      <c r="D3733" t="s">
        <v>266</v>
      </c>
      <c r="E3733" t="s">
        <v>3333</v>
      </c>
      <c r="F3733" t="s">
        <v>117</v>
      </c>
      <c r="G3733" t="s">
        <v>3343</v>
      </c>
      <c r="H3733" s="9">
        <v>44733</v>
      </c>
      <c r="I3733" t="s">
        <v>903</v>
      </c>
      <c r="J3733" t="s">
        <v>5330</v>
      </c>
      <c r="K3733" s="9">
        <v>44834</v>
      </c>
      <c r="L3733" t="s">
        <v>29</v>
      </c>
      <c r="M3733"/>
      <c r="N3733" s="9">
        <v>44778</v>
      </c>
      <c r="O3733" s="9">
        <v>44834</v>
      </c>
      <c r="P3733"/>
      <c r="Q3733"/>
      <c r="R3733"/>
      <c r="S3733"/>
      <c r="T3733"/>
      <c r="U3733"/>
    </row>
    <row r="3734" spans="1:21" hidden="1">
      <c r="A3734" s="7" t="s">
        <v>8922</v>
      </c>
      <c r="B3734" s="7" t="s">
        <v>8091</v>
      </c>
      <c r="C3734" s="8" t="s">
        <v>5319</v>
      </c>
      <c r="D3734" t="s">
        <v>266</v>
      </c>
      <c r="E3734" t="s">
        <v>3333</v>
      </c>
      <c r="F3734" t="s">
        <v>117</v>
      </c>
      <c r="G3734" t="s">
        <v>3344</v>
      </c>
      <c r="H3734" s="9">
        <v>44733</v>
      </c>
      <c r="I3734" t="s">
        <v>903</v>
      </c>
      <c r="J3734" t="s">
        <v>5330</v>
      </c>
      <c r="K3734" s="9">
        <v>44834</v>
      </c>
      <c r="L3734" t="s">
        <v>29</v>
      </c>
      <c r="M3734"/>
      <c r="N3734" s="9">
        <v>44778</v>
      </c>
      <c r="O3734" s="9">
        <v>44834</v>
      </c>
      <c r="P3734"/>
      <c r="Q3734"/>
      <c r="R3734"/>
      <c r="S3734"/>
      <c r="T3734"/>
      <c r="U3734"/>
    </row>
    <row r="3735" spans="1:21" hidden="1">
      <c r="A3735" s="7" t="s">
        <v>8922</v>
      </c>
      <c r="B3735" s="7" t="s">
        <v>8091</v>
      </c>
      <c r="C3735" s="8" t="s">
        <v>5319</v>
      </c>
      <c r="D3735" t="s">
        <v>266</v>
      </c>
      <c r="E3735" t="s">
        <v>3333</v>
      </c>
      <c r="F3735" t="s">
        <v>117</v>
      </c>
      <c r="G3735" t="s">
        <v>3345</v>
      </c>
      <c r="H3735" s="9">
        <v>44733</v>
      </c>
      <c r="I3735" t="s">
        <v>903</v>
      </c>
      <c r="J3735" t="s">
        <v>5330</v>
      </c>
      <c r="K3735" s="9">
        <v>44834</v>
      </c>
      <c r="L3735" t="s">
        <v>29</v>
      </c>
      <c r="M3735"/>
      <c r="N3735" s="9">
        <v>44778</v>
      </c>
      <c r="O3735" s="9">
        <v>44834</v>
      </c>
      <c r="P3735"/>
      <c r="Q3735"/>
      <c r="R3735"/>
      <c r="S3735"/>
      <c r="T3735"/>
      <c r="U3735"/>
    </row>
    <row r="3736" spans="1:21" hidden="1">
      <c r="A3736" s="7" t="s">
        <v>8922</v>
      </c>
      <c r="B3736" s="7" t="s">
        <v>8091</v>
      </c>
      <c r="C3736" s="8" t="s">
        <v>5319</v>
      </c>
      <c r="D3736" t="s">
        <v>266</v>
      </c>
      <c r="E3736" t="s">
        <v>3333</v>
      </c>
      <c r="F3736" t="s">
        <v>117</v>
      </c>
      <c r="G3736" t="s">
        <v>3346</v>
      </c>
      <c r="H3736" s="9">
        <v>44733</v>
      </c>
      <c r="I3736" t="s">
        <v>903</v>
      </c>
      <c r="J3736" t="s">
        <v>5330</v>
      </c>
      <c r="K3736" s="9">
        <v>44834</v>
      </c>
      <c r="L3736" t="s">
        <v>29</v>
      </c>
      <c r="M3736"/>
      <c r="N3736" s="9">
        <v>44778</v>
      </c>
      <c r="O3736" s="9">
        <v>44834</v>
      </c>
      <c r="P3736"/>
      <c r="Q3736"/>
      <c r="R3736"/>
      <c r="S3736"/>
      <c r="T3736"/>
      <c r="U3736"/>
    </row>
    <row r="3737" spans="1:21" hidden="1">
      <c r="A3737" s="7" t="s">
        <v>8923</v>
      </c>
      <c r="B3737" s="7" t="s">
        <v>7641</v>
      </c>
      <c r="C3737" s="8" t="s">
        <v>5319</v>
      </c>
      <c r="D3737" t="s">
        <v>266</v>
      </c>
      <c r="E3737" t="s">
        <v>3347</v>
      </c>
      <c r="F3737" t="s">
        <v>231</v>
      </c>
      <c r="G3737" t="s">
        <v>3348</v>
      </c>
      <c r="H3737" s="9">
        <v>44733</v>
      </c>
      <c r="I3737" t="s">
        <v>3102</v>
      </c>
      <c r="J3737" t="s">
        <v>5330</v>
      </c>
      <c r="K3737" s="9">
        <v>44834</v>
      </c>
      <c r="L3737" t="s">
        <v>29</v>
      </c>
      <c r="M3737"/>
      <c r="N3737" s="9">
        <v>44778</v>
      </c>
      <c r="O3737" s="9">
        <v>44834</v>
      </c>
      <c r="P3737"/>
      <c r="Q3737"/>
      <c r="R3737"/>
      <c r="S3737"/>
      <c r="T3737"/>
      <c r="U3737"/>
    </row>
    <row r="3738" spans="1:21" hidden="1">
      <c r="A3738" s="7" t="s">
        <v>8923</v>
      </c>
      <c r="B3738" s="7" t="s">
        <v>7641</v>
      </c>
      <c r="C3738" s="8" t="s">
        <v>5319</v>
      </c>
      <c r="D3738" t="s">
        <v>266</v>
      </c>
      <c r="E3738" t="s">
        <v>3347</v>
      </c>
      <c r="F3738" t="s">
        <v>231</v>
      </c>
      <c r="G3738" t="s">
        <v>3349</v>
      </c>
      <c r="H3738" s="9">
        <v>44733</v>
      </c>
      <c r="I3738" t="s">
        <v>3102</v>
      </c>
      <c r="J3738" t="s">
        <v>5330</v>
      </c>
      <c r="K3738" s="9">
        <v>44834</v>
      </c>
      <c r="L3738" t="s">
        <v>29</v>
      </c>
      <c r="M3738"/>
      <c r="N3738" s="9">
        <v>44778</v>
      </c>
      <c r="O3738" s="9">
        <v>44834</v>
      </c>
      <c r="P3738"/>
      <c r="Q3738"/>
      <c r="R3738"/>
      <c r="S3738"/>
      <c r="T3738"/>
      <c r="U3738"/>
    </row>
    <row r="3739" spans="1:21" hidden="1">
      <c r="A3739" s="7" t="s">
        <v>8849</v>
      </c>
      <c r="B3739" s="7" t="s">
        <v>6805</v>
      </c>
      <c r="C3739" s="8" t="s">
        <v>5319</v>
      </c>
      <c r="D3739" t="s">
        <v>266</v>
      </c>
      <c r="E3739" t="s">
        <v>2175</v>
      </c>
      <c r="F3739" t="s">
        <v>75</v>
      </c>
      <c r="G3739" t="s">
        <v>3350</v>
      </c>
      <c r="H3739" s="9">
        <v>44733</v>
      </c>
      <c r="I3739" t="s">
        <v>488</v>
      </c>
      <c r="J3739" t="s">
        <v>5330</v>
      </c>
      <c r="K3739" s="9">
        <v>44834</v>
      </c>
      <c r="L3739" t="s">
        <v>29</v>
      </c>
      <c r="M3739"/>
      <c r="N3739" s="9">
        <v>44778</v>
      </c>
      <c r="O3739" s="9">
        <v>44834</v>
      </c>
      <c r="P3739"/>
      <c r="Q3739"/>
      <c r="R3739"/>
      <c r="S3739"/>
      <c r="T3739"/>
      <c r="U3739"/>
    </row>
    <row r="3740" spans="1:21" hidden="1">
      <c r="A3740" s="7" t="s">
        <v>8849</v>
      </c>
      <c r="B3740" s="7" t="s">
        <v>6805</v>
      </c>
      <c r="C3740" s="8" t="s">
        <v>5319</v>
      </c>
      <c r="D3740" t="s">
        <v>266</v>
      </c>
      <c r="E3740" t="s">
        <v>2175</v>
      </c>
      <c r="F3740" t="s">
        <v>75</v>
      </c>
      <c r="G3740" t="s">
        <v>3351</v>
      </c>
      <c r="H3740" s="9">
        <v>44733</v>
      </c>
      <c r="I3740" t="s">
        <v>488</v>
      </c>
      <c r="J3740" t="s">
        <v>5330</v>
      </c>
      <c r="K3740" s="9">
        <v>44834</v>
      </c>
      <c r="L3740" t="s">
        <v>29</v>
      </c>
      <c r="M3740"/>
      <c r="N3740" s="9">
        <v>44778</v>
      </c>
      <c r="O3740" s="9">
        <v>44834</v>
      </c>
      <c r="P3740"/>
      <c r="Q3740"/>
      <c r="R3740"/>
      <c r="S3740"/>
      <c r="T3740"/>
      <c r="U3740"/>
    </row>
    <row r="3741" spans="1:21" hidden="1">
      <c r="A3741" s="7" t="s">
        <v>8849</v>
      </c>
      <c r="B3741" s="7" t="s">
        <v>6805</v>
      </c>
      <c r="C3741" s="8" t="s">
        <v>5319</v>
      </c>
      <c r="D3741" t="s">
        <v>266</v>
      </c>
      <c r="E3741" t="s">
        <v>2175</v>
      </c>
      <c r="F3741" t="s">
        <v>75</v>
      </c>
      <c r="G3741" t="s">
        <v>3352</v>
      </c>
      <c r="H3741" s="9">
        <v>44733</v>
      </c>
      <c r="I3741" t="s">
        <v>488</v>
      </c>
      <c r="J3741" t="s">
        <v>5330</v>
      </c>
      <c r="K3741" s="9">
        <v>44834</v>
      </c>
      <c r="L3741" t="s">
        <v>29</v>
      </c>
      <c r="M3741"/>
      <c r="N3741" s="9">
        <v>44778</v>
      </c>
      <c r="O3741" s="9">
        <v>44834</v>
      </c>
      <c r="P3741"/>
      <c r="Q3741"/>
      <c r="R3741"/>
      <c r="S3741"/>
      <c r="T3741"/>
      <c r="U3741"/>
    </row>
    <row r="3742" spans="1:21" hidden="1">
      <c r="A3742" s="7" t="s">
        <v>8849</v>
      </c>
      <c r="B3742" s="7" t="s">
        <v>6805</v>
      </c>
      <c r="C3742" s="8" t="s">
        <v>5319</v>
      </c>
      <c r="D3742" t="s">
        <v>266</v>
      </c>
      <c r="E3742" t="s">
        <v>2175</v>
      </c>
      <c r="F3742" t="s">
        <v>75</v>
      </c>
      <c r="G3742" t="s">
        <v>3353</v>
      </c>
      <c r="H3742" s="9">
        <v>44733</v>
      </c>
      <c r="I3742" t="s">
        <v>488</v>
      </c>
      <c r="J3742" t="s">
        <v>5330</v>
      </c>
      <c r="K3742" s="9">
        <v>44834</v>
      </c>
      <c r="L3742" t="s">
        <v>29</v>
      </c>
      <c r="M3742"/>
      <c r="N3742" s="9">
        <v>44778</v>
      </c>
      <c r="O3742" s="9">
        <v>44834</v>
      </c>
      <c r="P3742"/>
      <c r="Q3742"/>
      <c r="R3742"/>
      <c r="S3742"/>
      <c r="T3742"/>
      <c r="U3742"/>
    </row>
    <row r="3743" spans="1:21" hidden="1">
      <c r="A3743" s="7" t="s">
        <v>8849</v>
      </c>
      <c r="B3743" s="7" t="s">
        <v>6805</v>
      </c>
      <c r="C3743" s="8" t="s">
        <v>5319</v>
      </c>
      <c r="D3743" t="s">
        <v>266</v>
      </c>
      <c r="E3743" t="s">
        <v>2175</v>
      </c>
      <c r="F3743" t="s">
        <v>75</v>
      </c>
      <c r="G3743" t="s">
        <v>3354</v>
      </c>
      <c r="H3743" s="9">
        <v>44733</v>
      </c>
      <c r="I3743" t="s">
        <v>488</v>
      </c>
      <c r="J3743" t="s">
        <v>5330</v>
      </c>
      <c r="K3743" s="9">
        <v>44834</v>
      </c>
      <c r="L3743" t="s">
        <v>29</v>
      </c>
      <c r="M3743"/>
      <c r="N3743" s="9">
        <v>44778</v>
      </c>
      <c r="O3743" s="9">
        <v>44834</v>
      </c>
      <c r="P3743"/>
      <c r="Q3743"/>
      <c r="R3743"/>
      <c r="S3743"/>
      <c r="T3743"/>
      <c r="U3743"/>
    </row>
    <row r="3744" spans="1:21" hidden="1">
      <c r="A3744" s="7" t="s">
        <v>8849</v>
      </c>
      <c r="B3744" s="7" t="s">
        <v>6805</v>
      </c>
      <c r="C3744" s="8" t="s">
        <v>5319</v>
      </c>
      <c r="D3744" t="s">
        <v>266</v>
      </c>
      <c r="E3744" t="s">
        <v>2175</v>
      </c>
      <c r="F3744" t="s">
        <v>75</v>
      </c>
      <c r="G3744" t="s">
        <v>3355</v>
      </c>
      <c r="H3744" s="9">
        <v>44733</v>
      </c>
      <c r="I3744" t="s">
        <v>488</v>
      </c>
      <c r="J3744" t="s">
        <v>5330</v>
      </c>
      <c r="K3744" s="9">
        <v>44834</v>
      </c>
      <c r="L3744" t="s">
        <v>29</v>
      </c>
      <c r="M3744"/>
      <c r="N3744" s="9">
        <v>44778</v>
      </c>
      <c r="O3744" s="9">
        <v>44834</v>
      </c>
      <c r="P3744"/>
      <c r="Q3744"/>
      <c r="R3744"/>
      <c r="S3744"/>
      <c r="T3744"/>
      <c r="U3744"/>
    </row>
    <row r="3745" spans="1:21" hidden="1">
      <c r="A3745" s="7" t="s">
        <v>8849</v>
      </c>
      <c r="B3745" s="7" t="s">
        <v>6805</v>
      </c>
      <c r="C3745" s="8" t="s">
        <v>5319</v>
      </c>
      <c r="D3745" t="s">
        <v>266</v>
      </c>
      <c r="E3745" t="s">
        <v>2175</v>
      </c>
      <c r="F3745" t="s">
        <v>75</v>
      </c>
      <c r="G3745" t="s">
        <v>3356</v>
      </c>
      <c r="H3745" s="9">
        <v>44733</v>
      </c>
      <c r="I3745" t="s">
        <v>488</v>
      </c>
      <c r="J3745" t="s">
        <v>5330</v>
      </c>
      <c r="K3745" s="9">
        <v>44834</v>
      </c>
      <c r="L3745" t="s">
        <v>29</v>
      </c>
      <c r="M3745"/>
      <c r="N3745" s="9">
        <v>44778</v>
      </c>
      <c r="O3745" s="9">
        <v>44834</v>
      </c>
      <c r="P3745"/>
      <c r="Q3745"/>
      <c r="R3745"/>
      <c r="S3745"/>
      <c r="T3745"/>
      <c r="U3745"/>
    </row>
    <row r="3746" spans="1:21" hidden="1">
      <c r="A3746" s="7" t="s">
        <v>8849</v>
      </c>
      <c r="B3746" s="7" t="s">
        <v>6805</v>
      </c>
      <c r="C3746" s="8" t="s">
        <v>5319</v>
      </c>
      <c r="D3746" t="s">
        <v>266</v>
      </c>
      <c r="E3746" t="s">
        <v>2175</v>
      </c>
      <c r="F3746" t="s">
        <v>75</v>
      </c>
      <c r="G3746" t="s">
        <v>3357</v>
      </c>
      <c r="H3746" s="9">
        <v>44733</v>
      </c>
      <c r="I3746" t="s">
        <v>488</v>
      </c>
      <c r="J3746" t="s">
        <v>5330</v>
      </c>
      <c r="K3746" s="9">
        <v>44834</v>
      </c>
      <c r="L3746" t="s">
        <v>29</v>
      </c>
      <c r="M3746"/>
      <c r="N3746" s="9">
        <v>44778</v>
      </c>
      <c r="O3746" s="9">
        <v>44834</v>
      </c>
      <c r="P3746"/>
      <c r="Q3746"/>
      <c r="R3746"/>
      <c r="S3746"/>
      <c r="T3746"/>
      <c r="U3746"/>
    </row>
    <row r="3747" spans="1:21" hidden="1">
      <c r="A3747" s="7" t="s">
        <v>8795</v>
      </c>
      <c r="B3747" s="7" t="s">
        <v>5590</v>
      </c>
      <c r="C3747" s="8" t="s">
        <v>5319</v>
      </c>
      <c r="D3747" t="s">
        <v>266</v>
      </c>
      <c r="E3747" t="s">
        <v>990</v>
      </c>
      <c r="F3747" t="s">
        <v>111</v>
      </c>
      <c r="G3747" t="s">
        <v>3358</v>
      </c>
      <c r="H3747" s="9">
        <v>44733</v>
      </c>
      <c r="I3747" t="s">
        <v>408</v>
      </c>
      <c r="J3747" t="s">
        <v>5330</v>
      </c>
      <c r="K3747" s="9">
        <v>44834</v>
      </c>
      <c r="L3747" t="s">
        <v>29</v>
      </c>
      <c r="M3747"/>
      <c r="N3747" s="9">
        <v>44778</v>
      </c>
      <c r="O3747" s="9">
        <v>44834</v>
      </c>
      <c r="P3747"/>
      <c r="Q3747"/>
      <c r="R3747"/>
      <c r="S3747"/>
      <c r="T3747"/>
      <c r="U3747"/>
    </row>
    <row r="3748" spans="1:21" hidden="1">
      <c r="A3748" s="7" t="s">
        <v>8795</v>
      </c>
      <c r="B3748" s="7" t="s">
        <v>5590</v>
      </c>
      <c r="C3748" s="8" t="s">
        <v>5319</v>
      </c>
      <c r="D3748" t="s">
        <v>266</v>
      </c>
      <c r="E3748" t="s">
        <v>990</v>
      </c>
      <c r="F3748" t="s">
        <v>111</v>
      </c>
      <c r="G3748" t="s">
        <v>3359</v>
      </c>
      <c r="H3748" s="9">
        <v>44733</v>
      </c>
      <c r="I3748" t="s">
        <v>408</v>
      </c>
      <c r="J3748" t="s">
        <v>5330</v>
      </c>
      <c r="K3748" s="9">
        <v>44834</v>
      </c>
      <c r="L3748" t="s">
        <v>29</v>
      </c>
      <c r="M3748"/>
      <c r="N3748" s="9">
        <v>44778</v>
      </c>
      <c r="O3748" s="9">
        <v>44834</v>
      </c>
      <c r="P3748"/>
      <c r="Q3748"/>
      <c r="R3748"/>
      <c r="S3748"/>
      <c r="T3748"/>
      <c r="U3748"/>
    </row>
    <row r="3749" spans="1:21" hidden="1">
      <c r="A3749" s="7" t="s">
        <v>8795</v>
      </c>
      <c r="B3749" s="7" t="s">
        <v>5590</v>
      </c>
      <c r="C3749" s="8" t="s">
        <v>5319</v>
      </c>
      <c r="D3749" t="s">
        <v>266</v>
      </c>
      <c r="E3749" t="s">
        <v>990</v>
      </c>
      <c r="F3749" t="s">
        <v>111</v>
      </c>
      <c r="G3749" t="s">
        <v>3360</v>
      </c>
      <c r="H3749" s="9">
        <v>44733</v>
      </c>
      <c r="I3749" t="s">
        <v>408</v>
      </c>
      <c r="J3749" t="s">
        <v>5330</v>
      </c>
      <c r="K3749" s="9">
        <v>44834</v>
      </c>
      <c r="L3749" t="s">
        <v>29</v>
      </c>
      <c r="M3749"/>
      <c r="N3749" s="9">
        <v>44778</v>
      </c>
      <c r="O3749" s="9">
        <v>44834</v>
      </c>
      <c r="P3749"/>
      <c r="Q3749"/>
      <c r="R3749"/>
      <c r="S3749"/>
      <c r="T3749"/>
      <c r="U3749"/>
    </row>
    <row r="3750" spans="1:21" hidden="1">
      <c r="A3750" s="7" t="s">
        <v>8795</v>
      </c>
      <c r="B3750" s="7" t="s">
        <v>5590</v>
      </c>
      <c r="C3750" s="8" t="s">
        <v>5319</v>
      </c>
      <c r="D3750" t="s">
        <v>266</v>
      </c>
      <c r="E3750" t="s">
        <v>990</v>
      </c>
      <c r="F3750" t="s">
        <v>111</v>
      </c>
      <c r="G3750" t="s">
        <v>3361</v>
      </c>
      <c r="H3750" s="9">
        <v>44733</v>
      </c>
      <c r="I3750" t="s">
        <v>408</v>
      </c>
      <c r="J3750" t="s">
        <v>5330</v>
      </c>
      <c r="K3750" s="9">
        <v>44834</v>
      </c>
      <c r="L3750" t="s">
        <v>29</v>
      </c>
      <c r="M3750"/>
      <c r="N3750" s="9">
        <v>44778</v>
      </c>
      <c r="O3750" s="9">
        <v>44834</v>
      </c>
      <c r="P3750"/>
      <c r="Q3750"/>
      <c r="R3750"/>
      <c r="S3750"/>
      <c r="T3750"/>
      <c r="U3750"/>
    </row>
    <row r="3751" spans="1:21" hidden="1">
      <c r="A3751" s="7" t="s">
        <v>8923</v>
      </c>
      <c r="B3751" s="7" t="s">
        <v>7641</v>
      </c>
      <c r="C3751" s="8" t="s">
        <v>5319</v>
      </c>
      <c r="D3751" t="s">
        <v>266</v>
      </c>
      <c r="E3751" t="s">
        <v>3347</v>
      </c>
      <c r="F3751" t="s">
        <v>231</v>
      </c>
      <c r="G3751" t="s">
        <v>3362</v>
      </c>
      <c r="H3751" s="9">
        <v>44733</v>
      </c>
      <c r="I3751" t="s">
        <v>3102</v>
      </c>
      <c r="J3751" t="s">
        <v>5330</v>
      </c>
      <c r="K3751" s="9">
        <v>44834</v>
      </c>
      <c r="L3751" t="s">
        <v>29</v>
      </c>
      <c r="M3751"/>
      <c r="N3751" s="9">
        <v>44778</v>
      </c>
      <c r="O3751" s="9">
        <v>44834</v>
      </c>
      <c r="P3751"/>
      <c r="Q3751"/>
      <c r="R3751"/>
      <c r="S3751"/>
      <c r="T3751"/>
      <c r="U3751"/>
    </row>
    <row r="3752" spans="1:21" hidden="1">
      <c r="A3752" s="7" t="s">
        <v>8923</v>
      </c>
      <c r="B3752" s="7" t="s">
        <v>7641</v>
      </c>
      <c r="C3752" s="8" t="s">
        <v>5319</v>
      </c>
      <c r="D3752" t="s">
        <v>266</v>
      </c>
      <c r="E3752" t="s">
        <v>3347</v>
      </c>
      <c r="F3752" t="s">
        <v>231</v>
      </c>
      <c r="G3752" t="s">
        <v>3363</v>
      </c>
      <c r="H3752" s="9">
        <v>44733</v>
      </c>
      <c r="I3752" t="s">
        <v>3102</v>
      </c>
      <c r="J3752" t="s">
        <v>5330</v>
      </c>
      <c r="K3752" s="9">
        <v>44834</v>
      </c>
      <c r="L3752" t="s">
        <v>29</v>
      </c>
      <c r="M3752"/>
      <c r="N3752" s="9">
        <v>44778</v>
      </c>
      <c r="O3752" s="9">
        <v>44834</v>
      </c>
      <c r="P3752"/>
      <c r="Q3752"/>
      <c r="R3752"/>
      <c r="S3752"/>
      <c r="T3752"/>
      <c r="U3752"/>
    </row>
    <row r="3753" spans="1:21" hidden="1">
      <c r="A3753" s="7" t="s">
        <v>8871</v>
      </c>
      <c r="B3753" s="7" t="s">
        <v>8280</v>
      </c>
      <c r="C3753" s="8" t="s">
        <v>5319</v>
      </c>
      <c r="D3753" t="s">
        <v>266</v>
      </c>
      <c r="E3753" t="s">
        <v>2463</v>
      </c>
      <c r="F3753" t="s">
        <v>231</v>
      </c>
      <c r="G3753" t="s">
        <v>3364</v>
      </c>
      <c r="H3753" s="9">
        <v>44733</v>
      </c>
      <c r="I3753" t="s">
        <v>903</v>
      </c>
      <c r="J3753" t="s">
        <v>212</v>
      </c>
      <c r="K3753" s="9">
        <v>44806.4850925926</v>
      </c>
      <c r="L3753" t="s">
        <v>29</v>
      </c>
      <c r="M3753"/>
      <c r="N3753" s="9">
        <v>44778</v>
      </c>
      <c r="O3753"/>
      <c r="P3753"/>
      <c r="Q3753"/>
      <c r="R3753" s="9">
        <v>44806.484525462998</v>
      </c>
      <c r="S3753"/>
      <c r="T3753"/>
      <c r="U3753"/>
    </row>
    <row r="3754" spans="1:21" hidden="1">
      <c r="A3754" s="7" t="s">
        <v>8871</v>
      </c>
      <c r="B3754" s="7" t="s">
        <v>8280</v>
      </c>
      <c r="C3754" s="8" t="s">
        <v>5319</v>
      </c>
      <c r="D3754" t="s">
        <v>266</v>
      </c>
      <c r="E3754" t="s">
        <v>2463</v>
      </c>
      <c r="F3754" t="s">
        <v>231</v>
      </c>
      <c r="G3754" t="s">
        <v>3365</v>
      </c>
      <c r="H3754" s="9">
        <v>44733</v>
      </c>
      <c r="I3754" t="s">
        <v>903</v>
      </c>
      <c r="J3754" t="s">
        <v>212</v>
      </c>
      <c r="K3754" s="9">
        <v>44806.4850925926</v>
      </c>
      <c r="L3754" t="s">
        <v>29</v>
      </c>
      <c r="M3754"/>
      <c r="N3754" s="9">
        <v>44778</v>
      </c>
      <c r="O3754"/>
      <c r="P3754"/>
      <c r="Q3754"/>
      <c r="R3754" s="9">
        <v>44806.484525462998</v>
      </c>
      <c r="S3754"/>
      <c r="T3754"/>
      <c r="U3754"/>
    </row>
    <row r="3755" spans="1:21" hidden="1">
      <c r="A3755" s="7" t="s">
        <v>8871</v>
      </c>
      <c r="B3755" s="7" t="s">
        <v>8280</v>
      </c>
      <c r="C3755" s="8" t="s">
        <v>5319</v>
      </c>
      <c r="D3755" t="s">
        <v>266</v>
      </c>
      <c r="E3755" t="s">
        <v>2463</v>
      </c>
      <c r="F3755" t="s">
        <v>231</v>
      </c>
      <c r="G3755" t="s">
        <v>3366</v>
      </c>
      <c r="H3755" s="9">
        <v>44733</v>
      </c>
      <c r="I3755" t="s">
        <v>903</v>
      </c>
      <c r="J3755" t="s">
        <v>212</v>
      </c>
      <c r="K3755" s="9">
        <v>44806.4850925926</v>
      </c>
      <c r="L3755" t="s">
        <v>29</v>
      </c>
      <c r="M3755"/>
      <c r="N3755" s="9">
        <v>44778</v>
      </c>
      <c r="O3755"/>
      <c r="P3755"/>
      <c r="Q3755"/>
      <c r="R3755" s="9">
        <v>44806.484525462998</v>
      </c>
      <c r="S3755"/>
      <c r="T3755"/>
      <c r="U3755"/>
    </row>
    <row r="3756" spans="1:21" hidden="1">
      <c r="A3756" s="7" t="s">
        <v>8871</v>
      </c>
      <c r="B3756" s="7" t="s">
        <v>8280</v>
      </c>
      <c r="C3756" s="8" t="s">
        <v>5319</v>
      </c>
      <c r="D3756" t="s">
        <v>266</v>
      </c>
      <c r="E3756" t="s">
        <v>2463</v>
      </c>
      <c r="F3756" t="s">
        <v>231</v>
      </c>
      <c r="G3756" t="s">
        <v>3367</v>
      </c>
      <c r="H3756" s="9">
        <v>44733</v>
      </c>
      <c r="I3756" t="s">
        <v>903</v>
      </c>
      <c r="J3756" t="s">
        <v>212</v>
      </c>
      <c r="K3756" s="9">
        <v>44806.4850925926</v>
      </c>
      <c r="L3756" t="s">
        <v>29</v>
      </c>
      <c r="M3756"/>
      <c r="N3756" s="9">
        <v>44778</v>
      </c>
      <c r="O3756"/>
      <c r="P3756"/>
      <c r="Q3756"/>
      <c r="R3756" s="9">
        <v>44806.484525462998</v>
      </c>
      <c r="S3756"/>
      <c r="T3756"/>
      <c r="U3756"/>
    </row>
    <row r="3757" spans="1:21" hidden="1">
      <c r="A3757" s="7" t="s">
        <v>8871</v>
      </c>
      <c r="B3757" s="7" t="s">
        <v>8280</v>
      </c>
      <c r="C3757" s="8" t="s">
        <v>5319</v>
      </c>
      <c r="D3757" t="s">
        <v>266</v>
      </c>
      <c r="E3757" t="s">
        <v>2463</v>
      </c>
      <c r="F3757" t="s">
        <v>231</v>
      </c>
      <c r="G3757" t="s">
        <v>3368</v>
      </c>
      <c r="H3757" s="9">
        <v>44733</v>
      </c>
      <c r="I3757" t="s">
        <v>903</v>
      </c>
      <c r="J3757" t="s">
        <v>212</v>
      </c>
      <c r="K3757" s="9">
        <v>44806.4850925926</v>
      </c>
      <c r="L3757" t="s">
        <v>29</v>
      </c>
      <c r="M3757"/>
      <c r="N3757" s="9">
        <v>44778</v>
      </c>
      <c r="O3757"/>
      <c r="P3757"/>
      <c r="Q3757"/>
      <c r="R3757" s="9">
        <v>44806.484525462998</v>
      </c>
      <c r="S3757"/>
      <c r="T3757"/>
      <c r="U3757"/>
    </row>
    <row r="3758" spans="1:21" hidden="1">
      <c r="A3758" s="7" t="s">
        <v>8871</v>
      </c>
      <c r="B3758" s="7" t="s">
        <v>8280</v>
      </c>
      <c r="C3758" s="8" t="s">
        <v>5319</v>
      </c>
      <c r="D3758" t="s">
        <v>266</v>
      </c>
      <c r="E3758" t="s">
        <v>2463</v>
      </c>
      <c r="F3758" t="s">
        <v>231</v>
      </c>
      <c r="G3758" t="s">
        <v>3369</v>
      </c>
      <c r="H3758" s="9">
        <v>44733</v>
      </c>
      <c r="I3758" t="s">
        <v>903</v>
      </c>
      <c r="J3758" t="s">
        <v>212</v>
      </c>
      <c r="K3758" s="9">
        <v>44806.4850925926</v>
      </c>
      <c r="L3758" t="s">
        <v>29</v>
      </c>
      <c r="M3758"/>
      <c r="N3758" s="9">
        <v>44778</v>
      </c>
      <c r="O3758"/>
      <c r="P3758"/>
      <c r="Q3758"/>
      <c r="R3758" s="9">
        <v>44806.484525462998</v>
      </c>
      <c r="S3758"/>
      <c r="T3758"/>
      <c r="U3758"/>
    </row>
    <row r="3759" spans="1:21" hidden="1">
      <c r="A3759" s="7" t="s">
        <v>8921</v>
      </c>
      <c r="B3759" s="7" t="s">
        <v>6949</v>
      </c>
      <c r="C3759" s="8" t="s">
        <v>5319</v>
      </c>
      <c r="D3759" t="s">
        <v>266</v>
      </c>
      <c r="E3759" t="s">
        <v>3288</v>
      </c>
      <c r="F3759" t="s">
        <v>75</v>
      </c>
      <c r="G3759" t="s">
        <v>3370</v>
      </c>
      <c r="H3759" s="9">
        <v>44733</v>
      </c>
      <c r="I3759" t="s">
        <v>882</v>
      </c>
      <c r="J3759" t="s">
        <v>5330</v>
      </c>
      <c r="K3759" s="9">
        <v>44834</v>
      </c>
      <c r="L3759" t="s">
        <v>29</v>
      </c>
      <c r="M3759"/>
      <c r="N3759" s="9">
        <v>44778</v>
      </c>
      <c r="O3759" s="9">
        <v>44834</v>
      </c>
      <c r="P3759"/>
      <c r="Q3759"/>
      <c r="R3759"/>
      <c r="S3759"/>
      <c r="T3759"/>
      <c r="U3759"/>
    </row>
    <row r="3760" spans="1:21" hidden="1">
      <c r="A3760" s="7" t="s">
        <v>8788</v>
      </c>
      <c r="B3760" s="7" t="s">
        <v>7708</v>
      </c>
      <c r="C3760" s="8" t="s">
        <v>5319</v>
      </c>
      <c r="D3760" t="s">
        <v>266</v>
      </c>
      <c r="E3760" t="s">
        <v>905</v>
      </c>
      <c r="F3760" t="s">
        <v>75</v>
      </c>
      <c r="G3760" t="s">
        <v>3371</v>
      </c>
      <c r="H3760" s="9">
        <v>44733</v>
      </c>
      <c r="I3760" t="s">
        <v>408</v>
      </c>
      <c r="J3760" t="s">
        <v>5330</v>
      </c>
      <c r="K3760" s="9">
        <v>44834</v>
      </c>
      <c r="L3760" t="s">
        <v>29</v>
      </c>
      <c r="M3760"/>
      <c r="N3760" s="9">
        <v>44778</v>
      </c>
      <c r="O3760" s="9">
        <v>44834</v>
      </c>
      <c r="P3760"/>
      <c r="Q3760"/>
      <c r="R3760"/>
      <c r="S3760"/>
      <c r="T3760"/>
      <c r="U3760"/>
    </row>
    <row r="3761" spans="1:21" hidden="1">
      <c r="A3761" s="7" t="s">
        <v>8924</v>
      </c>
      <c r="B3761" s="7" t="s">
        <v>7902</v>
      </c>
      <c r="C3761" s="8" t="s">
        <v>5319</v>
      </c>
      <c r="D3761" t="s">
        <v>266</v>
      </c>
      <c r="E3761" t="s">
        <v>3372</v>
      </c>
      <c r="F3761" t="s">
        <v>117</v>
      </c>
      <c r="G3761" t="s">
        <v>3373</v>
      </c>
      <c r="H3761" s="9">
        <v>44733</v>
      </c>
      <c r="I3761" t="s">
        <v>408</v>
      </c>
      <c r="J3761" t="s">
        <v>5330</v>
      </c>
      <c r="K3761" s="9">
        <v>44834</v>
      </c>
      <c r="L3761" t="s">
        <v>29</v>
      </c>
      <c r="M3761"/>
      <c r="N3761" s="9">
        <v>44778</v>
      </c>
      <c r="O3761" s="9">
        <v>44834</v>
      </c>
      <c r="P3761"/>
      <c r="Q3761"/>
      <c r="R3761"/>
      <c r="S3761"/>
      <c r="T3761"/>
      <c r="U3761"/>
    </row>
    <row r="3762" spans="1:21" hidden="1">
      <c r="A3762" s="7" t="s">
        <v>8916</v>
      </c>
      <c r="B3762" s="7" t="s">
        <v>6766</v>
      </c>
      <c r="C3762" s="8" t="s">
        <v>5319</v>
      </c>
      <c r="D3762" t="s">
        <v>266</v>
      </c>
      <c r="E3762" t="s">
        <v>3257</v>
      </c>
      <c r="F3762" t="s">
        <v>117</v>
      </c>
      <c r="G3762" t="s">
        <v>3374</v>
      </c>
      <c r="H3762" s="9">
        <v>44733</v>
      </c>
      <c r="I3762" t="s">
        <v>408</v>
      </c>
      <c r="J3762" t="s">
        <v>5330</v>
      </c>
      <c r="K3762" s="9">
        <v>44834</v>
      </c>
      <c r="L3762" t="s">
        <v>29</v>
      </c>
      <c r="M3762"/>
      <c r="N3762" s="9">
        <v>44778</v>
      </c>
      <c r="O3762" s="9">
        <v>44834</v>
      </c>
      <c r="P3762"/>
      <c r="Q3762"/>
      <c r="R3762"/>
      <c r="S3762"/>
      <c r="T3762"/>
      <c r="U3762"/>
    </row>
    <row r="3763" spans="1:21" hidden="1">
      <c r="A3763" s="7" t="s">
        <v>8789</v>
      </c>
      <c r="B3763" s="7" t="s">
        <v>6643</v>
      </c>
      <c r="C3763" s="8" t="s">
        <v>5319</v>
      </c>
      <c r="D3763" t="s">
        <v>266</v>
      </c>
      <c r="E3763" t="s">
        <v>908</v>
      </c>
      <c r="F3763" t="s">
        <v>83</v>
      </c>
      <c r="G3763" t="s">
        <v>3375</v>
      </c>
      <c r="H3763" s="9">
        <v>44733</v>
      </c>
      <c r="I3763" t="s">
        <v>408</v>
      </c>
      <c r="J3763" t="s">
        <v>0</v>
      </c>
      <c r="K3763" s="9">
        <v>44888</v>
      </c>
      <c r="L3763" t="s">
        <v>29</v>
      </c>
      <c r="M3763"/>
      <c r="N3763" s="9">
        <v>44778</v>
      </c>
      <c r="O3763" s="9">
        <v>44834</v>
      </c>
      <c r="P3763"/>
      <c r="Q3763" s="9">
        <v>44888</v>
      </c>
      <c r="R3763"/>
      <c r="S3763"/>
      <c r="T3763"/>
      <c r="U3763"/>
    </row>
    <row r="3764" spans="1:21" hidden="1">
      <c r="A3764" s="7" t="s">
        <v>8844</v>
      </c>
      <c r="B3764" s="7" t="s">
        <v>5466</v>
      </c>
      <c r="C3764" s="8" t="s">
        <v>5319</v>
      </c>
      <c r="D3764" t="s">
        <v>266</v>
      </c>
      <c r="E3764" t="s">
        <v>2119</v>
      </c>
      <c r="F3764" t="s">
        <v>83</v>
      </c>
      <c r="G3764" t="s">
        <v>3376</v>
      </c>
      <c r="H3764" s="9">
        <v>44733</v>
      </c>
      <c r="I3764" t="s">
        <v>2121</v>
      </c>
      <c r="J3764" t="s">
        <v>5330</v>
      </c>
      <c r="K3764" s="9">
        <v>44834</v>
      </c>
      <c r="L3764" t="s">
        <v>29</v>
      </c>
      <c r="M3764"/>
      <c r="N3764" s="9">
        <v>44778</v>
      </c>
      <c r="O3764" s="9">
        <v>44834</v>
      </c>
      <c r="P3764"/>
      <c r="Q3764"/>
      <c r="R3764"/>
      <c r="S3764"/>
      <c r="T3764"/>
      <c r="U3764"/>
    </row>
    <row r="3765" spans="1:21" hidden="1">
      <c r="A3765" s="7" t="s">
        <v>8844</v>
      </c>
      <c r="B3765" s="7" t="s">
        <v>5466</v>
      </c>
      <c r="C3765" s="8" t="s">
        <v>5319</v>
      </c>
      <c r="D3765" t="s">
        <v>266</v>
      </c>
      <c r="E3765" t="s">
        <v>2119</v>
      </c>
      <c r="F3765" t="s">
        <v>83</v>
      </c>
      <c r="G3765" t="s">
        <v>3377</v>
      </c>
      <c r="H3765" s="9">
        <v>44733</v>
      </c>
      <c r="I3765" t="s">
        <v>2121</v>
      </c>
      <c r="J3765" t="s">
        <v>5330</v>
      </c>
      <c r="K3765" s="9">
        <v>44834</v>
      </c>
      <c r="L3765" t="s">
        <v>29</v>
      </c>
      <c r="M3765"/>
      <c r="N3765" s="9">
        <v>44778</v>
      </c>
      <c r="O3765" s="9">
        <v>44834</v>
      </c>
      <c r="P3765"/>
      <c r="Q3765"/>
      <c r="R3765"/>
      <c r="S3765"/>
      <c r="T3765"/>
      <c r="U3765"/>
    </row>
    <row r="3766" spans="1:21" hidden="1">
      <c r="A3766" s="7" t="s">
        <v>8844</v>
      </c>
      <c r="B3766" s="7" t="s">
        <v>5466</v>
      </c>
      <c r="C3766" s="8" t="s">
        <v>5319</v>
      </c>
      <c r="D3766" t="s">
        <v>266</v>
      </c>
      <c r="E3766" t="s">
        <v>2119</v>
      </c>
      <c r="F3766" t="s">
        <v>83</v>
      </c>
      <c r="G3766" t="s">
        <v>3378</v>
      </c>
      <c r="H3766" s="9">
        <v>44733</v>
      </c>
      <c r="I3766" t="s">
        <v>2121</v>
      </c>
      <c r="J3766" t="s">
        <v>5330</v>
      </c>
      <c r="K3766" s="9">
        <v>44834</v>
      </c>
      <c r="L3766" t="s">
        <v>29</v>
      </c>
      <c r="M3766"/>
      <c r="N3766" s="9">
        <v>44778</v>
      </c>
      <c r="O3766" s="9">
        <v>44834</v>
      </c>
      <c r="P3766"/>
      <c r="Q3766"/>
      <c r="R3766"/>
      <c r="S3766"/>
      <c r="T3766"/>
      <c r="U3766"/>
    </row>
    <row r="3767" spans="1:21" hidden="1">
      <c r="A3767" s="7" t="s">
        <v>8795</v>
      </c>
      <c r="B3767" s="7" t="s">
        <v>5590</v>
      </c>
      <c r="C3767" s="8" t="s">
        <v>5319</v>
      </c>
      <c r="D3767" t="s">
        <v>266</v>
      </c>
      <c r="E3767" t="s">
        <v>990</v>
      </c>
      <c r="F3767" t="s">
        <v>111</v>
      </c>
      <c r="G3767" t="s">
        <v>3379</v>
      </c>
      <c r="H3767" s="9">
        <v>44733</v>
      </c>
      <c r="I3767" t="s">
        <v>408</v>
      </c>
      <c r="J3767" t="s">
        <v>5330</v>
      </c>
      <c r="K3767" s="9">
        <v>44834</v>
      </c>
      <c r="L3767" t="s">
        <v>29</v>
      </c>
      <c r="M3767"/>
      <c r="N3767" s="9">
        <v>44778</v>
      </c>
      <c r="O3767" s="9">
        <v>44834</v>
      </c>
      <c r="P3767"/>
      <c r="Q3767"/>
      <c r="R3767"/>
      <c r="S3767"/>
      <c r="T3767"/>
      <c r="U3767"/>
    </row>
    <row r="3768" spans="1:21" hidden="1">
      <c r="A3768" s="7" t="s">
        <v>8867</v>
      </c>
      <c r="B3768" s="7" t="s">
        <v>7140</v>
      </c>
      <c r="C3768" s="8" t="s">
        <v>5319</v>
      </c>
      <c r="D3768" t="s">
        <v>266</v>
      </c>
      <c r="E3768" t="s">
        <v>2360</v>
      </c>
      <c r="F3768" t="s">
        <v>231</v>
      </c>
      <c r="G3768" t="s">
        <v>3380</v>
      </c>
      <c r="H3768" s="9">
        <v>44733</v>
      </c>
      <c r="I3768" t="s">
        <v>2362</v>
      </c>
      <c r="J3768" t="s">
        <v>5330</v>
      </c>
      <c r="K3768" s="9">
        <v>44834</v>
      </c>
      <c r="L3768" t="s">
        <v>29</v>
      </c>
      <c r="M3768"/>
      <c r="N3768" s="9">
        <v>44778</v>
      </c>
      <c r="O3768" s="9">
        <v>44834</v>
      </c>
      <c r="P3768"/>
      <c r="Q3768"/>
      <c r="R3768"/>
      <c r="S3768"/>
      <c r="T3768"/>
      <c r="U3768"/>
    </row>
    <row r="3769" spans="1:21" hidden="1">
      <c r="A3769" s="7" t="s">
        <v>8867</v>
      </c>
      <c r="B3769" s="7" t="s">
        <v>7140</v>
      </c>
      <c r="C3769" s="8" t="s">
        <v>5319</v>
      </c>
      <c r="D3769" t="s">
        <v>266</v>
      </c>
      <c r="E3769" t="s">
        <v>2360</v>
      </c>
      <c r="F3769" t="s">
        <v>231</v>
      </c>
      <c r="G3769" t="s">
        <v>3381</v>
      </c>
      <c r="H3769" s="9">
        <v>44733</v>
      </c>
      <c r="I3769" t="s">
        <v>2362</v>
      </c>
      <c r="J3769" t="s">
        <v>5330</v>
      </c>
      <c r="K3769" s="9">
        <v>44834</v>
      </c>
      <c r="L3769" t="s">
        <v>29</v>
      </c>
      <c r="M3769"/>
      <c r="N3769" s="9">
        <v>44778</v>
      </c>
      <c r="O3769" s="9">
        <v>44834</v>
      </c>
      <c r="P3769"/>
      <c r="Q3769"/>
      <c r="R3769"/>
      <c r="S3769"/>
      <c r="T3769"/>
      <c r="U3769"/>
    </row>
    <row r="3770" spans="1:21" hidden="1">
      <c r="A3770" s="7" t="s">
        <v>8867</v>
      </c>
      <c r="B3770" s="7" t="s">
        <v>7140</v>
      </c>
      <c r="C3770" s="8" t="s">
        <v>5319</v>
      </c>
      <c r="D3770" t="s">
        <v>266</v>
      </c>
      <c r="E3770" t="s">
        <v>2360</v>
      </c>
      <c r="F3770" t="s">
        <v>231</v>
      </c>
      <c r="G3770" t="s">
        <v>3382</v>
      </c>
      <c r="H3770" s="9">
        <v>44733</v>
      </c>
      <c r="I3770" t="s">
        <v>2362</v>
      </c>
      <c r="J3770" t="s">
        <v>5330</v>
      </c>
      <c r="K3770" s="9">
        <v>44834</v>
      </c>
      <c r="L3770" t="s">
        <v>29</v>
      </c>
      <c r="M3770"/>
      <c r="N3770" s="9">
        <v>44778</v>
      </c>
      <c r="O3770" s="9">
        <v>44834</v>
      </c>
      <c r="P3770"/>
      <c r="Q3770"/>
      <c r="R3770"/>
      <c r="S3770"/>
      <c r="T3770"/>
      <c r="U3770"/>
    </row>
    <row r="3771" spans="1:21" hidden="1">
      <c r="A3771" s="7" t="s">
        <v>8873</v>
      </c>
      <c r="B3771" s="7" t="s">
        <v>7140</v>
      </c>
      <c r="C3771" s="8" t="s">
        <v>5319</v>
      </c>
      <c r="D3771" t="s">
        <v>266</v>
      </c>
      <c r="E3771" t="s">
        <v>2360</v>
      </c>
      <c r="F3771" t="s">
        <v>209</v>
      </c>
      <c r="G3771" t="s">
        <v>3383</v>
      </c>
      <c r="H3771" s="9">
        <v>44733</v>
      </c>
      <c r="I3771" t="s">
        <v>2362</v>
      </c>
      <c r="J3771" t="s">
        <v>5330</v>
      </c>
      <c r="K3771" s="9">
        <v>44834</v>
      </c>
      <c r="L3771" t="s">
        <v>29</v>
      </c>
      <c r="M3771"/>
      <c r="N3771" s="9">
        <v>44778</v>
      </c>
      <c r="O3771" s="9">
        <v>44834</v>
      </c>
      <c r="P3771"/>
      <c r="Q3771"/>
      <c r="R3771"/>
      <c r="S3771"/>
      <c r="T3771"/>
      <c r="U3771"/>
    </row>
    <row r="3772" spans="1:21" hidden="1">
      <c r="A3772" s="7" t="s">
        <v>8873</v>
      </c>
      <c r="B3772" s="7" t="s">
        <v>7140</v>
      </c>
      <c r="C3772" s="8" t="s">
        <v>5319</v>
      </c>
      <c r="D3772" t="s">
        <v>266</v>
      </c>
      <c r="E3772" t="s">
        <v>2360</v>
      </c>
      <c r="F3772" t="s">
        <v>209</v>
      </c>
      <c r="G3772" t="s">
        <v>3384</v>
      </c>
      <c r="H3772" s="9">
        <v>44733</v>
      </c>
      <c r="I3772" t="s">
        <v>2362</v>
      </c>
      <c r="J3772" t="s">
        <v>5330</v>
      </c>
      <c r="K3772" s="9">
        <v>44834</v>
      </c>
      <c r="L3772" t="s">
        <v>29</v>
      </c>
      <c r="M3772"/>
      <c r="N3772" s="9">
        <v>44778</v>
      </c>
      <c r="O3772" s="9">
        <v>44834</v>
      </c>
      <c r="P3772"/>
      <c r="Q3772"/>
      <c r="R3772"/>
      <c r="S3772"/>
      <c r="T3772"/>
      <c r="U3772"/>
    </row>
    <row r="3773" spans="1:21" hidden="1">
      <c r="A3773" s="7" t="s">
        <v>8873</v>
      </c>
      <c r="B3773" s="7" t="s">
        <v>7140</v>
      </c>
      <c r="C3773" s="8" t="s">
        <v>5319</v>
      </c>
      <c r="D3773" t="s">
        <v>266</v>
      </c>
      <c r="E3773" t="s">
        <v>2360</v>
      </c>
      <c r="F3773" t="s">
        <v>209</v>
      </c>
      <c r="G3773" t="s">
        <v>3385</v>
      </c>
      <c r="H3773" s="9">
        <v>44733</v>
      </c>
      <c r="I3773" t="s">
        <v>2362</v>
      </c>
      <c r="J3773" t="s">
        <v>5330</v>
      </c>
      <c r="K3773" s="9">
        <v>44834</v>
      </c>
      <c r="L3773" t="s">
        <v>29</v>
      </c>
      <c r="M3773"/>
      <c r="N3773" s="9">
        <v>44778</v>
      </c>
      <c r="O3773" s="9">
        <v>44834</v>
      </c>
      <c r="P3773"/>
      <c r="Q3773"/>
      <c r="R3773"/>
      <c r="S3773"/>
      <c r="T3773"/>
      <c r="U3773"/>
    </row>
    <row r="3774" spans="1:21" hidden="1">
      <c r="A3774" s="7" t="s">
        <v>8873</v>
      </c>
      <c r="B3774" s="7" t="s">
        <v>7140</v>
      </c>
      <c r="C3774" s="8" t="s">
        <v>5319</v>
      </c>
      <c r="D3774" t="s">
        <v>266</v>
      </c>
      <c r="E3774" t="s">
        <v>2360</v>
      </c>
      <c r="F3774" t="s">
        <v>209</v>
      </c>
      <c r="G3774" t="s">
        <v>3386</v>
      </c>
      <c r="H3774" s="9">
        <v>44733</v>
      </c>
      <c r="I3774" t="s">
        <v>2362</v>
      </c>
      <c r="J3774" t="s">
        <v>5330</v>
      </c>
      <c r="K3774" s="9">
        <v>44834</v>
      </c>
      <c r="L3774" t="s">
        <v>29</v>
      </c>
      <c r="M3774"/>
      <c r="N3774" s="9">
        <v>44778</v>
      </c>
      <c r="O3774" s="9">
        <v>44834</v>
      </c>
      <c r="P3774"/>
      <c r="Q3774"/>
      <c r="R3774"/>
      <c r="S3774"/>
      <c r="T3774"/>
      <c r="U3774"/>
    </row>
    <row r="3775" spans="1:21" hidden="1">
      <c r="A3775" s="7" t="s">
        <v>8873</v>
      </c>
      <c r="B3775" s="7" t="s">
        <v>7140</v>
      </c>
      <c r="C3775" s="8" t="s">
        <v>5319</v>
      </c>
      <c r="D3775" t="s">
        <v>266</v>
      </c>
      <c r="E3775" t="s">
        <v>2360</v>
      </c>
      <c r="F3775" t="s">
        <v>209</v>
      </c>
      <c r="G3775" t="s">
        <v>3387</v>
      </c>
      <c r="H3775" s="9">
        <v>44733</v>
      </c>
      <c r="I3775" t="s">
        <v>2362</v>
      </c>
      <c r="J3775" t="s">
        <v>5330</v>
      </c>
      <c r="K3775" s="9">
        <v>44834</v>
      </c>
      <c r="L3775" t="s">
        <v>29</v>
      </c>
      <c r="M3775"/>
      <c r="N3775" s="9">
        <v>44778</v>
      </c>
      <c r="O3775" s="9">
        <v>44834</v>
      </c>
      <c r="P3775"/>
      <c r="Q3775"/>
      <c r="R3775"/>
      <c r="S3775"/>
      <c r="T3775"/>
      <c r="U3775"/>
    </row>
    <row r="3776" spans="1:21" hidden="1">
      <c r="A3776" s="7" t="s">
        <v>8873</v>
      </c>
      <c r="B3776" s="7" t="s">
        <v>7140</v>
      </c>
      <c r="C3776" s="8" t="s">
        <v>5319</v>
      </c>
      <c r="D3776" t="s">
        <v>266</v>
      </c>
      <c r="E3776" t="s">
        <v>2360</v>
      </c>
      <c r="F3776" t="s">
        <v>209</v>
      </c>
      <c r="G3776" t="s">
        <v>3388</v>
      </c>
      <c r="H3776" s="9">
        <v>44733</v>
      </c>
      <c r="I3776" t="s">
        <v>2362</v>
      </c>
      <c r="J3776" t="s">
        <v>5330</v>
      </c>
      <c r="K3776" s="9">
        <v>44834</v>
      </c>
      <c r="L3776" t="s">
        <v>29</v>
      </c>
      <c r="M3776"/>
      <c r="N3776" s="9">
        <v>44778</v>
      </c>
      <c r="O3776" s="9">
        <v>44834</v>
      </c>
      <c r="P3776"/>
      <c r="Q3776"/>
      <c r="R3776"/>
      <c r="S3776"/>
      <c r="T3776"/>
      <c r="U3776"/>
    </row>
    <row r="3777" spans="1:21" hidden="1">
      <c r="A3777" s="7" t="s">
        <v>8867</v>
      </c>
      <c r="B3777" s="7" t="s">
        <v>7140</v>
      </c>
      <c r="C3777" s="8" t="s">
        <v>5319</v>
      </c>
      <c r="D3777" t="s">
        <v>266</v>
      </c>
      <c r="E3777" t="s">
        <v>2360</v>
      </c>
      <c r="F3777" t="s">
        <v>231</v>
      </c>
      <c r="G3777" t="s">
        <v>3389</v>
      </c>
      <c r="H3777" s="9">
        <v>44733</v>
      </c>
      <c r="I3777" t="s">
        <v>2362</v>
      </c>
      <c r="J3777" t="s">
        <v>5330</v>
      </c>
      <c r="K3777" s="9">
        <v>44834</v>
      </c>
      <c r="L3777" t="s">
        <v>29</v>
      </c>
      <c r="M3777"/>
      <c r="N3777" s="9">
        <v>44778</v>
      </c>
      <c r="O3777" s="9">
        <v>44834</v>
      </c>
      <c r="P3777"/>
      <c r="Q3777"/>
      <c r="R3777"/>
      <c r="S3777"/>
      <c r="T3777"/>
      <c r="U3777"/>
    </row>
    <row r="3778" spans="1:21" hidden="1">
      <c r="A3778" s="7" t="s">
        <v>8873</v>
      </c>
      <c r="B3778" s="7" t="s">
        <v>7140</v>
      </c>
      <c r="C3778" s="8" t="s">
        <v>5319</v>
      </c>
      <c r="D3778" t="s">
        <v>266</v>
      </c>
      <c r="E3778" t="s">
        <v>2360</v>
      </c>
      <c r="F3778" t="s">
        <v>209</v>
      </c>
      <c r="G3778" t="s">
        <v>3389</v>
      </c>
      <c r="H3778" s="9">
        <v>44733</v>
      </c>
      <c r="I3778" t="s">
        <v>2362</v>
      </c>
      <c r="J3778" t="s">
        <v>5330</v>
      </c>
      <c r="K3778" s="9">
        <v>44834</v>
      </c>
      <c r="L3778" t="s">
        <v>29</v>
      </c>
      <c r="M3778"/>
      <c r="N3778" s="9">
        <v>44778</v>
      </c>
      <c r="O3778" s="9">
        <v>44834</v>
      </c>
      <c r="P3778"/>
      <c r="Q3778"/>
      <c r="R3778"/>
      <c r="S3778"/>
      <c r="T3778"/>
      <c r="U3778"/>
    </row>
    <row r="3779" spans="1:21" hidden="1">
      <c r="A3779" s="7" t="s">
        <v>8867</v>
      </c>
      <c r="B3779" s="7" t="s">
        <v>7140</v>
      </c>
      <c r="C3779" s="8" t="s">
        <v>5319</v>
      </c>
      <c r="D3779" t="s">
        <v>266</v>
      </c>
      <c r="E3779" t="s">
        <v>2360</v>
      </c>
      <c r="F3779" t="s">
        <v>231</v>
      </c>
      <c r="G3779" t="s">
        <v>3390</v>
      </c>
      <c r="H3779" s="9">
        <v>44733</v>
      </c>
      <c r="I3779" t="s">
        <v>2362</v>
      </c>
      <c r="J3779" t="s">
        <v>5330</v>
      </c>
      <c r="K3779" s="9">
        <v>44834</v>
      </c>
      <c r="L3779" t="s">
        <v>29</v>
      </c>
      <c r="M3779"/>
      <c r="N3779" s="9">
        <v>44778</v>
      </c>
      <c r="O3779" s="9">
        <v>44834</v>
      </c>
      <c r="P3779"/>
      <c r="Q3779"/>
      <c r="R3779"/>
      <c r="S3779"/>
      <c r="T3779"/>
      <c r="U3779"/>
    </row>
    <row r="3780" spans="1:21" hidden="1">
      <c r="A3780" s="7" t="s">
        <v>8873</v>
      </c>
      <c r="B3780" s="7" t="s">
        <v>7140</v>
      </c>
      <c r="C3780" s="8" t="s">
        <v>5319</v>
      </c>
      <c r="D3780" t="s">
        <v>266</v>
      </c>
      <c r="E3780" t="s">
        <v>2360</v>
      </c>
      <c r="F3780" t="s">
        <v>209</v>
      </c>
      <c r="G3780" t="s">
        <v>3390</v>
      </c>
      <c r="H3780" s="9">
        <v>44733</v>
      </c>
      <c r="I3780" t="s">
        <v>2362</v>
      </c>
      <c r="J3780" t="s">
        <v>5330</v>
      </c>
      <c r="K3780" s="9">
        <v>44834</v>
      </c>
      <c r="L3780" t="s">
        <v>29</v>
      </c>
      <c r="M3780"/>
      <c r="N3780" s="9">
        <v>44778</v>
      </c>
      <c r="O3780" s="9">
        <v>44834</v>
      </c>
      <c r="P3780"/>
      <c r="Q3780"/>
      <c r="R3780"/>
      <c r="S3780"/>
      <c r="T3780"/>
      <c r="U3780"/>
    </row>
    <row r="3781" spans="1:21" hidden="1">
      <c r="A3781" s="7" t="s">
        <v>8867</v>
      </c>
      <c r="B3781" s="7" t="s">
        <v>7140</v>
      </c>
      <c r="C3781" s="8" t="s">
        <v>5319</v>
      </c>
      <c r="D3781" t="s">
        <v>266</v>
      </c>
      <c r="E3781" t="s">
        <v>2360</v>
      </c>
      <c r="F3781" t="s">
        <v>231</v>
      </c>
      <c r="G3781" t="s">
        <v>3391</v>
      </c>
      <c r="H3781" s="9">
        <v>44733</v>
      </c>
      <c r="I3781" t="s">
        <v>2362</v>
      </c>
      <c r="J3781" t="s">
        <v>5330</v>
      </c>
      <c r="K3781" s="9">
        <v>44834</v>
      </c>
      <c r="L3781" t="s">
        <v>29</v>
      </c>
      <c r="M3781"/>
      <c r="N3781" s="9">
        <v>44778</v>
      </c>
      <c r="O3781" s="9">
        <v>44834</v>
      </c>
      <c r="P3781"/>
      <c r="Q3781"/>
      <c r="R3781"/>
      <c r="S3781"/>
      <c r="T3781"/>
      <c r="U3781"/>
    </row>
    <row r="3782" spans="1:21" hidden="1">
      <c r="A3782" s="7" t="s">
        <v>8867</v>
      </c>
      <c r="B3782" s="7" t="s">
        <v>7140</v>
      </c>
      <c r="C3782" s="8" t="s">
        <v>5319</v>
      </c>
      <c r="D3782" t="s">
        <v>266</v>
      </c>
      <c r="E3782" t="s">
        <v>2360</v>
      </c>
      <c r="F3782" t="s">
        <v>231</v>
      </c>
      <c r="G3782" t="s">
        <v>3392</v>
      </c>
      <c r="H3782" s="9">
        <v>44733</v>
      </c>
      <c r="I3782" t="s">
        <v>2362</v>
      </c>
      <c r="J3782" t="s">
        <v>5330</v>
      </c>
      <c r="K3782" s="9">
        <v>44834</v>
      </c>
      <c r="L3782" t="s">
        <v>29</v>
      </c>
      <c r="M3782"/>
      <c r="N3782" s="9">
        <v>44778</v>
      </c>
      <c r="O3782" s="9">
        <v>44834</v>
      </c>
      <c r="P3782"/>
      <c r="Q3782"/>
      <c r="R3782"/>
      <c r="S3782"/>
      <c r="T3782"/>
      <c r="U3782"/>
    </row>
    <row r="3783" spans="1:21" hidden="1">
      <c r="A3783" s="7" t="s">
        <v>8867</v>
      </c>
      <c r="B3783" s="7" t="s">
        <v>7140</v>
      </c>
      <c r="C3783" s="8" t="s">
        <v>5319</v>
      </c>
      <c r="D3783" t="s">
        <v>266</v>
      </c>
      <c r="E3783" t="s">
        <v>2360</v>
      </c>
      <c r="F3783" t="s">
        <v>231</v>
      </c>
      <c r="G3783" t="s">
        <v>3393</v>
      </c>
      <c r="H3783" s="9">
        <v>44733</v>
      </c>
      <c r="I3783" t="s">
        <v>2362</v>
      </c>
      <c r="J3783" t="s">
        <v>5330</v>
      </c>
      <c r="K3783" s="9">
        <v>44834</v>
      </c>
      <c r="L3783" t="s">
        <v>29</v>
      </c>
      <c r="M3783"/>
      <c r="N3783" s="9">
        <v>44778</v>
      </c>
      <c r="O3783" s="9">
        <v>44834</v>
      </c>
      <c r="P3783"/>
      <c r="Q3783"/>
      <c r="R3783"/>
      <c r="S3783"/>
      <c r="T3783"/>
      <c r="U3783"/>
    </row>
    <row r="3784" spans="1:21" hidden="1">
      <c r="A3784" s="7" t="s">
        <v>8867</v>
      </c>
      <c r="B3784" s="7" t="s">
        <v>7140</v>
      </c>
      <c r="C3784" s="8" t="s">
        <v>5319</v>
      </c>
      <c r="D3784" t="s">
        <v>266</v>
      </c>
      <c r="E3784" t="s">
        <v>2360</v>
      </c>
      <c r="F3784" t="s">
        <v>231</v>
      </c>
      <c r="G3784" t="s">
        <v>3394</v>
      </c>
      <c r="H3784" s="9">
        <v>44733</v>
      </c>
      <c r="I3784" t="s">
        <v>2362</v>
      </c>
      <c r="J3784" t="s">
        <v>5330</v>
      </c>
      <c r="K3784" s="9">
        <v>44834</v>
      </c>
      <c r="L3784" t="s">
        <v>29</v>
      </c>
      <c r="M3784"/>
      <c r="N3784" s="9">
        <v>44778</v>
      </c>
      <c r="O3784" s="9">
        <v>44834</v>
      </c>
      <c r="P3784"/>
      <c r="Q3784"/>
      <c r="R3784"/>
      <c r="S3784"/>
      <c r="T3784"/>
      <c r="U3784"/>
    </row>
    <row r="3785" spans="1:21" hidden="1">
      <c r="A3785" s="7" t="s">
        <v>8867</v>
      </c>
      <c r="B3785" s="7" t="s">
        <v>7140</v>
      </c>
      <c r="C3785" s="8" t="s">
        <v>5319</v>
      </c>
      <c r="D3785" t="s">
        <v>266</v>
      </c>
      <c r="E3785" t="s">
        <v>2360</v>
      </c>
      <c r="F3785" t="s">
        <v>231</v>
      </c>
      <c r="G3785" t="s">
        <v>3395</v>
      </c>
      <c r="H3785" s="9">
        <v>44733</v>
      </c>
      <c r="I3785" t="s">
        <v>2362</v>
      </c>
      <c r="J3785" t="s">
        <v>5330</v>
      </c>
      <c r="K3785" s="9">
        <v>44834</v>
      </c>
      <c r="L3785" t="s">
        <v>29</v>
      </c>
      <c r="M3785"/>
      <c r="N3785" s="9">
        <v>44778</v>
      </c>
      <c r="O3785" s="9">
        <v>44834</v>
      </c>
      <c r="P3785"/>
      <c r="Q3785"/>
      <c r="R3785"/>
      <c r="S3785"/>
      <c r="T3785"/>
      <c r="U3785"/>
    </row>
    <row r="3786" spans="1:21" hidden="1">
      <c r="A3786" s="7" t="s">
        <v>8867</v>
      </c>
      <c r="B3786" s="7" t="s">
        <v>7140</v>
      </c>
      <c r="C3786" s="8" t="s">
        <v>5319</v>
      </c>
      <c r="D3786" t="s">
        <v>266</v>
      </c>
      <c r="E3786" t="s">
        <v>2360</v>
      </c>
      <c r="F3786" t="s">
        <v>231</v>
      </c>
      <c r="G3786" t="s">
        <v>3396</v>
      </c>
      <c r="H3786" s="9">
        <v>44733</v>
      </c>
      <c r="I3786" t="s">
        <v>2362</v>
      </c>
      <c r="J3786" t="s">
        <v>5330</v>
      </c>
      <c r="K3786" s="9">
        <v>44834</v>
      </c>
      <c r="L3786" t="s">
        <v>29</v>
      </c>
      <c r="M3786"/>
      <c r="N3786" s="9">
        <v>44778</v>
      </c>
      <c r="O3786" s="9">
        <v>44834</v>
      </c>
      <c r="P3786"/>
      <c r="Q3786"/>
      <c r="R3786"/>
      <c r="S3786"/>
      <c r="T3786"/>
      <c r="U3786"/>
    </row>
    <row r="3787" spans="1:21" hidden="1">
      <c r="A3787" s="7" t="s">
        <v>8867</v>
      </c>
      <c r="B3787" s="7" t="s">
        <v>7140</v>
      </c>
      <c r="C3787" s="8" t="s">
        <v>5319</v>
      </c>
      <c r="D3787" t="s">
        <v>266</v>
      </c>
      <c r="E3787" t="s">
        <v>2360</v>
      </c>
      <c r="F3787" t="s">
        <v>231</v>
      </c>
      <c r="G3787" t="s">
        <v>3397</v>
      </c>
      <c r="H3787" s="9">
        <v>44733</v>
      </c>
      <c r="I3787" t="s">
        <v>2362</v>
      </c>
      <c r="J3787" t="s">
        <v>5330</v>
      </c>
      <c r="K3787" s="9">
        <v>44834</v>
      </c>
      <c r="L3787" t="s">
        <v>29</v>
      </c>
      <c r="M3787"/>
      <c r="N3787" s="9">
        <v>44778</v>
      </c>
      <c r="O3787" s="9">
        <v>44834</v>
      </c>
      <c r="P3787"/>
      <c r="Q3787"/>
      <c r="R3787"/>
      <c r="S3787"/>
      <c r="T3787"/>
      <c r="U3787"/>
    </row>
    <row r="3788" spans="1:21" hidden="1">
      <c r="A3788" s="7" t="s">
        <v>8867</v>
      </c>
      <c r="B3788" s="7" t="s">
        <v>7140</v>
      </c>
      <c r="C3788" s="8" t="s">
        <v>5319</v>
      </c>
      <c r="D3788" t="s">
        <v>266</v>
      </c>
      <c r="E3788" t="s">
        <v>2360</v>
      </c>
      <c r="F3788" t="s">
        <v>231</v>
      </c>
      <c r="G3788" t="s">
        <v>3398</v>
      </c>
      <c r="H3788" s="9">
        <v>44733</v>
      </c>
      <c r="I3788" t="s">
        <v>2362</v>
      </c>
      <c r="J3788" t="s">
        <v>5330</v>
      </c>
      <c r="K3788" s="9">
        <v>44834</v>
      </c>
      <c r="L3788" t="s">
        <v>29</v>
      </c>
      <c r="M3788"/>
      <c r="N3788" s="9">
        <v>44778</v>
      </c>
      <c r="O3788" s="9">
        <v>44834</v>
      </c>
      <c r="P3788"/>
      <c r="Q3788"/>
      <c r="R3788"/>
      <c r="S3788"/>
      <c r="T3788"/>
      <c r="U3788"/>
    </row>
    <row r="3789" spans="1:21" hidden="1">
      <c r="A3789" s="7" t="s">
        <v>8867</v>
      </c>
      <c r="B3789" s="7" t="s">
        <v>7140</v>
      </c>
      <c r="C3789" s="8" t="s">
        <v>5319</v>
      </c>
      <c r="D3789" t="s">
        <v>266</v>
      </c>
      <c r="E3789" t="s">
        <v>2360</v>
      </c>
      <c r="F3789" t="s">
        <v>231</v>
      </c>
      <c r="G3789" t="s">
        <v>3399</v>
      </c>
      <c r="H3789" s="9">
        <v>44733</v>
      </c>
      <c r="I3789" t="s">
        <v>2362</v>
      </c>
      <c r="J3789" t="s">
        <v>5330</v>
      </c>
      <c r="K3789" s="9">
        <v>44834</v>
      </c>
      <c r="L3789" t="s">
        <v>29</v>
      </c>
      <c r="M3789"/>
      <c r="N3789" s="9">
        <v>44778</v>
      </c>
      <c r="O3789" s="9">
        <v>44834</v>
      </c>
      <c r="P3789"/>
      <c r="Q3789"/>
      <c r="R3789"/>
      <c r="S3789"/>
      <c r="T3789"/>
      <c r="U3789"/>
    </row>
    <row r="3790" spans="1:21" hidden="1">
      <c r="A3790" s="7" t="s">
        <v>8867</v>
      </c>
      <c r="B3790" s="7" t="s">
        <v>7140</v>
      </c>
      <c r="C3790" s="8" t="s">
        <v>5319</v>
      </c>
      <c r="D3790" t="s">
        <v>266</v>
      </c>
      <c r="E3790" t="s">
        <v>2360</v>
      </c>
      <c r="F3790" t="s">
        <v>231</v>
      </c>
      <c r="G3790" t="s">
        <v>3400</v>
      </c>
      <c r="H3790" s="9">
        <v>44733</v>
      </c>
      <c r="I3790" t="s">
        <v>2362</v>
      </c>
      <c r="J3790" t="s">
        <v>5330</v>
      </c>
      <c r="K3790" s="9">
        <v>44834</v>
      </c>
      <c r="L3790" t="s">
        <v>29</v>
      </c>
      <c r="M3790"/>
      <c r="N3790" s="9">
        <v>44778</v>
      </c>
      <c r="O3790" s="9">
        <v>44834</v>
      </c>
      <c r="P3790"/>
      <c r="Q3790"/>
      <c r="R3790"/>
      <c r="S3790"/>
      <c r="T3790"/>
      <c r="U3790"/>
    </row>
    <row r="3791" spans="1:21" hidden="1">
      <c r="A3791" s="7" t="s">
        <v>8867</v>
      </c>
      <c r="B3791" s="7" t="s">
        <v>7140</v>
      </c>
      <c r="C3791" s="8" t="s">
        <v>5319</v>
      </c>
      <c r="D3791" t="s">
        <v>266</v>
      </c>
      <c r="E3791" t="s">
        <v>2360</v>
      </c>
      <c r="F3791" t="s">
        <v>231</v>
      </c>
      <c r="G3791" t="s">
        <v>3401</v>
      </c>
      <c r="H3791" s="9">
        <v>44733</v>
      </c>
      <c r="I3791" t="s">
        <v>2362</v>
      </c>
      <c r="J3791" t="s">
        <v>5330</v>
      </c>
      <c r="K3791" s="9">
        <v>44834</v>
      </c>
      <c r="L3791" t="s">
        <v>29</v>
      </c>
      <c r="M3791"/>
      <c r="N3791" s="9">
        <v>44778</v>
      </c>
      <c r="O3791" s="9">
        <v>44834</v>
      </c>
      <c r="P3791"/>
      <c r="Q3791"/>
      <c r="R3791"/>
      <c r="S3791"/>
      <c r="T3791"/>
      <c r="U3791"/>
    </row>
    <row r="3792" spans="1:21" hidden="1">
      <c r="A3792" s="7" t="s">
        <v>8867</v>
      </c>
      <c r="B3792" s="7" t="s">
        <v>7140</v>
      </c>
      <c r="C3792" s="8" t="s">
        <v>5319</v>
      </c>
      <c r="D3792" t="s">
        <v>266</v>
      </c>
      <c r="E3792" t="s">
        <v>2360</v>
      </c>
      <c r="F3792" t="s">
        <v>231</v>
      </c>
      <c r="G3792" t="s">
        <v>3402</v>
      </c>
      <c r="H3792" s="9">
        <v>44733</v>
      </c>
      <c r="I3792" t="s">
        <v>2362</v>
      </c>
      <c r="J3792" t="s">
        <v>5330</v>
      </c>
      <c r="K3792" s="9">
        <v>44834</v>
      </c>
      <c r="L3792" t="s">
        <v>29</v>
      </c>
      <c r="M3792"/>
      <c r="N3792" s="9">
        <v>44778</v>
      </c>
      <c r="O3792" s="9">
        <v>44834</v>
      </c>
      <c r="P3792"/>
      <c r="Q3792"/>
      <c r="R3792"/>
      <c r="S3792"/>
      <c r="T3792"/>
      <c r="U3792"/>
    </row>
    <row r="3793" spans="1:21" hidden="1">
      <c r="A3793" s="7" t="s">
        <v>8871</v>
      </c>
      <c r="B3793" s="7" t="s">
        <v>8280</v>
      </c>
      <c r="C3793" s="8" t="s">
        <v>5319</v>
      </c>
      <c r="D3793" t="s">
        <v>266</v>
      </c>
      <c r="E3793" t="s">
        <v>2463</v>
      </c>
      <c r="F3793" t="s">
        <v>231</v>
      </c>
      <c r="G3793" t="s">
        <v>3403</v>
      </c>
      <c r="H3793" s="9">
        <v>44733</v>
      </c>
      <c r="I3793" t="s">
        <v>903</v>
      </c>
      <c r="J3793" t="s">
        <v>212</v>
      </c>
      <c r="K3793" s="9">
        <v>44806.4850925926</v>
      </c>
      <c r="L3793" t="s">
        <v>29</v>
      </c>
      <c r="M3793"/>
      <c r="N3793" s="9">
        <v>44778</v>
      </c>
      <c r="O3793"/>
      <c r="P3793"/>
      <c r="Q3793"/>
      <c r="R3793" s="9">
        <v>44806.484525462998</v>
      </c>
      <c r="S3793"/>
      <c r="T3793"/>
      <c r="U3793"/>
    </row>
    <row r="3794" spans="1:21" hidden="1">
      <c r="A3794" s="7" t="s">
        <v>8871</v>
      </c>
      <c r="B3794" s="7" t="s">
        <v>8280</v>
      </c>
      <c r="C3794" s="8" t="s">
        <v>5319</v>
      </c>
      <c r="D3794" t="s">
        <v>266</v>
      </c>
      <c r="E3794" t="s">
        <v>2463</v>
      </c>
      <c r="F3794" t="s">
        <v>231</v>
      </c>
      <c r="G3794" t="s">
        <v>3404</v>
      </c>
      <c r="H3794" s="9">
        <v>44733</v>
      </c>
      <c r="I3794" t="s">
        <v>903</v>
      </c>
      <c r="J3794" t="s">
        <v>212</v>
      </c>
      <c r="K3794" s="9">
        <v>44806.4850925926</v>
      </c>
      <c r="L3794" t="s">
        <v>29</v>
      </c>
      <c r="M3794"/>
      <c r="N3794" s="9">
        <v>44778</v>
      </c>
      <c r="O3794"/>
      <c r="P3794"/>
      <c r="Q3794"/>
      <c r="R3794" s="9">
        <v>44806.484525462998</v>
      </c>
      <c r="S3794"/>
      <c r="T3794"/>
      <c r="U3794"/>
    </row>
    <row r="3795" spans="1:21" hidden="1">
      <c r="A3795" s="7" t="s">
        <v>8871</v>
      </c>
      <c r="B3795" s="7" t="s">
        <v>8280</v>
      </c>
      <c r="C3795" s="8" t="s">
        <v>5319</v>
      </c>
      <c r="D3795" t="s">
        <v>266</v>
      </c>
      <c r="E3795" t="s">
        <v>2463</v>
      </c>
      <c r="F3795" t="s">
        <v>231</v>
      </c>
      <c r="G3795" t="s">
        <v>3405</v>
      </c>
      <c r="H3795" s="9">
        <v>44733</v>
      </c>
      <c r="I3795" t="s">
        <v>903</v>
      </c>
      <c r="J3795" t="s">
        <v>212</v>
      </c>
      <c r="K3795" s="9">
        <v>44806.4850925926</v>
      </c>
      <c r="L3795" t="s">
        <v>29</v>
      </c>
      <c r="M3795"/>
      <c r="N3795" s="9">
        <v>44778</v>
      </c>
      <c r="O3795"/>
      <c r="P3795"/>
      <c r="Q3795"/>
      <c r="R3795" s="9">
        <v>44806.484525462998</v>
      </c>
      <c r="S3795"/>
      <c r="T3795"/>
      <c r="U3795"/>
    </row>
    <row r="3796" spans="1:21" hidden="1">
      <c r="A3796" s="7" t="s">
        <v>8871</v>
      </c>
      <c r="B3796" s="7" t="s">
        <v>8280</v>
      </c>
      <c r="C3796" s="8" t="s">
        <v>5319</v>
      </c>
      <c r="D3796" t="s">
        <v>266</v>
      </c>
      <c r="E3796" t="s">
        <v>2463</v>
      </c>
      <c r="F3796" t="s">
        <v>231</v>
      </c>
      <c r="G3796" t="s">
        <v>3406</v>
      </c>
      <c r="H3796" s="9">
        <v>44733</v>
      </c>
      <c r="I3796" t="s">
        <v>903</v>
      </c>
      <c r="J3796" t="s">
        <v>212</v>
      </c>
      <c r="K3796" s="9">
        <v>44806.4850925926</v>
      </c>
      <c r="L3796" t="s">
        <v>29</v>
      </c>
      <c r="M3796"/>
      <c r="N3796" s="9">
        <v>44778</v>
      </c>
      <c r="O3796"/>
      <c r="P3796"/>
      <c r="Q3796"/>
      <c r="R3796" s="9">
        <v>44806.484525462998</v>
      </c>
      <c r="S3796"/>
      <c r="T3796"/>
      <c r="U3796"/>
    </row>
    <row r="3797" spans="1:21" hidden="1">
      <c r="A3797" s="7" t="s">
        <v>8871</v>
      </c>
      <c r="B3797" s="7" t="s">
        <v>8280</v>
      </c>
      <c r="C3797" s="8" t="s">
        <v>5319</v>
      </c>
      <c r="D3797" t="s">
        <v>266</v>
      </c>
      <c r="E3797" t="s">
        <v>2463</v>
      </c>
      <c r="F3797" t="s">
        <v>231</v>
      </c>
      <c r="G3797" t="s">
        <v>3407</v>
      </c>
      <c r="H3797" s="9">
        <v>44733</v>
      </c>
      <c r="I3797" t="s">
        <v>903</v>
      </c>
      <c r="J3797" t="s">
        <v>212</v>
      </c>
      <c r="K3797" s="9">
        <v>44806.4850925926</v>
      </c>
      <c r="L3797" t="s">
        <v>29</v>
      </c>
      <c r="M3797"/>
      <c r="N3797" s="9">
        <v>44778</v>
      </c>
      <c r="O3797"/>
      <c r="P3797"/>
      <c r="Q3797"/>
      <c r="R3797" s="9">
        <v>44806.484525462998</v>
      </c>
      <c r="S3797"/>
      <c r="T3797"/>
      <c r="U3797"/>
    </row>
    <row r="3798" spans="1:21" hidden="1">
      <c r="A3798" s="7" t="s">
        <v>8871</v>
      </c>
      <c r="B3798" s="7" t="s">
        <v>8280</v>
      </c>
      <c r="C3798" s="8" t="s">
        <v>5319</v>
      </c>
      <c r="D3798" t="s">
        <v>266</v>
      </c>
      <c r="E3798" t="s">
        <v>2463</v>
      </c>
      <c r="F3798" t="s">
        <v>231</v>
      </c>
      <c r="G3798" t="s">
        <v>3408</v>
      </c>
      <c r="H3798" s="9">
        <v>44733</v>
      </c>
      <c r="I3798" t="s">
        <v>903</v>
      </c>
      <c r="J3798" t="s">
        <v>212</v>
      </c>
      <c r="K3798" s="9">
        <v>44806.4850925926</v>
      </c>
      <c r="L3798" t="s">
        <v>29</v>
      </c>
      <c r="M3798"/>
      <c r="N3798" s="9">
        <v>44778</v>
      </c>
      <c r="O3798"/>
      <c r="P3798"/>
      <c r="Q3798"/>
      <c r="R3798" s="9">
        <v>44806.484525462998</v>
      </c>
      <c r="S3798"/>
      <c r="T3798"/>
      <c r="U3798"/>
    </row>
    <row r="3799" spans="1:21" hidden="1">
      <c r="A3799" s="7" t="s">
        <v>8871</v>
      </c>
      <c r="B3799" s="7" t="s">
        <v>8280</v>
      </c>
      <c r="C3799" s="8" t="s">
        <v>5319</v>
      </c>
      <c r="D3799" t="s">
        <v>266</v>
      </c>
      <c r="E3799" t="s">
        <v>2463</v>
      </c>
      <c r="F3799" t="s">
        <v>231</v>
      </c>
      <c r="G3799" t="s">
        <v>3409</v>
      </c>
      <c r="H3799" s="9">
        <v>44733</v>
      </c>
      <c r="I3799" t="s">
        <v>903</v>
      </c>
      <c r="J3799" t="s">
        <v>212</v>
      </c>
      <c r="K3799" s="9">
        <v>44806.4850925926</v>
      </c>
      <c r="L3799" t="s">
        <v>29</v>
      </c>
      <c r="M3799"/>
      <c r="N3799" s="9">
        <v>44778</v>
      </c>
      <c r="O3799"/>
      <c r="P3799"/>
      <c r="Q3799"/>
      <c r="R3799" s="9">
        <v>44806.484525462998</v>
      </c>
      <c r="S3799"/>
      <c r="T3799"/>
      <c r="U3799"/>
    </row>
    <row r="3800" spans="1:21" hidden="1">
      <c r="A3800" s="7" t="s">
        <v>8871</v>
      </c>
      <c r="B3800" s="7" t="s">
        <v>8280</v>
      </c>
      <c r="C3800" s="8" t="s">
        <v>5319</v>
      </c>
      <c r="D3800" t="s">
        <v>266</v>
      </c>
      <c r="E3800" t="s">
        <v>2463</v>
      </c>
      <c r="F3800" t="s">
        <v>231</v>
      </c>
      <c r="G3800" t="s">
        <v>3410</v>
      </c>
      <c r="H3800" s="9">
        <v>44733</v>
      </c>
      <c r="I3800" t="s">
        <v>903</v>
      </c>
      <c r="J3800" t="s">
        <v>212</v>
      </c>
      <c r="K3800" s="9">
        <v>44806.4850925926</v>
      </c>
      <c r="L3800" t="s">
        <v>29</v>
      </c>
      <c r="M3800"/>
      <c r="N3800" s="9">
        <v>44778</v>
      </c>
      <c r="O3800"/>
      <c r="P3800"/>
      <c r="Q3800"/>
      <c r="R3800" s="9">
        <v>44806.484525462998</v>
      </c>
      <c r="S3800"/>
      <c r="T3800"/>
      <c r="U3800"/>
    </row>
    <row r="3801" spans="1:21" hidden="1">
      <c r="A3801" s="7" t="s">
        <v>8867</v>
      </c>
      <c r="B3801" s="7" t="s">
        <v>7140</v>
      </c>
      <c r="C3801" s="8" t="s">
        <v>5319</v>
      </c>
      <c r="D3801" t="s">
        <v>266</v>
      </c>
      <c r="E3801" t="s">
        <v>2360</v>
      </c>
      <c r="F3801" t="s">
        <v>231</v>
      </c>
      <c r="G3801" t="s">
        <v>3411</v>
      </c>
      <c r="H3801" s="9">
        <v>44733</v>
      </c>
      <c r="I3801" t="s">
        <v>2362</v>
      </c>
      <c r="J3801" t="s">
        <v>5330</v>
      </c>
      <c r="K3801" s="9">
        <v>44834</v>
      </c>
      <c r="L3801" t="s">
        <v>29</v>
      </c>
      <c r="M3801"/>
      <c r="N3801" s="9">
        <v>44778</v>
      </c>
      <c r="O3801" s="9">
        <v>44834</v>
      </c>
      <c r="P3801"/>
      <c r="Q3801"/>
      <c r="R3801"/>
      <c r="S3801"/>
      <c r="T3801"/>
      <c r="U3801"/>
    </row>
    <row r="3802" spans="1:21" hidden="1">
      <c r="A3802" s="7" t="s">
        <v>8867</v>
      </c>
      <c r="B3802" s="7" t="s">
        <v>7140</v>
      </c>
      <c r="C3802" s="8" t="s">
        <v>5319</v>
      </c>
      <c r="D3802" t="s">
        <v>266</v>
      </c>
      <c r="E3802" t="s">
        <v>2360</v>
      </c>
      <c r="F3802" t="s">
        <v>231</v>
      </c>
      <c r="G3802" t="s">
        <v>3412</v>
      </c>
      <c r="H3802" s="9">
        <v>44733</v>
      </c>
      <c r="I3802" t="s">
        <v>2362</v>
      </c>
      <c r="J3802" t="s">
        <v>5330</v>
      </c>
      <c r="K3802" s="9">
        <v>44834</v>
      </c>
      <c r="L3802" t="s">
        <v>29</v>
      </c>
      <c r="M3802"/>
      <c r="N3802" s="9">
        <v>44778</v>
      </c>
      <c r="O3802" s="9">
        <v>44834</v>
      </c>
      <c r="P3802"/>
      <c r="Q3802"/>
      <c r="R3802"/>
      <c r="S3802"/>
      <c r="T3802"/>
      <c r="U3802"/>
    </row>
    <row r="3803" spans="1:21" hidden="1">
      <c r="A3803" s="7" t="s">
        <v>8867</v>
      </c>
      <c r="B3803" s="7" t="s">
        <v>7140</v>
      </c>
      <c r="C3803" s="8" t="s">
        <v>5319</v>
      </c>
      <c r="D3803" t="s">
        <v>266</v>
      </c>
      <c r="E3803" t="s">
        <v>2360</v>
      </c>
      <c r="F3803" t="s">
        <v>231</v>
      </c>
      <c r="G3803" t="s">
        <v>3413</v>
      </c>
      <c r="H3803" s="9">
        <v>44733</v>
      </c>
      <c r="I3803" t="s">
        <v>2362</v>
      </c>
      <c r="J3803" t="s">
        <v>5330</v>
      </c>
      <c r="K3803" s="9">
        <v>44834</v>
      </c>
      <c r="L3803" t="s">
        <v>29</v>
      </c>
      <c r="M3803"/>
      <c r="N3803" s="9">
        <v>44778</v>
      </c>
      <c r="O3803" s="9">
        <v>44834</v>
      </c>
      <c r="P3803"/>
      <c r="Q3803"/>
      <c r="R3803"/>
      <c r="S3803"/>
      <c r="T3803"/>
      <c r="U3803"/>
    </row>
    <row r="3804" spans="1:21" hidden="1">
      <c r="A3804" s="7" t="s">
        <v>8867</v>
      </c>
      <c r="B3804" s="7" t="s">
        <v>7140</v>
      </c>
      <c r="C3804" s="8" t="s">
        <v>5319</v>
      </c>
      <c r="D3804" t="s">
        <v>266</v>
      </c>
      <c r="E3804" t="s">
        <v>2360</v>
      </c>
      <c r="F3804" t="s">
        <v>231</v>
      </c>
      <c r="G3804" t="s">
        <v>3414</v>
      </c>
      <c r="H3804" s="9">
        <v>44733</v>
      </c>
      <c r="I3804" t="s">
        <v>2362</v>
      </c>
      <c r="J3804" t="s">
        <v>5330</v>
      </c>
      <c r="K3804" s="9">
        <v>44834</v>
      </c>
      <c r="L3804" t="s">
        <v>29</v>
      </c>
      <c r="M3804"/>
      <c r="N3804" s="9">
        <v>44778</v>
      </c>
      <c r="O3804" s="9">
        <v>44834</v>
      </c>
      <c r="P3804"/>
      <c r="Q3804"/>
      <c r="R3804"/>
      <c r="S3804"/>
      <c r="T3804"/>
      <c r="U3804"/>
    </row>
    <row r="3805" spans="1:21" hidden="1">
      <c r="A3805" s="7" t="s">
        <v>8867</v>
      </c>
      <c r="B3805" s="7" t="s">
        <v>7140</v>
      </c>
      <c r="C3805" s="8" t="s">
        <v>5319</v>
      </c>
      <c r="D3805" t="s">
        <v>266</v>
      </c>
      <c r="E3805" t="s">
        <v>2360</v>
      </c>
      <c r="F3805" t="s">
        <v>231</v>
      </c>
      <c r="G3805" t="s">
        <v>3415</v>
      </c>
      <c r="H3805" s="9">
        <v>44733</v>
      </c>
      <c r="I3805" t="s">
        <v>2362</v>
      </c>
      <c r="J3805" t="s">
        <v>5330</v>
      </c>
      <c r="K3805" s="9">
        <v>44834</v>
      </c>
      <c r="L3805" t="s">
        <v>29</v>
      </c>
      <c r="M3805"/>
      <c r="N3805" s="9">
        <v>44778</v>
      </c>
      <c r="O3805" s="9">
        <v>44834</v>
      </c>
      <c r="P3805"/>
      <c r="Q3805"/>
      <c r="R3805"/>
      <c r="S3805"/>
      <c r="T3805"/>
      <c r="U3805"/>
    </row>
    <row r="3806" spans="1:21" hidden="1">
      <c r="A3806" s="7" t="s">
        <v>8871</v>
      </c>
      <c r="B3806" s="7" t="s">
        <v>8280</v>
      </c>
      <c r="C3806" s="8" t="s">
        <v>5319</v>
      </c>
      <c r="D3806" t="s">
        <v>266</v>
      </c>
      <c r="E3806" t="s">
        <v>2463</v>
      </c>
      <c r="F3806" t="s">
        <v>231</v>
      </c>
      <c r="G3806" t="s">
        <v>3416</v>
      </c>
      <c r="H3806" s="9">
        <v>44733</v>
      </c>
      <c r="I3806" t="s">
        <v>903</v>
      </c>
      <c r="J3806" t="s">
        <v>212</v>
      </c>
      <c r="K3806" s="9">
        <v>44806.4850925926</v>
      </c>
      <c r="L3806" t="s">
        <v>29</v>
      </c>
      <c r="M3806"/>
      <c r="N3806" s="9">
        <v>44778</v>
      </c>
      <c r="O3806"/>
      <c r="P3806"/>
      <c r="Q3806"/>
      <c r="R3806" s="9">
        <v>44806.484525462998</v>
      </c>
      <c r="S3806"/>
      <c r="T3806"/>
      <c r="U3806"/>
    </row>
    <row r="3807" spans="1:21" hidden="1">
      <c r="A3807" s="7" t="s">
        <v>8798</v>
      </c>
      <c r="B3807" s="7" t="s">
        <v>7439</v>
      </c>
      <c r="C3807" s="8" t="s">
        <v>5319</v>
      </c>
      <c r="D3807" t="s">
        <v>266</v>
      </c>
      <c r="E3807" t="s">
        <v>1001</v>
      </c>
      <c r="F3807" t="s">
        <v>117</v>
      </c>
      <c r="G3807" t="s">
        <v>3417</v>
      </c>
      <c r="H3807" s="9">
        <v>44733</v>
      </c>
      <c r="I3807" t="s">
        <v>882</v>
      </c>
      <c r="J3807" t="s">
        <v>5330</v>
      </c>
      <c r="K3807" s="9">
        <v>44834</v>
      </c>
      <c r="L3807" t="s">
        <v>29</v>
      </c>
      <c r="M3807"/>
      <c r="N3807" s="9">
        <v>44778</v>
      </c>
      <c r="O3807" s="9">
        <v>44834</v>
      </c>
      <c r="P3807"/>
      <c r="Q3807"/>
      <c r="R3807"/>
      <c r="S3807"/>
      <c r="T3807"/>
      <c r="U3807"/>
    </row>
    <row r="3808" spans="1:21" hidden="1">
      <c r="A3808" s="7" t="s">
        <v>8867</v>
      </c>
      <c r="B3808" s="7" t="s">
        <v>7140</v>
      </c>
      <c r="C3808" s="8" t="s">
        <v>5319</v>
      </c>
      <c r="D3808" t="s">
        <v>266</v>
      </c>
      <c r="E3808" t="s">
        <v>2360</v>
      </c>
      <c r="F3808" t="s">
        <v>231</v>
      </c>
      <c r="G3808" t="s">
        <v>3418</v>
      </c>
      <c r="H3808" s="9">
        <v>44733</v>
      </c>
      <c r="I3808" t="s">
        <v>2362</v>
      </c>
      <c r="J3808" t="s">
        <v>5330</v>
      </c>
      <c r="K3808" s="9">
        <v>44834</v>
      </c>
      <c r="L3808" t="s">
        <v>29</v>
      </c>
      <c r="M3808"/>
      <c r="N3808" s="9">
        <v>44778</v>
      </c>
      <c r="O3808" s="9">
        <v>44834</v>
      </c>
      <c r="P3808"/>
      <c r="Q3808"/>
      <c r="R3808"/>
      <c r="S3808"/>
      <c r="T3808"/>
      <c r="U3808"/>
    </row>
    <row r="3809" spans="1:21" hidden="1">
      <c r="A3809" s="7" t="s">
        <v>8867</v>
      </c>
      <c r="B3809" s="7" t="s">
        <v>7140</v>
      </c>
      <c r="C3809" s="8" t="s">
        <v>5319</v>
      </c>
      <c r="D3809" t="s">
        <v>266</v>
      </c>
      <c r="E3809" t="s">
        <v>2360</v>
      </c>
      <c r="F3809" t="s">
        <v>231</v>
      </c>
      <c r="G3809" t="s">
        <v>3419</v>
      </c>
      <c r="H3809" s="9">
        <v>44733</v>
      </c>
      <c r="I3809" t="s">
        <v>2362</v>
      </c>
      <c r="J3809" t="s">
        <v>5330</v>
      </c>
      <c r="K3809" s="9">
        <v>44834</v>
      </c>
      <c r="L3809" t="s">
        <v>29</v>
      </c>
      <c r="M3809"/>
      <c r="N3809" s="9">
        <v>44778</v>
      </c>
      <c r="O3809" s="9">
        <v>44834</v>
      </c>
      <c r="P3809"/>
      <c r="Q3809"/>
      <c r="R3809"/>
      <c r="S3809"/>
      <c r="T3809"/>
      <c r="U3809"/>
    </row>
    <row r="3810" spans="1:21" hidden="1">
      <c r="A3810" s="7" t="s">
        <v>8844</v>
      </c>
      <c r="B3810" s="7" t="s">
        <v>5466</v>
      </c>
      <c r="C3810" s="8" t="s">
        <v>5319</v>
      </c>
      <c r="D3810" t="s">
        <v>266</v>
      </c>
      <c r="E3810" t="s">
        <v>2119</v>
      </c>
      <c r="F3810" t="s">
        <v>83</v>
      </c>
      <c r="G3810" t="s">
        <v>3420</v>
      </c>
      <c r="H3810" s="9">
        <v>44733</v>
      </c>
      <c r="I3810" t="s">
        <v>2121</v>
      </c>
      <c r="J3810" t="s">
        <v>5330</v>
      </c>
      <c r="K3810" s="9">
        <v>44834</v>
      </c>
      <c r="L3810" t="s">
        <v>29</v>
      </c>
      <c r="M3810"/>
      <c r="N3810" s="9">
        <v>44778</v>
      </c>
      <c r="O3810" s="9">
        <v>44834</v>
      </c>
      <c r="P3810"/>
      <c r="Q3810"/>
      <c r="R3810"/>
      <c r="S3810"/>
      <c r="T3810"/>
      <c r="U3810"/>
    </row>
    <row r="3811" spans="1:21" hidden="1">
      <c r="A3811" s="7" t="s">
        <v>8781</v>
      </c>
      <c r="B3811" s="7" t="s">
        <v>8313</v>
      </c>
      <c r="C3811" s="8" t="s">
        <v>5319</v>
      </c>
      <c r="D3811" t="s">
        <v>266</v>
      </c>
      <c r="E3811" t="s">
        <v>880</v>
      </c>
      <c r="F3811" t="s">
        <v>231</v>
      </c>
      <c r="G3811" t="s">
        <v>3421</v>
      </c>
      <c r="H3811" s="9">
        <v>44733</v>
      </c>
      <c r="I3811" t="s">
        <v>882</v>
      </c>
      <c r="J3811" t="s">
        <v>276</v>
      </c>
      <c r="K3811" s="9">
        <v>44881.653749999998</v>
      </c>
      <c r="L3811" t="s">
        <v>29</v>
      </c>
      <c r="M3811"/>
      <c r="N3811" s="9">
        <v>44778</v>
      </c>
      <c r="O3811" s="9">
        <v>44834</v>
      </c>
      <c r="P3811"/>
      <c r="Q3811"/>
      <c r="R3811" s="9">
        <v>44881.650972222204</v>
      </c>
      <c r="S3811"/>
      <c r="T3811"/>
      <c r="U3811"/>
    </row>
    <row r="3812" spans="1:21" hidden="1">
      <c r="A3812" s="7" t="s">
        <v>8781</v>
      </c>
      <c r="B3812" s="7" t="s">
        <v>8313</v>
      </c>
      <c r="C3812" s="8" t="s">
        <v>5319</v>
      </c>
      <c r="D3812" t="s">
        <v>266</v>
      </c>
      <c r="E3812" t="s">
        <v>880</v>
      </c>
      <c r="F3812" t="s">
        <v>231</v>
      </c>
      <c r="G3812" t="s">
        <v>3422</v>
      </c>
      <c r="H3812" s="9">
        <v>44733</v>
      </c>
      <c r="I3812" t="s">
        <v>882</v>
      </c>
      <c r="J3812" t="s">
        <v>276</v>
      </c>
      <c r="K3812" s="9">
        <v>44881.653749999998</v>
      </c>
      <c r="L3812" t="s">
        <v>29</v>
      </c>
      <c r="M3812"/>
      <c r="N3812" s="9">
        <v>44778</v>
      </c>
      <c r="O3812" s="9">
        <v>44834</v>
      </c>
      <c r="P3812"/>
      <c r="Q3812"/>
      <c r="R3812" s="9">
        <v>44881.650972222204</v>
      </c>
      <c r="S3812"/>
      <c r="T3812"/>
      <c r="U3812"/>
    </row>
    <row r="3813" spans="1:21" hidden="1">
      <c r="A3813" s="7" t="s">
        <v>8916</v>
      </c>
      <c r="B3813" s="7" t="s">
        <v>6766</v>
      </c>
      <c r="C3813" s="8" t="s">
        <v>5319</v>
      </c>
      <c r="D3813" t="s">
        <v>266</v>
      </c>
      <c r="E3813" t="s">
        <v>3257</v>
      </c>
      <c r="F3813" t="s">
        <v>117</v>
      </c>
      <c r="G3813" t="s">
        <v>3423</v>
      </c>
      <c r="H3813" s="9">
        <v>44733</v>
      </c>
      <c r="I3813" t="s">
        <v>408</v>
      </c>
      <c r="J3813" t="s">
        <v>5330</v>
      </c>
      <c r="K3813" s="9">
        <v>44834</v>
      </c>
      <c r="L3813" t="s">
        <v>29</v>
      </c>
      <c r="M3813"/>
      <c r="N3813" s="9">
        <v>44778</v>
      </c>
      <c r="O3813" s="9">
        <v>44834</v>
      </c>
      <c r="P3813"/>
      <c r="Q3813"/>
      <c r="R3813"/>
      <c r="S3813"/>
      <c r="T3813"/>
      <c r="U3813"/>
    </row>
    <row r="3814" spans="1:21" hidden="1">
      <c r="A3814" s="7" t="s">
        <v>8916</v>
      </c>
      <c r="B3814" s="7" t="s">
        <v>6766</v>
      </c>
      <c r="C3814" s="8" t="s">
        <v>5319</v>
      </c>
      <c r="D3814" t="s">
        <v>266</v>
      </c>
      <c r="E3814" t="s">
        <v>3257</v>
      </c>
      <c r="F3814" t="s">
        <v>117</v>
      </c>
      <c r="G3814" t="s">
        <v>3424</v>
      </c>
      <c r="H3814" s="9">
        <v>44733</v>
      </c>
      <c r="I3814" t="s">
        <v>408</v>
      </c>
      <c r="J3814" t="s">
        <v>5330</v>
      </c>
      <c r="K3814" s="9">
        <v>44834</v>
      </c>
      <c r="L3814" t="s">
        <v>29</v>
      </c>
      <c r="M3814"/>
      <c r="N3814" s="9">
        <v>44778</v>
      </c>
      <c r="O3814" s="9">
        <v>44834</v>
      </c>
      <c r="P3814"/>
      <c r="Q3814"/>
      <c r="R3814"/>
      <c r="S3814"/>
      <c r="T3814"/>
      <c r="U3814"/>
    </row>
    <row r="3815" spans="1:21" hidden="1">
      <c r="A3815" s="7" t="s">
        <v>8916</v>
      </c>
      <c r="B3815" s="7" t="s">
        <v>6766</v>
      </c>
      <c r="C3815" s="8" t="s">
        <v>5319</v>
      </c>
      <c r="D3815" t="s">
        <v>266</v>
      </c>
      <c r="E3815" t="s">
        <v>3257</v>
      </c>
      <c r="F3815" t="s">
        <v>117</v>
      </c>
      <c r="G3815" t="s">
        <v>3425</v>
      </c>
      <c r="H3815" s="9">
        <v>44733</v>
      </c>
      <c r="I3815" t="s">
        <v>408</v>
      </c>
      <c r="J3815" t="s">
        <v>5330</v>
      </c>
      <c r="K3815" s="9">
        <v>44834</v>
      </c>
      <c r="L3815" t="s">
        <v>29</v>
      </c>
      <c r="M3815"/>
      <c r="N3815" s="9">
        <v>44778</v>
      </c>
      <c r="O3815" s="9">
        <v>44834</v>
      </c>
      <c r="P3815"/>
      <c r="Q3815"/>
      <c r="R3815"/>
      <c r="S3815"/>
      <c r="T3815"/>
      <c r="U3815"/>
    </row>
    <row r="3816" spans="1:21" hidden="1">
      <c r="A3816" s="7" t="s">
        <v>8924</v>
      </c>
      <c r="B3816" s="7" t="s">
        <v>7902</v>
      </c>
      <c r="C3816" s="8" t="s">
        <v>5319</v>
      </c>
      <c r="D3816" t="s">
        <v>266</v>
      </c>
      <c r="E3816" t="s">
        <v>3372</v>
      </c>
      <c r="F3816" t="s">
        <v>117</v>
      </c>
      <c r="G3816" t="s">
        <v>3426</v>
      </c>
      <c r="H3816" s="9">
        <v>44733</v>
      </c>
      <c r="I3816" t="s">
        <v>408</v>
      </c>
      <c r="J3816" t="s">
        <v>5330</v>
      </c>
      <c r="K3816" s="9">
        <v>44834</v>
      </c>
      <c r="L3816" t="s">
        <v>29</v>
      </c>
      <c r="M3816"/>
      <c r="N3816" s="9">
        <v>44778</v>
      </c>
      <c r="O3816" s="9">
        <v>44834</v>
      </c>
      <c r="P3816"/>
      <c r="Q3816"/>
      <c r="R3816"/>
      <c r="S3816"/>
      <c r="T3816"/>
      <c r="U3816"/>
    </row>
    <row r="3817" spans="1:21" hidden="1">
      <c r="A3817" s="7" t="s">
        <v>8924</v>
      </c>
      <c r="B3817" s="7" t="s">
        <v>7902</v>
      </c>
      <c r="C3817" s="8" t="s">
        <v>5319</v>
      </c>
      <c r="D3817" t="s">
        <v>266</v>
      </c>
      <c r="E3817" t="s">
        <v>3372</v>
      </c>
      <c r="F3817" t="s">
        <v>117</v>
      </c>
      <c r="G3817" t="s">
        <v>3427</v>
      </c>
      <c r="H3817" s="9">
        <v>44733</v>
      </c>
      <c r="I3817" t="s">
        <v>408</v>
      </c>
      <c r="J3817" t="s">
        <v>5330</v>
      </c>
      <c r="K3817" s="9">
        <v>44834</v>
      </c>
      <c r="L3817" t="s">
        <v>29</v>
      </c>
      <c r="M3817"/>
      <c r="N3817" s="9">
        <v>44778</v>
      </c>
      <c r="O3817" s="9">
        <v>44834</v>
      </c>
      <c r="P3817"/>
      <c r="Q3817"/>
      <c r="R3817"/>
      <c r="S3817"/>
      <c r="T3817"/>
      <c r="U3817"/>
    </row>
    <row r="3818" spans="1:21" hidden="1">
      <c r="A3818" s="7" t="s">
        <v>8795</v>
      </c>
      <c r="B3818" s="7" t="s">
        <v>5590</v>
      </c>
      <c r="C3818" s="8" t="s">
        <v>5319</v>
      </c>
      <c r="D3818" t="s">
        <v>266</v>
      </c>
      <c r="E3818" t="s">
        <v>990</v>
      </c>
      <c r="F3818" t="s">
        <v>111</v>
      </c>
      <c r="G3818" t="s">
        <v>3428</v>
      </c>
      <c r="H3818" s="9">
        <v>44733</v>
      </c>
      <c r="I3818" t="s">
        <v>408</v>
      </c>
      <c r="J3818" t="s">
        <v>5330</v>
      </c>
      <c r="K3818" s="9">
        <v>44834</v>
      </c>
      <c r="L3818" t="s">
        <v>29</v>
      </c>
      <c r="M3818"/>
      <c r="N3818" s="9">
        <v>44778</v>
      </c>
      <c r="O3818" s="9">
        <v>44834</v>
      </c>
      <c r="P3818"/>
      <c r="Q3818"/>
      <c r="R3818"/>
      <c r="S3818"/>
      <c r="T3818"/>
      <c r="U3818"/>
    </row>
    <row r="3819" spans="1:21" hidden="1">
      <c r="A3819" s="7" t="s">
        <v>8873</v>
      </c>
      <c r="B3819" s="7" t="s">
        <v>7140</v>
      </c>
      <c r="C3819" s="8" t="s">
        <v>5319</v>
      </c>
      <c r="D3819" t="s">
        <v>266</v>
      </c>
      <c r="E3819" t="s">
        <v>2360</v>
      </c>
      <c r="F3819" t="s">
        <v>209</v>
      </c>
      <c r="G3819" t="s">
        <v>3429</v>
      </c>
      <c r="H3819" s="9">
        <v>44733</v>
      </c>
      <c r="I3819" t="s">
        <v>2362</v>
      </c>
      <c r="J3819" t="s">
        <v>5330</v>
      </c>
      <c r="K3819" s="9">
        <v>44834</v>
      </c>
      <c r="L3819" t="s">
        <v>29</v>
      </c>
      <c r="M3819"/>
      <c r="N3819" s="9">
        <v>44778</v>
      </c>
      <c r="O3819" s="9">
        <v>44834</v>
      </c>
      <c r="P3819"/>
      <c r="Q3819"/>
      <c r="R3819"/>
      <c r="S3819"/>
      <c r="T3819"/>
      <c r="U3819"/>
    </row>
    <row r="3820" spans="1:21" hidden="1">
      <c r="A3820" s="7" t="s">
        <v>8873</v>
      </c>
      <c r="B3820" s="7" t="s">
        <v>7140</v>
      </c>
      <c r="C3820" s="8" t="s">
        <v>5319</v>
      </c>
      <c r="D3820" t="s">
        <v>266</v>
      </c>
      <c r="E3820" t="s">
        <v>2360</v>
      </c>
      <c r="F3820" t="s">
        <v>209</v>
      </c>
      <c r="G3820" t="s">
        <v>3430</v>
      </c>
      <c r="H3820" s="9">
        <v>44733</v>
      </c>
      <c r="I3820" t="s">
        <v>2362</v>
      </c>
      <c r="J3820" t="s">
        <v>5330</v>
      </c>
      <c r="K3820" s="9">
        <v>44834</v>
      </c>
      <c r="L3820" t="s">
        <v>29</v>
      </c>
      <c r="M3820"/>
      <c r="N3820" s="9">
        <v>44778</v>
      </c>
      <c r="O3820" s="9">
        <v>44834</v>
      </c>
      <c r="P3820"/>
      <c r="Q3820"/>
      <c r="R3820"/>
      <c r="S3820"/>
      <c r="T3820"/>
      <c r="U3820"/>
    </row>
    <row r="3821" spans="1:21" hidden="1">
      <c r="A3821" s="7" t="s">
        <v>8795</v>
      </c>
      <c r="B3821" s="7" t="s">
        <v>5590</v>
      </c>
      <c r="C3821" s="8" t="s">
        <v>5319</v>
      </c>
      <c r="D3821" t="s">
        <v>266</v>
      </c>
      <c r="E3821" t="s">
        <v>990</v>
      </c>
      <c r="F3821" t="s">
        <v>111</v>
      </c>
      <c r="G3821" t="s">
        <v>3431</v>
      </c>
      <c r="H3821" s="9">
        <v>44733</v>
      </c>
      <c r="I3821" t="s">
        <v>408</v>
      </c>
      <c r="J3821" t="s">
        <v>5330</v>
      </c>
      <c r="K3821" s="9">
        <v>44834</v>
      </c>
      <c r="L3821" t="s">
        <v>29</v>
      </c>
      <c r="M3821"/>
      <c r="N3821" s="9">
        <v>44778</v>
      </c>
      <c r="O3821" s="9">
        <v>44834</v>
      </c>
      <c r="P3821"/>
      <c r="Q3821"/>
      <c r="R3821"/>
      <c r="S3821"/>
      <c r="T3821"/>
      <c r="U3821"/>
    </row>
    <row r="3822" spans="1:21" hidden="1">
      <c r="A3822" s="7" t="s">
        <v>8922</v>
      </c>
      <c r="B3822" s="7" t="s">
        <v>8091</v>
      </c>
      <c r="C3822" s="8" t="s">
        <v>5319</v>
      </c>
      <c r="D3822" t="s">
        <v>266</v>
      </c>
      <c r="E3822" t="s">
        <v>3333</v>
      </c>
      <c r="F3822" t="s">
        <v>117</v>
      </c>
      <c r="G3822" t="s">
        <v>3432</v>
      </c>
      <c r="H3822" s="9">
        <v>44733</v>
      </c>
      <c r="I3822" t="s">
        <v>903</v>
      </c>
      <c r="J3822" t="s">
        <v>5330</v>
      </c>
      <c r="K3822" s="9">
        <v>44834</v>
      </c>
      <c r="L3822" t="s">
        <v>29</v>
      </c>
      <c r="M3822"/>
      <c r="N3822" s="9">
        <v>44778</v>
      </c>
      <c r="O3822" s="9">
        <v>44834</v>
      </c>
      <c r="P3822"/>
      <c r="Q3822"/>
      <c r="R3822"/>
      <c r="S3822"/>
      <c r="T3822"/>
      <c r="U3822"/>
    </row>
    <row r="3823" spans="1:21" hidden="1">
      <c r="A3823" s="7" t="s">
        <v>8922</v>
      </c>
      <c r="B3823" s="7" t="s">
        <v>8091</v>
      </c>
      <c r="C3823" s="8" t="s">
        <v>5319</v>
      </c>
      <c r="D3823" t="s">
        <v>266</v>
      </c>
      <c r="E3823" t="s">
        <v>3333</v>
      </c>
      <c r="F3823" t="s">
        <v>117</v>
      </c>
      <c r="G3823" t="s">
        <v>3433</v>
      </c>
      <c r="H3823" s="9">
        <v>44733</v>
      </c>
      <c r="I3823" t="s">
        <v>903</v>
      </c>
      <c r="J3823" t="s">
        <v>5330</v>
      </c>
      <c r="K3823" s="9">
        <v>44834</v>
      </c>
      <c r="L3823" t="s">
        <v>29</v>
      </c>
      <c r="M3823"/>
      <c r="N3823" s="9">
        <v>44778</v>
      </c>
      <c r="O3823" s="9">
        <v>44834</v>
      </c>
      <c r="P3823"/>
      <c r="Q3823"/>
      <c r="R3823"/>
      <c r="S3823"/>
      <c r="T3823"/>
      <c r="U3823"/>
    </row>
    <row r="3824" spans="1:21" hidden="1">
      <c r="A3824" s="7" t="s">
        <v>8922</v>
      </c>
      <c r="B3824" s="7" t="s">
        <v>8091</v>
      </c>
      <c r="C3824" s="8" t="s">
        <v>5319</v>
      </c>
      <c r="D3824" t="s">
        <v>266</v>
      </c>
      <c r="E3824" t="s">
        <v>3333</v>
      </c>
      <c r="F3824" t="s">
        <v>117</v>
      </c>
      <c r="G3824" t="s">
        <v>3434</v>
      </c>
      <c r="H3824" s="9">
        <v>44733</v>
      </c>
      <c r="I3824" t="s">
        <v>903</v>
      </c>
      <c r="J3824" t="s">
        <v>5330</v>
      </c>
      <c r="K3824" s="9">
        <v>44834</v>
      </c>
      <c r="L3824" t="s">
        <v>29</v>
      </c>
      <c r="M3824"/>
      <c r="N3824" s="9">
        <v>44778</v>
      </c>
      <c r="O3824" s="9">
        <v>44834</v>
      </c>
      <c r="P3824"/>
      <c r="Q3824"/>
      <c r="R3824"/>
      <c r="S3824"/>
      <c r="T3824"/>
      <c r="U3824"/>
    </row>
    <row r="3825" spans="1:21" hidden="1">
      <c r="A3825" s="7" t="s">
        <v>8922</v>
      </c>
      <c r="B3825" s="7" t="s">
        <v>8091</v>
      </c>
      <c r="C3825" s="8" t="s">
        <v>5319</v>
      </c>
      <c r="D3825" t="s">
        <v>266</v>
      </c>
      <c r="E3825" t="s">
        <v>3333</v>
      </c>
      <c r="F3825" t="s">
        <v>117</v>
      </c>
      <c r="G3825" t="s">
        <v>3435</v>
      </c>
      <c r="H3825" s="9">
        <v>44733</v>
      </c>
      <c r="I3825" t="s">
        <v>903</v>
      </c>
      <c r="J3825" t="s">
        <v>5330</v>
      </c>
      <c r="K3825" s="9">
        <v>44834</v>
      </c>
      <c r="L3825" t="s">
        <v>29</v>
      </c>
      <c r="M3825"/>
      <c r="N3825" s="9">
        <v>44778</v>
      </c>
      <c r="O3825" s="9">
        <v>44834</v>
      </c>
      <c r="P3825"/>
      <c r="Q3825"/>
      <c r="R3825"/>
      <c r="S3825"/>
      <c r="T3825"/>
      <c r="U3825"/>
    </row>
    <row r="3826" spans="1:21" hidden="1">
      <c r="A3826" s="7" t="s">
        <v>8922</v>
      </c>
      <c r="B3826" s="7" t="s">
        <v>8091</v>
      </c>
      <c r="C3826" s="8" t="s">
        <v>5319</v>
      </c>
      <c r="D3826" t="s">
        <v>266</v>
      </c>
      <c r="E3826" t="s">
        <v>3333</v>
      </c>
      <c r="F3826" t="s">
        <v>117</v>
      </c>
      <c r="G3826" t="s">
        <v>3436</v>
      </c>
      <c r="H3826" s="9">
        <v>44733</v>
      </c>
      <c r="I3826" t="s">
        <v>903</v>
      </c>
      <c r="J3826" t="s">
        <v>5330</v>
      </c>
      <c r="K3826" s="9">
        <v>44834</v>
      </c>
      <c r="L3826" t="s">
        <v>29</v>
      </c>
      <c r="M3826"/>
      <c r="N3826" s="9">
        <v>44778</v>
      </c>
      <c r="O3826" s="9">
        <v>44834</v>
      </c>
      <c r="P3826"/>
      <c r="Q3826"/>
      <c r="R3826"/>
      <c r="S3826"/>
      <c r="T3826"/>
      <c r="U3826"/>
    </row>
    <row r="3827" spans="1:21" hidden="1">
      <c r="A3827" s="7" t="s">
        <v>8922</v>
      </c>
      <c r="B3827" s="7" t="s">
        <v>8091</v>
      </c>
      <c r="C3827" s="8" t="s">
        <v>5319</v>
      </c>
      <c r="D3827" t="s">
        <v>266</v>
      </c>
      <c r="E3827" t="s">
        <v>3333</v>
      </c>
      <c r="F3827" t="s">
        <v>117</v>
      </c>
      <c r="G3827" t="s">
        <v>3437</v>
      </c>
      <c r="H3827" s="9">
        <v>44733</v>
      </c>
      <c r="I3827" t="s">
        <v>903</v>
      </c>
      <c r="J3827" t="s">
        <v>5330</v>
      </c>
      <c r="K3827" s="9">
        <v>44834</v>
      </c>
      <c r="L3827" t="s">
        <v>29</v>
      </c>
      <c r="M3827"/>
      <c r="N3827" s="9">
        <v>44778</v>
      </c>
      <c r="O3827" s="9">
        <v>44834</v>
      </c>
      <c r="P3827"/>
      <c r="Q3827"/>
      <c r="R3827"/>
      <c r="S3827"/>
      <c r="T3827"/>
      <c r="U3827"/>
    </row>
    <row r="3828" spans="1:21" hidden="1">
      <c r="A3828" s="7" t="s">
        <v>8922</v>
      </c>
      <c r="B3828" s="7" t="s">
        <v>8091</v>
      </c>
      <c r="C3828" s="8" t="s">
        <v>5319</v>
      </c>
      <c r="D3828" t="s">
        <v>266</v>
      </c>
      <c r="E3828" t="s">
        <v>3333</v>
      </c>
      <c r="F3828" t="s">
        <v>117</v>
      </c>
      <c r="G3828" t="s">
        <v>3438</v>
      </c>
      <c r="H3828" s="9">
        <v>44733</v>
      </c>
      <c r="I3828" t="s">
        <v>903</v>
      </c>
      <c r="J3828" t="s">
        <v>5330</v>
      </c>
      <c r="K3828" s="9">
        <v>44834</v>
      </c>
      <c r="L3828" t="s">
        <v>29</v>
      </c>
      <c r="M3828"/>
      <c r="N3828" s="9">
        <v>44778</v>
      </c>
      <c r="O3828" s="9">
        <v>44834</v>
      </c>
      <c r="P3828"/>
      <c r="Q3828"/>
      <c r="R3828"/>
      <c r="S3828"/>
      <c r="T3828"/>
      <c r="U3828"/>
    </row>
    <row r="3829" spans="1:21" hidden="1">
      <c r="A3829" s="7" t="s">
        <v>8922</v>
      </c>
      <c r="B3829" s="7" t="s">
        <v>8091</v>
      </c>
      <c r="C3829" s="8" t="s">
        <v>5319</v>
      </c>
      <c r="D3829" t="s">
        <v>266</v>
      </c>
      <c r="E3829" t="s">
        <v>3333</v>
      </c>
      <c r="F3829" t="s">
        <v>117</v>
      </c>
      <c r="G3829" t="s">
        <v>3439</v>
      </c>
      <c r="H3829" s="9">
        <v>44733</v>
      </c>
      <c r="I3829" t="s">
        <v>903</v>
      </c>
      <c r="J3829" t="s">
        <v>5330</v>
      </c>
      <c r="K3829" s="9">
        <v>44834</v>
      </c>
      <c r="L3829" t="s">
        <v>29</v>
      </c>
      <c r="M3829"/>
      <c r="N3829" s="9">
        <v>44778</v>
      </c>
      <c r="O3829" s="9">
        <v>44834</v>
      </c>
      <c r="P3829"/>
      <c r="Q3829"/>
      <c r="R3829"/>
      <c r="S3829"/>
      <c r="T3829"/>
      <c r="U3829"/>
    </row>
    <row r="3830" spans="1:21" hidden="1">
      <c r="A3830" s="7" t="s">
        <v>8922</v>
      </c>
      <c r="B3830" s="7" t="s">
        <v>8091</v>
      </c>
      <c r="C3830" s="8" t="s">
        <v>5319</v>
      </c>
      <c r="D3830" t="s">
        <v>266</v>
      </c>
      <c r="E3830" t="s">
        <v>3333</v>
      </c>
      <c r="F3830" t="s">
        <v>117</v>
      </c>
      <c r="G3830" t="s">
        <v>3440</v>
      </c>
      <c r="H3830" s="9">
        <v>44733</v>
      </c>
      <c r="I3830" t="s">
        <v>903</v>
      </c>
      <c r="J3830" t="s">
        <v>5330</v>
      </c>
      <c r="K3830" s="9">
        <v>44834</v>
      </c>
      <c r="L3830" t="s">
        <v>29</v>
      </c>
      <c r="M3830"/>
      <c r="N3830" s="9">
        <v>44778</v>
      </c>
      <c r="O3830" s="9">
        <v>44834</v>
      </c>
      <c r="P3830"/>
      <c r="Q3830"/>
      <c r="R3830"/>
      <c r="S3830"/>
      <c r="T3830"/>
      <c r="U3830"/>
    </row>
    <row r="3831" spans="1:21" hidden="1">
      <c r="A3831" s="7" t="s">
        <v>8923</v>
      </c>
      <c r="B3831" s="7" t="s">
        <v>7641</v>
      </c>
      <c r="C3831" s="8" t="s">
        <v>5319</v>
      </c>
      <c r="D3831" t="s">
        <v>266</v>
      </c>
      <c r="E3831" t="s">
        <v>3347</v>
      </c>
      <c r="F3831" t="s">
        <v>231</v>
      </c>
      <c r="G3831" t="s">
        <v>3441</v>
      </c>
      <c r="H3831" s="9">
        <v>44733</v>
      </c>
      <c r="I3831" t="s">
        <v>3102</v>
      </c>
      <c r="J3831" t="s">
        <v>5330</v>
      </c>
      <c r="K3831" s="9">
        <v>44834</v>
      </c>
      <c r="L3831" t="s">
        <v>29</v>
      </c>
      <c r="M3831"/>
      <c r="N3831" s="9">
        <v>44778</v>
      </c>
      <c r="O3831" s="9">
        <v>44834</v>
      </c>
      <c r="P3831"/>
      <c r="Q3831"/>
      <c r="R3831"/>
      <c r="S3831"/>
      <c r="T3831"/>
      <c r="U3831"/>
    </row>
    <row r="3832" spans="1:21" hidden="1">
      <c r="A3832" s="7" t="s">
        <v>8916</v>
      </c>
      <c r="B3832" s="7" t="s">
        <v>6766</v>
      </c>
      <c r="C3832" s="8" t="s">
        <v>5319</v>
      </c>
      <c r="D3832" t="s">
        <v>266</v>
      </c>
      <c r="E3832" t="s">
        <v>3257</v>
      </c>
      <c r="F3832" t="s">
        <v>117</v>
      </c>
      <c r="G3832" t="s">
        <v>3442</v>
      </c>
      <c r="H3832" s="9">
        <v>44733</v>
      </c>
      <c r="I3832" t="s">
        <v>408</v>
      </c>
      <c r="J3832" t="s">
        <v>5330</v>
      </c>
      <c r="K3832" s="9">
        <v>44834</v>
      </c>
      <c r="L3832" t="s">
        <v>29</v>
      </c>
      <c r="M3832"/>
      <c r="N3832" s="9">
        <v>44778</v>
      </c>
      <c r="O3832" s="9">
        <v>44834</v>
      </c>
      <c r="P3832"/>
      <c r="Q3832"/>
      <c r="R3832"/>
      <c r="S3832"/>
      <c r="T3832"/>
      <c r="U3832"/>
    </row>
    <row r="3833" spans="1:21" hidden="1">
      <c r="A3833" s="7" t="s">
        <v>8916</v>
      </c>
      <c r="B3833" s="7" t="s">
        <v>6766</v>
      </c>
      <c r="C3833" s="8" t="s">
        <v>5319</v>
      </c>
      <c r="D3833" t="s">
        <v>266</v>
      </c>
      <c r="E3833" t="s">
        <v>3257</v>
      </c>
      <c r="F3833" t="s">
        <v>117</v>
      </c>
      <c r="G3833" t="s">
        <v>3443</v>
      </c>
      <c r="H3833" s="9">
        <v>44733</v>
      </c>
      <c r="I3833" t="s">
        <v>408</v>
      </c>
      <c r="J3833" t="s">
        <v>5330</v>
      </c>
      <c r="K3833" s="9">
        <v>44834</v>
      </c>
      <c r="L3833" t="s">
        <v>29</v>
      </c>
      <c r="M3833"/>
      <c r="N3833" s="9">
        <v>44778</v>
      </c>
      <c r="O3833" s="9">
        <v>44834</v>
      </c>
      <c r="P3833"/>
      <c r="Q3833"/>
      <c r="R3833"/>
      <c r="S3833"/>
      <c r="T3833"/>
      <c r="U3833"/>
    </row>
    <row r="3834" spans="1:21" hidden="1">
      <c r="A3834" s="7" t="s">
        <v>8916</v>
      </c>
      <c r="B3834" s="7" t="s">
        <v>6766</v>
      </c>
      <c r="C3834" s="8" t="s">
        <v>5319</v>
      </c>
      <c r="D3834" t="s">
        <v>266</v>
      </c>
      <c r="E3834" t="s">
        <v>3257</v>
      </c>
      <c r="F3834" t="s">
        <v>117</v>
      </c>
      <c r="G3834" t="s">
        <v>3444</v>
      </c>
      <c r="H3834" s="9">
        <v>44733</v>
      </c>
      <c r="I3834" t="s">
        <v>408</v>
      </c>
      <c r="J3834" t="s">
        <v>5330</v>
      </c>
      <c r="K3834" s="9">
        <v>44834</v>
      </c>
      <c r="L3834" t="s">
        <v>29</v>
      </c>
      <c r="M3834"/>
      <c r="N3834" s="9">
        <v>44778</v>
      </c>
      <c r="O3834" s="9">
        <v>44834</v>
      </c>
      <c r="P3834"/>
      <c r="Q3834"/>
      <c r="R3834"/>
      <c r="S3834"/>
      <c r="T3834"/>
      <c r="U3834"/>
    </row>
    <row r="3835" spans="1:21" hidden="1">
      <c r="A3835" s="7" t="s">
        <v>8916</v>
      </c>
      <c r="B3835" s="7" t="s">
        <v>6766</v>
      </c>
      <c r="C3835" s="8" t="s">
        <v>5319</v>
      </c>
      <c r="D3835" t="s">
        <v>266</v>
      </c>
      <c r="E3835" t="s">
        <v>3257</v>
      </c>
      <c r="F3835" t="s">
        <v>117</v>
      </c>
      <c r="G3835" t="s">
        <v>3445</v>
      </c>
      <c r="H3835" s="9">
        <v>44733</v>
      </c>
      <c r="I3835" t="s">
        <v>408</v>
      </c>
      <c r="J3835" t="s">
        <v>5330</v>
      </c>
      <c r="K3835" s="9">
        <v>44834</v>
      </c>
      <c r="L3835" t="s">
        <v>29</v>
      </c>
      <c r="M3835"/>
      <c r="N3835" s="9">
        <v>44778</v>
      </c>
      <c r="O3835" s="9">
        <v>44834</v>
      </c>
      <c r="P3835"/>
      <c r="Q3835"/>
      <c r="R3835"/>
      <c r="S3835"/>
      <c r="T3835"/>
      <c r="U3835"/>
    </row>
    <row r="3836" spans="1:21" hidden="1">
      <c r="A3836" s="7" t="s">
        <v>8916</v>
      </c>
      <c r="B3836" s="7" t="s">
        <v>6766</v>
      </c>
      <c r="C3836" s="8" t="s">
        <v>5319</v>
      </c>
      <c r="D3836" t="s">
        <v>266</v>
      </c>
      <c r="E3836" t="s">
        <v>3257</v>
      </c>
      <c r="F3836" t="s">
        <v>117</v>
      </c>
      <c r="G3836" t="s">
        <v>3446</v>
      </c>
      <c r="H3836" s="9">
        <v>44733</v>
      </c>
      <c r="I3836" t="s">
        <v>408</v>
      </c>
      <c r="J3836" t="s">
        <v>5330</v>
      </c>
      <c r="K3836" s="9">
        <v>44834</v>
      </c>
      <c r="L3836" t="s">
        <v>29</v>
      </c>
      <c r="M3836"/>
      <c r="N3836" s="9">
        <v>44778</v>
      </c>
      <c r="O3836" s="9">
        <v>44834</v>
      </c>
      <c r="P3836"/>
      <c r="Q3836"/>
      <c r="R3836"/>
      <c r="S3836"/>
      <c r="T3836"/>
      <c r="U3836"/>
    </row>
    <row r="3837" spans="1:21" hidden="1">
      <c r="A3837" s="7" t="s">
        <v>8916</v>
      </c>
      <c r="B3837" s="7" t="s">
        <v>6766</v>
      </c>
      <c r="C3837" s="8" t="s">
        <v>5319</v>
      </c>
      <c r="D3837" t="s">
        <v>266</v>
      </c>
      <c r="E3837" t="s">
        <v>3257</v>
      </c>
      <c r="F3837" t="s">
        <v>117</v>
      </c>
      <c r="G3837" t="s">
        <v>3447</v>
      </c>
      <c r="H3837" s="9">
        <v>44733</v>
      </c>
      <c r="I3837" t="s">
        <v>408</v>
      </c>
      <c r="J3837" t="s">
        <v>5330</v>
      </c>
      <c r="K3837" s="9">
        <v>44834</v>
      </c>
      <c r="L3837" t="s">
        <v>29</v>
      </c>
      <c r="M3837"/>
      <c r="N3837" s="9">
        <v>44778</v>
      </c>
      <c r="O3837" s="9">
        <v>44834</v>
      </c>
      <c r="P3837"/>
      <c r="Q3837"/>
      <c r="R3837"/>
      <c r="S3837"/>
      <c r="T3837"/>
      <c r="U3837"/>
    </row>
    <row r="3838" spans="1:21" hidden="1">
      <c r="A3838" s="7" t="s">
        <v>8788</v>
      </c>
      <c r="B3838" s="7" t="s">
        <v>7708</v>
      </c>
      <c r="C3838" s="8" t="s">
        <v>5319</v>
      </c>
      <c r="D3838" t="s">
        <v>266</v>
      </c>
      <c r="E3838" t="s">
        <v>905</v>
      </c>
      <c r="F3838" t="s">
        <v>75</v>
      </c>
      <c r="G3838" t="s">
        <v>3448</v>
      </c>
      <c r="H3838" s="9">
        <v>44733</v>
      </c>
      <c r="I3838" t="s">
        <v>408</v>
      </c>
      <c r="J3838" t="s">
        <v>5330</v>
      </c>
      <c r="K3838" s="9">
        <v>44834</v>
      </c>
      <c r="L3838" t="s">
        <v>29</v>
      </c>
      <c r="M3838"/>
      <c r="N3838" s="9">
        <v>44778</v>
      </c>
      <c r="O3838" s="9">
        <v>44834</v>
      </c>
      <c r="P3838"/>
      <c r="Q3838"/>
      <c r="R3838"/>
      <c r="S3838"/>
      <c r="T3838"/>
      <c r="U3838"/>
    </row>
    <row r="3839" spans="1:21" hidden="1">
      <c r="A3839" s="7" t="s">
        <v>8788</v>
      </c>
      <c r="B3839" s="7" t="s">
        <v>7708</v>
      </c>
      <c r="C3839" s="8" t="s">
        <v>5319</v>
      </c>
      <c r="D3839" t="s">
        <v>266</v>
      </c>
      <c r="E3839" t="s">
        <v>905</v>
      </c>
      <c r="F3839" t="s">
        <v>75</v>
      </c>
      <c r="G3839" t="s">
        <v>3449</v>
      </c>
      <c r="H3839" s="9">
        <v>44733</v>
      </c>
      <c r="I3839" t="s">
        <v>408</v>
      </c>
      <c r="J3839" t="s">
        <v>5330</v>
      </c>
      <c r="K3839" s="9">
        <v>44834</v>
      </c>
      <c r="L3839" t="s">
        <v>29</v>
      </c>
      <c r="M3839"/>
      <c r="N3839" s="9">
        <v>44778</v>
      </c>
      <c r="O3839" s="9">
        <v>44834</v>
      </c>
      <c r="P3839"/>
      <c r="Q3839"/>
      <c r="R3839"/>
      <c r="S3839"/>
      <c r="T3839"/>
      <c r="U3839"/>
    </row>
    <row r="3840" spans="1:21" hidden="1">
      <c r="A3840" s="7" t="s">
        <v>8916</v>
      </c>
      <c r="B3840" s="7" t="s">
        <v>6766</v>
      </c>
      <c r="C3840" s="8" t="s">
        <v>5319</v>
      </c>
      <c r="D3840" t="s">
        <v>266</v>
      </c>
      <c r="E3840" t="s">
        <v>3257</v>
      </c>
      <c r="F3840" t="s">
        <v>117</v>
      </c>
      <c r="G3840" t="s">
        <v>3450</v>
      </c>
      <c r="H3840" s="9">
        <v>44733</v>
      </c>
      <c r="I3840" t="s">
        <v>408</v>
      </c>
      <c r="J3840" t="s">
        <v>5330</v>
      </c>
      <c r="K3840" s="9">
        <v>44834</v>
      </c>
      <c r="L3840" t="s">
        <v>29</v>
      </c>
      <c r="M3840"/>
      <c r="N3840" s="9">
        <v>44778</v>
      </c>
      <c r="O3840" s="9">
        <v>44834</v>
      </c>
      <c r="P3840"/>
      <c r="Q3840"/>
      <c r="R3840"/>
      <c r="S3840"/>
      <c r="T3840"/>
      <c r="U3840"/>
    </row>
    <row r="3841" spans="1:21" hidden="1">
      <c r="A3841" s="7" t="s">
        <v>8916</v>
      </c>
      <c r="B3841" s="7" t="s">
        <v>6766</v>
      </c>
      <c r="C3841" s="8" t="s">
        <v>5319</v>
      </c>
      <c r="D3841" t="s">
        <v>266</v>
      </c>
      <c r="E3841" t="s">
        <v>3257</v>
      </c>
      <c r="F3841" t="s">
        <v>117</v>
      </c>
      <c r="G3841" t="s">
        <v>3451</v>
      </c>
      <c r="H3841" s="9">
        <v>44733</v>
      </c>
      <c r="I3841" t="s">
        <v>408</v>
      </c>
      <c r="J3841" t="s">
        <v>5330</v>
      </c>
      <c r="K3841" s="9">
        <v>44834</v>
      </c>
      <c r="L3841" t="s">
        <v>29</v>
      </c>
      <c r="M3841"/>
      <c r="N3841" s="9">
        <v>44778</v>
      </c>
      <c r="O3841" s="9">
        <v>44834</v>
      </c>
      <c r="P3841"/>
      <c r="Q3841"/>
      <c r="R3841"/>
      <c r="S3841"/>
      <c r="T3841"/>
      <c r="U3841"/>
    </row>
    <row r="3842" spans="1:21" hidden="1">
      <c r="A3842" s="7" t="s">
        <v>8798</v>
      </c>
      <c r="B3842" s="7" t="s">
        <v>7439</v>
      </c>
      <c r="C3842" s="8" t="s">
        <v>5319</v>
      </c>
      <c r="D3842" t="s">
        <v>266</v>
      </c>
      <c r="E3842" t="s">
        <v>1001</v>
      </c>
      <c r="F3842" t="s">
        <v>117</v>
      </c>
      <c r="G3842" t="s">
        <v>3452</v>
      </c>
      <c r="H3842" s="9">
        <v>44733</v>
      </c>
      <c r="I3842" t="s">
        <v>882</v>
      </c>
      <c r="J3842" t="s">
        <v>5330</v>
      </c>
      <c r="K3842" s="9">
        <v>44834</v>
      </c>
      <c r="L3842" t="s">
        <v>29</v>
      </c>
      <c r="M3842"/>
      <c r="N3842" s="9">
        <v>44778</v>
      </c>
      <c r="O3842" s="9">
        <v>44834</v>
      </c>
      <c r="P3842"/>
      <c r="Q3842"/>
      <c r="R3842"/>
      <c r="S3842"/>
      <c r="T3842"/>
      <c r="U3842"/>
    </row>
    <row r="3843" spans="1:21" hidden="1">
      <c r="A3843" s="7" t="s">
        <v>8798</v>
      </c>
      <c r="B3843" s="7" t="s">
        <v>7439</v>
      </c>
      <c r="C3843" s="8" t="s">
        <v>5319</v>
      </c>
      <c r="D3843" t="s">
        <v>266</v>
      </c>
      <c r="E3843" t="s">
        <v>1001</v>
      </c>
      <c r="F3843" t="s">
        <v>117</v>
      </c>
      <c r="G3843" t="s">
        <v>3453</v>
      </c>
      <c r="H3843" s="9">
        <v>44733</v>
      </c>
      <c r="I3843" t="s">
        <v>882</v>
      </c>
      <c r="J3843" t="s">
        <v>5330</v>
      </c>
      <c r="K3843" s="9">
        <v>44834</v>
      </c>
      <c r="L3843" t="s">
        <v>29</v>
      </c>
      <c r="M3843"/>
      <c r="N3843" s="9">
        <v>44778</v>
      </c>
      <c r="O3843" s="9">
        <v>44834</v>
      </c>
      <c r="P3843"/>
      <c r="Q3843"/>
      <c r="R3843"/>
      <c r="S3843"/>
      <c r="T3843"/>
      <c r="U3843"/>
    </row>
    <row r="3844" spans="1:21" hidden="1">
      <c r="A3844" s="7" t="s">
        <v>8798</v>
      </c>
      <c r="B3844" s="7" t="s">
        <v>7439</v>
      </c>
      <c r="C3844" s="8" t="s">
        <v>5319</v>
      </c>
      <c r="D3844" t="s">
        <v>266</v>
      </c>
      <c r="E3844" t="s">
        <v>1001</v>
      </c>
      <c r="F3844" t="s">
        <v>117</v>
      </c>
      <c r="G3844" t="s">
        <v>3454</v>
      </c>
      <c r="H3844" s="9">
        <v>44733</v>
      </c>
      <c r="I3844" t="s">
        <v>882</v>
      </c>
      <c r="J3844" t="s">
        <v>5330</v>
      </c>
      <c r="K3844" s="9">
        <v>44834</v>
      </c>
      <c r="L3844" t="s">
        <v>29</v>
      </c>
      <c r="M3844"/>
      <c r="N3844" s="9">
        <v>44778</v>
      </c>
      <c r="O3844" s="9">
        <v>44834</v>
      </c>
      <c r="P3844"/>
      <c r="Q3844"/>
      <c r="R3844"/>
      <c r="S3844"/>
      <c r="T3844"/>
      <c r="U3844"/>
    </row>
    <row r="3845" spans="1:21" hidden="1">
      <c r="A3845" s="7" t="s">
        <v>8798</v>
      </c>
      <c r="B3845" s="7" t="s">
        <v>7439</v>
      </c>
      <c r="C3845" s="8" t="s">
        <v>5319</v>
      </c>
      <c r="D3845" t="s">
        <v>266</v>
      </c>
      <c r="E3845" t="s">
        <v>1001</v>
      </c>
      <c r="F3845" t="s">
        <v>117</v>
      </c>
      <c r="G3845" t="s">
        <v>3455</v>
      </c>
      <c r="H3845" s="9">
        <v>44733</v>
      </c>
      <c r="I3845" t="s">
        <v>882</v>
      </c>
      <c r="J3845" t="s">
        <v>5330</v>
      </c>
      <c r="K3845" s="9">
        <v>44834</v>
      </c>
      <c r="L3845" t="s">
        <v>29</v>
      </c>
      <c r="M3845"/>
      <c r="N3845" s="9">
        <v>44778</v>
      </c>
      <c r="O3845" s="9">
        <v>44834</v>
      </c>
      <c r="P3845"/>
      <c r="Q3845"/>
      <c r="R3845"/>
      <c r="S3845"/>
      <c r="T3845"/>
      <c r="U3845"/>
    </row>
    <row r="3846" spans="1:21" hidden="1">
      <c r="A3846" s="7" t="s">
        <v>8867</v>
      </c>
      <c r="B3846" s="7" t="s">
        <v>7140</v>
      </c>
      <c r="C3846" s="8" t="s">
        <v>5319</v>
      </c>
      <c r="D3846" t="s">
        <v>266</v>
      </c>
      <c r="E3846" t="s">
        <v>2360</v>
      </c>
      <c r="F3846" t="s">
        <v>231</v>
      </c>
      <c r="G3846" t="s">
        <v>3456</v>
      </c>
      <c r="H3846" s="9">
        <v>44733</v>
      </c>
      <c r="I3846" t="s">
        <v>2362</v>
      </c>
      <c r="J3846" t="s">
        <v>5330</v>
      </c>
      <c r="K3846" s="9">
        <v>44834</v>
      </c>
      <c r="L3846" t="s">
        <v>29</v>
      </c>
      <c r="M3846"/>
      <c r="N3846" s="9">
        <v>44778</v>
      </c>
      <c r="O3846" s="9">
        <v>44834</v>
      </c>
      <c r="P3846"/>
      <c r="Q3846"/>
      <c r="R3846"/>
      <c r="S3846"/>
      <c r="T3846"/>
      <c r="U3846"/>
    </row>
    <row r="3847" spans="1:21" hidden="1">
      <c r="A3847" s="7" t="s">
        <v>8867</v>
      </c>
      <c r="B3847" s="7" t="s">
        <v>7140</v>
      </c>
      <c r="C3847" s="8" t="s">
        <v>5319</v>
      </c>
      <c r="D3847" t="s">
        <v>266</v>
      </c>
      <c r="E3847" t="s">
        <v>2360</v>
      </c>
      <c r="F3847" t="s">
        <v>231</v>
      </c>
      <c r="G3847" t="s">
        <v>3457</v>
      </c>
      <c r="H3847" s="9">
        <v>44733</v>
      </c>
      <c r="I3847" t="s">
        <v>2362</v>
      </c>
      <c r="J3847" t="s">
        <v>5330</v>
      </c>
      <c r="K3847" s="9">
        <v>44834</v>
      </c>
      <c r="L3847" t="s">
        <v>29</v>
      </c>
      <c r="M3847"/>
      <c r="N3847" s="9">
        <v>44778</v>
      </c>
      <c r="O3847" s="9">
        <v>44834</v>
      </c>
      <c r="P3847"/>
      <c r="Q3847"/>
      <c r="R3847"/>
      <c r="S3847"/>
      <c r="T3847"/>
      <c r="U3847"/>
    </row>
    <row r="3848" spans="1:21" hidden="1">
      <c r="A3848" s="7" t="s">
        <v>8867</v>
      </c>
      <c r="B3848" s="7" t="s">
        <v>7140</v>
      </c>
      <c r="C3848" s="8" t="s">
        <v>5319</v>
      </c>
      <c r="D3848" t="s">
        <v>266</v>
      </c>
      <c r="E3848" t="s">
        <v>2360</v>
      </c>
      <c r="F3848" t="s">
        <v>231</v>
      </c>
      <c r="G3848" t="s">
        <v>3458</v>
      </c>
      <c r="H3848" s="9">
        <v>44733</v>
      </c>
      <c r="I3848" t="s">
        <v>2362</v>
      </c>
      <c r="J3848" t="s">
        <v>5330</v>
      </c>
      <c r="K3848" s="9">
        <v>44834</v>
      </c>
      <c r="L3848" t="s">
        <v>29</v>
      </c>
      <c r="M3848"/>
      <c r="N3848" s="9">
        <v>44778</v>
      </c>
      <c r="O3848" s="9">
        <v>44834</v>
      </c>
      <c r="P3848"/>
      <c r="Q3848"/>
      <c r="R3848"/>
      <c r="S3848"/>
      <c r="T3848"/>
      <c r="U3848"/>
    </row>
    <row r="3849" spans="1:21" hidden="1">
      <c r="A3849" s="7" t="s">
        <v>8924</v>
      </c>
      <c r="B3849" s="7" t="s">
        <v>7902</v>
      </c>
      <c r="C3849" s="8" t="s">
        <v>5319</v>
      </c>
      <c r="D3849" t="s">
        <v>266</v>
      </c>
      <c r="E3849" t="s">
        <v>3372</v>
      </c>
      <c r="F3849" t="s">
        <v>117</v>
      </c>
      <c r="G3849" t="s">
        <v>3459</v>
      </c>
      <c r="H3849" s="9">
        <v>44733</v>
      </c>
      <c r="I3849" t="s">
        <v>408</v>
      </c>
      <c r="J3849" t="s">
        <v>5330</v>
      </c>
      <c r="K3849" s="9">
        <v>44834</v>
      </c>
      <c r="L3849" t="s">
        <v>29</v>
      </c>
      <c r="M3849"/>
      <c r="N3849" s="9">
        <v>44778</v>
      </c>
      <c r="O3849" s="9">
        <v>44834</v>
      </c>
      <c r="P3849"/>
      <c r="Q3849"/>
      <c r="R3849"/>
      <c r="S3849"/>
      <c r="T3849"/>
      <c r="U3849"/>
    </row>
    <row r="3850" spans="1:21" hidden="1">
      <c r="A3850" s="7" t="s">
        <v>8924</v>
      </c>
      <c r="B3850" s="7" t="s">
        <v>7902</v>
      </c>
      <c r="C3850" s="8" t="s">
        <v>5319</v>
      </c>
      <c r="D3850" t="s">
        <v>266</v>
      </c>
      <c r="E3850" t="s">
        <v>3372</v>
      </c>
      <c r="F3850" t="s">
        <v>117</v>
      </c>
      <c r="G3850" t="s">
        <v>3460</v>
      </c>
      <c r="H3850" s="9">
        <v>44733</v>
      </c>
      <c r="I3850" t="s">
        <v>408</v>
      </c>
      <c r="J3850" t="s">
        <v>5330</v>
      </c>
      <c r="K3850" s="9">
        <v>44834</v>
      </c>
      <c r="L3850" t="s">
        <v>29</v>
      </c>
      <c r="M3850"/>
      <c r="N3850" s="9">
        <v>44778</v>
      </c>
      <c r="O3850" s="9">
        <v>44834</v>
      </c>
      <c r="P3850"/>
      <c r="Q3850"/>
      <c r="R3850"/>
      <c r="S3850"/>
      <c r="T3850"/>
      <c r="U3850"/>
    </row>
    <row r="3851" spans="1:21" hidden="1">
      <c r="A3851" s="7" t="s">
        <v>8754</v>
      </c>
      <c r="B3851" s="7" t="s">
        <v>8066</v>
      </c>
      <c r="C3851" s="8" t="s">
        <v>5319</v>
      </c>
      <c r="D3851" t="s">
        <v>266</v>
      </c>
      <c r="E3851" t="s">
        <v>472</v>
      </c>
      <c r="F3851" t="s">
        <v>117</v>
      </c>
      <c r="G3851" t="s">
        <v>3461</v>
      </c>
      <c r="H3851" s="9">
        <v>44733</v>
      </c>
      <c r="I3851" t="s">
        <v>171</v>
      </c>
      <c r="J3851" t="s">
        <v>0</v>
      </c>
      <c r="K3851" s="9">
        <v>44860</v>
      </c>
      <c r="L3851" t="s">
        <v>29</v>
      </c>
      <c r="M3851"/>
      <c r="N3851" s="9">
        <v>44778</v>
      </c>
      <c r="O3851" s="9">
        <v>44834</v>
      </c>
      <c r="P3851"/>
      <c r="Q3851" s="9">
        <v>44860</v>
      </c>
      <c r="R3851"/>
      <c r="S3851"/>
      <c r="T3851"/>
      <c r="U3851"/>
    </row>
    <row r="3852" spans="1:21" hidden="1">
      <c r="A3852" s="7" t="s">
        <v>8754</v>
      </c>
      <c r="B3852" s="7" t="s">
        <v>8066</v>
      </c>
      <c r="C3852" s="8" t="s">
        <v>5319</v>
      </c>
      <c r="D3852" t="s">
        <v>266</v>
      </c>
      <c r="E3852" t="s">
        <v>472</v>
      </c>
      <c r="F3852" t="s">
        <v>117</v>
      </c>
      <c r="G3852" t="s">
        <v>3462</v>
      </c>
      <c r="H3852" s="9">
        <v>44733</v>
      </c>
      <c r="I3852" t="s">
        <v>171</v>
      </c>
      <c r="J3852" t="s">
        <v>0</v>
      </c>
      <c r="K3852" s="9">
        <v>44860</v>
      </c>
      <c r="L3852" t="s">
        <v>29</v>
      </c>
      <c r="M3852"/>
      <c r="N3852" s="9">
        <v>44778</v>
      </c>
      <c r="O3852" s="9">
        <v>44834</v>
      </c>
      <c r="P3852"/>
      <c r="Q3852" s="9">
        <v>44860</v>
      </c>
      <c r="R3852"/>
      <c r="S3852"/>
      <c r="T3852"/>
      <c r="U3852"/>
    </row>
    <row r="3853" spans="1:21" hidden="1">
      <c r="A3853" s="7" t="s">
        <v>8754</v>
      </c>
      <c r="B3853" s="7" t="s">
        <v>8066</v>
      </c>
      <c r="C3853" s="8" t="s">
        <v>5319</v>
      </c>
      <c r="D3853" t="s">
        <v>266</v>
      </c>
      <c r="E3853" t="s">
        <v>472</v>
      </c>
      <c r="F3853" t="s">
        <v>117</v>
      </c>
      <c r="G3853" t="s">
        <v>3463</v>
      </c>
      <c r="H3853" s="9">
        <v>44733</v>
      </c>
      <c r="I3853" t="s">
        <v>171</v>
      </c>
      <c r="J3853" t="s">
        <v>0</v>
      </c>
      <c r="K3853" s="9">
        <v>44860</v>
      </c>
      <c r="L3853" t="s">
        <v>29</v>
      </c>
      <c r="M3853"/>
      <c r="N3853" s="9">
        <v>44778</v>
      </c>
      <c r="O3853" s="9">
        <v>44834</v>
      </c>
      <c r="P3853"/>
      <c r="Q3853" s="9">
        <v>44860</v>
      </c>
      <c r="R3853"/>
      <c r="S3853"/>
      <c r="T3853"/>
      <c r="U3853"/>
    </row>
    <row r="3854" spans="1:21" hidden="1">
      <c r="A3854" s="7" t="s">
        <v>8754</v>
      </c>
      <c r="B3854" s="7" t="s">
        <v>8066</v>
      </c>
      <c r="C3854" s="8" t="s">
        <v>5319</v>
      </c>
      <c r="D3854" t="s">
        <v>266</v>
      </c>
      <c r="E3854" t="s">
        <v>472</v>
      </c>
      <c r="F3854" t="s">
        <v>117</v>
      </c>
      <c r="G3854" t="s">
        <v>3464</v>
      </c>
      <c r="H3854" s="9">
        <v>44733</v>
      </c>
      <c r="I3854" t="s">
        <v>171</v>
      </c>
      <c r="J3854" t="s">
        <v>0</v>
      </c>
      <c r="K3854" s="9">
        <v>44860</v>
      </c>
      <c r="L3854" t="s">
        <v>29</v>
      </c>
      <c r="M3854"/>
      <c r="N3854" s="9">
        <v>44778</v>
      </c>
      <c r="O3854" s="9">
        <v>44834</v>
      </c>
      <c r="P3854"/>
      <c r="Q3854" s="9">
        <v>44860</v>
      </c>
      <c r="R3854"/>
      <c r="S3854"/>
      <c r="T3854"/>
      <c r="U3854"/>
    </row>
    <row r="3855" spans="1:21" hidden="1">
      <c r="A3855" s="7" t="s">
        <v>8867</v>
      </c>
      <c r="B3855" s="7" t="s">
        <v>7140</v>
      </c>
      <c r="C3855" s="8" t="s">
        <v>5319</v>
      </c>
      <c r="D3855" t="s">
        <v>266</v>
      </c>
      <c r="E3855" t="s">
        <v>2360</v>
      </c>
      <c r="F3855" t="s">
        <v>231</v>
      </c>
      <c r="G3855" t="s">
        <v>3465</v>
      </c>
      <c r="H3855" s="9">
        <v>44733</v>
      </c>
      <c r="I3855" t="s">
        <v>2362</v>
      </c>
      <c r="J3855" t="s">
        <v>5330</v>
      </c>
      <c r="K3855" s="9">
        <v>44834</v>
      </c>
      <c r="L3855" t="s">
        <v>29</v>
      </c>
      <c r="M3855"/>
      <c r="N3855" s="9">
        <v>44778</v>
      </c>
      <c r="O3855" s="9">
        <v>44834</v>
      </c>
      <c r="P3855"/>
      <c r="Q3855"/>
      <c r="R3855"/>
      <c r="S3855"/>
      <c r="T3855"/>
      <c r="U3855"/>
    </row>
    <row r="3856" spans="1:21" hidden="1">
      <c r="A3856" s="7" t="s">
        <v>8867</v>
      </c>
      <c r="B3856" s="7" t="s">
        <v>7140</v>
      </c>
      <c r="C3856" s="8" t="s">
        <v>5319</v>
      </c>
      <c r="D3856" t="s">
        <v>266</v>
      </c>
      <c r="E3856" t="s">
        <v>2360</v>
      </c>
      <c r="F3856" t="s">
        <v>231</v>
      </c>
      <c r="G3856" t="s">
        <v>3466</v>
      </c>
      <c r="H3856" s="9">
        <v>44733</v>
      </c>
      <c r="I3856" t="s">
        <v>2362</v>
      </c>
      <c r="J3856" t="s">
        <v>5330</v>
      </c>
      <c r="K3856" s="9">
        <v>44834</v>
      </c>
      <c r="L3856" t="s">
        <v>29</v>
      </c>
      <c r="M3856"/>
      <c r="N3856" s="9">
        <v>44778</v>
      </c>
      <c r="O3856" s="9">
        <v>44834</v>
      </c>
      <c r="P3856"/>
      <c r="Q3856"/>
      <c r="R3856"/>
      <c r="S3856"/>
      <c r="T3856"/>
      <c r="U3856"/>
    </row>
    <row r="3857" spans="1:21" hidden="1">
      <c r="A3857" s="7" t="s">
        <v>8867</v>
      </c>
      <c r="B3857" s="7" t="s">
        <v>7140</v>
      </c>
      <c r="C3857" s="8" t="s">
        <v>5319</v>
      </c>
      <c r="D3857" t="s">
        <v>266</v>
      </c>
      <c r="E3857" t="s">
        <v>2360</v>
      </c>
      <c r="F3857" t="s">
        <v>231</v>
      </c>
      <c r="G3857" t="s">
        <v>3467</v>
      </c>
      <c r="H3857" s="9">
        <v>44733</v>
      </c>
      <c r="I3857" t="s">
        <v>2362</v>
      </c>
      <c r="J3857" t="s">
        <v>5330</v>
      </c>
      <c r="K3857" s="9">
        <v>44834</v>
      </c>
      <c r="L3857" t="s">
        <v>29</v>
      </c>
      <c r="M3857"/>
      <c r="N3857" s="9">
        <v>44778</v>
      </c>
      <c r="O3857" s="9">
        <v>44834</v>
      </c>
      <c r="P3857"/>
      <c r="Q3857"/>
      <c r="R3857"/>
      <c r="S3857"/>
      <c r="T3857"/>
      <c r="U3857"/>
    </row>
    <row r="3858" spans="1:21" hidden="1">
      <c r="A3858" s="7" t="s">
        <v>8867</v>
      </c>
      <c r="B3858" s="7" t="s">
        <v>7140</v>
      </c>
      <c r="C3858" s="8" t="s">
        <v>5319</v>
      </c>
      <c r="D3858" t="s">
        <v>266</v>
      </c>
      <c r="E3858" t="s">
        <v>2360</v>
      </c>
      <c r="F3858" t="s">
        <v>231</v>
      </c>
      <c r="G3858" t="s">
        <v>3468</v>
      </c>
      <c r="H3858" s="9">
        <v>44733</v>
      </c>
      <c r="I3858" t="s">
        <v>2362</v>
      </c>
      <c r="J3858" t="s">
        <v>5330</v>
      </c>
      <c r="K3858" s="9">
        <v>44834</v>
      </c>
      <c r="L3858" t="s">
        <v>29</v>
      </c>
      <c r="M3858"/>
      <c r="N3858" s="9">
        <v>44778</v>
      </c>
      <c r="O3858" s="9">
        <v>44834</v>
      </c>
      <c r="P3858"/>
      <c r="Q3858"/>
      <c r="R3858"/>
      <c r="S3858"/>
      <c r="T3858"/>
      <c r="U3858"/>
    </row>
    <row r="3859" spans="1:21" hidden="1">
      <c r="A3859" s="7" t="s">
        <v>8867</v>
      </c>
      <c r="B3859" s="7" t="s">
        <v>7140</v>
      </c>
      <c r="C3859" s="8" t="s">
        <v>5319</v>
      </c>
      <c r="D3859" t="s">
        <v>266</v>
      </c>
      <c r="E3859" t="s">
        <v>2360</v>
      </c>
      <c r="F3859" t="s">
        <v>231</v>
      </c>
      <c r="G3859" t="s">
        <v>3469</v>
      </c>
      <c r="H3859" s="9">
        <v>44733</v>
      </c>
      <c r="I3859" t="s">
        <v>2362</v>
      </c>
      <c r="J3859" t="s">
        <v>5330</v>
      </c>
      <c r="K3859" s="9">
        <v>44834</v>
      </c>
      <c r="L3859" t="s">
        <v>29</v>
      </c>
      <c r="M3859"/>
      <c r="N3859" s="9">
        <v>44778</v>
      </c>
      <c r="O3859" s="9">
        <v>44834</v>
      </c>
      <c r="P3859"/>
      <c r="Q3859"/>
      <c r="R3859"/>
      <c r="S3859"/>
      <c r="T3859"/>
      <c r="U3859"/>
    </row>
    <row r="3860" spans="1:21" hidden="1">
      <c r="A3860" s="7" t="s">
        <v>8867</v>
      </c>
      <c r="B3860" s="7" t="s">
        <v>7140</v>
      </c>
      <c r="C3860" s="8" t="s">
        <v>5319</v>
      </c>
      <c r="D3860" t="s">
        <v>266</v>
      </c>
      <c r="E3860" t="s">
        <v>2360</v>
      </c>
      <c r="F3860" t="s">
        <v>231</v>
      </c>
      <c r="G3860" t="s">
        <v>3470</v>
      </c>
      <c r="H3860" s="9">
        <v>44733</v>
      </c>
      <c r="I3860" t="s">
        <v>2362</v>
      </c>
      <c r="J3860" t="s">
        <v>5330</v>
      </c>
      <c r="K3860" s="9">
        <v>44834</v>
      </c>
      <c r="L3860" t="s">
        <v>29</v>
      </c>
      <c r="M3860"/>
      <c r="N3860" s="9">
        <v>44778</v>
      </c>
      <c r="O3860" s="9">
        <v>44834</v>
      </c>
      <c r="P3860"/>
      <c r="Q3860"/>
      <c r="R3860"/>
      <c r="S3860"/>
      <c r="T3860"/>
      <c r="U3860"/>
    </row>
    <row r="3861" spans="1:21" hidden="1">
      <c r="A3861" s="7" t="s">
        <v>8867</v>
      </c>
      <c r="B3861" s="7" t="s">
        <v>7140</v>
      </c>
      <c r="C3861" s="8" t="s">
        <v>5319</v>
      </c>
      <c r="D3861" t="s">
        <v>266</v>
      </c>
      <c r="E3861" t="s">
        <v>2360</v>
      </c>
      <c r="F3861" t="s">
        <v>231</v>
      </c>
      <c r="G3861" t="s">
        <v>3471</v>
      </c>
      <c r="H3861" s="9">
        <v>44733</v>
      </c>
      <c r="I3861" t="s">
        <v>2362</v>
      </c>
      <c r="J3861" t="s">
        <v>5330</v>
      </c>
      <c r="K3861" s="9">
        <v>44834</v>
      </c>
      <c r="L3861" t="s">
        <v>29</v>
      </c>
      <c r="M3861"/>
      <c r="N3861" s="9">
        <v>44778</v>
      </c>
      <c r="O3861" s="9">
        <v>44834</v>
      </c>
      <c r="P3861"/>
      <c r="Q3861"/>
      <c r="R3861"/>
      <c r="S3861"/>
      <c r="T3861"/>
      <c r="U3861"/>
    </row>
    <row r="3862" spans="1:21" hidden="1">
      <c r="A3862" s="7" t="s">
        <v>8867</v>
      </c>
      <c r="B3862" s="7" t="s">
        <v>7140</v>
      </c>
      <c r="C3862" s="8" t="s">
        <v>5319</v>
      </c>
      <c r="D3862" t="s">
        <v>266</v>
      </c>
      <c r="E3862" t="s">
        <v>2360</v>
      </c>
      <c r="F3862" t="s">
        <v>231</v>
      </c>
      <c r="G3862" t="s">
        <v>3472</v>
      </c>
      <c r="H3862" s="9">
        <v>44733</v>
      </c>
      <c r="I3862" t="s">
        <v>2362</v>
      </c>
      <c r="J3862" t="s">
        <v>5330</v>
      </c>
      <c r="K3862" s="9">
        <v>44834</v>
      </c>
      <c r="L3862" t="s">
        <v>29</v>
      </c>
      <c r="M3862"/>
      <c r="N3862" s="9">
        <v>44778</v>
      </c>
      <c r="O3862" s="9">
        <v>44834</v>
      </c>
      <c r="P3862"/>
      <c r="Q3862"/>
      <c r="R3862"/>
      <c r="S3862"/>
      <c r="T3862"/>
      <c r="U3862"/>
    </row>
    <row r="3863" spans="1:21" hidden="1">
      <c r="A3863" s="7" t="s">
        <v>8867</v>
      </c>
      <c r="B3863" s="7" t="s">
        <v>7140</v>
      </c>
      <c r="C3863" s="8" t="s">
        <v>5319</v>
      </c>
      <c r="D3863" t="s">
        <v>266</v>
      </c>
      <c r="E3863" t="s">
        <v>2360</v>
      </c>
      <c r="F3863" t="s">
        <v>231</v>
      </c>
      <c r="G3863" t="s">
        <v>3473</v>
      </c>
      <c r="H3863" s="9">
        <v>44733</v>
      </c>
      <c r="I3863" t="s">
        <v>2362</v>
      </c>
      <c r="J3863" t="s">
        <v>5330</v>
      </c>
      <c r="K3863" s="9">
        <v>44834</v>
      </c>
      <c r="L3863" t="s">
        <v>29</v>
      </c>
      <c r="M3863"/>
      <c r="N3863" s="9">
        <v>44778</v>
      </c>
      <c r="O3863" s="9">
        <v>44834</v>
      </c>
      <c r="P3863"/>
      <c r="Q3863"/>
      <c r="R3863"/>
      <c r="S3863"/>
      <c r="T3863"/>
      <c r="U3863"/>
    </row>
    <row r="3864" spans="1:21" hidden="1">
      <c r="A3864" s="7" t="s">
        <v>8873</v>
      </c>
      <c r="B3864" s="7" t="s">
        <v>7140</v>
      </c>
      <c r="C3864" s="8" t="s">
        <v>5319</v>
      </c>
      <c r="D3864" t="s">
        <v>266</v>
      </c>
      <c r="E3864" t="s">
        <v>2360</v>
      </c>
      <c r="F3864" t="s">
        <v>209</v>
      </c>
      <c r="G3864" t="s">
        <v>3473</v>
      </c>
      <c r="H3864" s="9">
        <v>44733</v>
      </c>
      <c r="I3864" t="s">
        <v>2362</v>
      </c>
      <c r="J3864" t="s">
        <v>5330</v>
      </c>
      <c r="K3864" s="9">
        <v>44834</v>
      </c>
      <c r="L3864" t="s">
        <v>29</v>
      </c>
      <c r="M3864"/>
      <c r="N3864" s="9">
        <v>44778</v>
      </c>
      <c r="O3864" s="9">
        <v>44834</v>
      </c>
      <c r="P3864"/>
      <c r="Q3864"/>
      <c r="R3864"/>
      <c r="S3864"/>
      <c r="T3864"/>
      <c r="U3864"/>
    </row>
    <row r="3865" spans="1:21" hidden="1">
      <c r="A3865" s="7" t="s">
        <v>8908</v>
      </c>
      <c r="B3865" s="7" t="s">
        <v>6755</v>
      </c>
      <c r="C3865" s="8" t="s">
        <v>5319</v>
      </c>
      <c r="D3865" t="s">
        <v>266</v>
      </c>
      <c r="E3865" t="s">
        <v>3179</v>
      </c>
      <c r="F3865" t="s">
        <v>117</v>
      </c>
      <c r="G3865" t="s">
        <v>3474</v>
      </c>
      <c r="H3865" s="9">
        <v>44733</v>
      </c>
      <c r="I3865" t="s">
        <v>3102</v>
      </c>
      <c r="J3865" t="s">
        <v>5330</v>
      </c>
      <c r="K3865" s="9">
        <v>44834</v>
      </c>
      <c r="L3865" t="s">
        <v>29</v>
      </c>
      <c r="M3865"/>
      <c r="N3865" s="9">
        <v>44778</v>
      </c>
      <c r="O3865" s="9">
        <v>44834</v>
      </c>
      <c r="P3865"/>
      <c r="Q3865"/>
      <c r="R3865"/>
      <c r="S3865"/>
      <c r="T3865"/>
      <c r="U3865"/>
    </row>
    <row r="3866" spans="1:21" hidden="1">
      <c r="A3866" s="7" t="s">
        <v>8874</v>
      </c>
      <c r="B3866" s="7" t="s">
        <v>7053</v>
      </c>
      <c r="C3866" s="8" t="s">
        <v>5319</v>
      </c>
      <c r="D3866" t="s">
        <v>266</v>
      </c>
      <c r="E3866" t="s">
        <v>2503</v>
      </c>
      <c r="F3866" t="s">
        <v>280</v>
      </c>
      <c r="G3866" t="s">
        <v>3475</v>
      </c>
      <c r="H3866" s="9">
        <v>44733</v>
      </c>
      <c r="I3866" t="s">
        <v>903</v>
      </c>
      <c r="J3866" t="s">
        <v>276</v>
      </c>
      <c r="K3866" s="9">
        <v>44882.647395833301</v>
      </c>
      <c r="L3866" t="s">
        <v>29</v>
      </c>
      <c r="M3866"/>
      <c r="N3866" s="9">
        <v>44778</v>
      </c>
      <c r="O3866" s="9">
        <v>44834</v>
      </c>
      <c r="P3866"/>
      <c r="Q3866"/>
      <c r="R3866" s="9">
        <v>44882.645879629599</v>
      </c>
      <c r="S3866"/>
      <c r="T3866"/>
      <c r="U3866"/>
    </row>
    <row r="3867" spans="1:21" hidden="1">
      <c r="A3867" s="7" t="s">
        <v>8874</v>
      </c>
      <c r="B3867" s="7" t="s">
        <v>7053</v>
      </c>
      <c r="C3867" s="8" t="s">
        <v>5319</v>
      </c>
      <c r="D3867" t="s">
        <v>266</v>
      </c>
      <c r="E3867" t="s">
        <v>2503</v>
      </c>
      <c r="F3867" t="s">
        <v>280</v>
      </c>
      <c r="G3867" t="s">
        <v>3476</v>
      </c>
      <c r="H3867" s="9">
        <v>44733</v>
      </c>
      <c r="I3867" t="s">
        <v>903</v>
      </c>
      <c r="J3867" t="s">
        <v>276</v>
      </c>
      <c r="K3867" s="9">
        <v>44882.647395833301</v>
      </c>
      <c r="L3867" t="s">
        <v>29</v>
      </c>
      <c r="M3867"/>
      <c r="N3867" s="9">
        <v>44778</v>
      </c>
      <c r="O3867" s="9">
        <v>44834</v>
      </c>
      <c r="P3867"/>
      <c r="Q3867"/>
      <c r="R3867" s="9">
        <v>44882.645879629599</v>
      </c>
      <c r="S3867"/>
      <c r="T3867"/>
      <c r="U3867"/>
    </row>
    <row r="3868" spans="1:21" hidden="1">
      <c r="A3868" s="7" t="s">
        <v>8874</v>
      </c>
      <c r="B3868" s="7" t="s">
        <v>7053</v>
      </c>
      <c r="C3868" s="8" t="s">
        <v>5319</v>
      </c>
      <c r="D3868" t="s">
        <v>266</v>
      </c>
      <c r="E3868" t="s">
        <v>2503</v>
      </c>
      <c r="F3868" t="s">
        <v>280</v>
      </c>
      <c r="G3868" t="s">
        <v>3477</v>
      </c>
      <c r="H3868" s="9">
        <v>44733</v>
      </c>
      <c r="I3868" t="s">
        <v>903</v>
      </c>
      <c r="J3868" t="s">
        <v>276</v>
      </c>
      <c r="K3868" s="9">
        <v>44882.647395833301</v>
      </c>
      <c r="L3868" t="s">
        <v>29</v>
      </c>
      <c r="M3868"/>
      <c r="N3868" s="9">
        <v>44778</v>
      </c>
      <c r="O3868" s="9">
        <v>44834</v>
      </c>
      <c r="P3868"/>
      <c r="Q3868"/>
      <c r="R3868" s="9">
        <v>44882.645879629599</v>
      </c>
      <c r="S3868"/>
      <c r="T3868"/>
      <c r="U3868"/>
    </row>
    <row r="3869" spans="1:21" hidden="1">
      <c r="A3869" s="7" t="s">
        <v>8874</v>
      </c>
      <c r="B3869" s="7" t="s">
        <v>7053</v>
      </c>
      <c r="C3869" s="8" t="s">
        <v>5319</v>
      </c>
      <c r="D3869" t="s">
        <v>266</v>
      </c>
      <c r="E3869" t="s">
        <v>2503</v>
      </c>
      <c r="F3869" t="s">
        <v>280</v>
      </c>
      <c r="G3869" t="s">
        <v>3478</v>
      </c>
      <c r="H3869" s="9">
        <v>44733</v>
      </c>
      <c r="I3869" t="s">
        <v>903</v>
      </c>
      <c r="J3869" t="s">
        <v>276</v>
      </c>
      <c r="K3869" s="9">
        <v>44882.647395833301</v>
      </c>
      <c r="L3869" t="s">
        <v>29</v>
      </c>
      <c r="M3869"/>
      <c r="N3869" s="9">
        <v>44778</v>
      </c>
      <c r="O3869" s="9">
        <v>44834</v>
      </c>
      <c r="P3869"/>
      <c r="Q3869"/>
      <c r="R3869" s="9">
        <v>44882.645879629599</v>
      </c>
      <c r="S3869"/>
      <c r="T3869"/>
      <c r="U3869"/>
    </row>
    <row r="3870" spans="1:21" hidden="1">
      <c r="A3870" s="7" t="s">
        <v>8874</v>
      </c>
      <c r="B3870" s="7" t="s">
        <v>7053</v>
      </c>
      <c r="C3870" s="8" t="s">
        <v>5319</v>
      </c>
      <c r="D3870" t="s">
        <v>266</v>
      </c>
      <c r="E3870" t="s">
        <v>2503</v>
      </c>
      <c r="F3870" t="s">
        <v>280</v>
      </c>
      <c r="G3870" t="s">
        <v>3479</v>
      </c>
      <c r="H3870" s="9">
        <v>44733</v>
      </c>
      <c r="I3870" t="s">
        <v>903</v>
      </c>
      <c r="J3870" t="s">
        <v>276</v>
      </c>
      <c r="K3870" s="9">
        <v>44882.647395833301</v>
      </c>
      <c r="L3870" t="s">
        <v>29</v>
      </c>
      <c r="M3870"/>
      <c r="N3870" s="9">
        <v>44778</v>
      </c>
      <c r="O3870" s="9">
        <v>44834</v>
      </c>
      <c r="P3870"/>
      <c r="Q3870"/>
      <c r="R3870" s="9">
        <v>44882.645879629599</v>
      </c>
      <c r="S3870"/>
      <c r="T3870"/>
      <c r="U3870"/>
    </row>
    <row r="3871" spans="1:21" hidden="1">
      <c r="A3871" s="7" t="s">
        <v>8874</v>
      </c>
      <c r="B3871" s="7" t="s">
        <v>7053</v>
      </c>
      <c r="C3871" s="8" t="s">
        <v>5319</v>
      </c>
      <c r="D3871" t="s">
        <v>266</v>
      </c>
      <c r="E3871" t="s">
        <v>2503</v>
      </c>
      <c r="F3871" t="s">
        <v>280</v>
      </c>
      <c r="G3871" t="s">
        <v>3480</v>
      </c>
      <c r="H3871" s="9">
        <v>44733</v>
      </c>
      <c r="I3871" t="s">
        <v>903</v>
      </c>
      <c r="J3871" t="s">
        <v>276</v>
      </c>
      <c r="K3871" s="9">
        <v>44882.647395833301</v>
      </c>
      <c r="L3871" t="s">
        <v>29</v>
      </c>
      <c r="M3871"/>
      <c r="N3871" s="9">
        <v>44778</v>
      </c>
      <c r="O3871" s="9">
        <v>44834</v>
      </c>
      <c r="P3871"/>
      <c r="Q3871"/>
      <c r="R3871" s="9">
        <v>44882.645879629599</v>
      </c>
      <c r="S3871"/>
      <c r="T3871"/>
      <c r="U3871"/>
    </row>
    <row r="3872" spans="1:21" hidden="1">
      <c r="A3872" s="7" t="s">
        <v>8874</v>
      </c>
      <c r="B3872" s="7" t="s">
        <v>7053</v>
      </c>
      <c r="C3872" s="8" t="s">
        <v>5319</v>
      </c>
      <c r="D3872" t="s">
        <v>266</v>
      </c>
      <c r="E3872" t="s">
        <v>2503</v>
      </c>
      <c r="F3872" t="s">
        <v>280</v>
      </c>
      <c r="G3872" t="s">
        <v>3481</v>
      </c>
      <c r="H3872" s="9">
        <v>44733</v>
      </c>
      <c r="I3872" t="s">
        <v>903</v>
      </c>
      <c r="J3872" t="s">
        <v>276</v>
      </c>
      <c r="K3872" s="9">
        <v>44882.647395833301</v>
      </c>
      <c r="L3872" t="s">
        <v>29</v>
      </c>
      <c r="M3872"/>
      <c r="N3872" s="9">
        <v>44778</v>
      </c>
      <c r="O3872" s="9">
        <v>44834</v>
      </c>
      <c r="P3872"/>
      <c r="Q3872"/>
      <c r="R3872" s="9">
        <v>44882.645879629599</v>
      </c>
      <c r="S3872"/>
      <c r="T3872"/>
      <c r="U3872"/>
    </row>
    <row r="3873" spans="1:21" hidden="1">
      <c r="A3873" s="7" t="s">
        <v>8781</v>
      </c>
      <c r="B3873" s="7" t="s">
        <v>8313</v>
      </c>
      <c r="C3873" s="8" t="s">
        <v>5319</v>
      </c>
      <c r="D3873" t="s">
        <v>266</v>
      </c>
      <c r="E3873" t="s">
        <v>880</v>
      </c>
      <c r="F3873" t="s">
        <v>231</v>
      </c>
      <c r="G3873" t="s">
        <v>3482</v>
      </c>
      <c r="H3873" s="9">
        <v>44733</v>
      </c>
      <c r="I3873" t="s">
        <v>882</v>
      </c>
      <c r="J3873" t="s">
        <v>276</v>
      </c>
      <c r="K3873" s="9">
        <v>44881.653749999998</v>
      </c>
      <c r="L3873" t="s">
        <v>29</v>
      </c>
      <c r="M3873"/>
      <c r="N3873" s="9">
        <v>44778</v>
      </c>
      <c r="O3873" s="9">
        <v>44834</v>
      </c>
      <c r="P3873"/>
      <c r="Q3873"/>
      <c r="R3873" s="9">
        <v>44881.650972222204</v>
      </c>
      <c r="S3873"/>
      <c r="T3873"/>
      <c r="U3873"/>
    </row>
    <row r="3874" spans="1:21" hidden="1">
      <c r="A3874" s="7" t="s">
        <v>8781</v>
      </c>
      <c r="B3874" s="7" t="s">
        <v>8313</v>
      </c>
      <c r="C3874" s="8" t="s">
        <v>5319</v>
      </c>
      <c r="D3874" t="s">
        <v>266</v>
      </c>
      <c r="E3874" t="s">
        <v>880</v>
      </c>
      <c r="F3874" t="s">
        <v>231</v>
      </c>
      <c r="G3874" t="s">
        <v>3483</v>
      </c>
      <c r="H3874" s="9">
        <v>44733</v>
      </c>
      <c r="I3874" t="s">
        <v>882</v>
      </c>
      <c r="J3874" t="s">
        <v>276</v>
      </c>
      <c r="K3874" s="9">
        <v>44881.653749999998</v>
      </c>
      <c r="L3874" t="s">
        <v>29</v>
      </c>
      <c r="M3874"/>
      <c r="N3874" s="9">
        <v>44778</v>
      </c>
      <c r="O3874" s="9">
        <v>44834</v>
      </c>
      <c r="P3874"/>
      <c r="Q3874"/>
      <c r="R3874" s="9">
        <v>44881.650972222204</v>
      </c>
      <c r="S3874"/>
      <c r="T3874"/>
      <c r="U3874"/>
    </row>
    <row r="3875" spans="1:21" hidden="1">
      <c r="A3875" s="7" t="s">
        <v>8781</v>
      </c>
      <c r="B3875" s="7" t="s">
        <v>8313</v>
      </c>
      <c r="C3875" s="8" t="s">
        <v>5319</v>
      </c>
      <c r="D3875" t="s">
        <v>266</v>
      </c>
      <c r="E3875" t="s">
        <v>880</v>
      </c>
      <c r="F3875" t="s">
        <v>231</v>
      </c>
      <c r="G3875" t="s">
        <v>3484</v>
      </c>
      <c r="H3875" s="9">
        <v>44733</v>
      </c>
      <c r="I3875" t="s">
        <v>882</v>
      </c>
      <c r="J3875" t="s">
        <v>276</v>
      </c>
      <c r="K3875" s="9">
        <v>44881.653749999998</v>
      </c>
      <c r="L3875" t="s">
        <v>29</v>
      </c>
      <c r="M3875"/>
      <c r="N3875" s="9">
        <v>44778</v>
      </c>
      <c r="O3875" s="9">
        <v>44834</v>
      </c>
      <c r="P3875"/>
      <c r="Q3875"/>
      <c r="R3875" s="9">
        <v>44881.650972222204</v>
      </c>
      <c r="S3875"/>
      <c r="T3875"/>
      <c r="U3875"/>
    </row>
    <row r="3876" spans="1:21" hidden="1">
      <c r="A3876" s="7" t="s">
        <v>8781</v>
      </c>
      <c r="B3876" s="7" t="s">
        <v>8313</v>
      </c>
      <c r="C3876" s="8" t="s">
        <v>5319</v>
      </c>
      <c r="D3876" t="s">
        <v>266</v>
      </c>
      <c r="E3876" t="s">
        <v>880</v>
      </c>
      <c r="F3876" t="s">
        <v>231</v>
      </c>
      <c r="G3876" t="s">
        <v>3485</v>
      </c>
      <c r="H3876" s="9">
        <v>44733</v>
      </c>
      <c r="I3876" t="s">
        <v>882</v>
      </c>
      <c r="J3876" t="s">
        <v>276</v>
      </c>
      <c r="K3876" s="9">
        <v>44881.653749999998</v>
      </c>
      <c r="L3876" t="s">
        <v>29</v>
      </c>
      <c r="M3876"/>
      <c r="N3876" s="9">
        <v>44778</v>
      </c>
      <c r="O3876" s="9">
        <v>44834</v>
      </c>
      <c r="P3876"/>
      <c r="Q3876"/>
      <c r="R3876" s="9">
        <v>44881.650972222204</v>
      </c>
      <c r="S3876"/>
      <c r="T3876"/>
      <c r="U3876"/>
    </row>
    <row r="3877" spans="1:21" hidden="1">
      <c r="A3877" s="7" t="s">
        <v>8924</v>
      </c>
      <c r="B3877" s="7" t="s">
        <v>7902</v>
      </c>
      <c r="C3877" s="8" t="s">
        <v>5319</v>
      </c>
      <c r="D3877" t="s">
        <v>266</v>
      </c>
      <c r="E3877" t="s">
        <v>3372</v>
      </c>
      <c r="F3877" t="s">
        <v>117</v>
      </c>
      <c r="G3877" t="s">
        <v>3486</v>
      </c>
      <c r="H3877" s="9">
        <v>44733</v>
      </c>
      <c r="I3877" t="s">
        <v>408</v>
      </c>
      <c r="J3877" t="s">
        <v>5330</v>
      </c>
      <c r="K3877" s="9">
        <v>44834</v>
      </c>
      <c r="L3877" t="s">
        <v>29</v>
      </c>
      <c r="M3877"/>
      <c r="N3877" s="9">
        <v>44778</v>
      </c>
      <c r="O3877" s="9">
        <v>44834</v>
      </c>
      <c r="P3877"/>
      <c r="Q3877"/>
      <c r="R3877"/>
      <c r="S3877"/>
      <c r="T3877"/>
      <c r="U3877"/>
    </row>
    <row r="3878" spans="1:21" hidden="1">
      <c r="A3878" s="7" t="s">
        <v>8924</v>
      </c>
      <c r="B3878" s="7" t="s">
        <v>7902</v>
      </c>
      <c r="C3878" s="8" t="s">
        <v>5319</v>
      </c>
      <c r="D3878" t="s">
        <v>266</v>
      </c>
      <c r="E3878" t="s">
        <v>3372</v>
      </c>
      <c r="F3878" t="s">
        <v>117</v>
      </c>
      <c r="G3878" t="s">
        <v>3487</v>
      </c>
      <c r="H3878" s="9">
        <v>44733</v>
      </c>
      <c r="I3878" t="s">
        <v>408</v>
      </c>
      <c r="J3878" t="s">
        <v>5330</v>
      </c>
      <c r="K3878" s="9">
        <v>44834</v>
      </c>
      <c r="L3878" t="s">
        <v>29</v>
      </c>
      <c r="M3878"/>
      <c r="N3878" s="9">
        <v>44778</v>
      </c>
      <c r="O3878" s="9">
        <v>44834</v>
      </c>
      <c r="P3878"/>
      <c r="Q3878"/>
      <c r="R3878"/>
      <c r="S3878"/>
      <c r="T3878"/>
      <c r="U3878"/>
    </row>
    <row r="3879" spans="1:21" hidden="1">
      <c r="A3879" s="7" t="s">
        <v>8795</v>
      </c>
      <c r="B3879" s="7" t="s">
        <v>5590</v>
      </c>
      <c r="C3879" s="8" t="s">
        <v>5319</v>
      </c>
      <c r="D3879" t="s">
        <v>266</v>
      </c>
      <c r="E3879" t="s">
        <v>990</v>
      </c>
      <c r="F3879" t="s">
        <v>111</v>
      </c>
      <c r="G3879" t="s">
        <v>3488</v>
      </c>
      <c r="H3879" s="9">
        <v>44733</v>
      </c>
      <c r="I3879" t="s">
        <v>408</v>
      </c>
      <c r="J3879" t="s">
        <v>5330</v>
      </c>
      <c r="K3879" s="9">
        <v>44834</v>
      </c>
      <c r="L3879" t="s">
        <v>29</v>
      </c>
      <c r="M3879"/>
      <c r="N3879" s="9">
        <v>44778</v>
      </c>
      <c r="O3879" s="9">
        <v>44834</v>
      </c>
      <c r="P3879"/>
      <c r="Q3879"/>
      <c r="R3879"/>
      <c r="S3879"/>
      <c r="T3879"/>
      <c r="U3879"/>
    </row>
    <row r="3880" spans="1:21" hidden="1">
      <c r="A3880" s="7" t="s">
        <v>8789</v>
      </c>
      <c r="B3880" s="7" t="s">
        <v>6643</v>
      </c>
      <c r="C3880" s="8" t="s">
        <v>5319</v>
      </c>
      <c r="D3880" t="s">
        <v>266</v>
      </c>
      <c r="E3880" t="s">
        <v>908</v>
      </c>
      <c r="F3880" t="s">
        <v>83</v>
      </c>
      <c r="G3880" t="s">
        <v>3489</v>
      </c>
      <c r="H3880" s="9">
        <v>44733</v>
      </c>
      <c r="I3880" t="s">
        <v>408</v>
      </c>
      <c r="J3880" t="s">
        <v>0</v>
      </c>
      <c r="K3880" s="9">
        <v>44888</v>
      </c>
      <c r="L3880" t="s">
        <v>29</v>
      </c>
      <c r="M3880"/>
      <c r="N3880" s="9">
        <v>44778</v>
      </c>
      <c r="O3880" s="9">
        <v>44834</v>
      </c>
      <c r="P3880"/>
      <c r="Q3880" s="9">
        <v>44888</v>
      </c>
      <c r="R3880"/>
      <c r="S3880"/>
      <c r="T3880"/>
      <c r="U3880"/>
    </row>
    <row r="3881" spans="1:21" hidden="1">
      <c r="A3881" s="7" t="s">
        <v>8795</v>
      </c>
      <c r="B3881" s="7" t="s">
        <v>5590</v>
      </c>
      <c r="C3881" s="8" t="s">
        <v>5319</v>
      </c>
      <c r="D3881" t="s">
        <v>266</v>
      </c>
      <c r="E3881" t="s">
        <v>990</v>
      </c>
      <c r="F3881" t="s">
        <v>111</v>
      </c>
      <c r="G3881" t="s">
        <v>3490</v>
      </c>
      <c r="H3881" s="9">
        <v>44733</v>
      </c>
      <c r="I3881" t="s">
        <v>408</v>
      </c>
      <c r="J3881" t="s">
        <v>5330</v>
      </c>
      <c r="K3881" s="9">
        <v>44834</v>
      </c>
      <c r="L3881" t="s">
        <v>29</v>
      </c>
      <c r="M3881"/>
      <c r="N3881" s="9">
        <v>44778</v>
      </c>
      <c r="O3881" s="9">
        <v>44834</v>
      </c>
      <c r="P3881"/>
      <c r="Q3881"/>
      <c r="R3881"/>
      <c r="S3881"/>
      <c r="T3881"/>
      <c r="U3881"/>
    </row>
    <row r="3882" spans="1:21" hidden="1">
      <c r="A3882" s="7" t="s">
        <v>8781</v>
      </c>
      <c r="B3882" s="7" t="s">
        <v>8313</v>
      </c>
      <c r="C3882" s="8" t="s">
        <v>5319</v>
      </c>
      <c r="D3882" t="s">
        <v>266</v>
      </c>
      <c r="E3882" t="s">
        <v>880</v>
      </c>
      <c r="F3882" t="s">
        <v>231</v>
      </c>
      <c r="G3882" t="s">
        <v>3491</v>
      </c>
      <c r="H3882" s="9">
        <v>44733</v>
      </c>
      <c r="I3882" t="s">
        <v>882</v>
      </c>
      <c r="J3882" t="s">
        <v>276</v>
      </c>
      <c r="K3882" s="9">
        <v>44881.653749999998</v>
      </c>
      <c r="L3882" t="s">
        <v>29</v>
      </c>
      <c r="M3882"/>
      <c r="N3882" s="9">
        <v>44778</v>
      </c>
      <c r="O3882" s="9">
        <v>44834</v>
      </c>
      <c r="P3882"/>
      <c r="Q3882"/>
      <c r="R3882" s="9">
        <v>44881.650972222204</v>
      </c>
      <c r="S3882"/>
      <c r="T3882"/>
      <c r="U3882"/>
    </row>
    <row r="3883" spans="1:21" hidden="1">
      <c r="A3883" s="7" t="s">
        <v>8781</v>
      </c>
      <c r="B3883" s="7" t="s">
        <v>8313</v>
      </c>
      <c r="C3883" s="8" t="s">
        <v>5319</v>
      </c>
      <c r="D3883" t="s">
        <v>266</v>
      </c>
      <c r="E3883" t="s">
        <v>880</v>
      </c>
      <c r="F3883" t="s">
        <v>231</v>
      </c>
      <c r="G3883" t="s">
        <v>3492</v>
      </c>
      <c r="H3883" s="9">
        <v>44733</v>
      </c>
      <c r="I3883" t="s">
        <v>882</v>
      </c>
      <c r="J3883" t="s">
        <v>276</v>
      </c>
      <c r="K3883" s="9">
        <v>44881.653749999998</v>
      </c>
      <c r="L3883" t="s">
        <v>29</v>
      </c>
      <c r="M3883"/>
      <c r="N3883" s="9">
        <v>44778</v>
      </c>
      <c r="O3883" s="9">
        <v>44834</v>
      </c>
      <c r="P3883"/>
      <c r="Q3883"/>
      <c r="R3883" s="9">
        <v>44881.650972222204</v>
      </c>
      <c r="S3883"/>
      <c r="T3883"/>
      <c r="U3883"/>
    </row>
    <row r="3884" spans="1:21" hidden="1">
      <c r="A3884" s="7" t="s">
        <v>8783</v>
      </c>
      <c r="B3884" s="7" t="s">
        <v>5718</v>
      </c>
      <c r="C3884" s="8" t="s">
        <v>5319</v>
      </c>
      <c r="D3884" t="s">
        <v>266</v>
      </c>
      <c r="E3884" t="s">
        <v>887</v>
      </c>
      <c r="F3884" t="s">
        <v>231</v>
      </c>
      <c r="G3884" t="s">
        <v>3493</v>
      </c>
      <c r="H3884" s="9">
        <v>44733</v>
      </c>
      <c r="I3884" t="s">
        <v>882</v>
      </c>
      <c r="J3884" t="s">
        <v>0</v>
      </c>
      <c r="K3884" s="9">
        <v>44855</v>
      </c>
      <c r="L3884" t="s">
        <v>29</v>
      </c>
      <c r="M3884"/>
      <c r="N3884" s="9">
        <v>44778</v>
      </c>
      <c r="O3884" s="9">
        <v>44834</v>
      </c>
      <c r="P3884"/>
      <c r="Q3884" s="9">
        <v>44855</v>
      </c>
      <c r="R3884"/>
      <c r="S3884"/>
      <c r="T3884"/>
      <c r="U3884"/>
    </row>
    <row r="3885" spans="1:21" hidden="1">
      <c r="A3885" s="7" t="s">
        <v>8782</v>
      </c>
      <c r="B3885" s="7" t="s">
        <v>5530</v>
      </c>
      <c r="C3885" s="8" t="s">
        <v>5319</v>
      </c>
      <c r="D3885" t="s">
        <v>266</v>
      </c>
      <c r="E3885" t="s">
        <v>885</v>
      </c>
      <c r="F3885" t="s">
        <v>75</v>
      </c>
      <c r="G3885" t="s">
        <v>3494</v>
      </c>
      <c r="H3885" s="9">
        <v>44733</v>
      </c>
      <c r="I3885" t="s">
        <v>408</v>
      </c>
      <c r="J3885" t="s">
        <v>0</v>
      </c>
      <c r="K3885" s="9">
        <v>44754</v>
      </c>
      <c r="L3885" t="s">
        <v>29</v>
      </c>
      <c r="M3885"/>
      <c r="N3885"/>
      <c r="O3885"/>
      <c r="P3885"/>
      <c r="Q3885" s="9">
        <v>44754</v>
      </c>
      <c r="R3885"/>
      <c r="S3885"/>
      <c r="T3885"/>
      <c r="U3885"/>
    </row>
    <row r="3886" spans="1:21" hidden="1">
      <c r="A3886" s="7" t="s">
        <v>8873</v>
      </c>
      <c r="B3886" s="7" t="s">
        <v>7140</v>
      </c>
      <c r="C3886" s="8" t="s">
        <v>5319</v>
      </c>
      <c r="D3886" t="s">
        <v>266</v>
      </c>
      <c r="E3886" t="s">
        <v>2360</v>
      </c>
      <c r="F3886" t="s">
        <v>209</v>
      </c>
      <c r="G3886" t="s">
        <v>3495</v>
      </c>
      <c r="H3886" s="9">
        <v>44733</v>
      </c>
      <c r="I3886" t="s">
        <v>2362</v>
      </c>
      <c r="J3886" t="s">
        <v>5330</v>
      </c>
      <c r="K3886" s="9">
        <v>44834</v>
      </c>
      <c r="L3886" t="s">
        <v>29</v>
      </c>
      <c r="M3886"/>
      <c r="N3886" s="9">
        <v>44778</v>
      </c>
      <c r="O3886" s="9">
        <v>44834</v>
      </c>
      <c r="P3886"/>
      <c r="Q3886"/>
      <c r="R3886"/>
      <c r="S3886"/>
      <c r="T3886"/>
      <c r="U3886"/>
    </row>
    <row r="3887" spans="1:21" hidden="1">
      <c r="A3887" s="7" t="s">
        <v>8873</v>
      </c>
      <c r="B3887" s="7" t="s">
        <v>7140</v>
      </c>
      <c r="C3887" s="8" t="s">
        <v>5319</v>
      </c>
      <c r="D3887" t="s">
        <v>266</v>
      </c>
      <c r="E3887" t="s">
        <v>2360</v>
      </c>
      <c r="F3887" t="s">
        <v>209</v>
      </c>
      <c r="G3887" t="s">
        <v>3496</v>
      </c>
      <c r="H3887" s="9">
        <v>44733</v>
      </c>
      <c r="I3887" t="s">
        <v>2362</v>
      </c>
      <c r="J3887" t="s">
        <v>5330</v>
      </c>
      <c r="K3887" s="9">
        <v>44834</v>
      </c>
      <c r="L3887" t="s">
        <v>29</v>
      </c>
      <c r="M3887"/>
      <c r="N3887" s="9">
        <v>44778</v>
      </c>
      <c r="O3887" s="9">
        <v>44834</v>
      </c>
      <c r="P3887"/>
      <c r="Q3887"/>
      <c r="R3887"/>
      <c r="S3887"/>
      <c r="T3887"/>
      <c r="U3887"/>
    </row>
    <row r="3888" spans="1:21" hidden="1">
      <c r="A3888" s="7" t="s">
        <v>8873</v>
      </c>
      <c r="B3888" s="7" t="s">
        <v>7140</v>
      </c>
      <c r="C3888" s="8" t="s">
        <v>5319</v>
      </c>
      <c r="D3888" t="s">
        <v>266</v>
      </c>
      <c r="E3888" t="s">
        <v>2360</v>
      </c>
      <c r="F3888" t="s">
        <v>209</v>
      </c>
      <c r="G3888" t="s">
        <v>3497</v>
      </c>
      <c r="H3888" s="9">
        <v>44733</v>
      </c>
      <c r="I3888" t="s">
        <v>2362</v>
      </c>
      <c r="J3888" t="s">
        <v>5330</v>
      </c>
      <c r="K3888" s="9">
        <v>44834</v>
      </c>
      <c r="L3888" t="s">
        <v>29</v>
      </c>
      <c r="M3888"/>
      <c r="N3888" s="9">
        <v>44778</v>
      </c>
      <c r="O3888" s="9">
        <v>44834</v>
      </c>
      <c r="P3888"/>
      <c r="Q3888"/>
      <c r="R3888"/>
      <c r="S3888"/>
      <c r="T3888"/>
      <c r="U3888"/>
    </row>
    <row r="3889" spans="1:21" hidden="1">
      <c r="A3889" s="7" t="s">
        <v>8873</v>
      </c>
      <c r="B3889" s="7" t="s">
        <v>7140</v>
      </c>
      <c r="C3889" s="8" t="s">
        <v>5319</v>
      </c>
      <c r="D3889" t="s">
        <v>266</v>
      </c>
      <c r="E3889" t="s">
        <v>2360</v>
      </c>
      <c r="F3889" t="s">
        <v>209</v>
      </c>
      <c r="G3889" t="s">
        <v>3498</v>
      </c>
      <c r="H3889" s="9">
        <v>44733</v>
      </c>
      <c r="I3889" t="s">
        <v>2362</v>
      </c>
      <c r="J3889" t="s">
        <v>5330</v>
      </c>
      <c r="K3889" s="9">
        <v>44834</v>
      </c>
      <c r="L3889" t="s">
        <v>29</v>
      </c>
      <c r="M3889"/>
      <c r="N3889" s="9">
        <v>44778</v>
      </c>
      <c r="O3889" s="9">
        <v>44834</v>
      </c>
      <c r="P3889"/>
      <c r="Q3889"/>
      <c r="R3889"/>
      <c r="S3889"/>
      <c r="T3889"/>
      <c r="U3889"/>
    </row>
    <row r="3890" spans="1:21" hidden="1">
      <c r="A3890" s="7" t="s">
        <v>8867</v>
      </c>
      <c r="B3890" s="7" t="s">
        <v>7140</v>
      </c>
      <c r="C3890" s="8" t="s">
        <v>5319</v>
      </c>
      <c r="D3890" t="s">
        <v>266</v>
      </c>
      <c r="E3890" t="s">
        <v>2360</v>
      </c>
      <c r="F3890" t="s">
        <v>231</v>
      </c>
      <c r="G3890" t="s">
        <v>3499</v>
      </c>
      <c r="H3890" s="9">
        <v>44733</v>
      </c>
      <c r="I3890" t="s">
        <v>2362</v>
      </c>
      <c r="J3890" t="s">
        <v>5330</v>
      </c>
      <c r="K3890" s="9">
        <v>44834</v>
      </c>
      <c r="L3890" t="s">
        <v>29</v>
      </c>
      <c r="M3890"/>
      <c r="N3890" s="9">
        <v>44778</v>
      </c>
      <c r="O3890" s="9">
        <v>44834</v>
      </c>
      <c r="P3890"/>
      <c r="Q3890"/>
      <c r="R3890"/>
      <c r="S3890"/>
      <c r="T3890"/>
      <c r="U3890"/>
    </row>
    <row r="3891" spans="1:21" hidden="1">
      <c r="A3891" s="7" t="s">
        <v>8871</v>
      </c>
      <c r="B3891" s="7" t="s">
        <v>8280</v>
      </c>
      <c r="C3891" s="8" t="s">
        <v>5319</v>
      </c>
      <c r="D3891" t="s">
        <v>266</v>
      </c>
      <c r="E3891" t="s">
        <v>2463</v>
      </c>
      <c r="F3891" t="s">
        <v>231</v>
      </c>
      <c r="G3891" t="s">
        <v>3500</v>
      </c>
      <c r="H3891" s="9">
        <v>44733</v>
      </c>
      <c r="I3891" t="s">
        <v>903</v>
      </c>
      <c r="J3891" t="s">
        <v>212</v>
      </c>
      <c r="K3891" s="9">
        <v>44806.4850925926</v>
      </c>
      <c r="L3891" t="s">
        <v>29</v>
      </c>
      <c r="M3891"/>
      <c r="N3891" s="9">
        <v>44778</v>
      </c>
      <c r="O3891"/>
      <c r="P3891"/>
      <c r="Q3891"/>
      <c r="R3891" s="9">
        <v>44806.484525462998</v>
      </c>
      <c r="S3891"/>
      <c r="T3891"/>
      <c r="U3891"/>
    </row>
    <row r="3892" spans="1:21" hidden="1">
      <c r="A3892" s="7" t="s">
        <v>8825</v>
      </c>
      <c r="B3892" s="7" t="s">
        <v>5405</v>
      </c>
      <c r="C3892" s="8" t="s">
        <v>5319</v>
      </c>
      <c r="D3892" t="s">
        <v>266</v>
      </c>
      <c r="E3892" t="s">
        <v>25</v>
      </c>
      <c r="F3892" t="s">
        <v>111</v>
      </c>
      <c r="G3892" t="s">
        <v>3501</v>
      </c>
      <c r="H3892" s="9">
        <v>44733</v>
      </c>
      <c r="I3892" t="s">
        <v>8634</v>
      </c>
      <c r="J3892" t="s">
        <v>5330</v>
      </c>
      <c r="K3892" s="9">
        <v>44834</v>
      </c>
      <c r="L3892" t="s">
        <v>29</v>
      </c>
      <c r="M3892"/>
      <c r="N3892" s="9">
        <v>44778</v>
      </c>
      <c r="O3892" s="9">
        <v>44834</v>
      </c>
      <c r="P3892"/>
      <c r="Q3892"/>
      <c r="R3892"/>
      <c r="S3892"/>
      <c r="T3892"/>
      <c r="U3892"/>
    </row>
    <row r="3893" spans="1:21" hidden="1">
      <c r="A3893" s="7" t="s">
        <v>8925</v>
      </c>
      <c r="B3893" s="7" t="s">
        <v>8365</v>
      </c>
      <c r="C3893" s="8" t="s">
        <v>5319</v>
      </c>
      <c r="D3893" t="s">
        <v>266</v>
      </c>
      <c r="E3893" t="s">
        <v>3502</v>
      </c>
      <c r="F3893" t="s">
        <v>117</v>
      </c>
      <c r="G3893" t="s">
        <v>3503</v>
      </c>
      <c r="H3893" s="9">
        <v>44733</v>
      </c>
      <c r="I3893" t="s">
        <v>408</v>
      </c>
      <c r="J3893" t="s">
        <v>0</v>
      </c>
      <c r="K3893" s="9">
        <v>44743</v>
      </c>
      <c r="L3893" t="s">
        <v>29</v>
      </c>
      <c r="M3893"/>
      <c r="N3893"/>
      <c r="O3893"/>
      <c r="P3893"/>
      <c r="Q3893" s="9">
        <v>44743</v>
      </c>
      <c r="R3893"/>
      <c r="S3893"/>
      <c r="T3893"/>
      <c r="U3893"/>
    </row>
    <row r="3894" spans="1:21" hidden="1">
      <c r="A3894" s="7" t="s">
        <v>8756</v>
      </c>
      <c r="B3894" s="7" t="s">
        <v>7672</v>
      </c>
      <c r="C3894" s="8" t="s">
        <v>5319</v>
      </c>
      <c r="D3894" t="s">
        <v>266</v>
      </c>
      <c r="E3894" t="s">
        <v>486</v>
      </c>
      <c r="F3894" t="s">
        <v>117</v>
      </c>
      <c r="G3894" t="s">
        <v>3504</v>
      </c>
      <c r="H3894" s="9">
        <v>44733</v>
      </c>
      <c r="I3894" t="s">
        <v>488</v>
      </c>
      <c r="J3894" t="s">
        <v>0</v>
      </c>
      <c r="K3894" s="9">
        <v>44887</v>
      </c>
      <c r="L3894" t="s">
        <v>29</v>
      </c>
      <c r="M3894"/>
      <c r="N3894" s="9">
        <v>44778</v>
      </c>
      <c r="O3894" s="9">
        <v>44834</v>
      </c>
      <c r="P3894"/>
      <c r="Q3894" s="9">
        <v>44887</v>
      </c>
      <c r="R3894"/>
      <c r="S3894"/>
      <c r="T3894"/>
      <c r="U3894"/>
    </row>
    <row r="3895" spans="1:21" hidden="1">
      <c r="A3895" s="7" t="s">
        <v>8756</v>
      </c>
      <c r="B3895" s="7" t="s">
        <v>7672</v>
      </c>
      <c r="C3895" s="8" t="s">
        <v>5319</v>
      </c>
      <c r="D3895" t="s">
        <v>266</v>
      </c>
      <c r="E3895" t="s">
        <v>486</v>
      </c>
      <c r="F3895" t="s">
        <v>117</v>
      </c>
      <c r="G3895" t="s">
        <v>3505</v>
      </c>
      <c r="H3895" s="9">
        <v>44733</v>
      </c>
      <c r="I3895" t="s">
        <v>488</v>
      </c>
      <c r="J3895" t="s">
        <v>0</v>
      </c>
      <c r="K3895" s="9">
        <v>44887</v>
      </c>
      <c r="L3895" t="s">
        <v>29</v>
      </c>
      <c r="M3895"/>
      <c r="N3895" s="9">
        <v>44778</v>
      </c>
      <c r="O3895" s="9">
        <v>44834</v>
      </c>
      <c r="P3895"/>
      <c r="Q3895" s="9">
        <v>44887</v>
      </c>
      <c r="R3895"/>
      <c r="S3895"/>
      <c r="T3895"/>
      <c r="U3895"/>
    </row>
    <row r="3896" spans="1:21" hidden="1">
      <c r="A3896" s="7" t="s">
        <v>8758</v>
      </c>
      <c r="B3896" s="7" t="s">
        <v>5405</v>
      </c>
      <c r="C3896" s="8" t="s">
        <v>5319</v>
      </c>
      <c r="D3896" t="s">
        <v>266</v>
      </c>
      <c r="E3896" t="s">
        <v>25</v>
      </c>
      <c r="F3896" t="s">
        <v>493</v>
      </c>
      <c r="G3896" t="s">
        <v>3506</v>
      </c>
      <c r="H3896" s="9">
        <v>44733</v>
      </c>
      <c r="I3896" t="s">
        <v>8634</v>
      </c>
      <c r="J3896" t="s">
        <v>5330</v>
      </c>
      <c r="K3896" s="9">
        <v>44834</v>
      </c>
      <c r="L3896" t="s">
        <v>29</v>
      </c>
      <c r="M3896"/>
      <c r="N3896" s="9">
        <v>44778</v>
      </c>
      <c r="O3896" s="9">
        <v>44834</v>
      </c>
      <c r="P3896"/>
      <c r="Q3896"/>
      <c r="R3896"/>
      <c r="S3896"/>
      <c r="T3896"/>
      <c r="U3896"/>
    </row>
    <row r="3897" spans="1:21" hidden="1">
      <c r="A3897" s="7" t="s">
        <v>8758</v>
      </c>
      <c r="B3897" s="7" t="s">
        <v>5405</v>
      </c>
      <c r="C3897" s="8" t="s">
        <v>5319</v>
      </c>
      <c r="D3897" t="s">
        <v>266</v>
      </c>
      <c r="E3897" t="s">
        <v>25</v>
      </c>
      <c r="F3897" t="s">
        <v>493</v>
      </c>
      <c r="G3897" t="s">
        <v>2555</v>
      </c>
      <c r="H3897" s="9">
        <v>44733</v>
      </c>
      <c r="I3897" t="s">
        <v>8634</v>
      </c>
      <c r="J3897" t="s">
        <v>0</v>
      </c>
      <c r="K3897" s="9">
        <v>44862</v>
      </c>
      <c r="L3897" t="s">
        <v>29</v>
      </c>
      <c r="M3897"/>
      <c r="N3897" s="9">
        <v>44778</v>
      </c>
      <c r="O3897"/>
      <c r="P3897"/>
      <c r="Q3897" s="9">
        <v>44862</v>
      </c>
      <c r="R3897"/>
      <c r="S3897"/>
      <c r="T3897"/>
      <c r="U3897"/>
    </row>
    <row r="3898" spans="1:21" hidden="1">
      <c r="A3898" s="7" t="s">
        <v>8758</v>
      </c>
      <c r="B3898" s="7" t="s">
        <v>5405</v>
      </c>
      <c r="C3898" s="8" t="s">
        <v>5319</v>
      </c>
      <c r="D3898" t="s">
        <v>266</v>
      </c>
      <c r="E3898" t="s">
        <v>25</v>
      </c>
      <c r="F3898" t="s">
        <v>493</v>
      </c>
      <c r="G3898" t="s">
        <v>2556</v>
      </c>
      <c r="H3898" s="9">
        <v>44733</v>
      </c>
      <c r="I3898" t="s">
        <v>8634</v>
      </c>
      <c r="J3898" t="s">
        <v>0</v>
      </c>
      <c r="K3898" s="9">
        <v>44862</v>
      </c>
      <c r="L3898" t="s">
        <v>29</v>
      </c>
      <c r="M3898"/>
      <c r="N3898" s="9">
        <v>44778</v>
      </c>
      <c r="O3898"/>
      <c r="P3898"/>
      <c r="Q3898" s="9">
        <v>44862</v>
      </c>
      <c r="R3898"/>
      <c r="S3898"/>
      <c r="T3898"/>
      <c r="U3898"/>
    </row>
    <row r="3899" spans="1:21" hidden="1">
      <c r="A3899" s="7" t="s">
        <v>8758</v>
      </c>
      <c r="B3899" s="7" t="s">
        <v>5405</v>
      </c>
      <c r="C3899" s="8" t="s">
        <v>5319</v>
      </c>
      <c r="D3899" t="s">
        <v>266</v>
      </c>
      <c r="E3899" t="s">
        <v>25</v>
      </c>
      <c r="F3899" t="s">
        <v>493</v>
      </c>
      <c r="G3899" t="s">
        <v>3507</v>
      </c>
      <c r="H3899" s="9">
        <v>44733</v>
      </c>
      <c r="I3899" t="s">
        <v>8634</v>
      </c>
      <c r="J3899" t="s">
        <v>0</v>
      </c>
      <c r="K3899" s="9">
        <v>44862</v>
      </c>
      <c r="L3899" t="s">
        <v>29</v>
      </c>
      <c r="M3899"/>
      <c r="N3899" s="9">
        <v>44778</v>
      </c>
      <c r="O3899"/>
      <c r="P3899"/>
      <c r="Q3899" s="9">
        <v>44862</v>
      </c>
      <c r="R3899"/>
      <c r="S3899"/>
      <c r="T3899"/>
      <c r="U3899"/>
    </row>
    <row r="3900" spans="1:21" hidden="1">
      <c r="A3900" s="7" t="s">
        <v>8758</v>
      </c>
      <c r="B3900" s="7" t="s">
        <v>5405</v>
      </c>
      <c r="C3900" s="8" t="s">
        <v>5319</v>
      </c>
      <c r="D3900" t="s">
        <v>266</v>
      </c>
      <c r="E3900" t="s">
        <v>25</v>
      </c>
      <c r="F3900" t="s">
        <v>493</v>
      </c>
      <c r="G3900" t="s">
        <v>3508</v>
      </c>
      <c r="H3900" s="9">
        <v>44733</v>
      </c>
      <c r="I3900" t="s">
        <v>8634</v>
      </c>
      <c r="J3900" t="s">
        <v>0</v>
      </c>
      <c r="K3900" s="9">
        <v>44862</v>
      </c>
      <c r="L3900" t="s">
        <v>29</v>
      </c>
      <c r="M3900"/>
      <c r="N3900" s="9">
        <v>44778</v>
      </c>
      <c r="O3900"/>
      <c r="P3900"/>
      <c r="Q3900" s="9">
        <v>44862</v>
      </c>
      <c r="R3900"/>
      <c r="S3900"/>
      <c r="T3900"/>
      <c r="U3900"/>
    </row>
    <row r="3901" spans="1:21" hidden="1">
      <c r="A3901" s="7" t="s">
        <v>8758</v>
      </c>
      <c r="B3901" s="7" t="s">
        <v>5405</v>
      </c>
      <c r="C3901" s="8" t="s">
        <v>5319</v>
      </c>
      <c r="D3901" t="s">
        <v>266</v>
      </c>
      <c r="E3901" t="s">
        <v>25</v>
      </c>
      <c r="F3901" t="s">
        <v>493</v>
      </c>
      <c r="G3901" t="s">
        <v>3509</v>
      </c>
      <c r="H3901" s="9">
        <v>44733</v>
      </c>
      <c r="I3901" t="s">
        <v>8634</v>
      </c>
      <c r="J3901" t="s">
        <v>0</v>
      </c>
      <c r="K3901" s="9">
        <v>44862</v>
      </c>
      <c r="L3901" t="s">
        <v>29</v>
      </c>
      <c r="M3901"/>
      <c r="N3901" s="9">
        <v>44778</v>
      </c>
      <c r="O3901"/>
      <c r="P3901"/>
      <c r="Q3901" s="9">
        <v>44862</v>
      </c>
      <c r="R3901"/>
      <c r="S3901"/>
      <c r="T3901"/>
      <c r="U3901"/>
    </row>
    <row r="3902" spans="1:21" hidden="1">
      <c r="A3902" s="7" t="s">
        <v>8758</v>
      </c>
      <c r="B3902" s="7" t="s">
        <v>5405</v>
      </c>
      <c r="C3902" s="8" t="s">
        <v>5319</v>
      </c>
      <c r="D3902" t="s">
        <v>266</v>
      </c>
      <c r="E3902" t="s">
        <v>25</v>
      </c>
      <c r="F3902" t="s">
        <v>493</v>
      </c>
      <c r="G3902" t="s">
        <v>2561</v>
      </c>
      <c r="H3902" s="9">
        <v>44733</v>
      </c>
      <c r="I3902" t="s">
        <v>8634</v>
      </c>
      <c r="J3902" t="s">
        <v>0</v>
      </c>
      <c r="K3902" s="9">
        <v>44862</v>
      </c>
      <c r="L3902" t="s">
        <v>29</v>
      </c>
      <c r="M3902"/>
      <c r="N3902" s="9">
        <v>44778</v>
      </c>
      <c r="O3902"/>
      <c r="P3902"/>
      <c r="Q3902" s="9">
        <v>44862</v>
      </c>
      <c r="R3902"/>
      <c r="S3902"/>
      <c r="T3902"/>
      <c r="U3902"/>
    </row>
    <row r="3903" spans="1:21" hidden="1">
      <c r="A3903" s="7" t="s">
        <v>8758</v>
      </c>
      <c r="B3903" s="7" t="s">
        <v>5405</v>
      </c>
      <c r="C3903" s="8" t="s">
        <v>5319</v>
      </c>
      <c r="D3903" t="s">
        <v>266</v>
      </c>
      <c r="E3903" t="s">
        <v>25</v>
      </c>
      <c r="F3903" t="s">
        <v>493</v>
      </c>
      <c r="G3903" t="s">
        <v>2562</v>
      </c>
      <c r="H3903" s="9">
        <v>44733</v>
      </c>
      <c r="I3903" t="s">
        <v>8634</v>
      </c>
      <c r="J3903" t="s">
        <v>0</v>
      </c>
      <c r="K3903" s="9">
        <v>44862</v>
      </c>
      <c r="L3903" t="s">
        <v>29</v>
      </c>
      <c r="M3903"/>
      <c r="N3903" s="9">
        <v>44778</v>
      </c>
      <c r="O3903"/>
      <c r="P3903"/>
      <c r="Q3903" s="9">
        <v>44862</v>
      </c>
      <c r="R3903"/>
      <c r="S3903"/>
      <c r="T3903"/>
      <c r="U3903"/>
    </row>
    <row r="3904" spans="1:21" hidden="1">
      <c r="A3904" s="7" t="s">
        <v>8758</v>
      </c>
      <c r="B3904" s="7" t="s">
        <v>5405</v>
      </c>
      <c r="C3904" s="8" t="s">
        <v>5319</v>
      </c>
      <c r="D3904" t="s">
        <v>266</v>
      </c>
      <c r="E3904" t="s">
        <v>25</v>
      </c>
      <c r="F3904" t="s">
        <v>493</v>
      </c>
      <c r="G3904" t="s">
        <v>3510</v>
      </c>
      <c r="H3904" s="9">
        <v>44733</v>
      </c>
      <c r="I3904" t="s">
        <v>8634</v>
      </c>
      <c r="J3904" t="s">
        <v>0</v>
      </c>
      <c r="K3904" s="9">
        <v>44862</v>
      </c>
      <c r="L3904" t="s">
        <v>29</v>
      </c>
      <c r="M3904"/>
      <c r="N3904" s="9">
        <v>44778</v>
      </c>
      <c r="O3904"/>
      <c r="P3904"/>
      <c r="Q3904" s="9">
        <v>44862</v>
      </c>
      <c r="R3904"/>
      <c r="S3904"/>
      <c r="T3904"/>
      <c r="U3904"/>
    </row>
    <row r="3905" spans="1:21" hidden="1">
      <c r="A3905" s="7" t="s">
        <v>8758</v>
      </c>
      <c r="B3905" s="7" t="s">
        <v>5405</v>
      </c>
      <c r="C3905" s="8" t="s">
        <v>5319</v>
      </c>
      <c r="D3905" t="s">
        <v>266</v>
      </c>
      <c r="E3905" t="s">
        <v>25</v>
      </c>
      <c r="F3905" t="s">
        <v>493</v>
      </c>
      <c r="G3905" t="s">
        <v>2564</v>
      </c>
      <c r="H3905" s="9">
        <v>44733</v>
      </c>
      <c r="I3905" t="s">
        <v>8634</v>
      </c>
      <c r="J3905" t="s">
        <v>0</v>
      </c>
      <c r="K3905" s="9">
        <v>44862</v>
      </c>
      <c r="L3905" t="s">
        <v>29</v>
      </c>
      <c r="M3905"/>
      <c r="N3905" s="9">
        <v>44778</v>
      </c>
      <c r="O3905"/>
      <c r="P3905"/>
      <c r="Q3905" s="9">
        <v>44862</v>
      </c>
      <c r="R3905"/>
      <c r="S3905"/>
      <c r="T3905"/>
      <c r="U3905"/>
    </row>
    <row r="3906" spans="1:21" hidden="1">
      <c r="A3906" s="7" t="s">
        <v>8926</v>
      </c>
      <c r="B3906" s="7" t="s">
        <v>6802</v>
      </c>
      <c r="C3906" s="8" t="s">
        <v>5319</v>
      </c>
      <c r="D3906" t="s">
        <v>266</v>
      </c>
      <c r="E3906" t="s">
        <v>3511</v>
      </c>
      <c r="F3906" t="s">
        <v>117</v>
      </c>
      <c r="G3906" t="s">
        <v>3512</v>
      </c>
      <c r="H3906" s="9">
        <v>44733</v>
      </c>
      <c r="I3906" t="s">
        <v>2187</v>
      </c>
      <c r="J3906" t="s">
        <v>5330</v>
      </c>
      <c r="K3906" s="9">
        <v>44834</v>
      </c>
      <c r="L3906" t="s">
        <v>29</v>
      </c>
      <c r="M3906"/>
      <c r="N3906" s="9">
        <v>44778</v>
      </c>
      <c r="O3906" s="9">
        <v>44834</v>
      </c>
      <c r="P3906"/>
      <c r="Q3906"/>
      <c r="R3906"/>
      <c r="S3906"/>
      <c r="T3906"/>
      <c r="U3906"/>
    </row>
    <row r="3907" spans="1:21" hidden="1">
      <c r="A3907" s="7" t="s">
        <v>8927</v>
      </c>
      <c r="B3907" s="7" t="s">
        <v>8366</v>
      </c>
      <c r="C3907" s="8" t="s">
        <v>5319</v>
      </c>
      <c r="D3907" t="s">
        <v>266</v>
      </c>
      <c r="E3907" t="s">
        <v>3513</v>
      </c>
      <c r="F3907" t="s">
        <v>117</v>
      </c>
      <c r="G3907" t="s">
        <v>3512</v>
      </c>
      <c r="H3907" s="9">
        <v>44733</v>
      </c>
      <c r="I3907" t="s">
        <v>2187</v>
      </c>
      <c r="J3907" t="s">
        <v>5330</v>
      </c>
      <c r="K3907" s="9">
        <v>44834</v>
      </c>
      <c r="L3907" t="s">
        <v>29</v>
      </c>
      <c r="M3907"/>
      <c r="N3907" s="9">
        <v>44778</v>
      </c>
      <c r="O3907" s="9">
        <v>44834</v>
      </c>
      <c r="P3907"/>
      <c r="Q3907"/>
      <c r="R3907"/>
      <c r="S3907"/>
      <c r="T3907"/>
      <c r="U3907"/>
    </row>
    <row r="3908" spans="1:21" hidden="1">
      <c r="A3908" s="7" t="s">
        <v>8825</v>
      </c>
      <c r="B3908" s="7" t="s">
        <v>5405</v>
      </c>
      <c r="C3908" s="8" t="s">
        <v>5319</v>
      </c>
      <c r="D3908" t="s">
        <v>266</v>
      </c>
      <c r="E3908" t="s">
        <v>25</v>
      </c>
      <c r="F3908" t="s">
        <v>111</v>
      </c>
      <c r="G3908" t="s">
        <v>3514</v>
      </c>
      <c r="H3908" s="9">
        <v>44733</v>
      </c>
      <c r="I3908" t="s">
        <v>8634</v>
      </c>
      <c r="J3908" t="s">
        <v>0</v>
      </c>
      <c r="K3908" s="9">
        <v>44881</v>
      </c>
      <c r="L3908" t="s">
        <v>29</v>
      </c>
      <c r="M3908"/>
      <c r="N3908" s="9">
        <v>44778</v>
      </c>
      <c r="O3908"/>
      <c r="P3908"/>
      <c r="Q3908" s="9">
        <v>44881</v>
      </c>
      <c r="R3908"/>
      <c r="S3908"/>
      <c r="T3908"/>
      <c r="U3908"/>
    </row>
    <row r="3909" spans="1:21" hidden="1">
      <c r="A3909" s="7" t="s">
        <v>8825</v>
      </c>
      <c r="B3909" s="7" t="s">
        <v>5405</v>
      </c>
      <c r="C3909" s="8" t="s">
        <v>5319</v>
      </c>
      <c r="D3909" t="s">
        <v>266</v>
      </c>
      <c r="E3909" t="s">
        <v>25</v>
      </c>
      <c r="F3909" t="s">
        <v>111</v>
      </c>
      <c r="G3909" t="s">
        <v>3515</v>
      </c>
      <c r="H3909" s="9">
        <v>44733</v>
      </c>
      <c r="I3909" t="s">
        <v>8634</v>
      </c>
      <c r="J3909" t="s">
        <v>0</v>
      </c>
      <c r="K3909" s="9">
        <v>44881</v>
      </c>
      <c r="L3909" t="s">
        <v>29</v>
      </c>
      <c r="M3909"/>
      <c r="N3909" s="9">
        <v>44778</v>
      </c>
      <c r="O3909"/>
      <c r="P3909"/>
      <c r="Q3909" s="9">
        <v>44881</v>
      </c>
      <c r="R3909"/>
      <c r="S3909"/>
      <c r="T3909"/>
      <c r="U3909"/>
    </row>
    <row r="3910" spans="1:21" hidden="1">
      <c r="A3910" s="7" t="s">
        <v>8825</v>
      </c>
      <c r="B3910" s="7" t="s">
        <v>5405</v>
      </c>
      <c r="C3910" s="8" t="s">
        <v>5319</v>
      </c>
      <c r="D3910" t="s">
        <v>266</v>
      </c>
      <c r="E3910" t="s">
        <v>25</v>
      </c>
      <c r="F3910" t="s">
        <v>111</v>
      </c>
      <c r="G3910" t="s">
        <v>3516</v>
      </c>
      <c r="H3910" s="9">
        <v>44733</v>
      </c>
      <c r="I3910" t="s">
        <v>8634</v>
      </c>
      <c r="J3910" t="s">
        <v>0</v>
      </c>
      <c r="K3910" s="9">
        <v>44881</v>
      </c>
      <c r="L3910" t="s">
        <v>29</v>
      </c>
      <c r="M3910"/>
      <c r="N3910" s="9">
        <v>44778</v>
      </c>
      <c r="O3910"/>
      <c r="P3910"/>
      <c r="Q3910" s="9">
        <v>44881</v>
      </c>
      <c r="R3910"/>
      <c r="S3910"/>
      <c r="T3910"/>
      <c r="U3910"/>
    </row>
    <row r="3911" spans="1:21" hidden="1">
      <c r="A3911" s="7" t="s">
        <v>8861</v>
      </c>
      <c r="B3911" s="7" t="s">
        <v>8218</v>
      </c>
      <c r="C3911" s="8" t="s">
        <v>5319</v>
      </c>
      <c r="D3911" t="s">
        <v>266</v>
      </c>
      <c r="E3911" t="s">
        <v>2260</v>
      </c>
      <c r="F3911" t="s">
        <v>117</v>
      </c>
      <c r="G3911" t="s">
        <v>2568</v>
      </c>
      <c r="H3911" s="9">
        <v>44733</v>
      </c>
      <c r="I3911" t="s">
        <v>2262</v>
      </c>
      <c r="J3911" t="s">
        <v>0</v>
      </c>
      <c r="K3911" s="9">
        <v>44879</v>
      </c>
      <c r="L3911" t="s">
        <v>29</v>
      </c>
      <c r="M3911"/>
      <c r="N3911" s="9">
        <v>44778</v>
      </c>
      <c r="O3911" s="9">
        <v>44834</v>
      </c>
      <c r="P3911"/>
      <c r="Q3911" s="9">
        <v>44879</v>
      </c>
      <c r="R3911"/>
      <c r="S3911"/>
      <c r="T3911"/>
      <c r="U3911"/>
    </row>
    <row r="3912" spans="1:21" hidden="1">
      <c r="A3912" s="7" t="s">
        <v>8861</v>
      </c>
      <c r="B3912" s="7" t="s">
        <v>8218</v>
      </c>
      <c r="C3912" s="8" t="s">
        <v>5319</v>
      </c>
      <c r="D3912" t="s">
        <v>266</v>
      </c>
      <c r="E3912" t="s">
        <v>2260</v>
      </c>
      <c r="F3912" t="s">
        <v>117</v>
      </c>
      <c r="G3912" t="s">
        <v>2569</v>
      </c>
      <c r="H3912" s="9">
        <v>44733</v>
      </c>
      <c r="I3912" t="s">
        <v>2262</v>
      </c>
      <c r="J3912" t="s">
        <v>0</v>
      </c>
      <c r="K3912" s="9">
        <v>44879</v>
      </c>
      <c r="L3912" t="s">
        <v>29</v>
      </c>
      <c r="M3912"/>
      <c r="N3912" s="9">
        <v>44778</v>
      </c>
      <c r="O3912" s="9">
        <v>44834</v>
      </c>
      <c r="P3912"/>
      <c r="Q3912" s="9">
        <v>44879</v>
      </c>
      <c r="R3912"/>
      <c r="S3912"/>
      <c r="T3912"/>
      <c r="U3912"/>
    </row>
    <row r="3913" spans="1:21" hidden="1">
      <c r="A3913" s="7" t="s">
        <v>8861</v>
      </c>
      <c r="B3913" s="7" t="s">
        <v>8218</v>
      </c>
      <c r="C3913" s="8" t="s">
        <v>5319</v>
      </c>
      <c r="D3913" t="s">
        <v>266</v>
      </c>
      <c r="E3913" t="s">
        <v>2260</v>
      </c>
      <c r="F3913" t="s">
        <v>117</v>
      </c>
      <c r="G3913" t="s">
        <v>2570</v>
      </c>
      <c r="H3913" s="9">
        <v>44733</v>
      </c>
      <c r="I3913" t="s">
        <v>2262</v>
      </c>
      <c r="J3913" t="s">
        <v>0</v>
      </c>
      <c r="K3913" s="9">
        <v>44879</v>
      </c>
      <c r="L3913" t="s">
        <v>29</v>
      </c>
      <c r="M3913"/>
      <c r="N3913" s="9">
        <v>44778</v>
      </c>
      <c r="O3913" s="9">
        <v>44834</v>
      </c>
      <c r="P3913"/>
      <c r="Q3913" s="9">
        <v>44879</v>
      </c>
      <c r="R3913"/>
      <c r="S3913"/>
      <c r="T3913"/>
      <c r="U3913"/>
    </row>
    <row r="3914" spans="1:21" hidden="1">
      <c r="A3914" s="7" t="s">
        <v>8861</v>
      </c>
      <c r="B3914" s="7" t="s">
        <v>8218</v>
      </c>
      <c r="C3914" s="8" t="s">
        <v>5319</v>
      </c>
      <c r="D3914" t="s">
        <v>266</v>
      </c>
      <c r="E3914" t="s">
        <v>2260</v>
      </c>
      <c r="F3914" t="s">
        <v>117</v>
      </c>
      <c r="G3914" t="s">
        <v>2571</v>
      </c>
      <c r="H3914" s="9">
        <v>44733</v>
      </c>
      <c r="I3914" t="s">
        <v>2262</v>
      </c>
      <c r="J3914" t="s">
        <v>0</v>
      </c>
      <c r="K3914" s="9">
        <v>44879</v>
      </c>
      <c r="L3914" t="s">
        <v>29</v>
      </c>
      <c r="M3914"/>
      <c r="N3914" s="9">
        <v>44778</v>
      </c>
      <c r="O3914" s="9">
        <v>44834</v>
      </c>
      <c r="P3914"/>
      <c r="Q3914" s="9">
        <v>44879</v>
      </c>
      <c r="R3914"/>
      <c r="S3914"/>
      <c r="T3914"/>
      <c r="U3914"/>
    </row>
    <row r="3915" spans="1:21" hidden="1">
      <c r="A3915" s="7" t="s">
        <v>8861</v>
      </c>
      <c r="B3915" s="7" t="s">
        <v>8218</v>
      </c>
      <c r="C3915" s="8" t="s">
        <v>5319</v>
      </c>
      <c r="D3915" t="s">
        <v>266</v>
      </c>
      <c r="E3915" t="s">
        <v>2260</v>
      </c>
      <c r="F3915" t="s">
        <v>117</v>
      </c>
      <c r="G3915" t="s">
        <v>2572</v>
      </c>
      <c r="H3915" s="9">
        <v>44733</v>
      </c>
      <c r="I3915" t="s">
        <v>2262</v>
      </c>
      <c r="J3915" t="s">
        <v>0</v>
      </c>
      <c r="K3915" s="9">
        <v>44879</v>
      </c>
      <c r="L3915" t="s">
        <v>29</v>
      </c>
      <c r="M3915"/>
      <c r="N3915" s="9">
        <v>44778</v>
      </c>
      <c r="O3915" s="9">
        <v>44834</v>
      </c>
      <c r="P3915"/>
      <c r="Q3915" s="9">
        <v>44879</v>
      </c>
      <c r="R3915"/>
      <c r="S3915"/>
      <c r="T3915"/>
      <c r="U3915"/>
    </row>
    <row r="3916" spans="1:21" hidden="1">
      <c r="A3916" s="7" t="s">
        <v>8928</v>
      </c>
      <c r="B3916" s="7" t="s">
        <v>8364</v>
      </c>
      <c r="C3916" s="8" t="s">
        <v>5319</v>
      </c>
      <c r="D3916" t="s">
        <v>266</v>
      </c>
      <c r="E3916" t="s">
        <v>3279</v>
      </c>
      <c r="F3916" t="s">
        <v>231</v>
      </c>
      <c r="G3916" t="s">
        <v>3517</v>
      </c>
      <c r="H3916" s="9">
        <v>44733</v>
      </c>
      <c r="I3916" t="s">
        <v>903</v>
      </c>
      <c r="J3916" t="s">
        <v>5330</v>
      </c>
      <c r="K3916" s="9">
        <v>44834</v>
      </c>
      <c r="L3916" t="s">
        <v>29</v>
      </c>
      <c r="M3916"/>
      <c r="N3916" s="9">
        <v>44778</v>
      </c>
      <c r="O3916" s="9">
        <v>44834</v>
      </c>
      <c r="P3916"/>
      <c r="Q3916"/>
      <c r="R3916"/>
      <c r="S3916"/>
      <c r="T3916"/>
      <c r="U3916"/>
    </row>
    <row r="3917" spans="1:21" hidden="1">
      <c r="A3917" s="7" t="s">
        <v>8929</v>
      </c>
      <c r="B3917" s="7" t="s">
        <v>8110</v>
      </c>
      <c r="C3917" s="8" t="s">
        <v>5319</v>
      </c>
      <c r="D3917" t="s">
        <v>266</v>
      </c>
      <c r="E3917" t="s">
        <v>1015</v>
      </c>
      <c r="F3917" t="s">
        <v>231</v>
      </c>
      <c r="G3917" t="s">
        <v>3518</v>
      </c>
      <c r="H3917" s="9">
        <v>44733</v>
      </c>
      <c r="I3917" t="s">
        <v>488</v>
      </c>
      <c r="J3917" t="s">
        <v>5330</v>
      </c>
      <c r="K3917" s="9">
        <v>44834</v>
      </c>
      <c r="L3917" t="s">
        <v>29</v>
      </c>
      <c r="M3917"/>
      <c r="N3917" s="9">
        <v>44778</v>
      </c>
      <c r="O3917" s="9">
        <v>44834</v>
      </c>
      <c r="P3917"/>
      <c r="Q3917"/>
      <c r="R3917"/>
      <c r="S3917"/>
      <c r="T3917"/>
      <c r="U3917"/>
    </row>
    <row r="3918" spans="1:21" hidden="1">
      <c r="A3918" s="7" t="s">
        <v>8758</v>
      </c>
      <c r="B3918" s="7" t="s">
        <v>5405</v>
      </c>
      <c r="C3918" s="8" t="s">
        <v>5319</v>
      </c>
      <c r="D3918" t="s">
        <v>266</v>
      </c>
      <c r="E3918" t="s">
        <v>25</v>
      </c>
      <c r="F3918" t="s">
        <v>493</v>
      </c>
      <c r="G3918" t="s">
        <v>3519</v>
      </c>
      <c r="H3918" s="9">
        <v>44733</v>
      </c>
      <c r="I3918" t="s">
        <v>8634</v>
      </c>
      <c r="J3918" t="s">
        <v>5330</v>
      </c>
      <c r="K3918" s="9">
        <v>44834</v>
      </c>
      <c r="L3918" t="s">
        <v>29</v>
      </c>
      <c r="M3918"/>
      <c r="N3918" s="9">
        <v>44778</v>
      </c>
      <c r="O3918" s="9">
        <v>44834</v>
      </c>
      <c r="P3918"/>
      <c r="Q3918"/>
      <c r="R3918"/>
      <c r="S3918"/>
      <c r="T3918"/>
      <c r="U3918"/>
    </row>
    <row r="3919" spans="1:21" hidden="1">
      <c r="A3919" s="7" t="s">
        <v>8741</v>
      </c>
      <c r="B3919" s="7" t="s">
        <v>6723</v>
      </c>
      <c r="C3919" s="8" t="s">
        <v>5319</v>
      </c>
      <c r="D3919" t="s">
        <v>266</v>
      </c>
      <c r="E3919" t="s">
        <v>320</v>
      </c>
      <c r="F3919" t="s">
        <v>231</v>
      </c>
      <c r="G3919" t="s">
        <v>3520</v>
      </c>
      <c r="H3919" s="9">
        <v>44733</v>
      </c>
      <c r="I3919" t="s">
        <v>322</v>
      </c>
      <c r="J3919" t="s">
        <v>5330</v>
      </c>
      <c r="K3919" s="9">
        <v>44834</v>
      </c>
      <c r="L3919" t="s">
        <v>29</v>
      </c>
      <c r="M3919"/>
      <c r="N3919" s="9">
        <v>44778</v>
      </c>
      <c r="O3919" s="9">
        <v>44834</v>
      </c>
      <c r="P3919"/>
      <c r="Q3919"/>
      <c r="R3919"/>
      <c r="S3919"/>
      <c r="T3919"/>
      <c r="U3919"/>
    </row>
    <row r="3920" spans="1:21" hidden="1">
      <c r="A3920" s="7" t="s">
        <v>8741</v>
      </c>
      <c r="B3920" s="7" t="s">
        <v>6723</v>
      </c>
      <c r="C3920" s="8" t="s">
        <v>5319</v>
      </c>
      <c r="D3920" t="s">
        <v>266</v>
      </c>
      <c r="E3920" t="s">
        <v>320</v>
      </c>
      <c r="F3920" t="s">
        <v>231</v>
      </c>
      <c r="G3920" t="s">
        <v>3521</v>
      </c>
      <c r="H3920" s="9">
        <v>44733</v>
      </c>
      <c r="I3920" t="s">
        <v>322</v>
      </c>
      <c r="J3920" t="s">
        <v>5330</v>
      </c>
      <c r="K3920" s="9">
        <v>44834</v>
      </c>
      <c r="L3920" t="s">
        <v>29</v>
      </c>
      <c r="M3920"/>
      <c r="N3920" s="9">
        <v>44778</v>
      </c>
      <c r="O3920" s="9">
        <v>44834</v>
      </c>
      <c r="P3920"/>
      <c r="Q3920"/>
      <c r="R3920"/>
      <c r="S3920"/>
      <c r="T3920"/>
      <c r="U3920"/>
    </row>
    <row r="3921" spans="1:21" hidden="1">
      <c r="A3921" s="7" t="s">
        <v>8741</v>
      </c>
      <c r="B3921" s="7" t="s">
        <v>6723</v>
      </c>
      <c r="C3921" s="8" t="s">
        <v>5319</v>
      </c>
      <c r="D3921" t="s">
        <v>266</v>
      </c>
      <c r="E3921" t="s">
        <v>320</v>
      </c>
      <c r="F3921" t="s">
        <v>231</v>
      </c>
      <c r="G3921" t="s">
        <v>3522</v>
      </c>
      <c r="H3921" s="9">
        <v>44733</v>
      </c>
      <c r="I3921" t="s">
        <v>322</v>
      </c>
      <c r="J3921" t="s">
        <v>5330</v>
      </c>
      <c r="K3921" s="9">
        <v>44834</v>
      </c>
      <c r="L3921" t="s">
        <v>29</v>
      </c>
      <c r="M3921"/>
      <c r="N3921" s="9">
        <v>44778</v>
      </c>
      <c r="O3921" s="9">
        <v>44834</v>
      </c>
      <c r="P3921"/>
      <c r="Q3921"/>
      <c r="R3921"/>
      <c r="S3921"/>
      <c r="T3921"/>
      <c r="U3921"/>
    </row>
    <row r="3922" spans="1:21" hidden="1">
      <c r="A3922" s="7" t="s">
        <v>8741</v>
      </c>
      <c r="B3922" s="7" t="s">
        <v>6723</v>
      </c>
      <c r="C3922" s="8" t="s">
        <v>5319</v>
      </c>
      <c r="D3922" t="s">
        <v>266</v>
      </c>
      <c r="E3922" t="s">
        <v>320</v>
      </c>
      <c r="F3922" t="s">
        <v>231</v>
      </c>
      <c r="G3922" t="s">
        <v>3523</v>
      </c>
      <c r="H3922" s="9">
        <v>44733</v>
      </c>
      <c r="I3922" t="s">
        <v>322</v>
      </c>
      <c r="J3922" t="s">
        <v>5330</v>
      </c>
      <c r="K3922" s="9">
        <v>44834</v>
      </c>
      <c r="L3922" t="s">
        <v>29</v>
      </c>
      <c r="M3922"/>
      <c r="N3922" s="9">
        <v>44778</v>
      </c>
      <c r="O3922" s="9">
        <v>44834</v>
      </c>
      <c r="P3922"/>
      <c r="Q3922"/>
      <c r="R3922"/>
      <c r="S3922"/>
      <c r="T3922"/>
      <c r="U3922"/>
    </row>
    <row r="3923" spans="1:21" hidden="1">
      <c r="A3923" s="7" t="s">
        <v>8741</v>
      </c>
      <c r="B3923" s="7" t="s">
        <v>6723</v>
      </c>
      <c r="C3923" s="8" t="s">
        <v>5319</v>
      </c>
      <c r="D3923" t="s">
        <v>266</v>
      </c>
      <c r="E3923" t="s">
        <v>320</v>
      </c>
      <c r="F3923" t="s">
        <v>231</v>
      </c>
      <c r="G3923" t="s">
        <v>3524</v>
      </c>
      <c r="H3923" s="9">
        <v>44733</v>
      </c>
      <c r="I3923" t="s">
        <v>322</v>
      </c>
      <c r="J3923" t="s">
        <v>5330</v>
      </c>
      <c r="K3923" s="9">
        <v>44834</v>
      </c>
      <c r="L3923" t="s">
        <v>29</v>
      </c>
      <c r="M3923"/>
      <c r="N3923" s="9">
        <v>44778</v>
      </c>
      <c r="O3923" s="9">
        <v>44834</v>
      </c>
      <c r="P3923"/>
      <c r="Q3923"/>
      <c r="R3923"/>
      <c r="S3923"/>
      <c r="T3923"/>
      <c r="U3923"/>
    </row>
    <row r="3924" spans="1:21" hidden="1">
      <c r="A3924" s="7" t="s">
        <v>8741</v>
      </c>
      <c r="B3924" s="7" t="s">
        <v>6723</v>
      </c>
      <c r="C3924" s="8" t="s">
        <v>5319</v>
      </c>
      <c r="D3924" t="s">
        <v>266</v>
      </c>
      <c r="E3924" t="s">
        <v>320</v>
      </c>
      <c r="F3924" t="s">
        <v>231</v>
      </c>
      <c r="G3924" t="s">
        <v>3525</v>
      </c>
      <c r="H3924" s="9">
        <v>44733</v>
      </c>
      <c r="I3924" t="s">
        <v>322</v>
      </c>
      <c r="J3924" t="s">
        <v>5330</v>
      </c>
      <c r="K3924" s="9">
        <v>44834</v>
      </c>
      <c r="L3924" t="s">
        <v>29</v>
      </c>
      <c r="M3924"/>
      <c r="N3924" s="9">
        <v>44778</v>
      </c>
      <c r="O3924" s="9">
        <v>44834</v>
      </c>
      <c r="P3924"/>
      <c r="Q3924"/>
      <c r="R3924"/>
      <c r="S3924"/>
      <c r="T3924"/>
      <c r="U3924"/>
    </row>
    <row r="3925" spans="1:21" hidden="1">
      <c r="A3925" s="7" t="s">
        <v>8741</v>
      </c>
      <c r="B3925" s="7" t="s">
        <v>6723</v>
      </c>
      <c r="C3925" s="8" t="s">
        <v>5319</v>
      </c>
      <c r="D3925" t="s">
        <v>266</v>
      </c>
      <c r="E3925" t="s">
        <v>320</v>
      </c>
      <c r="F3925" t="s">
        <v>231</v>
      </c>
      <c r="G3925" t="s">
        <v>3526</v>
      </c>
      <c r="H3925" s="9">
        <v>44733</v>
      </c>
      <c r="I3925" t="s">
        <v>322</v>
      </c>
      <c r="J3925" t="s">
        <v>5330</v>
      </c>
      <c r="K3925" s="9">
        <v>44834</v>
      </c>
      <c r="L3925" t="s">
        <v>29</v>
      </c>
      <c r="M3925"/>
      <c r="N3925" s="9">
        <v>44778</v>
      </c>
      <c r="O3925" s="9">
        <v>44834</v>
      </c>
      <c r="P3925"/>
      <c r="Q3925"/>
      <c r="R3925"/>
      <c r="S3925"/>
      <c r="T3925"/>
      <c r="U3925"/>
    </row>
    <row r="3926" spans="1:21" hidden="1">
      <c r="A3926" s="7" t="s">
        <v>8741</v>
      </c>
      <c r="B3926" s="7" t="s">
        <v>6723</v>
      </c>
      <c r="C3926" s="8" t="s">
        <v>5319</v>
      </c>
      <c r="D3926" t="s">
        <v>266</v>
      </c>
      <c r="E3926" t="s">
        <v>320</v>
      </c>
      <c r="F3926" t="s">
        <v>231</v>
      </c>
      <c r="G3926" t="s">
        <v>3527</v>
      </c>
      <c r="H3926" s="9">
        <v>44733</v>
      </c>
      <c r="I3926" t="s">
        <v>322</v>
      </c>
      <c r="J3926" t="s">
        <v>5330</v>
      </c>
      <c r="K3926" s="9">
        <v>44834</v>
      </c>
      <c r="L3926" t="s">
        <v>29</v>
      </c>
      <c r="M3926"/>
      <c r="N3926" s="9">
        <v>44778</v>
      </c>
      <c r="O3926" s="9">
        <v>44834</v>
      </c>
      <c r="P3926"/>
      <c r="Q3926"/>
      <c r="R3926"/>
      <c r="S3926"/>
      <c r="T3926"/>
      <c r="U3926"/>
    </row>
    <row r="3927" spans="1:21" hidden="1">
      <c r="A3927" s="7" t="s">
        <v>8741</v>
      </c>
      <c r="B3927" s="7" t="s">
        <v>6723</v>
      </c>
      <c r="C3927" s="8" t="s">
        <v>5319</v>
      </c>
      <c r="D3927" t="s">
        <v>266</v>
      </c>
      <c r="E3927" t="s">
        <v>320</v>
      </c>
      <c r="F3927" t="s">
        <v>231</v>
      </c>
      <c r="G3927" t="s">
        <v>3528</v>
      </c>
      <c r="H3927" s="9">
        <v>44733</v>
      </c>
      <c r="I3927" t="s">
        <v>322</v>
      </c>
      <c r="J3927" t="s">
        <v>5330</v>
      </c>
      <c r="K3927" s="9">
        <v>44834</v>
      </c>
      <c r="L3927" t="s">
        <v>29</v>
      </c>
      <c r="M3927"/>
      <c r="N3927" s="9">
        <v>44778</v>
      </c>
      <c r="O3927" s="9">
        <v>44834</v>
      </c>
      <c r="P3927"/>
      <c r="Q3927"/>
      <c r="R3927"/>
      <c r="S3927"/>
      <c r="T3927"/>
      <c r="U3927"/>
    </row>
    <row r="3928" spans="1:21" hidden="1">
      <c r="A3928" s="7" t="s">
        <v>8741</v>
      </c>
      <c r="B3928" s="7" t="s">
        <v>6723</v>
      </c>
      <c r="C3928" s="8" t="s">
        <v>5319</v>
      </c>
      <c r="D3928" t="s">
        <v>266</v>
      </c>
      <c r="E3928" t="s">
        <v>320</v>
      </c>
      <c r="F3928" t="s">
        <v>231</v>
      </c>
      <c r="G3928" t="s">
        <v>3529</v>
      </c>
      <c r="H3928" s="9">
        <v>44733</v>
      </c>
      <c r="I3928" t="s">
        <v>322</v>
      </c>
      <c r="J3928" t="s">
        <v>5330</v>
      </c>
      <c r="K3928" s="9">
        <v>44834</v>
      </c>
      <c r="L3928" t="s">
        <v>29</v>
      </c>
      <c r="M3928"/>
      <c r="N3928" s="9">
        <v>44778</v>
      </c>
      <c r="O3928" s="9">
        <v>44834</v>
      </c>
      <c r="P3928"/>
      <c r="Q3928"/>
      <c r="R3928"/>
      <c r="S3928"/>
      <c r="T3928"/>
      <c r="U3928"/>
    </row>
    <row r="3929" spans="1:21" hidden="1">
      <c r="A3929" s="7" t="s">
        <v>8741</v>
      </c>
      <c r="B3929" s="7" t="s">
        <v>6723</v>
      </c>
      <c r="C3929" s="8" t="s">
        <v>5319</v>
      </c>
      <c r="D3929" t="s">
        <v>266</v>
      </c>
      <c r="E3929" t="s">
        <v>320</v>
      </c>
      <c r="F3929" t="s">
        <v>231</v>
      </c>
      <c r="G3929" t="s">
        <v>3530</v>
      </c>
      <c r="H3929" s="9">
        <v>44733</v>
      </c>
      <c r="I3929" t="s">
        <v>322</v>
      </c>
      <c r="J3929" t="s">
        <v>5330</v>
      </c>
      <c r="K3929" s="9">
        <v>44834</v>
      </c>
      <c r="L3929" t="s">
        <v>29</v>
      </c>
      <c r="M3929"/>
      <c r="N3929" s="9">
        <v>44778</v>
      </c>
      <c r="O3929" s="9">
        <v>44834</v>
      </c>
      <c r="P3929"/>
      <c r="Q3929"/>
      <c r="R3929"/>
      <c r="S3929"/>
      <c r="T3929"/>
      <c r="U3929"/>
    </row>
    <row r="3930" spans="1:21" hidden="1">
      <c r="A3930" s="7" t="s">
        <v>8741</v>
      </c>
      <c r="B3930" s="7" t="s">
        <v>6723</v>
      </c>
      <c r="C3930" s="8" t="s">
        <v>5319</v>
      </c>
      <c r="D3930" t="s">
        <v>266</v>
      </c>
      <c r="E3930" t="s">
        <v>320</v>
      </c>
      <c r="F3930" t="s">
        <v>231</v>
      </c>
      <c r="G3930" t="s">
        <v>3531</v>
      </c>
      <c r="H3930" s="9">
        <v>44733</v>
      </c>
      <c r="I3930" t="s">
        <v>322</v>
      </c>
      <c r="J3930" t="s">
        <v>5330</v>
      </c>
      <c r="K3930" s="9">
        <v>44834</v>
      </c>
      <c r="L3930" t="s">
        <v>29</v>
      </c>
      <c r="M3930"/>
      <c r="N3930" s="9">
        <v>44778</v>
      </c>
      <c r="O3930" s="9">
        <v>44834</v>
      </c>
      <c r="P3930"/>
      <c r="Q3930"/>
      <c r="R3930"/>
      <c r="S3930"/>
      <c r="T3930"/>
      <c r="U3930"/>
    </row>
    <row r="3931" spans="1:21" hidden="1">
      <c r="A3931" s="7" t="s">
        <v>8741</v>
      </c>
      <c r="B3931" s="7" t="s">
        <v>6723</v>
      </c>
      <c r="C3931" s="8" t="s">
        <v>5319</v>
      </c>
      <c r="D3931" t="s">
        <v>266</v>
      </c>
      <c r="E3931" t="s">
        <v>320</v>
      </c>
      <c r="F3931" t="s">
        <v>231</v>
      </c>
      <c r="G3931" t="s">
        <v>3532</v>
      </c>
      <c r="H3931" s="9">
        <v>44733</v>
      </c>
      <c r="I3931" t="s">
        <v>322</v>
      </c>
      <c r="J3931" t="s">
        <v>5330</v>
      </c>
      <c r="K3931" s="9">
        <v>44834</v>
      </c>
      <c r="L3931" t="s">
        <v>29</v>
      </c>
      <c r="M3931"/>
      <c r="N3931" s="9">
        <v>44778</v>
      </c>
      <c r="O3931" s="9">
        <v>44834</v>
      </c>
      <c r="P3931"/>
      <c r="Q3931"/>
      <c r="R3931"/>
      <c r="S3931"/>
      <c r="T3931"/>
      <c r="U3931"/>
    </row>
    <row r="3932" spans="1:21" hidden="1">
      <c r="A3932" s="7" t="s">
        <v>8741</v>
      </c>
      <c r="B3932" s="7" t="s">
        <v>6723</v>
      </c>
      <c r="C3932" s="8" t="s">
        <v>5319</v>
      </c>
      <c r="D3932" t="s">
        <v>266</v>
      </c>
      <c r="E3932" t="s">
        <v>320</v>
      </c>
      <c r="F3932" t="s">
        <v>231</v>
      </c>
      <c r="G3932" t="s">
        <v>3533</v>
      </c>
      <c r="H3932" s="9">
        <v>44733</v>
      </c>
      <c r="I3932" t="s">
        <v>322</v>
      </c>
      <c r="J3932" t="s">
        <v>5330</v>
      </c>
      <c r="K3932" s="9">
        <v>44834</v>
      </c>
      <c r="L3932" t="s">
        <v>29</v>
      </c>
      <c r="M3932"/>
      <c r="N3932" s="9">
        <v>44778</v>
      </c>
      <c r="O3932" s="9">
        <v>44834</v>
      </c>
      <c r="P3932"/>
      <c r="Q3932"/>
      <c r="R3932"/>
      <c r="S3932"/>
      <c r="T3932"/>
      <c r="U3932"/>
    </row>
    <row r="3933" spans="1:21" hidden="1">
      <c r="A3933" s="7" t="s">
        <v>8741</v>
      </c>
      <c r="B3933" s="7" t="s">
        <v>6723</v>
      </c>
      <c r="C3933" s="8" t="s">
        <v>5319</v>
      </c>
      <c r="D3933" t="s">
        <v>266</v>
      </c>
      <c r="E3933" t="s">
        <v>320</v>
      </c>
      <c r="F3933" t="s">
        <v>231</v>
      </c>
      <c r="G3933" t="s">
        <v>3534</v>
      </c>
      <c r="H3933" s="9">
        <v>44733</v>
      </c>
      <c r="I3933" t="s">
        <v>322</v>
      </c>
      <c r="J3933" t="s">
        <v>5330</v>
      </c>
      <c r="K3933" s="9">
        <v>44834</v>
      </c>
      <c r="L3933" t="s">
        <v>29</v>
      </c>
      <c r="M3933"/>
      <c r="N3933" s="9">
        <v>44778</v>
      </c>
      <c r="O3933" s="9">
        <v>44834</v>
      </c>
      <c r="P3933"/>
      <c r="Q3933"/>
      <c r="R3933"/>
      <c r="S3933"/>
      <c r="T3933"/>
      <c r="U3933"/>
    </row>
    <row r="3934" spans="1:21" hidden="1">
      <c r="A3934" s="7" t="s">
        <v>8741</v>
      </c>
      <c r="B3934" s="7" t="s">
        <v>6723</v>
      </c>
      <c r="C3934" s="8" t="s">
        <v>5319</v>
      </c>
      <c r="D3934" t="s">
        <v>266</v>
      </c>
      <c r="E3934" t="s">
        <v>320</v>
      </c>
      <c r="F3934" t="s">
        <v>231</v>
      </c>
      <c r="G3934" t="s">
        <v>3535</v>
      </c>
      <c r="H3934" s="9">
        <v>44733</v>
      </c>
      <c r="I3934" t="s">
        <v>322</v>
      </c>
      <c r="J3934" t="s">
        <v>5330</v>
      </c>
      <c r="K3934" s="9">
        <v>44834</v>
      </c>
      <c r="L3934" t="s">
        <v>29</v>
      </c>
      <c r="M3934"/>
      <c r="N3934" s="9">
        <v>44778</v>
      </c>
      <c r="O3934" s="9">
        <v>44834</v>
      </c>
      <c r="P3934"/>
      <c r="Q3934"/>
      <c r="R3934"/>
      <c r="S3934"/>
      <c r="T3934"/>
      <c r="U3934"/>
    </row>
    <row r="3935" spans="1:21" hidden="1">
      <c r="A3935" s="7" t="s">
        <v>8741</v>
      </c>
      <c r="B3935" s="7" t="s">
        <v>6723</v>
      </c>
      <c r="C3935" s="8" t="s">
        <v>5319</v>
      </c>
      <c r="D3935" t="s">
        <v>266</v>
      </c>
      <c r="E3935" t="s">
        <v>320</v>
      </c>
      <c r="F3935" t="s">
        <v>231</v>
      </c>
      <c r="G3935" t="s">
        <v>3536</v>
      </c>
      <c r="H3935" s="9">
        <v>44733</v>
      </c>
      <c r="I3935" t="s">
        <v>322</v>
      </c>
      <c r="J3935" t="s">
        <v>5330</v>
      </c>
      <c r="K3935" s="9">
        <v>44834</v>
      </c>
      <c r="L3935" t="s">
        <v>29</v>
      </c>
      <c r="M3935"/>
      <c r="N3935" s="9">
        <v>44778</v>
      </c>
      <c r="O3935" s="9">
        <v>44834</v>
      </c>
      <c r="P3935"/>
      <c r="Q3935"/>
      <c r="R3935"/>
      <c r="S3935"/>
      <c r="T3935"/>
      <c r="U3935"/>
    </row>
    <row r="3936" spans="1:21" hidden="1">
      <c r="A3936" s="7" t="s">
        <v>8741</v>
      </c>
      <c r="B3936" s="7" t="s">
        <v>6723</v>
      </c>
      <c r="C3936" s="8" t="s">
        <v>5319</v>
      </c>
      <c r="D3936" t="s">
        <v>266</v>
      </c>
      <c r="E3936" t="s">
        <v>320</v>
      </c>
      <c r="F3936" t="s">
        <v>231</v>
      </c>
      <c r="G3936" t="s">
        <v>3537</v>
      </c>
      <c r="H3936" s="9">
        <v>44733</v>
      </c>
      <c r="I3936" t="s">
        <v>322</v>
      </c>
      <c r="J3936" t="s">
        <v>5330</v>
      </c>
      <c r="K3936" s="9">
        <v>44834</v>
      </c>
      <c r="L3936" t="s">
        <v>29</v>
      </c>
      <c r="M3936"/>
      <c r="N3936" s="9">
        <v>44778</v>
      </c>
      <c r="O3936" s="9">
        <v>44834</v>
      </c>
      <c r="P3936"/>
      <c r="Q3936"/>
      <c r="R3936"/>
      <c r="S3936"/>
      <c r="T3936"/>
      <c r="U3936"/>
    </row>
    <row r="3937" spans="1:21" hidden="1">
      <c r="A3937" s="7" t="s">
        <v>8741</v>
      </c>
      <c r="B3937" s="7" t="s">
        <v>6723</v>
      </c>
      <c r="C3937" s="8" t="s">
        <v>5319</v>
      </c>
      <c r="D3937" t="s">
        <v>266</v>
      </c>
      <c r="E3937" t="s">
        <v>320</v>
      </c>
      <c r="F3937" t="s">
        <v>231</v>
      </c>
      <c r="G3937" t="s">
        <v>3538</v>
      </c>
      <c r="H3937" s="9">
        <v>44733</v>
      </c>
      <c r="I3937" t="s">
        <v>322</v>
      </c>
      <c r="J3937" t="s">
        <v>5330</v>
      </c>
      <c r="K3937" s="9">
        <v>44834</v>
      </c>
      <c r="L3937" t="s">
        <v>29</v>
      </c>
      <c r="M3937"/>
      <c r="N3937" s="9">
        <v>44778</v>
      </c>
      <c r="O3937" s="9">
        <v>44834</v>
      </c>
      <c r="P3937"/>
      <c r="Q3937"/>
      <c r="R3937"/>
      <c r="S3937"/>
      <c r="T3937"/>
      <c r="U3937"/>
    </row>
    <row r="3938" spans="1:21" hidden="1">
      <c r="A3938" s="7" t="s">
        <v>8741</v>
      </c>
      <c r="B3938" s="7" t="s">
        <v>6723</v>
      </c>
      <c r="C3938" s="8" t="s">
        <v>5319</v>
      </c>
      <c r="D3938" t="s">
        <v>266</v>
      </c>
      <c r="E3938" t="s">
        <v>320</v>
      </c>
      <c r="F3938" t="s">
        <v>231</v>
      </c>
      <c r="G3938" t="s">
        <v>3539</v>
      </c>
      <c r="H3938" s="9">
        <v>44733</v>
      </c>
      <c r="I3938" t="s">
        <v>322</v>
      </c>
      <c r="J3938" t="s">
        <v>5330</v>
      </c>
      <c r="K3938" s="9">
        <v>44834</v>
      </c>
      <c r="L3938" t="s">
        <v>29</v>
      </c>
      <c r="M3938"/>
      <c r="N3938" s="9">
        <v>44778</v>
      </c>
      <c r="O3938" s="9">
        <v>44834</v>
      </c>
      <c r="P3938"/>
      <c r="Q3938"/>
      <c r="R3938"/>
      <c r="S3938"/>
      <c r="T3938"/>
      <c r="U3938"/>
    </row>
    <row r="3939" spans="1:21" hidden="1">
      <c r="A3939" s="7" t="s">
        <v>8741</v>
      </c>
      <c r="B3939" s="7" t="s">
        <v>6723</v>
      </c>
      <c r="C3939" s="8" t="s">
        <v>5319</v>
      </c>
      <c r="D3939" t="s">
        <v>266</v>
      </c>
      <c r="E3939" t="s">
        <v>320</v>
      </c>
      <c r="F3939" t="s">
        <v>231</v>
      </c>
      <c r="G3939" t="s">
        <v>3540</v>
      </c>
      <c r="H3939" s="9">
        <v>44733</v>
      </c>
      <c r="I3939" t="s">
        <v>322</v>
      </c>
      <c r="J3939" t="s">
        <v>5330</v>
      </c>
      <c r="K3939" s="9">
        <v>44834</v>
      </c>
      <c r="L3939" t="s">
        <v>29</v>
      </c>
      <c r="M3939"/>
      <c r="N3939" s="9">
        <v>44778</v>
      </c>
      <c r="O3939" s="9">
        <v>44834</v>
      </c>
      <c r="P3939"/>
      <c r="Q3939"/>
      <c r="R3939"/>
      <c r="S3939"/>
      <c r="T3939"/>
      <c r="U3939"/>
    </row>
    <row r="3940" spans="1:21" hidden="1">
      <c r="A3940" s="7" t="s">
        <v>8741</v>
      </c>
      <c r="B3940" s="7" t="s">
        <v>6723</v>
      </c>
      <c r="C3940" s="8" t="s">
        <v>5319</v>
      </c>
      <c r="D3940" t="s">
        <v>266</v>
      </c>
      <c r="E3940" t="s">
        <v>320</v>
      </c>
      <c r="F3940" t="s">
        <v>231</v>
      </c>
      <c r="G3940" t="s">
        <v>2593</v>
      </c>
      <c r="H3940" s="9">
        <v>44733</v>
      </c>
      <c r="I3940" t="s">
        <v>322</v>
      </c>
      <c r="J3940" t="s">
        <v>5330</v>
      </c>
      <c r="K3940" s="9">
        <v>44834</v>
      </c>
      <c r="L3940" t="s">
        <v>29</v>
      </c>
      <c r="M3940"/>
      <c r="N3940" s="9">
        <v>44778</v>
      </c>
      <c r="O3940" s="9">
        <v>44834</v>
      </c>
      <c r="P3940"/>
      <c r="Q3940"/>
      <c r="R3940"/>
      <c r="S3940"/>
      <c r="T3940"/>
      <c r="U3940"/>
    </row>
    <row r="3941" spans="1:21" hidden="1">
      <c r="A3941" s="7" t="s">
        <v>8741</v>
      </c>
      <c r="B3941" s="7" t="s">
        <v>6723</v>
      </c>
      <c r="C3941" s="8" t="s">
        <v>5319</v>
      </c>
      <c r="D3941" t="s">
        <v>266</v>
      </c>
      <c r="E3941" t="s">
        <v>320</v>
      </c>
      <c r="F3941" t="s">
        <v>231</v>
      </c>
      <c r="G3941" t="s">
        <v>3541</v>
      </c>
      <c r="H3941" s="9">
        <v>44733</v>
      </c>
      <c r="I3941" t="s">
        <v>322</v>
      </c>
      <c r="J3941" t="s">
        <v>5330</v>
      </c>
      <c r="K3941" s="9">
        <v>44834</v>
      </c>
      <c r="L3941" t="s">
        <v>29</v>
      </c>
      <c r="M3941"/>
      <c r="N3941" s="9">
        <v>44778</v>
      </c>
      <c r="O3941" s="9">
        <v>44834</v>
      </c>
      <c r="P3941"/>
      <c r="Q3941"/>
      <c r="R3941"/>
      <c r="S3941"/>
      <c r="T3941"/>
      <c r="U3941"/>
    </row>
    <row r="3942" spans="1:21" hidden="1">
      <c r="A3942" s="7" t="s">
        <v>8741</v>
      </c>
      <c r="B3942" s="7" t="s">
        <v>6723</v>
      </c>
      <c r="C3942" s="8" t="s">
        <v>5319</v>
      </c>
      <c r="D3942" t="s">
        <v>266</v>
      </c>
      <c r="E3942" t="s">
        <v>320</v>
      </c>
      <c r="F3942" t="s">
        <v>231</v>
      </c>
      <c r="G3942" t="s">
        <v>3542</v>
      </c>
      <c r="H3942" s="9">
        <v>44733</v>
      </c>
      <c r="I3942" t="s">
        <v>322</v>
      </c>
      <c r="J3942" t="s">
        <v>5330</v>
      </c>
      <c r="K3942" s="9">
        <v>44834</v>
      </c>
      <c r="L3942" t="s">
        <v>29</v>
      </c>
      <c r="M3942"/>
      <c r="N3942" s="9">
        <v>44778</v>
      </c>
      <c r="O3942" s="9">
        <v>44834</v>
      </c>
      <c r="P3942"/>
      <c r="Q3942"/>
      <c r="R3942"/>
      <c r="S3942"/>
      <c r="T3942"/>
      <c r="U3942"/>
    </row>
    <row r="3943" spans="1:21" hidden="1">
      <c r="A3943" s="7" t="s">
        <v>8741</v>
      </c>
      <c r="B3943" s="7" t="s">
        <v>6723</v>
      </c>
      <c r="C3943" s="8" t="s">
        <v>5319</v>
      </c>
      <c r="D3943" t="s">
        <v>266</v>
      </c>
      <c r="E3943" t="s">
        <v>320</v>
      </c>
      <c r="F3943" t="s">
        <v>231</v>
      </c>
      <c r="G3943" t="s">
        <v>3543</v>
      </c>
      <c r="H3943" s="9">
        <v>44733</v>
      </c>
      <c r="I3943" t="s">
        <v>322</v>
      </c>
      <c r="J3943" t="s">
        <v>5330</v>
      </c>
      <c r="K3943" s="9">
        <v>44834</v>
      </c>
      <c r="L3943" t="s">
        <v>29</v>
      </c>
      <c r="M3943"/>
      <c r="N3943" s="9">
        <v>44778</v>
      </c>
      <c r="O3943" s="9">
        <v>44834</v>
      </c>
      <c r="P3943"/>
      <c r="Q3943"/>
      <c r="R3943"/>
      <c r="S3943"/>
      <c r="T3943"/>
      <c r="U3943"/>
    </row>
    <row r="3944" spans="1:21" hidden="1">
      <c r="A3944" s="7" t="s">
        <v>8741</v>
      </c>
      <c r="B3944" s="7" t="s">
        <v>6723</v>
      </c>
      <c r="C3944" s="8" t="s">
        <v>5319</v>
      </c>
      <c r="D3944" t="s">
        <v>266</v>
      </c>
      <c r="E3944" t="s">
        <v>320</v>
      </c>
      <c r="F3944" t="s">
        <v>231</v>
      </c>
      <c r="G3944" t="s">
        <v>3544</v>
      </c>
      <c r="H3944" s="9">
        <v>44733</v>
      </c>
      <c r="I3944" t="s">
        <v>322</v>
      </c>
      <c r="J3944" t="s">
        <v>5330</v>
      </c>
      <c r="K3944" s="9">
        <v>44834</v>
      </c>
      <c r="L3944" t="s">
        <v>29</v>
      </c>
      <c r="M3944"/>
      <c r="N3944" s="9">
        <v>44778</v>
      </c>
      <c r="O3944" s="9">
        <v>44834</v>
      </c>
      <c r="P3944"/>
      <c r="Q3944"/>
      <c r="R3944"/>
      <c r="S3944"/>
      <c r="T3944"/>
      <c r="U3944"/>
    </row>
    <row r="3945" spans="1:21" hidden="1">
      <c r="A3945" s="7" t="s">
        <v>8741</v>
      </c>
      <c r="B3945" s="7" t="s">
        <v>6723</v>
      </c>
      <c r="C3945" s="8" t="s">
        <v>5319</v>
      </c>
      <c r="D3945" t="s">
        <v>266</v>
      </c>
      <c r="E3945" t="s">
        <v>320</v>
      </c>
      <c r="F3945" t="s">
        <v>231</v>
      </c>
      <c r="G3945" t="s">
        <v>3545</v>
      </c>
      <c r="H3945" s="9">
        <v>44733</v>
      </c>
      <c r="I3945" t="s">
        <v>322</v>
      </c>
      <c r="J3945" t="s">
        <v>5330</v>
      </c>
      <c r="K3945" s="9">
        <v>44834</v>
      </c>
      <c r="L3945" t="s">
        <v>29</v>
      </c>
      <c r="M3945"/>
      <c r="N3945" s="9">
        <v>44778</v>
      </c>
      <c r="O3945" s="9">
        <v>44834</v>
      </c>
      <c r="P3945"/>
      <c r="Q3945"/>
      <c r="R3945"/>
      <c r="S3945"/>
      <c r="T3945"/>
      <c r="U3945"/>
    </row>
    <row r="3946" spans="1:21" hidden="1">
      <c r="A3946" s="7" t="s">
        <v>8741</v>
      </c>
      <c r="B3946" s="7" t="s">
        <v>6723</v>
      </c>
      <c r="C3946" s="8" t="s">
        <v>5319</v>
      </c>
      <c r="D3946" t="s">
        <v>266</v>
      </c>
      <c r="E3946" t="s">
        <v>320</v>
      </c>
      <c r="F3946" t="s">
        <v>231</v>
      </c>
      <c r="G3946" t="s">
        <v>3546</v>
      </c>
      <c r="H3946" s="9">
        <v>44733</v>
      </c>
      <c r="I3946" t="s">
        <v>322</v>
      </c>
      <c r="J3946" t="s">
        <v>5330</v>
      </c>
      <c r="K3946" s="9">
        <v>44834</v>
      </c>
      <c r="L3946" t="s">
        <v>29</v>
      </c>
      <c r="M3946"/>
      <c r="N3946" s="9">
        <v>44778</v>
      </c>
      <c r="O3946" s="9">
        <v>44834</v>
      </c>
      <c r="P3946"/>
      <c r="Q3946"/>
      <c r="R3946"/>
      <c r="S3946"/>
      <c r="T3946"/>
      <c r="U3946"/>
    </row>
    <row r="3947" spans="1:21" hidden="1">
      <c r="A3947" s="7" t="s">
        <v>8741</v>
      </c>
      <c r="B3947" s="7" t="s">
        <v>6723</v>
      </c>
      <c r="C3947" s="8" t="s">
        <v>5319</v>
      </c>
      <c r="D3947" t="s">
        <v>266</v>
      </c>
      <c r="E3947" t="s">
        <v>320</v>
      </c>
      <c r="F3947" t="s">
        <v>231</v>
      </c>
      <c r="G3947" t="s">
        <v>3547</v>
      </c>
      <c r="H3947" s="9">
        <v>44733</v>
      </c>
      <c r="I3947" t="s">
        <v>322</v>
      </c>
      <c r="J3947" t="s">
        <v>5330</v>
      </c>
      <c r="K3947" s="9">
        <v>44834</v>
      </c>
      <c r="L3947" t="s">
        <v>29</v>
      </c>
      <c r="M3947"/>
      <c r="N3947" s="9">
        <v>44778</v>
      </c>
      <c r="O3947" s="9">
        <v>44834</v>
      </c>
      <c r="P3947"/>
      <c r="Q3947"/>
      <c r="R3947"/>
      <c r="S3947"/>
      <c r="T3947"/>
      <c r="U3947"/>
    </row>
    <row r="3948" spans="1:21" hidden="1">
      <c r="A3948" s="7" t="s">
        <v>8741</v>
      </c>
      <c r="B3948" s="7" t="s">
        <v>6723</v>
      </c>
      <c r="C3948" s="8" t="s">
        <v>5319</v>
      </c>
      <c r="D3948" t="s">
        <v>266</v>
      </c>
      <c r="E3948" t="s">
        <v>320</v>
      </c>
      <c r="F3948" t="s">
        <v>231</v>
      </c>
      <c r="G3948" t="s">
        <v>3548</v>
      </c>
      <c r="H3948" s="9">
        <v>44733</v>
      </c>
      <c r="I3948" t="s">
        <v>322</v>
      </c>
      <c r="J3948" t="s">
        <v>5330</v>
      </c>
      <c r="K3948" s="9">
        <v>44834</v>
      </c>
      <c r="L3948" t="s">
        <v>29</v>
      </c>
      <c r="M3948"/>
      <c r="N3948" s="9">
        <v>44778</v>
      </c>
      <c r="O3948" s="9">
        <v>44834</v>
      </c>
      <c r="P3948"/>
      <c r="Q3948"/>
      <c r="R3948"/>
      <c r="S3948"/>
      <c r="T3948"/>
      <c r="U3948"/>
    </row>
    <row r="3949" spans="1:21" hidden="1">
      <c r="A3949" s="7" t="s">
        <v>8741</v>
      </c>
      <c r="B3949" s="7" t="s">
        <v>6723</v>
      </c>
      <c r="C3949" s="8" t="s">
        <v>5319</v>
      </c>
      <c r="D3949" t="s">
        <v>266</v>
      </c>
      <c r="E3949" t="s">
        <v>320</v>
      </c>
      <c r="F3949" t="s">
        <v>231</v>
      </c>
      <c r="G3949" t="s">
        <v>2594</v>
      </c>
      <c r="H3949" s="9">
        <v>44733</v>
      </c>
      <c r="I3949" t="s">
        <v>322</v>
      </c>
      <c r="J3949" t="s">
        <v>5330</v>
      </c>
      <c r="K3949" s="9">
        <v>44834</v>
      </c>
      <c r="L3949" t="s">
        <v>29</v>
      </c>
      <c r="M3949"/>
      <c r="N3949" s="9">
        <v>44778</v>
      </c>
      <c r="O3949" s="9">
        <v>44834</v>
      </c>
      <c r="P3949"/>
      <c r="Q3949"/>
      <c r="R3949"/>
      <c r="S3949"/>
      <c r="T3949"/>
      <c r="U3949"/>
    </row>
    <row r="3950" spans="1:21" hidden="1">
      <c r="A3950" s="7" t="s">
        <v>8741</v>
      </c>
      <c r="B3950" s="7" t="s">
        <v>6723</v>
      </c>
      <c r="C3950" s="8" t="s">
        <v>5319</v>
      </c>
      <c r="D3950" t="s">
        <v>266</v>
      </c>
      <c r="E3950" t="s">
        <v>320</v>
      </c>
      <c r="F3950" t="s">
        <v>231</v>
      </c>
      <c r="G3950" t="s">
        <v>2595</v>
      </c>
      <c r="H3950" s="9">
        <v>44733</v>
      </c>
      <c r="I3950" t="s">
        <v>322</v>
      </c>
      <c r="J3950" t="s">
        <v>5330</v>
      </c>
      <c r="K3950" s="9">
        <v>44834</v>
      </c>
      <c r="L3950" t="s">
        <v>29</v>
      </c>
      <c r="M3950"/>
      <c r="N3950" s="9">
        <v>44778</v>
      </c>
      <c r="O3950" s="9">
        <v>44834</v>
      </c>
      <c r="P3950"/>
      <c r="Q3950"/>
      <c r="R3950"/>
      <c r="S3950"/>
      <c r="T3950"/>
      <c r="U3950"/>
    </row>
    <row r="3951" spans="1:21" hidden="1">
      <c r="A3951" s="7" t="s">
        <v>8741</v>
      </c>
      <c r="B3951" s="7" t="s">
        <v>6723</v>
      </c>
      <c r="C3951" s="8" t="s">
        <v>5319</v>
      </c>
      <c r="D3951" t="s">
        <v>266</v>
      </c>
      <c r="E3951" t="s">
        <v>320</v>
      </c>
      <c r="F3951" t="s">
        <v>231</v>
      </c>
      <c r="G3951" t="s">
        <v>2596</v>
      </c>
      <c r="H3951" s="9">
        <v>44733</v>
      </c>
      <c r="I3951" t="s">
        <v>322</v>
      </c>
      <c r="J3951" t="s">
        <v>5330</v>
      </c>
      <c r="K3951" s="9">
        <v>44834</v>
      </c>
      <c r="L3951" t="s">
        <v>29</v>
      </c>
      <c r="M3951"/>
      <c r="N3951" s="9">
        <v>44778</v>
      </c>
      <c r="O3951" s="9">
        <v>44834</v>
      </c>
      <c r="P3951"/>
      <c r="Q3951"/>
      <c r="R3951"/>
      <c r="S3951"/>
      <c r="T3951"/>
      <c r="U3951"/>
    </row>
    <row r="3952" spans="1:21" hidden="1">
      <c r="A3952" s="7" t="s">
        <v>8741</v>
      </c>
      <c r="B3952" s="7" t="s">
        <v>6723</v>
      </c>
      <c r="C3952" s="8" t="s">
        <v>5319</v>
      </c>
      <c r="D3952" t="s">
        <v>266</v>
      </c>
      <c r="E3952" t="s">
        <v>320</v>
      </c>
      <c r="F3952" t="s">
        <v>231</v>
      </c>
      <c r="G3952" t="s">
        <v>3549</v>
      </c>
      <c r="H3952" s="9">
        <v>44733</v>
      </c>
      <c r="I3952" t="s">
        <v>322</v>
      </c>
      <c r="J3952" t="s">
        <v>5330</v>
      </c>
      <c r="K3952" s="9">
        <v>44834</v>
      </c>
      <c r="L3952" t="s">
        <v>29</v>
      </c>
      <c r="M3952"/>
      <c r="N3952" s="9">
        <v>44778</v>
      </c>
      <c r="O3952" s="9">
        <v>44834</v>
      </c>
      <c r="P3952"/>
      <c r="Q3952"/>
      <c r="R3952"/>
      <c r="S3952"/>
      <c r="T3952"/>
      <c r="U3952"/>
    </row>
    <row r="3953" spans="1:21" hidden="1">
      <c r="A3953" s="7" t="s">
        <v>8741</v>
      </c>
      <c r="B3953" s="7" t="s">
        <v>6723</v>
      </c>
      <c r="C3953" s="8" t="s">
        <v>5319</v>
      </c>
      <c r="D3953" t="s">
        <v>266</v>
      </c>
      <c r="E3953" t="s">
        <v>320</v>
      </c>
      <c r="F3953" t="s">
        <v>231</v>
      </c>
      <c r="G3953" t="s">
        <v>3550</v>
      </c>
      <c r="H3953" s="9">
        <v>44733</v>
      </c>
      <c r="I3953" t="s">
        <v>322</v>
      </c>
      <c r="J3953" t="s">
        <v>5330</v>
      </c>
      <c r="K3953" s="9">
        <v>44834</v>
      </c>
      <c r="L3953" t="s">
        <v>29</v>
      </c>
      <c r="M3953"/>
      <c r="N3953" s="9">
        <v>44778</v>
      </c>
      <c r="O3953" s="9">
        <v>44834</v>
      </c>
      <c r="P3953"/>
      <c r="Q3953"/>
      <c r="R3953"/>
      <c r="S3953"/>
      <c r="T3953"/>
      <c r="U3953"/>
    </row>
    <row r="3954" spans="1:21" hidden="1">
      <c r="A3954" s="7" t="s">
        <v>8741</v>
      </c>
      <c r="B3954" s="7" t="s">
        <v>6723</v>
      </c>
      <c r="C3954" s="8" t="s">
        <v>5319</v>
      </c>
      <c r="D3954" t="s">
        <v>266</v>
      </c>
      <c r="E3954" t="s">
        <v>320</v>
      </c>
      <c r="F3954" t="s">
        <v>231</v>
      </c>
      <c r="G3954" t="s">
        <v>3551</v>
      </c>
      <c r="H3954" s="9">
        <v>44733</v>
      </c>
      <c r="I3954" t="s">
        <v>322</v>
      </c>
      <c r="J3954" t="s">
        <v>5330</v>
      </c>
      <c r="K3954" s="9">
        <v>44834</v>
      </c>
      <c r="L3954" t="s">
        <v>29</v>
      </c>
      <c r="M3954"/>
      <c r="N3954" s="9">
        <v>44778</v>
      </c>
      <c r="O3954" s="9">
        <v>44834</v>
      </c>
      <c r="P3954"/>
      <c r="Q3954"/>
      <c r="R3954"/>
      <c r="S3954"/>
      <c r="T3954"/>
      <c r="U3954"/>
    </row>
    <row r="3955" spans="1:21" hidden="1">
      <c r="A3955" s="7" t="s">
        <v>8741</v>
      </c>
      <c r="B3955" s="7" t="s">
        <v>6723</v>
      </c>
      <c r="C3955" s="8" t="s">
        <v>5319</v>
      </c>
      <c r="D3955" t="s">
        <v>266</v>
      </c>
      <c r="E3955" t="s">
        <v>320</v>
      </c>
      <c r="F3955" t="s">
        <v>231</v>
      </c>
      <c r="G3955" t="s">
        <v>3552</v>
      </c>
      <c r="H3955" s="9">
        <v>44733</v>
      </c>
      <c r="I3955" t="s">
        <v>322</v>
      </c>
      <c r="J3955" t="s">
        <v>5330</v>
      </c>
      <c r="K3955" s="9">
        <v>44834</v>
      </c>
      <c r="L3955" t="s">
        <v>29</v>
      </c>
      <c r="M3955"/>
      <c r="N3955" s="9">
        <v>44778</v>
      </c>
      <c r="O3955" s="9">
        <v>44834</v>
      </c>
      <c r="P3955"/>
      <c r="Q3955"/>
      <c r="R3955"/>
      <c r="S3955"/>
      <c r="T3955"/>
      <c r="U3955"/>
    </row>
    <row r="3956" spans="1:21" hidden="1">
      <c r="A3956" s="7" t="s">
        <v>8741</v>
      </c>
      <c r="B3956" s="7" t="s">
        <v>6723</v>
      </c>
      <c r="C3956" s="8" t="s">
        <v>5319</v>
      </c>
      <c r="D3956" t="s">
        <v>266</v>
      </c>
      <c r="E3956" t="s">
        <v>320</v>
      </c>
      <c r="F3956" t="s">
        <v>231</v>
      </c>
      <c r="G3956" t="s">
        <v>3553</v>
      </c>
      <c r="H3956" s="9">
        <v>44733</v>
      </c>
      <c r="I3956" t="s">
        <v>322</v>
      </c>
      <c r="J3956" t="s">
        <v>5330</v>
      </c>
      <c r="K3956" s="9">
        <v>44834</v>
      </c>
      <c r="L3956" t="s">
        <v>29</v>
      </c>
      <c r="M3956"/>
      <c r="N3956" s="9">
        <v>44778</v>
      </c>
      <c r="O3956" s="9">
        <v>44834</v>
      </c>
      <c r="P3956"/>
      <c r="Q3956"/>
      <c r="R3956"/>
      <c r="S3956"/>
      <c r="T3956"/>
      <c r="U3956"/>
    </row>
    <row r="3957" spans="1:21" hidden="1">
      <c r="A3957" s="7" t="s">
        <v>8741</v>
      </c>
      <c r="B3957" s="7" t="s">
        <v>6723</v>
      </c>
      <c r="C3957" s="8" t="s">
        <v>5319</v>
      </c>
      <c r="D3957" t="s">
        <v>266</v>
      </c>
      <c r="E3957" t="s">
        <v>320</v>
      </c>
      <c r="F3957" t="s">
        <v>231</v>
      </c>
      <c r="G3957" t="s">
        <v>3554</v>
      </c>
      <c r="H3957" s="9">
        <v>44733</v>
      </c>
      <c r="I3957" t="s">
        <v>322</v>
      </c>
      <c r="J3957" t="s">
        <v>5330</v>
      </c>
      <c r="K3957" s="9">
        <v>44834</v>
      </c>
      <c r="L3957" t="s">
        <v>29</v>
      </c>
      <c r="M3957"/>
      <c r="N3957" s="9">
        <v>44778</v>
      </c>
      <c r="O3957" s="9">
        <v>44834</v>
      </c>
      <c r="P3957"/>
      <c r="Q3957"/>
      <c r="R3957"/>
      <c r="S3957"/>
      <c r="T3957"/>
      <c r="U3957"/>
    </row>
    <row r="3958" spans="1:21" hidden="1">
      <c r="A3958" s="7" t="s">
        <v>8741</v>
      </c>
      <c r="B3958" s="7" t="s">
        <v>6723</v>
      </c>
      <c r="C3958" s="8" t="s">
        <v>5319</v>
      </c>
      <c r="D3958" t="s">
        <v>266</v>
      </c>
      <c r="E3958" t="s">
        <v>320</v>
      </c>
      <c r="F3958" t="s">
        <v>231</v>
      </c>
      <c r="G3958" t="s">
        <v>3555</v>
      </c>
      <c r="H3958" s="9">
        <v>44733</v>
      </c>
      <c r="I3958" t="s">
        <v>322</v>
      </c>
      <c r="J3958" t="s">
        <v>5330</v>
      </c>
      <c r="K3958" s="9">
        <v>44834</v>
      </c>
      <c r="L3958" t="s">
        <v>29</v>
      </c>
      <c r="M3958"/>
      <c r="N3958" s="9">
        <v>44778</v>
      </c>
      <c r="O3958" s="9">
        <v>44834</v>
      </c>
      <c r="P3958"/>
      <c r="Q3958"/>
      <c r="R3958"/>
      <c r="S3958"/>
      <c r="T3958"/>
      <c r="U3958"/>
    </row>
    <row r="3959" spans="1:21" hidden="1">
      <c r="A3959" s="7" t="s">
        <v>8741</v>
      </c>
      <c r="B3959" s="7" t="s">
        <v>6723</v>
      </c>
      <c r="C3959" s="8" t="s">
        <v>5319</v>
      </c>
      <c r="D3959" t="s">
        <v>266</v>
      </c>
      <c r="E3959" t="s">
        <v>320</v>
      </c>
      <c r="F3959" t="s">
        <v>231</v>
      </c>
      <c r="G3959" t="s">
        <v>3556</v>
      </c>
      <c r="H3959" s="9">
        <v>44733</v>
      </c>
      <c r="I3959" t="s">
        <v>322</v>
      </c>
      <c r="J3959" t="s">
        <v>5330</v>
      </c>
      <c r="K3959" s="9">
        <v>44834</v>
      </c>
      <c r="L3959" t="s">
        <v>29</v>
      </c>
      <c r="M3959"/>
      <c r="N3959" s="9">
        <v>44778</v>
      </c>
      <c r="O3959" s="9">
        <v>44834</v>
      </c>
      <c r="P3959"/>
      <c r="Q3959"/>
      <c r="R3959"/>
      <c r="S3959"/>
      <c r="T3959"/>
      <c r="U3959"/>
    </row>
    <row r="3960" spans="1:21" hidden="1">
      <c r="A3960" s="7" t="s">
        <v>8741</v>
      </c>
      <c r="B3960" s="7" t="s">
        <v>6723</v>
      </c>
      <c r="C3960" s="8" t="s">
        <v>5319</v>
      </c>
      <c r="D3960" t="s">
        <v>266</v>
      </c>
      <c r="E3960" t="s">
        <v>320</v>
      </c>
      <c r="F3960" t="s">
        <v>231</v>
      </c>
      <c r="G3960" t="s">
        <v>3557</v>
      </c>
      <c r="H3960" s="9">
        <v>44733</v>
      </c>
      <c r="I3960" t="s">
        <v>322</v>
      </c>
      <c r="J3960" t="s">
        <v>5330</v>
      </c>
      <c r="K3960" s="9">
        <v>44834</v>
      </c>
      <c r="L3960" t="s">
        <v>29</v>
      </c>
      <c r="M3960"/>
      <c r="N3960" s="9">
        <v>44778</v>
      </c>
      <c r="O3960" s="9">
        <v>44834</v>
      </c>
      <c r="P3960"/>
      <c r="Q3960"/>
      <c r="R3960"/>
      <c r="S3960"/>
      <c r="T3960"/>
      <c r="U3960"/>
    </row>
    <row r="3961" spans="1:21" hidden="1">
      <c r="A3961" s="7" t="s">
        <v>8741</v>
      </c>
      <c r="B3961" s="7" t="s">
        <v>6723</v>
      </c>
      <c r="C3961" s="8" t="s">
        <v>5319</v>
      </c>
      <c r="D3961" t="s">
        <v>266</v>
      </c>
      <c r="E3961" t="s">
        <v>320</v>
      </c>
      <c r="F3961" t="s">
        <v>231</v>
      </c>
      <c r="G3961" t="s">
        <v>3558</v>
      </c>
      <c r="H3961" s="9">
        <v>44733</v>
      </c>
      <c r="I3961" t="s">
        <v>322</v>
      </c>
      <c r="J3961" t="s">
        <v>5330</v>
      </c>
      <c r="K3961" s="9">
        <v>44834</v>
      </c>
      <c r="L3961" t="s">
        <v>29</v>
      </c>
      <c r="M3961"/>
      <c r="N3961" s="9">
        <v>44778</v>
      </c>
      <c r="O3961" s="9">
        <v>44834</v>
      </c>
      <c r="P3961"/>
      <c r="Q3961"/>
      <c r="R3961"/>
      <c r="S3961"/>
      <c r="T3961"/>
      <c r="U3961"/>
    </row>
    <row r="3962" spans="1:21" hidden="1">
      <c r="A3962" s="7" t="s">
        <v>8741</v>
      </c>
      <c r="B3962" s="7" t="s">
        <v>6723</v>
      </c>
      <c r="C3962" s="8" t="s">
        <v>5319</v>
      </c>
      <c r="D3962" t="s">
        <v>266</v>
      </c>
      <c r="E3962" t="s">
        <v>320</v>
      </c>
      <c r="F3962" t="s">
        <v>231</v>
      </c>
      <c r="G3962" t="s">
        <v>3559</v>
      </c>
      <c r="H3962" s="9">
        <v>44733</v>
      </c>
      <c r="I3962" t="s">
        <v>322</v>
      </c>
      <c r="J3962" t="s">
        <v>5330</v>
      </c>
      <c r="K3962" s="9">
        <v>44834</v>
      </c>
      <c r="L3962" t="s">
        <v>29</v>
      </c>
      <c r="M3962"/>
      <c r="N3962" s="9">
        <v>44778</v>
      </c>
      <c r="O3962" s="9">
        <v>44834</v>
      </c>
      <c r="P3962"/>
      <c r="Q3962"/>
      <c r="R3962"/>
      <c r="S3962"/>
      <c r="T3962"/>
      <c r="U3962"/>
    </row>
    <row r="3963" spans="1:21" hidden="1">
      <c r="A3963" s="7" t="s">
        <v>8741</v>
      </c>
      <c r="B3963" s="7" t="s">
        <v>6723</v>
      </c>
      <c r="C3963" s="8" t="s">
        <v>5319</v>
      </c>
      <c r="D3963" t="s">
        <v>266</v>
      </c>
      <c r="E3963" t="s">
        <v>320</v>
      </c>
      <c r="F3963" t="s">
        <v>231</v>
      </c>
      <c r="G3963" t="s">
        <v>2600</v>
      </c>
      <c r="H3963" s="9">
        <v>44733</v>
      </c>
      <c r="I3963" t="s">
        <v>322</v>
      </c>
      <c r="J3963" t="s">
        <v>5330</v>
      </c>
      <c r="K3963" s="9">
        <v>44834</v>
      </c>
      <c r="L3963" t="s">
        <v>29</v>
      </c>
      <c r="M3963"/>
      <c r="N3963" s="9">
        <v>44778</v>
      </c>
      <c r="O3963" s="9">
        <v>44834</v>
      </c>
      <c r="P3963"/>
      <c r="Q3963"/>
      <c r="R3963"/>
      <c r="S3963"/>
      <c r="T3963"/>
      <c r="U3963"/>
    </row>
    <row r="3964" spans="1:21" hidden="1">
      <c r="A3964" s="7" t="s">
        <v>8758</v>
      </c>
      <c r="B3964" s="7" t="s">
        <v>5405</v>
      </c>
      <c r="C3964" s="8" t="s">
        <v>5319</v>
      </c>
      <c r="D3964" t="s">
        <v>266</v>
      </c>
      <c r="E3964" t="s">
        <v>25</v>
      </c>
      <c r="F3964" t="s">
        <v>493</v>
      </c>
      <c r="G3964" t="s">
        <v>3560</v>
      </c>
      <c r="H3964" s="9">
        <v>44733</v>
      </c>
      <c r="I3964" t="s">
        <v>8634</v>
      </c>
      <c r="J3964" t="s">
        <v>0</v>
      </c>
      <c r="K3964" s="9">
        <v>44862</v>
      </c>
      <c r="L3964" t="s">
        <v>29</v>
      </c>
      <c r="M3964"/>
      <c r="N3964" s="9">
        <v>44778</v>
      </c>
      <c r="O3964"/>
      <c r="P3964"/>
      <c r="Q3964" s="9">
        <v>44862</v>
      </c>
      <c r="R3964"/>
      <c r="S3964"/>
      <c r="T3964"/>
      <c r="U3964"/>
    </row>
    <row r="3965" spans="1:21" hidden="1">
      <c r="A3965" s="7" t="s">
        <v>8758</v>
      </c>
      <c r="B3965" s="7" t="s">
        <v>5405</v>
      </c>
      <c r="C3965" s="8" t="s">
        <v>5319</v>
      </c>
      <c r="D3965" t="s">
        <v>266</v>
      </c>
      <c r="E3965" t="s">
        <v>25</v>
      </c>
      <c r="F3965" t="s">
        <v>493</v>
      </c>
      <c r="G3965" t="s">
        <v>3561</v>
      </c>
      <c r="H3965" s="9">
        <v>44733</v>
      </c>
      <c r="I3965" t="s">
        <v>8634</v>
      </c>
      <c r="J3965" t="s">
        <v>0</v>
      </c>
      <c r="K3965" s="9">
        <v>44862</v>
      </c>
      <c r="L3965" t="s">
        <v>29</v>
      </c>
      <c r="M3965"/>
      <c r="N3965" s="9">
        <v>44778</v>
      </c>
      <c r="O3965"/>
      <c r="P3965"/>
      <c r="Q3965" s="9">
        <v>44862</v>
      </c>
      <c r="R3965"/>
      <c r="S3965"/>
      <c r="T3965"/>
      <c r="U3965"/>
    </row>
    <row r="3966" spans="1:21" hidden="1">
      <c r="A3966" s="7" t="s">
        <v>8802</v>
      </c>
      <c r="B3966" s="7" t="s">
        <v>7508</v>
      </c>
      <c r="C3966" s="8" t="s">
        <v>5319</v>
      </c>
      <c r="D3966" t="s">
        <v>266</v>
      </c>
      <c r="E3966" t="s">
        <v>1018</v>
      </c>
      <c r="F3966" t="s">
        <v>231</v>
      </c>
      <c r="G3966" t="s">
        <v>3562</v>
      </c>
      <c r="H3966" s="9">
        <v>44733</v>
      </c>
      <c r="I3966" t="s">
        <v>322</v>
      </c>
      <c r="J3966" t="s">
        <v>5330</v>
      </c>
      <c r="K3966" s="9">
        <v>44834</v>
      </c>
      <c r="L3966" t="s">
        <v>29</v>
      </c>
      <c r="M3966"/>
      <c r="N3966" s="9">
        <v>44778</v>
      </c>
      <c r="O3966" s="9">
        <v>44834</v>
      </c>
      <c r="P3966"/>
      <c r="Q3966"/>
      <c r="R3966"/>
      <c r="S3966"/>
      <c r="T3966"/>
      <c r="U3966"/>
    </row>
    <row r="3967" spans="1:21" hidden="1">
      <c r="A3967" s="7" t="s">
        <v>8765</v>
      </c>
      <c r="B3967" s="7" t="s">
        <v>5405</v>
      </c>
      <c r="C3967" s="8" t="s">
        <v>5319</v>
      </c>
      <c r="D3967" t="s">
        <v>266</v>
      </c>
      <c r="E3967" t="s">
        <v>25</v>
      </c>
      <c r="F3967" t="s">
        <v>231</v>
      </c>
      <c r="G3967" t="s">
        <v>3563</v>
      </c>
      <c r="H3967" s="9">
        <v>44733</v>
      </c>
      <c r="I3967" t="s">
        <v>8634</v>
      </c>
      <c r="J3967" t="s">
        <v>5330</v>
      </c>
      <c r="K3967" s="9">
        <v>44834</v>
      </c>
      <c r="L3967" t="s">
        <v>29</v>
      </c>
      <c r="M3967"/>
      <c r="N3967" s="9">
        <v>44778</v>
      </c>
      <c r="O3967" s="9">
        <v>44834</v>
      </c>
      <c r="P3967"/>
      <c r="Q3967"/>
      <c r="R3967"/>
      <c r="S3967"/>
      <c r="T3967"/>
      <c r="U3967"/>
    </row>
    <row r="3968" spans="1:21" hidden="1">
      <c r="A3968" s="7" t="s">
        <v>8867</v>
      </c>
      <c r="B3968" s="7" t="s">
        <v>7140</v>
      </c>
      <c r="C3968" s="8" t="s">
        <v>5319</v>
      </c>
      <c r="D3968" t="s">
        <v>266</v>
      </c>
      <c r="E3968" t="s">
        <v>2360</v>
      </c>
      <c r="F3968" t="s">
        <v>231</v>
      </c>
      <c r="G3968" t="s">
        <v>3564</v>
      </c>
      <c r="H3968" s="9">
        <v>44733</v>
      </c>
      <c r="I3968" t="s">
        <v>2362</v>
      </c>
      <c r="J3968" t="s">
        <v>5330</v>
      </c>
      <c r="K3968" s="9">
        <v>44834</v>
      </c>
      <c r="L3968" t="s">
        <v>29</v>
      </c>
      <c r="M3968"/>
      <c r="N3968" s="9">
        <v>44778</v>
      </c>
      <c r="O3968" s="9">
        <v>44834</v>
      </c>
      <c r="P3968"/>
      <c r="Q3968"/>
      <c r="R3968"/>
      <c r="S3968"/>
      <c r="T3968"/>
      <c r="U3968"/>
    </row>
    <row r="3969" spans="1:21" hidden="1">
      <c r="A3969" s="7" t="s">
        <v>8930</v>
      </c>
      <c r="B3969" s="7" t="s">
        <v>7735</v>
      </c>
      <c r="C3969" s="8" t="s">
        <v>5319</v>
      </c>
      <c r="D3969" t="s">
        <v>266</v>
      </c>
      <c r="E3969" t="s">
        <v>1790</v>
      </c>
      <c r="F3969" t="s">
        <v>231</v>
      </c>
      <c r="G3969" t="s">
        <v>3565</v>
      </c>
      <c r="H3969" s="9">
        <v>44733</v>
      </c>
      <c r="I3969" t="s">
        <v>2719</v>
      </c>
      <c r="J3969" t="s">
        <v>5330</v>
      </c>
      <c r="K3969" s="9">
        <v>44834</v>
      </c>
      <c r="L3969" t="s">
        <v>29</v>
      </c>
      <c r="M3969"/>
      <c r="N3969" s="9">
        <v>44778</v>
      </c>
      <c r="O3969" s="9">
        <v>44834</v>
      </c>
      <c r="P3969"/>
      <c r="Q3969"/>
      <c r="R3969"/>
      <c r="S3969"/>
      <c r="T3969"/>
      <c r="U3969"/>
    </row>
    <row r="3970" spans="1:21" hidden="1">
      <c r="A3970" s="7" t="s">
        <v>8930</v>
      </c>
      <c r="B3970" s="7" t="s">
        <v>7735</v>
      </c>
      <c r="C3970" s="8" t="s">
        <v>5319</v>
      </c>
      <c r="D3970" t="s">
        <v>266</v>
      </c>
      <c r="E3970" t="s">
        <v>1790</v>
      </c>
      <c r="F3970" t="s">
        <v>231</v>
      </c>
      <c r="G3970" t="s">
        <v>3566</v>
      </c>
      <c r="H3970" s="9">
        <v>44733</v>
      </c>
      <c r="I3970" t="s">
        <v>2719</v>
      </c>
      <c r="J3970" t="s">
        <v>5330</v>
      </c>
      <c r="K3970" s="9">
        <v>44834</v>
      </c>
      <c r="L3970" t="s">
        <v>29</v>
      </c>
      <c r="M3970"/>
      <c r="N3970" s="9">
        <v>44778</v>
      </c>
      <c r="O3970" s="9">
        <v>44834</v>
      </c>
      <c r="P3970"/>
      <c r="Q3970"/>
      <c r="R3970"/>
      <c r="S3970"/>
      <c r="T3970"/>
      <c r="U3970"/>
    </row>
    <row r="3971" spans="1:21" hidden="1">
      <c r="A3971" s="7" t="s">
        <v>8731</v>
      </c>
      <c r="B3971" s="7" t="s">
        <v>7478</v>
      </c>
      <c r="C3971" s="8" t="s">
        <v>5319</v>
      </c>
      <c r="D3971" t="s">
        <v>266</v>
      </c>
      <c r="E3971" t="s">
        <v>218</v>
      </c>
      <c r="F3971" t="s">
        <v>117</v>
      </c>
      <c r="G3971" t="s">
        <v>219</v>
      </c>
      <c r="H3971" s="9">
        <v>44735</v>
      </c>
      <c r="I3971" t="s">
        <v>2621</v>
      </c>
      <c r="J3971" t="s">
        <v>5330</v>
      </c>
      <c r="K3971" s="9">
        <v>44834</v>
      </c>
      <c r="L3971" t="s">
        <v>29</v>
      </c>
      <c r="M3971"/>
      <c r="N3971" s="9">
        <v>44778</v>
      </c>
      <c r="O3971" s="9">
        <v>44834</v>
      </c>
      <c r="P3971"/>
      <c r="Q3971"/>
      <c r="R3971"/>
      <c r="S3971"/>
      <c r="T3971"/>
      <c r="U3971"/>
    </row>
    <row r="3972" spans="1:21" hidden="1">
      <c r="A3972" s="7" t="s">
        <v>8731</v>
      </c>
      <c r="B3972" s="7" t="s">
        <v>7478</v>
      </c>
      <c r="C3972" s="8" t="s">
        <v>5319</v>
      </c>
      <c r="D3972" t="s">
        <v>266</v>
      </c>
      <c r="E3972" t="s">
        <v>218</v>
      </c>
      <c r="F3972" t="s">
        <v>117</v>
      </c>
      <c r="G3972" t="s">
        <v>3567</v>
      </c>
      <c r="H3972" s="9">
        <v>44735</v>
      </c>
      <c r="I3972" t="s">
        <v>2621</v>
      </c>
      <c r="J3972" t="s">
        <v>5330</v>
      </c>
      <c r="K3972" s="9">
        <v>44834</v>
      </c>
      <c r="L3972" t="s">
        <v>29</v>
      </c>
      <c r="M3972"/>
      <c r="N3972" s="9">
        <v>44778</v>
      </c>
      <c r="O3972" s="9">
        <v>44834</v>
      </c>
      <c r="P3972"/>
      <c r="Q3972"/>
      <c r="R3972"/>
      <c r="S3972"/>
      <c r="T3972"/>
      <c r="U3972"/>
    </row>
    <row r="3973" spans="1:21" hidden="1">
      <c r="A3973" s="7" t="s">
        <v>8731</v>
      </c>
      <c r="B3973" s="7" t="s">
        <v>7478</v>
      </c>
      <c r="C3973" s="8" t="s">
        <v>5319</v>
      </c>
      <c r="D3973" t="s">
        <v>266</v>
      </c>
      <c r="E3973" t="s">
        <v>218</v>
      </c>
      <c r="F3973" t="s">
        <v>117</v>
      </c>
      <c r="G3973" t="s">
        <v>221</v>
      </c>
      <c r="H3973" s="9">
        <v>44735</v>
      </c>
      <c r="I3973" t="s">
        <v>2621</v>
      </c>
      <c r="J3973" t="s">
        <v>5330</v>
      </c>
      <c r="K3973" s="9">
        <v>44834</v>
      </c>
      <c r="L3973" t="s">
        <v>29</v>
      </c>
      <c r="M3973"/>
      <c r="N3973" s="9">
        <v>44778</v>
      </c>
      <c r="O3973" s="9">
        <v>44834</v>
      </c>
      <c r="P3973"/>
      <c r="Q3973"/>
      <c r="R3973"/>
      <c r="S3973"/>
      <c r="T3973"/>
      <c r="U3973"/>
    </row>
    <row r="3974" spans="1:21" hidden="1">
      <c r="A3974" s="7" t="s">
        <v>8731</v>
      </c>
      <c r="B3974" s="7" t="s">
        <v>7478</v>
      </c>
      <c r="C3974" s="8" t="s">
        <v>5319</v>
      </c>
      <c r="D3974" t="s">
        <v>266</v>
      </c>
      <c r="E3974" t="s">
        <v>218</v>
      </c>
      <c r="F3974" t="s">
        <v>117</v>
      </c>
      <c r="G3974" t="s">
        <v>3568</v>
      </c>
      <c r="H3974" s="9">
        <v>44735</v>
      </c>
      <c r="I3974" t="s">
        <v>2621</v>
      </c>
      <c r="J3974" t="s">
        <v>5330</v>
      </c>
      <c r="K3974" s="9">
        <v>44834</v>
      </c>
      <c r="L3974" t="s">
        <v>29</v>
      </c>
      <c r="M3974"/>
      <c r="N3974" s="9">
        <v>44778</v>
      </c>
      <c r="O3974" s="9">
        <v>44834</v>
      </c>
      <c r="P3974"/>
      <c r="Q3974"/>
      <c r="R3974"/>
      <c r="S3974"/>
      <c r="T3974"/>
      <c r="U3974"/>
    </row>
    <row r="3975" spans="1:21" hidden="1">
      <c r="A3975" s="7" t="s">
        <v>8731</v>
      </c>
      <c r="B3975" s="7" t="s">
        <v>7478</v>
      </c>
      <c r="C3975" s="8" t="s">
        <v>5319</v>
      </c>
      <c r="D3975" t="s">
        <v>266</v>
      </c>
      <c r="E3975" t="s">
        <v>218</v>
      </c>
      <c r="F3975" t="s">
        <v>117</v>
      </c>
      <c r="G3975" t="s">
        <v>3569</v>
      </c>
      <c r="H3975" s="9">
        <v>44735</v>
      </c>
      <c r="I3975" t="s">
        <v>2621</v>
      </c>
      <c r="J3975" t="s">
        <v>5330</v>
      </c>
      <c r="K3975" s="9">
        <v>44834</v>
      </c>
      <c r="L3975" t="s">
        <v>29</v>
      </c>
      <c r="M3975"/>
      <c r="N3975" s="9">
        <v>44778</v>
      </c>
      <c r="O3975" s="9">
        <v>44834</v>
      </c>
      <c r="P3975"/>
      <c r="Q3975"/>
      <c r="R3975"/>
      <c r="S3975"/>
      <c r="T3975"/>
      <c r="U3975"/>
    </row>
    <row r="3976" spans="1:21" hidden="1">
      <c r="A3976" s="7" t="s">
        <v>8731</v>
      </c>
      <c r="B3976" s="7" t="s">
        <v>7478</v>
      </c>
      <c r="C3976" s="8" t="s">
        <v>5319</v>
      </c>
      <c r="D3976" t="s">
        <v>266</v>
      </c>
      <c r="E3976" t="s">
        <v>218</v>
      </c>
      <c r="F3976" t="s">
        <v>117</v>
      </c>
      <c r="G3976" t="s">
        <v>3570</v>
      </c>
      <c r="H3976" s="9">
        <v>44735</v>
      </c>
      <c r="I3976" t="s">
        <v>2621</v>
      </c>
      <c r="J3976" t="s">
        <v>5330</v>
      </c>
      <c r="K3976" s="9">
        <v>44834</v>
      </c>
      <c r="L3976" t="s">
        <v>29</v>
      </c>
      <c r="M3976"/>
      <c r="N3976" s="9">
        <v>44778</v>
      </c>
      <c r="O3976" s="9">
        <v>44834</v>
      </c>
      <c r="P3976"/>
      <c r="Q3976"/>
      <c r="R3976"/>
      <c r="S3976"/>
      <c r="T3976"/>
      <c r="U3976"/>
    </row>
    <row r="3977" spans="1:21" hidden="1">
      <c r="A3977" s="7" t="s">
        <v>8731</v>
      </c>
      <c r="B3977" s="7" t="s">
        <v>7478</v>
      </c>
      <c r="C3977" s="8" t="s">
        <v>5319</v>
      </c>
      <c r="D3977" t="s">
        <v>266</v>
      </c>
      <c r="E3977" t="s">
        <v>218</v>
      </c>
      <c r="F3977" t="s">
        <v>117</v>
      </c>
      <c r="G3977" t="s">
        <v>3571</v>
      </c>
      <c r="H3977" s="9">
        <v>44735</v>
      </c>
      <c r="I3977" t="s">
        <v>2621</v>
      </c>
      <c r="J3977" t="s">
        <v>5330</v>
      </c>
      <c r="K3977" s="9">
        <v>44834</v>
      </c>
      <c r="L3977" t="s">
        <v>29</v>
      </c>
      <c r="M3977"/>
      <c r="N3977" s="9">
        <v>44778</v>
      </c>
      <c r="O3977" s="9">
        <v>44834</v>
      </c>
      <c r="P3977"/>
      <c r="Q3977"/>
      <c r="R3977"/>
      <c r="S3977"/>
      <c r="T3977"/>
      <c r="U3977"/>
    </row>
    <row r="3978" spans="1:21" hidden="1">
      <c r="A3978" s="7" t="s">
        <v>8731</v>
      </c>
      <c r="B3978" s="7" t="s">
        <v>7478</v>
      </c>
      <c r="C3978" s="8" t="s">
        <v>5319</v>
      </c>
      <c r="D3978" t="s">
        <v>266</v>
      </c>
      <c r="E3978" t="s">
        <v>218</v>
      </c>
      <c r="F3978" t="s">
        <v>117</v>
      </c>
      <c r="G3978" t="s">
        <v>222</v>
      </c>
      <c r="H3978" s="9">
        <v>44735</v>
      </c>
      <c r="I3978" t="s">
        <v>2621</v>
      </c>
      <c r="J3978" t="s">
        <v>5330</v>
      </c>
      <c r="K3978" s="9">
        <v>44834</v>
      </c>
      <c r="L3978" t="s">
        <v>29</v>
      </c>
      <c r="M3978"/>
      <c r="N3978" s="9">
        <v>44778</v>
      </c>
      <c r="O3978" s="9">
        <v>44834</v>
      </c>
      <c r="P3978"/>
      <c r="Q3978"/>
      <c r="R3978"/>
      <c r="S3978"/>
      <c r="T3978"/>
      <c r="U3978"/>
    </row>
    <row r="3979" spans="1:21" hidden="1">
      <c r="A3979" s="7" t="s">
        <v>8731</v>
      </c>
      <c r="B3979" s="7" t="s">
        <v>7478</v>
      </c>
      <c r="C3979" s="8" t="s">
        <v>5319</v>
      </c>
      <c r="D3979" t="s">
        <v>266</v>
      </c>
      <c r="E3979" t="s">
        <v>218</v>
      </c>
      <c r="F3979" t="s">
        <v>117</v>
      </c>
      <c r="G3979" t="s">
        <v>223</v>
      </c>
      <c r="H3979" s="9">
        <v>44735</v>
      </c>
      <c r="I3979" t="s">
        <v>2621</v>
      </c>
      <c r="J3979" t="s">
        <v>5330</v>
      </c>
      <c r="K3979" s="9">
        <v>44834</v>
      </c>
      <c r="L3979" t="s">
        <v>29</v>
      </c>
      <c r="M3979"/>
      <c r="N3979" s="9">
        <v>44778</v>
      </c>
      <c r="O3979" s="9">
        <v>44834</v>
      </c>
      <c r="P3979"/>
      <c r="Q3979"/>
      <c r="R3979"/>
      <c r="S3979"/>
      <c r="T3979"/>
      <c r="U3979"/>
    </row>
    <row r="3980" spans="1:21" hidden="1">
      <c r="A3980" s="7" t="s">
        <v>8731</v>
      </c>
      <c r="B3980" s="7" t="s">
        <v>7478</v>
      </c>
      <c r="C3980" s="8" t="s">
        <v>5319</v>
      </c>
      <c r="D3980" t="s">
        <v>266</v>
      </c>
      <c r="E3980" t="s">
        <v>218</v>
      </c>
      <c r="F3980" t="s">
        <v>117</v>
      </c>
      <c r="G3980" t="s">
        <v>3572</v>
      </c>
      <c r="H3980" s="9">
        <v>44735</v>
      </c>
      <c r="I3980" t="s">
        <v>2621</v>
      </c>
      <c r="J3980" t="s">
        <v>5330</v>
      </c>
      <c r="K3980" s="9">
        <v>44834</v>
      </c>
      <c r="L3980" t="s">
        <v>29</v>
      </c>
      <c r="M3980"/>
      <c r="N3980" s="9">
        <v>44778</v>
      </c>
      <c r="O3980" s="9">
        <v>44834</v>
      </c>
      <c r="P3980"/>
      <c r="Q3980"/>
      <c r="R3980"/>
      <c r="S3980"/>
      <c r="T3980"/>
      <c r="U3980"/>
    </row>
    <row r="3981" spans="1:21" hidden="1">
      <c r="A3981" s="7" t="s">
        <v>8731</v>
      </c>
      <c r="B3981" s="7" t="s">
        <v>7478</v>
      </c>
      <c r="C3981" s="8" t="s">
        <v>5319</v>
      </c>
      <c r="D3981" t="s">
        <v>266</v>
      </c>
      <c r="E3981" t="s">
        <v>218</v>
      </c>
      <c r="F3981" t="s">
        <v>117</v>
      </c>
      <c r="G3981" t="s">
        <v>3573</v>
      </c>
      <c r="H3981" s="9">
        <v>44735</v>
      </c>
      <c r="I3981" t="s">
        <v>2621</v>
      </c>
      <c r="J3981" t="s">
        <v>5330</v>
      </c>
      <c r="K3981" s="9">
        <v>44834</v>
      </c>
      <c r="L3981" t="s">
        <v>29</v>
      </c>
      <c r="M3981"/>
      <c r="N3981" s="9">
        <v>44778</v>
      </c>
      <c r="O3981" s="9">
        <v>44834</v>
      </c>
      <c r="P3981"/>
      <c r="Q3981"/>
      <c r="R3981"/>
      <c r="S3981"/>
      <c r="T3981"/>
      <c r="U3981"/>
    </row>
    <row r="3982" spans="1:21" hidden="1">
      <c r="A3982" s="7" t="s">
        <v>8731</v>
      </c>
      <c r="B3982" s="7" t="s">
        <v>7478</v>
      </c>
      <c r="C3982" s="8" t="s">
        <v>5319</v>
      </c>
      <c r="D3982" t="s">
        <v>266</v>
      </c>
      <c r="E3982" t="s">
        <v>218</v>
      </c>
      <c r="F3982" t="s">
        <v>117</v>
      </c>
      <c r="G3982" t="s">
        <v>224</v>
      </c>
      <c r="H3982" s="9">
        <v>44735</v>
      </c>
      <c r="I3982" t="s">
        <v>2621</v>
      </c>
      <c r="J3982" t="s">
        <v>5330</v>
      </c>
      <c r="K3982" s="9">
        <v>44834</v>
      </c>
      <c r="L3982" t="s">
        <v>29</v>
      </c>
      <c r="M3982"/>
      <c r="N3982" s="9">
        <v>44778</v>
      </c>
      <c r="O3982" s="9">
        <v>44834</v>
      </c>
      <c r="P3982"/>
      <c r="Q3982"/>
      <c r="R3982"/>
      <c r="S3982"/>
      <c r="T3982"/>
      <c r="U3982"/>
    </row>
    <row r="3983" spans="1:21" hidden="1">
      <c r="A3983" s="7" t="s">
        <v>8731</v>
      </c>
      <c r="B3983" s="7" t="s">
        <v>7478</v>
      </c>
      <c r="C3983" s="8" t="s">
        <v>5319</v>
      </c>
      <c r="D3983" t="s">
        <v>266</v>
      </c>
      <c r="E3983" t="s">
        <v>218</v>
      </c>
      <c r="F3983" t="s">
        <v>117</v>
      </c>
      <c r="G3983" t="s">
        <v>225</v>
      </c>
      <c r="H3983" s="9">
        <v>44735</v>
      </c>
      <c r="I3983" t="s">
        <v>2621</v>
      </c>
      <c r="J3983" t="s">
        <v>5330</v>
      </c>
      <c r="K3983" s="9">
        <v>44834</v>
      </c>
      <c r="L3983" t="s">
        <v>29</v>
      </c>
      <c r="M3983"/>
      <c r="N3983" s="9">
        <v>44778</v>
      </c>
      <c r="O3983" s="9">
        <v>44834</v>
      </c>
      <c r="P3983"/>
      <c r="Q3983"/>
      <c r="R3983"/>
      <c r="S3983"/>
      <c r="T3983"/>
      <c r="U3983"/>
    </row>
    <row r="3984" spans="1:21" hidden="1">
      <c r="A3984" s="7" t="s">
        <v>8879</v>
      </c>
      <c r="B3984" s="7" t="s">
        <v>6044</v>
      </c>
      <c r="C3984" s="8" t="s">
        <v>5319</v>
      </c>
      <c r="D3984" t="s">
        <v>266</v>
      </c>
      <c r="E3984" t="s">
        <v>2622</v>
      </c>
      <c r="F3984" t="s">
        <v>280</v>
      </c>
      <c r="G3984" t="s">
        <v>3574</v>
      </c>
      <c r="H3984" s="9">
        <v>44733</v>
      </c>
      <c r="I3984" t="s">
        <v>28</v>
      </c>
      <c r="J3984" t="s">
        <v>5330</v>
      </c>
      <c r="K3984" s="9">
        <v>44834</v>
      </c>
      <c r="L3984" t="s">
        <v>29</v>
      </c>
      <c r="M3984"/>
      <c r="N3984" s="9">
        <v>44778</v>
      </c>
      <c r="O3984" s="9">
        <v>44834</v>
      </c>
      <c r="P3984"/>
      <c r="Q3984"/>
      <c r="R3984"/>
      <c r="S3984"/>
      <c r="T3984"/>
      <c r="U3984"/>
    </row>
    <row r="3985" spans="1:21" hidden="1">
      <c r="A3985" s="7" t="s">
        <v>8879</v>
      </c>
      <c r="B3985" s="7" t="s">
        <v>6044</v>
      </c>
      <c r="C3985" s="8" t="s">
        <v>5319</v>
      </c>
      <c r="D3985" t="s">
        <v>266</v>
      </c>
      <c r="E3985" t="s">
        <v>2622</v>
      </c>
      <c r="F3985" t="s">
        <v>280</v>
      </c>
      <c r="G3985" t="s">
        <v>3575</v>
      </c>
      <c r="H3985" s="9">
        <v>44733</v>
      </c>
      <c r="I3985" t="s">
        <v>28</v>
      </c>
      <c r="J3985" t="s">
        <v>5330</v>
      </c>
      <c r="K3985" s="9">
        <v>44834</v>
      </c>
      <c r="L3985" t="s">
        <v>29</v>
      </c>
      <c r="M3985"/>
      <c r="N3985" s="9">
        <v>44778</v>
      </c>
      <c r="O3985" s="9">
        <v>44834</v>
      </c>
      <c r="P3985"/>
      <c r="Q3985"/>
      <c r="R3985"/>
      <c r="S3985"/>
      <c r="T3985"/>
      <c r="U3985"/>
    </row>
    <row r="3986" spans="1:21" hidden="1">
      <c r="A3986" s="7" t="s">
        <v>8879</v>
      </c>
      <c r="B3986" s="7" t="s">
        <v>6044</v>
      </c>
      <c r="C3986" s="8" t="s">
        <v>5319</v>
      </c>
      <c r="D3986" t="s">
        <v>266</v>
      </c>
      <c r="E3986" t="s">
        <v>2622</v>
      </c>
      <c r="F3986" t="s">
        <v>280</v>
      </c>
      <c r="G3986" t="s">
        <v>3576</v>
      </c>
      <c r="H3986" s="9">
        <v>44733</v>
      </c>
      <c r="I3986" t="s">
        <v>28</v>
      </c>
      <c r="J3986" t="s">
        <v>5330</v>
      </c>
      <c r="K3986" s="9">
        <v>44834</v>
      </c>
      <c r="L3986" t="s">
        <v>29</v>
      </c>
      <c r="M3986"/>
      <c r="N3986" s="9">
        <v>44778</v>
      </c>
      <c r="O3986" s="9">
        <v>44834</v>
      </c>
      <c r="P3986"/>
      <c r="Q3986"/>
      <c r="R3986"/>
      <c r="S3986"/>
      <c r="T3986"/>
      <c r="U3986"/>
    </row>
    <row r="3987" spans="1:21" hidden="1">
      <c r="A3987" s="7" t="s">
        <v>8879</v>
      </c>
      <c r="B3987" s="7" t="s">
        <v>6044</v>
      </c>
      <c r="C3987" s="8" t="s">
        <v>5319</v>
      </c>
      <c r="D3987" t="s">
        <v>266</v>
      </c>
      <c r="E3987" t="s">
        <v>2622</v>
      </c>
      <c r="F3987" t="s">
        <v>280</v>
      </c>
      <c r="G3987" t="s">
        <v>3577</v>
      </c>
      <c r="H3987" s="9">
        <v>44733</v>
      </c>
      <c r="I3987" t="s">
        <v>28</v>
      </c>
      <c r="J3987" t="s">
        <v>5330</v>
      </c>
      <c r="K3987" s="9">
        <v>44834</v>
      </c>
      <c r="L3987" t="s">
        <v>29</v>
      </c>
      <c r="M3987"/>
      <c r="N3987" s="9">
        <v>44778</v>
      </c>
      <c r="O3987" s="9">
        <v>44834</v>
      </c>
      <c r="P3987"/>
      <c r="Q3987"/>
      <c r="R3987"/>
      <c r="S3987"/>
      <c r="T3987"/>
      <c r="U3987"/>
    </row>
    <row r="3988" spans="1:21" hidden="1">
      <c r="A3988" s="7" t="s">
        <v>8879</v>
      </c>
      <c r="B3988" s="7" t="s">
        <v>6044</v>
      </c>
      <c r="C3988" s="8" t="s">
        <v>5319</v>
      </c>
      <c r="D3988" t="s">
        <v>266</v>
      </c>
      <c r="E3988" t="s">
        <v>2622</v>
      </c>
      <c r="F3988" t="s">
        <v>280</v>
      </c>
      <c r="G3988" t="s">
        <v>3578</v>
      </c>
      <c r="H3988" s="9">
        <v>44733</v>
      </c>
      <c r="I3988" t="s">
        <v>28</v>
      </c>
      <c r="J3988" t="s">
        <v>5330</v>
      </c>
      <c r="K3988" s="9">
        <v>44834</v>
      </c>
      <c r="L3988" t="s">
        <v>29</v>
      </c>
      <c r="M3988"/>
      <c r="N3988" s="9">
        <v>44778</v>
      </c>
      <c r="O3988" s="9">
        <v>44834</v>
      </c>
      <c r="P3988"/>
      <c r="Q3988"/>
      <c r="R3988"/>
      <c r="S3988"/>
      <c r="T3988"/>
      <c r="U3988"/>
    </row>
    <row r="3989" spans="1:21" hidden="1">
      <c r="A3989" s="7" t="s">
        <v>8879</v>
      </c>
      <c r="B3989" s="7" t="s">
        <v>6044</v>
      </c>
      <c r="C3989" s="8" t="s">
        <v>5319</v>
      </c>
      <c r="D3989" t="s">
        <v>266</v>
      </c>
      <c r="E3989" t="s">
        <v>2622</v>
      </c>
      <c r="F3989" t="s">
        <v>280</v>
      </c>
      <c r="G3989" t="s">
        <v>3579</v>
      </c>
      <c r="H3989" s="9">
        <v>44733</v>
      </c>
      <c r="I3989" t="s">
        <v>28</v>
      </c>
      <c r="J3989" t="s">
        <v>5330</v>
      </c>
      <c r="K3989" s="9">
        <v>44834</v>
      </c>
      <c r="L3989" t="s">
        <v>29</v>
      </c>
      <c r="M3989"/>
      <c r="N3989" s="9">
        <v>44778</v>
      </c>
      <c r="O3989" s="9">
        <v>44834</v>
      </c>
      <c r="P3989"/>
      <c r="Q3989"/>
      <c r="R3989"/>
      <c r="S3989"/>
      <c r="T3989"/>
      <c r="U3989"/>
    </row>
    <row r="3990" spans="1:21" hidden="1">
      <c r="A3990" s="7" t="s">
        <v>8879</v>
      </c>
      <c r="B3990" s="7" t="s">
        <v>6044</v>
      </c>
      <c r="C3990" s="8" t="s">
        <v>5319</v>
      </c>
      <c r="D3990" t="s">
        <v>266</v>
      </c>
      <c r="E3990" t="s">
        <v>2622</v>
      </c>
      <c r="F3990" t="s">
        <v>280</v>
      </c>
      <c r="G3990" t="s">
        <v>3580</v>
      </c>
      <c r="H3990" s="9">
        <v>44733</v>
      </c>
      <c r="I3990" t="s">
        <v>28</v>
      </c>
      <c r="J3990" t="s">
        <v>5330</v>
      </c>
      <c r="K3990" s="9">
        <v>44834</v>
      </c>
      <c r="L3990" t="s">
        <v>29</v>
      </c>
      <c r="M3990"/>
      <c r="N3990" s="9">
        <v>44778</v>
      </c>
      <c r="O3990" s="9">
        <v>44834</v>
      </c>
      <c r="P3990"/>
      <c r="Q3990"/>
      <c r="R3990"/>
      <c r="S3990"/>
      <c r="T3990"/>
      <c r="U3990"/>
    </row>
    <row r="3991" spans="1:21" hidden="1">
      <c r="A3991" s="7" t="s">
        <v>8758</v>
      </c>
      <c r="B3991" s="7" t="s">
        <v>5405</v>
      </c>
      <c r="C3991" s="8" t="s">
        <v>5319</v>
      </c>
      <c r="D3991" t="s">
        <v>266</v>
      </c>
      <c r="E3991" t="s">
        <v>25</v>
      </c>
      <c r="F3991" t="s">
        <v>493</v>
      </c>
      <c r="G3991" t="s">
        <v>3581</v>
      </c>
      <c r="H3991" s="9">
        <v>44733</v>
      </c>
      <c r="I3991" t="s">
        <v>8634</v>
      </c>
      <c r="J3991" t="s">
        <v>0</v>
      </c>
      <c r="K3991" s="9">
        <v>44862</v>
      </c>
      <c r="L3991" t="s">
        <v>29</v>
      </c>
      <c r="M3991"/>
      <c r="N3991" s="9">
        <v>44778</v>
      </c>
      <c r="O3991"/>
      <c r="P3991"/>
      <c r="Q3991" s="9">
        <v>44862</v>
      </c>
      <c r="R3991"/>
      <c r="S3991"/>
      <c r="T3991"/>
      <c r="U3991"/>
    </row>
    <row r="3992" spans="1:21" hidden="1">
      <c r="A3992" s="7" t="s">
        <v>8879</v>
      </c>
      <c r="B3992" s="7" t="s">
        <v>6044</v>
      </c>
      <c r="C3992" s="8" t="s">
        <v>5319</v>
      </c>
      <c r="D3992" t="s">
        <v>266</v>
      </c>
      <c r="E3992" t="s">
        <v>2622</v>
      </c>
      <c r="F3992" t="s">
        <v>280</v>
      </c>
      <c r="G3992" t="s">
        <v>2623</v>
      </c>
      <c r="H3992" s="9">
        <v>44733</v>
      </c>
      <c r="I3992" t="s">
        <v>28</v>
      </c>
      <c r="J3992" t="s">
        <v>5330</v>
      </c>
      <c r="K3992" s="9">
        <v>44834</v>
      </c>
      <c r="L3992" t="s">
        <v>29</v>
      </c>
      <c r="M3992"/>
      <c r="N3992" s="9">
        <v>44778</v>
      </c>
      <c r="O3992" s="9">
        <v>44834</v>
      </c>
      <c r="P3992"/>
      <c r="Q3992"/>
      <c r="R3992"/>
      <c r="S3992"/>
      <c r="T3992"/>
      <c r="U3992"/>
    </row>
    <row r="3993" spans="1:21" hidden="1">
      <c r="A3993" s="7" t="s">
        <v>8879</v>
      </c>
      <c r="B3993" s="7" t="s">
        <v>6044</v>
      </c>
      <c r="C3993" s="8" t="s">
        <v>5319</v>
      </c>
      <c r="D3993" t="s">
        <v>266</v>
      </c>
      <c r="E3993" t="s">
        <v>2622</v>
      </c>
      <c r="F3993" t="s">
        <v>280</v>
      </c>
      <c r="G3993" t="s">
        <v>2624</v>
      </c>
      <c r="H3993" s="9">
        <v>44733</v>
      </c>
      <c r="I3993" t="s">
        <v>28</v>
      </c>
      <c r="J3993" t="s">
        <v>5330</v>
      </c>
      <c r="K3993" s="9">
        <v>44834</v>
      </c>
      <c r="L3993" t="s">
        <v>29</v>
      </c>
      <c r="M3993"/>
      <c r="N3993" s="9">
        <v>44778</v>
      </c>
      <c r="O3993" s="9">
        <v>44834</v>
      </c>
      <c r="P3993"/>
      <c r="Q3993"/>
      <c r="R3993"/>
      <c r="S3993"/>
      <c r="T3993"/>
      <c r="U3993"/>
    </row>
    <row r="3994" spans="1:21" hidden="1">
      <c r="A3994" s="7" t="s">
        <v>8879</v>
      </c>
      <c r="B3994" s="7" t="s">
        <v>6044</v>
      </c>
      <c r="C3994" s="8" t="s">
        <v>5319</v>
      </c>
      <c r="D3994" t="s">
        <v>266</v>
      </c>
      <c r="E3994" t="s">
        <v>2622</v>
      </c>
      <c r="F3994" t="s">
        <v>280</v>
      </c>
      <c r="G3994" t="s">
        <v>2625</v>
      </c>
      <c r="H3994" s="9">
        <v>44733</v>
      </c>
      <c r="I3994" t="s">
        <v>28</v>
      </c>
      <c r="J3994" t="s">
        <v>5330</v>
      </c>
      <c r="K3994" s="9">
        <v>44834</v>
      </c>
      <c r="L3994" t="s">
        <v>29</v>
      </c>
      <c r="M3994"/>
      <c r="N3994" s="9">
        <v>44778</v>
      </c>
      <c r="O3994" s="9">
        <v>44834</v>
      </c>
      <c r="P3994"/>
      <c r="Q3994"/>
      <c r="R3994"/>
      <c r="S3994"/>
      <c r="T3994"/>
      <c r="U3994"/>
    </row>
    <row r="3995" spans="1:21" hidden="1">
      <c r="A3995" s="7" t="s">
        <v>8879</v>
      </c>
      <c r="B3995" s="7" t="s">
        <v>6044</v>
      </c>
      <c r="C3995" s="8" t="s">
        <v>5319</v>
      </c>
      <c r="D3995" t="s">
        <v>266</v>
      </c>
      <c r="E3995" t="s">
        <v>2622</v>
      </c>
      <c r="F3995" t="s">
        <v>280</v>
      </c>
      <c r="G3995" t="s">
        <v>2626</v>
      </c>
      <c r="H3995" s="9">
        <v>44733</v>
      </c>
      <c r="I3995" t="s">
        <v>28</v>
      </c>
      <c r="J3995" t="s">
        <v>5330</v>
      </c>
      <c r="K3995" s="9">
        <v>44834</v>
      </c>
      <c r="L3995" t="s">
        <v>29</v>
      </c>
      <c r="M3995"/>
      <c r="N3995" s="9">
        <v>44778</v>
      </c>
      <c r="O3995" s="9">
        <v>44834</v>
      </c>
      <c r="P3995"/>
      <c r="Q3995"/>
      <c r="R3995"/>
      <c r="S3995"/>
      <c r="T3995"/>
      <c r="U3995"/>
    </row>
    <row r="3996" spans="1:21" hidden="1">
      <c r="A3996" s="7" t="s">
        <v>8879</v>
      </c>
      <c r="B3996" s="7" t="s">
        <v>6044</v>
      </c>
      <c r="C3996" s="8" t="s">
        <v>5319</v>
      </c>
      <c r="D3996" t="s">
        <v>266</v>
      </c>
      <c r="E3996" t="s">
        <v>2622</v>
      </c>
      <c r="F3996" t="s">
        <v>280</v>
      </c>
      <c r="G3996" t="s">
        <v>2627</v>
      </c>
      <c r="H3996" s="9">
        <v>44733</v>
      </c>
      <c r="I3996" t="s">
        <v>28</v>
      </c>
      <c r="J3996" t="s">
        <v>5330</v>
      </c>
      <c r="K3996" s="9">
        <v>44834</v>
      </c>
      <c r="L3996" t="s">
        <v>29</v>
      </c>
      <c r="M3996"/>
      <c r="N3996" s="9">
        <v>44778</v>
      </c>
      <c r="O3996" s="9">
        <v>44834</v>
      </c>
      <c r="P3996"/>
      <c r="Q3996"/>
      <c r="R3996"/>
      <c r="S3996"/>
      <c r="T3996"/>
      <c r="U3996"/>
    </row>
    <row r="3997" spans="1:21" hidden="1">
      <c r="A3997" s="7" t="s">
        <v>8879</v>
      </c>
      <c r="B3997" s="7" t="s">
        <v>6044</v>
      </c>
      <c r="C3997" s="8" t="s">
        <v>5319</v>
      </c>
      <c r="D3997" t="s">
        <v>266</v>
      </c>
      <c r="E3997" t="s">
        <v>2622</v>
      </c>
      <c r="F3997" t="s">
        <v>280</v>
      </c>
      <c r="G3997" t="s">
        <v>3582</v>
      </c>
      <c r="H3997" s="9">
        <v>44733</v>
      </c>
      <c r="I3997" t="s">
        <v>28</v>
      </c>
      <c r="J3997" t="s">
        <v>5330</v>
      </c>
      <c r="K3997" s="9">
        <v>44834</v>
      </c>
      <c r="L3997" t="s">
        <v>29</v>
      </c>
      <c r="M3997"/>
      <c r="N3997" s="9">
        <v>44778</v>
      </c>
      <c r="O3997" s="9">
        <v>44834</v>
      </c>
      <c r="P3997"/>
      <c r="Q3997"/>
      <c r="R3997"/>
      <c r="S3997"/>
      <c r="T3997"/>
      <c r="U3997"/>
    </row>
    <row r="3998" spans="1:21" hidden="1">
      <c r="A3998" s="7" t="s">
        <v>8879</v>
      </c>
      <c r="B3998" s="7" t="s">
        <v>6044</v>
      </c>
      <c r="C3998" s="8" t="s">
        <v>5319</v>
      </c>
      <c r="D3998" t="s">
        <v>266</v>
      </c>
      <c r="E3998" t="s">
        <v>2622</v>
      </c>
      <c r="F3998" t="s">
        <v>280</v>
      </c>
      <c r="G3998" t="s">
        <v>3583</v>
      </c>
      <c r="H3998" s="9">
        <v>44733</v>
      </c>
      <c r="I3998" t="s">
        <v>28</v>
      </c>
      <c r="J3998" t="s">
        <v>5330</v>
      </c>
      <c r="K3998" s="9">
        <v>44834</v>
      </c>
      <c r="L3998" t="s">
        <v>29</v>
      </c>
      <c r="M3998"/>
      <c r="N3998" s="9">
        <v>44778</v>
      </c>
      <c r="O3998" s="9">
        <v>44834</v>
      </c>
      <c r="P3998"/>
      <c r="Q3998"/>
      <c r="R3998"/>
      <c r="S3998"/>
      <c r="T3998"/>
      <c r="U3998"/>
    </row>
    <row r="3999" spans="1:21" hidden="1">
      <c r="A3999" s="7" t="s">
        <v>8879</v>
      </c>
      <c r="B3999" s="7" t="s">
        <v>6044</v>
      </c>
      <c r="C3999" s="8" t="s">
        <v>5319</v>
      </c>
      <c r="D3999" t="s">
        <v>266</v>
      </c>
      <c r="E3999" t="s">
        <v>2622</v>
      </c>
      <c r="F3999" t="s">
        <v>280</v>
      </c>
      <c r="G3999" t="s">
        <v>3584</v>
      </c>
      <c r="H3999" s="9">
        <v>44733</v>
      </c>
      <c r="I3999" t="s">
        <v>28</v>
      </c>
      <c r="J3999" t="s">
        <v>5330</v>
      </c>
      <c r="K3999" s="9">
        <v>44834</v>
      </c>
      <c r="L3999" t="s">
        <v>29</v>
      </c>
      <c r="M3999"/>
      <c r="N3999" s="9">
        <v>44778</v>
      </c>
      <c r="O3999" s="9">
        <v>44834</v>
      </c>
      <c r="P3999"/>
      <c r="Q3999"/>
      <c r="R3999"/>
      <c r="S3999"/>
      <c r="T3999"/>
      <c r="U3999"/>
    </row>
    <row r="4000" spans="1:21" hidden="1">
      <c r="A4000" s="7" t="s">
        <v>8879</v>
      </c>
      <c r="B4000" s="7" t="s">
        <v>6044</v>
      </c>
      <c r="C4000" s="8" t="s">
        <v>5319</v>
      </c>
      <c r="D4000" t="s">
        <v>266</v>
      </c>
      <c r="E4000" t="s">
        <v>2622</v>
      </c>
      <c r="F4000" t="s">
        <v>280</v>
      </c>
      <c r="G4000" t="s">
        <v>3585</v>
      </c>
      <c r="H4000" s="9">
        <v>44733</v>
      </c>
      <c r="I4000" t="s">
        <v>28</v>
      </c>
      <c r="J4000" t="s">
        <v>5330</v>
      </c>
      <c r="K4000" s="9">
        <v>44834</v>
      </c>
      <c r="L4000" t="s">
        <v>29</v>
      </c>
      <c r="M4000"/>
      <c r="N4000" s="9">
        <v>44778</v>
      </c>
      <c r="O4000" s="9">
        <v>44834</v>
      </c>
      <c r="P4000"/>
      <c r="Q4000"/>
      <c r="R4000"/>
      <c r="S4000"/>
      <c r="T4000"/>
      <c r="U4000"/>
    </row>
    <row r="4001" spans="1:21" hidden="1">
      <c r="A4001" s="7" t="s">
        <v>8879</v>
      </c>
      <c r="B4001" s="7" t="s">
        <v>6044</v>
      </c>
      <c r="C4001" s="8" t="s">
        <v>5319</v>
      </c>
      <c r="D4001" t="s">
        <v>266</v>
      </c>
      <c r="E4001" t="s">
        <v>2622</v>
      </c>
      <c r="F4001" t="s">
        <v>280</v>
      </c>
      <c r="G4001" t="s">
        <v>2628</v>
      </c>
      <c r="H4001" s="9">
        <v>44733</v>
      </c>
      <c r="I4001" t="s">
        <v>28</v>
      </c>
      <c r="J4001" t="s">
        <v>5330</v>
      </c>
      <c r="K4001" s="9">
        <v>44834</v>
      </c>
      <c r="L4001" t="s">
        <v>29</v>
      </c>
      <c r="M4001"/>
      <c r="N4001" s="9">
        <v>44778</v>
      </c>
      <c r="O4001" s="9">
        <v>44834</v>
      </c>
      <c r="P4001"/>
      <c r="Q4001"/>
      <c r="R4001"/>
      <c r="S4001"/>
      <c r="T4001"/>
      <c r="U4001"/>
    </row>
    <row r="4002" spans="1:21" hidden="1">
      <c r="A4002" s="7" t="s">
        <v>8931</v>
      </c>
      <c r="B4002" s="7" t="s">
        <v>8367</v>
      </c>
      <c r="C4002" s="8" t="s">
        <v>5319</v>
      </c>
      <c r="D4002" t="s">
        <v>266</v>
      </c>
      <c r="E4002" t="s">
        <v>3586</v>
      </c>
      <c r="F4002" t="s">
        <v>117</v>
      </c>
      <c r="G4002" t="s">
        <v>3587</v>
      </c>
      <c r="H4002" s="9">
        <v>44733</v>
      </c>
      <c r="I4002" t="s">
        <v>882</v>
      </c>
      <c r="J4002" t="s">
        <v>5330</v>
      </c>
      <c r="K4002" s="9">
        <v>44834</v>
      </c>
      <c r="L4002" t="s">
        <v>29</v>
      </c>
      <c r="M4002"/>
      <c r="N4002" s="9">
        <v>44778</v>
      </c>
      <c r="O4002" s="9">
        <v>44834</v>
      </c>
      <c r="P4002"/>
      <c r="Q4002"/>
      <c r="R4002"/>
      <c r="S4002"/>
      <c r="T4002"/>
      <c r="U4002"/>
    </row>
    <row r="4003" spans="1:21" hidden="1">
      <c r="A4003" s="7" t="s">
        <v>8931</v>
      </c>
      <c r="B4003" s="7" t="s">
        <v>8367</v>
      </c>
      <c r="C4003" s="8" t="s">
        <v>5319</v>
      </c>
      <c r="D4003" t="s">
        <v>266</v>
      </c>
      <c r="E4003" t="s">
        <v>3586</v>
      </c>
      <c r="F4003" t="s">
        <v>117</v>
      </c>
      <c r="G4003" t="s">
        <v>3588</v>
      </c>
      <c r="H4003" s="9">
        <v>44733</v>
      </c>
      <c r="I4003" t="s">
        <v>882</v>
      </c>
      <c r="J4003" t="s">
        <v>5330</v>
      </c>
      <c r="K4003" s="9">
        <v>44834</v>
      </c>
      <c r="L4003" t="s">
        <v>29</v>
      </c>
      <c r="M4003"/>
      <c r="N4003" s="9">
        <v>44778</v>
      </c>
      <c r="O4003" s="9">
        <v>44834</v>
      </c>
      <c r="P4003"/>
      <c r="Q4003"/>
      <c r="R4003"/>
      <c r="S4003"/>
      <c r="T4003"/>
      <c r="U4003"/>
    </row>
    <row r="4004" spans="1:21" hidden="1">
      <c r="A4004" s="7" t="s">
        <v>8931</v>
      </c>
      <c r="B4004" s="7" t="s">
        <v>8367</v>
      </c>
      <c r="C4004" s="8" t="s">
        <v>5319</v>
      </c>
      <c r="D4004" t="s">
        <v>266</v>
      </c>
      <c r="E4004" t="s">
        <v>3586</v>
      </c>
      <c r="F4004" t="s">
        <v>117</v>
      </c>
      <c r="G4004" t="s">
        <v>3589</v>
      </c>
      <c r="H4004" s="9">
        <v>44733</v>
      </c>
      <c r="I4004" t="s">
        <v>882</v>
      </c>
      <c r="J4004" t="s">
        <v>5330</v>
      </c>
      <c r="K4004" s="9">
        <v>44834</v>
      </c>
      <c r="L4004" t="s">
        <v>29</v>
      </c>
      <c r="M4004"/>
      <c r="N4004" s="9">
        <v>44778</v>
      </c>
      <c r="O4004" s="9">
        <v>44834</v>
      </c>
      <c r="P4004"/>
      <c r="Q4004"/>
      <c r="R4004"/>
      <c r="S4004"/>
      <c r="T4004"/>
      <c r="U4004"/>
    </row>
    <row r="4005" spans="1:21" hidden="1">
      <c r="A4005" s="7" t="s">
        <v>8931</v>
      </c>
      <c r="B4005" s="7" t="s">
        <v>8367</v>
      </c>
      <c r="C4005" s="8" t="s">
        <v>5319</v>
      </c>
      <c r="D4005" t="s">
        <v>266</v>
      </c>
      <c r="E4005" t="s">
        <v>3586</v>
      </c>
      <c r="F4005" t="s">
        <v>117</v>
      </c>
      <c r="G4005" t="s">
        <v>3590</v>
      </c>
      <c r="H4005" s="9">
        <v>44733</v>
      </c>
      <c r="I4005" t="s">
        <v>882</v>
      </c>
      <c r="J4005" t="s">
        <v>5330</v>
      </c>
      <c r="K4005" s="9">
        <v>44834</v>
      </c>
      <c r="L4005" t="s">
        <v>29</v>
      </c>
      <c r="M4005"/>
      <c r="N4005" s="9">
        <v>44778</v>
      </c>
      <c r="O4005" s="9">
        <v>44834</v>
      </c>
      <c r="P4005"/>
      <c r="Q4005"/>
      <c r="R4005"/>
      <c r="S4005"/>
      <c r="T4005"/>
      <c r="U4005"/>
    </row>
    <row r="4006" spans="1:21" hidden="1">
      <c r="A4006" s="7" t="s">
        <v>8931</v>
      </c>
      <c r="B4006" s="7" t="s">
        <v>8367</v>
      </c>
      <c r="C4006" s="8" t="s">
        <v>5319</v>
      </c>
      <c r="D4006" t="s">
        <v>266</v>
      </c>
      <c r="E4006" t="s">
        <v>3586</v>
      </c>
      <c r="F4006" t="s">
        <v>117</v>
      </c>
      <c r="G4006" t="s">
        <v>3591</v>
      </c>
      <c r="H4006" s="9">
        <v>44733</v>
      </c>
      <c r="I4006" t="s">
        <v>882</v>
      </c>
      <c r="J4006" t="s">
        <v>5330</v>
      </c>
      <c r="K4006" s="9">
        <v>44834</v>
      </c>
      <c r="L4006" t="s">
        <v>29</v>
      </c>
      <c r="M4006"/>
      <c r="N4006" s="9">
        <v>44778</v>
      </c>
      <c r="O4006" s="9">
        <v>44834</v>
      </c>
      <c r="P4006"/>
      <c r="Q4006"/>
      <c r="R4006"/>
      <c r="S4006"/>
      <c r="T4006"/>
      <c r="U4006"/>
    </row>
    <row r="4007" spans="1:21" hidden="1">
      <c r="A4007" s="7" t="s">
        <v>8931</v>
      </c>
      <c r="B4007" s="7" t="s">
        <v>8367</v>
      </c>
      <c r="C4007" s="8" t="s">
        <v>5319</v>
      </c>
      <c r="D4007" t="s">
        <v>266</v>
      </c>
      <c r="E4007" t="s">
        <v>3586</v>
      </c>
      <c r="F4007" t="s">
        <v>117</v>
      </c>
      <c r="G4007" t="s">
        <v>3592</v>
      </c>
      <c r="H4007" s="9">
        <v>44733</v>
      </c>
      <c r="I4007" t="s">
        <v>882</v>
      </c>
      <c r="J4007" t="s">
        <v>5330</v>
      </c>
      <c r="K4007" s="9">
        <v>44834</v>
      </c>
      <c r="L4007" t="s">
        <v>29</v>
      </c>
      <c r="M4007"/>
      <c r="N4007" s="9">
        <v>44778</v>
      </c>
      <c r="O4007" s="9">
        <v>44834</v>
      </c>
      <c r="P4007"/>
      <c r="Q4007"/>
      <c r="R4007"/>
      <c r="S4007"/>
      <c r="T4007"/>
      <c r="U4007"/>
    </row>
    <row r="4008" spans="1:21" hidden="1">
      <c r="A4008" s="7" t="s">
        <v>8931</v>
      </c>
      <c r="B4008" s="7" t="s">
        <v>8367</v>
      </c>
      <c r="C4008" s="8" t="s">
        <v>5319</v>
      </c>
      <c r="D4008" t="s">
        <v>266</v>
      </c>
      <c r="E4008" t="s">
        <v>3586</v>
      </c>
      <c r="F4008" t="s">
        <v>117</v>
      </c>
      <c r="G4008" t="s">
        <v>3593</v>
      </c>
      <c r="H4008" s="9">
        <v>44733</v>
      </c>
      <c r="I4008" t="s">
        <v>882</v>
      </c>
      <c r="J4008" t="s">
        <v>5330</v>
      </c>
      <c r="K4008" s="9">
        <v>44834</v>
      </c>
      <c r="L4008" t="s">
        <v>29</v>
      </c>
      <c r="M4008"/>
      <c r="N4008" s="9">
        <v>44778</v>
      </c>
      <c r="O4008" s="9">
        <v>44834</v>
      </c>
      <c r="P4008"/>
      <c r="Q4008"/>
      <c r="R4008"/>
      <c r="S4008"/>
      <c r="T4008"/>
      <c r="U4008"/>
    </row>
    <row r="4009" spans="1:21" hidden="1">
      <c r="A4009" s="7" t="s">
        <v>8825</v>
      </c>
      <c r="B4009" s="7" t="s">
        <v>5405</v>
      </c>
      <c r="C4009" s="8" t="s">
        <v>5319</v>
      </c>
      <c r="D4009" t="s">
        <v>266</v>
      </c>
      <c r="E4009" t="s">
        <v>25</v>
      </c>
      <c r="F4009" t="s">
        <v>111</v>
      </c>
      <c r="G4009" t="s">
        <v>3594</v>
      </c>
      <c r="H4009" s="9">
        <v>44733</v>
      </c>
      <c r="I4009" t="s">
        <v>8634</v>
      </c>
      <c r="J4009" t="s">
        <v>0</v>
      </c>
      <c r="K4009" s="9">
        <v>44881</v>
      </c>
      <c r="L4009" t="s">
        <v>29</v>
      </c>
      <c r="M4009"/>
      <c r="N4009" s="9">
        <v>44778</v>
      </c>
      <c r="O4009"/>
      <c r="P4009"/>
      <c r="Q4009" s="9">
        <v>44881</v>
      </c>
      <c r="R4009"/>
      <c r="S4009"/>
      <c r="T4009"/>
      <c r="U4009"/>
    </row>
    <row r="4010" spans="1:21" hidden="1">
      <c r="A4010" s="7" t="s">
        <v>8932</v>
      </c>
      <c r="B4010" s="7" t="s">
        <v>6157</v>
      </c>
      <c r="C4010" s="8" t="s">
        <v>5319</v>
      </c>
      <c r="D4010" t="s">
        <v>266</v>
      </c>
      <c r="E4010" t="s">
        <v>1020</v>
      </c>
      <c r="F4010" t="s">
        <v>79</v>
      </c>
      <c r="G4010" t="s">
        <v>3595</v>
      </c>
      <c r="H4010" s="9">
        <v>44733</v>
      </c>
      <c r="I4010" t="s">
        <v>882</v>
      </c>
      <c r="J4010" t="s">
        <v>5330</v>
      </c>
      <c r="K4010" s="9">
        <v>44834</v>
      </c>
      <c r="L4010" t="s">
        <v>29</v>
      </c>
      <c r="M4010"/>
      <c r="N4010" s="9">
        <v>44778</v>
      </c>
      <c r="O4010" s="9">
        <v>44834</v>
      </c>
      <c r="P4010"/>
      <c r="Q4010"/>
      <c r="R4010"/>
      <c r="S4010"/>
      <c r="T4010"/>
      <c r="U4010"/>
    </row>
    <row r="4011" spans="1:21" hidden="1">
      <c r="A4011" s="7" t="s">
        <v>8932</v>
      </c>
      <c r="B4011" s="7" t="s">
        <v>6157</v>
      </c>
      <c r="C4011" s="8" t="s">
        <v>5319</v>
      </c>
      <c r="D4011" t="s">
        <v>266</v>
      </c>
      <c r="E4011" t="s">
        <v>1020</v>
      </c>
      <c r="F4011" t="s">
        <v>79</v>
      </c>
      <c r="G4011" t="s">
        <v>3596</v>
      </c>
      <c r="H4011" s="9">
        <v>44733</v>
      </c>
      <c r="I4011" t="s">
        <v>882</v>
      </c>
      <c r="J4011" t="s">
        <v>5330</v>
      </c>
      <c r="K4011" s="9">
        <v>44834</v>
      </c>
      <c r="L4011" t="s">
        <v>29</v>
      </c>
      <c r="M4011"/>
      <c r="N4011" s="9">
        <v>44778</v>
      </c>
      <c r="O4011" s="9">
        <v>44834</v>
      </c>
      <c r="P4011"/>
      <c r="Q4011"/>
      <c r="R4011"/>
      <c r="S4011"/>
      <c r="T4011"/>
      <c r="U4011"/>
    </row>
    <row r="4012" spans="1:21" hidden="1">
      <c r="A4012" s="7" t="s">
        <v>8804</v>
      </c>
      <c r="B4012" s="7" t="s">
        <v>7832</v>
      </c>
      <c r="C4012" s="8" t="s">
        <v>5319</v>
      </c>
      <c r="D4012" t="s">
        <v>266</v>
      </c>
      <c r="E4012" t="s">
        <v>1026</v>
      </c>
      <c r="F4012" t="s">
        <v>117</v>
      </c>
      <c r="G4012" t="s">
        <v>3597</v>
      </c>
      <c r="H4012" s="9">
        <v>44733</v>
      </c>
      <c r="I4012" t="s">
        <v>488</v>
      </c>
      <c r="J4012" t="s">
        <v>276</v>
      </c>
      <c r="K4012" s="9">
        <v>44874.705752314803</v>
      </c>
      <c r="L4012" t="s">
        <v>29</v>
      </c>
      <c r="M4012"/>
      <c r="N4012" s="9">
        <v>44778</v>
      </c>
      <c r="O4012" s="9">
        <v>44834</v>
      </c>
      <c r="P4012"/>
      <c r="Q4012"/>
      <c r="R4012" s="9">
        <v>44874.704629629603</v>
      </c>
      <c r="S4012"/>
      <c r="T4012"/>
      <c r="U4012"/>
    </row>
    <row r="4013" spans="1:21" hidden="1">
      <c r="A4013" s="7" t="s">
        <v>8804</v>
      </c>
      <c r="B4013" s="7" t="s">
        <v>7832</v>
      </c>
      <c r="C4013" s="8" t="s">
        <v>5319</v>
      </c>
      <c r="D4013" t="s">
        <v>266</v>
      </c>
      <c r="E4013" t="s">
        <v>1026</v>
      </c>
      <c r="F4013" t="s">
        <v>117</v>
      </c>
      <c r="G4013" t="s">
        <v>3598</v>
      </c>
      <c r="H4013" s="9">
        <v>44733</v>
      </c>
      <c r="I4013" t="s">
        <v>488</v>
      </c>
      <c r="J4013" t="s">
        <v>276</v>
      </c>
      <c r="K4013" s="9">
        <v>44874.705752314803</v>
      </c>
      <c r="L4013" t="s">
        <v>29</v>
      </c>
      <c r="M4013"/>
      <c r="N4013" s="9">
        <v>44778</v>
      </c>
      <c r="O4013" s="9">
        <v>44834</v>
      </c>
      <c r="P4013"/>
      <c r="Q4013"/>
      <c r="R4013" s="9">
        <v>44874.704629629603</v>
      </c>
      <c r="S4013"/>
      <c r="T4013"/>
      <c r="U4013"/>
    </row>
    <row r="4014" spans="1:21" hidden="1">
      <c r="A4014" s="7" t="s">
        <v>8804</v>
      </c>
      <c r="B4014" s="7" t="s">
        <v>7832</v>
      </c>
      <c r="C4014" s="8" t="s">
        <v>5319</v>
      </c>
      <c r="D4014" t="s">
        <v>266</v>
      </c>
      <c r="E4014" t="s">
        <v>1026</v>
      </c>
      <c r="F4014" t="s">
        <v>117</v>
      </c>
      <c r="G4014" t="s">
        <v>3599</v>
      </c>
      <c r="H4014" s="9">
        <v>44733</v>
      </c>
      <c r="I4014" t="s">
        <v>488</v>
      </c>
      <c r="J4014" t="s">
        <v>276</v>
      </c>
      <c r="K4014" s="9">
        <v>44874.705752314803</v>
      </c>
      <c r="L4014" t="s">
        <v>29</v>
      </c>
      <c r="M4014"/>
      <c r="N4014" s="9">
        <v>44778</v>
      </c>
      <c r="O4014" s="9">
        <v>44834</v>
      </c>
      <c r="P4014"/>
      <c r="Q4014"/>
      <c r="R4014" s="9">
        <v>44874.704629629603</v>
      </c>
      <c r="S4014"/>
      <c r="T4014"/>
      <c r="U4014"/>
    </row>
    <row r="4015" spans="1:21" hidden="1">
      <c r="A4015" s="7" t="s">
        <v>8804</v>
      </c>
      <c r="B4015" s="7" t="s">
        <v>7832</v>
      </c>
      <c r="C4015" s="8" t="s">
        <v>5319</v>
      </c>
      <c r="D4015" t="s">
        <v>266</v>
      </c>
      <c r="E4015" t="s">
        <v>1026</v>
      </c>
      <c r="F4015" t="s">
        <v>117</v>
      </c>
      <c r="G4015" t="s">
        <v>3600</v>
      </c>
      <c r="H4015" s="9">
        <v>44733</v>
      </c>
      <c r="I4015" t="s">
        <v>488</v>
      </c>
      <c r="J4015" t="s">
        <v>276</v>
      </c>
      <c r="K4015" s="9">
        <v>44874.705752314803</v>
      </c>
      <c r="L4015" t="s">
        <v>29</v>
      </c>
      <c r="M4015"/>
      <c r="N4015" s="9">
        <v>44778</v>
      </c>
      <c r="O4015" s="9">
        <v>44834</v>
      </c>
      <c r="P4015"/>
      <c r="Q4015"/>
      <c r="R4015" s="9">
        <v>44874.704629629603</v>
      </c>
      <c r="S4015"/>
      <c r="T4015"/>
      <c r="U4015"/>
    </row>
    <row r="4016" spans="1:21" hidden="1">
      <c r="A4016" s="7" t="s">
        <v>8804</v>
      </c>
      <c r="B4016" s="7" t="s">
        <v>7832</v>
      </c>
      <c r="C4016" s="8" t="s">
        <v>5319</v>
      </c>
      <c r="D4016" t="s">
        <v>266</v>
      </c>
      <c r="E4016" t="s">
        <v>1026</v>
      </c>
      <c r="F4016" t="s">
        <v>117</v>
      </c>
      <c r="G4016" t="s">
        <v>3601</v>
      </c>
      <c r="H4016" s="9">
        <v>44733</v>
      </c>
      <c r="I4016" t="s">
        <v>488</v>
      </c>
      <c r="J4016" t="s">
        <v>276</v>
      </c>
      <c r="K4016" s="9">
        <v>44874.705752314803</v>
      </c>
      <c r="L4016" t="s">
        <v>29</v>
      </c>
      <c r="M4016"/>
      <c r="N4016" s="9">
        <v>44778</v>
      </c>
      <c r="O4016" s="9">
        <v>44834</v>
      </c>
      <c r="P4016"/>
      <c r="Q4016"/>
      <c r="R4016" s="9">
        <v>44874.704629629603</v>
      </c>
      <c r="S4016"/>
      <c r="T4016"/>
      <c r="U4016"/>
    </row>
    <row r="4017" spans="1:21" hidden="1">
      <c r="A4017" s="7" t="s">
        <v>8804</v>
      </c>
      <c r="B4017" s="7" t="s">
        <v>7832</v>
      </c>
      <c r="C4017" s="8" t="s">
        <v>5319</v>
      </c>
      <c r="D4017" t="s">
        <v>266</v>
      </c>
      <c r="E4017" t="s">
        <v>1026</v>
      </c>
      <c r="F4017" t="s">
        <v>117</v>
      </c>
      <c r="G4017" t="s">
        <v>3602</v>
      </c>
      <c r="H4017" s="9">
        <v>44733</v>
      </c>
      <c r="I4017" t="s">
        <v>488</v>
      </c>
      <c r="J4017" t="s">
        <v>276</v>
      </c>
      <c r="K4017" s="9">
        <v>44874.705752314803</v>
      </c>
      <c r="L4017" t="s">
        <v>29</v>
      </c>
      <c r="M4017"/>
      <c r="N4017" s="9">
        <v>44778</v>
      </c>
      <c r="O4017" s="9">
        <v>44834</v>
      </c>
      <c r="P4017"/>
      <c r="Q4017"/>
      <c r="R4017" s="9">
        <v>44874.704629629603</v>
      </c>
      <c r="S4017"/>
      <c r="T4017"/>
      <c r="U4017"/>
    </row>
    <row r="4018" spans="1:21" hidden="1">
      <c r="A4018" s="7" t="s">
        <v>8765</v>
      </c>
      <c r="B4018" s="7" t="s">
        <v>5405</v>
      </c>
      <c r="C4018" s="8" t="s">
        <v>5319</v>
      </c>
      <c r="D4018" t="s">
        <v>266</v>
      </c>
      <c r="E4018" t="s">
        <v>25</v>
      </c>
      <c r="F4018" t="s">
        <v>231</v>
      </c>
      <c r="G4018" t="s">
        <v>3603</v>
      </c>
      <c r="H4018" s="9">
        <v>44733</v>
      </c>
      <c r="I4018" t="s">
        <v>8634</v>
      </c>
      <c r="J4018" t="s">
        <v>5330</v>
      </c>
      <c r="K4018" s="9">
        <v>44834</v>
      </c>
      <c r="L4018" t="s">
        <v>29</v>
      </c>
      <c r="M4018"/>
      <c r="N4018" s="9">
        <v>44778</v>
      </c>
      <c r="O4018" s="9">
        <v>44834</v>
      </c>
      <c r="P4018"/>
      <c r="Q4018"/>
      <c r="R4018"/>
      <c r="S4018"/>
      <c r="T4018"/>
      <c r="U4018"/>
    </row>
    <row r="4019" spans="1:21" hidden="1">
      <c r="A4019" s="7" t="s">
        <v>8765</v>
      </c>
      <c r="B4019" s="7" t="s">
        <v>5405</v>
      </c>
      <c r="C4019" s="8" t="s">
        <v>5319</v>
      </c>
      <c r="D4019" t="s">
        <v>266</v>
      </c>
      <c r="E4019" t="s">
        <v>25</v>
      </c>
      <c r="F4019" t="s">
        <v>231</v>
      </c>
      <c r="G4019" t="s">
        <v>3604</v>
      </c>
      <c r="H4019" s="9">
        <v>44733</v>
      </c>
      <c r="I4019" t="s">
        <v>8634</v>
      </c>
      <c r="J4019" t="s">
        <v>5330</v>
      </c>
      <c r="K4019" s="9">
        <v>44834</v>
      </c>
      <c r="L4019" t="s">
        <v>29</v>
      </c>
      <c r="M4019"/>
      <c r="N4019" s="9">
        <v>44778</v>
      </c>
      <c r="O4019" s="9">
        <v>44834</v>
      </c>
      <c r="P4019"/>
      <c r="Q4019"/>
      <c r="R4019"/>
      <c r="S4019"/>
      <c r="T4019"/>
      <c r="U4019"/>
    </row>
    <row r="4020" spans="1:21" hidden="1">
      <c r="A4020" s="7" t="s">
        <v>8931</v>
      </c>
      <c r="B4020" s="7" t="s">
        <v>8367</v>
      </c>
      <c r="C4020" s="8" t="s">
        <v>5319</v>
      </c>
      <c r="D4020" t="s">
        <v>266</v>
      </c>
      <c r="E4020" t="s">
        <v>3586</v>
      </c>
      <c r="F4020" t="s">
        <v>117</v>
      </c>
      <c r="G4020" t="s">
        <v>3605</v>
      </c>
      <c r="H4020" s="9">
        <v>44733</v>
      </c>
      <c r="I4020" t="s">
        <v>882</v>
      </c>
      <c r="J4020" t="s">
        <v>5330</v>
      </c>
      <c r="K4020" s="9">
        <v>44834</v>
      </c>
      <c r="L4020" t="s">
        <v>29</v>
      </c>
      <c r="M4020"/>
      <c r="N4020" s="9">
        <v>44778</v>
      </c>
      <c r="O4020" s="9">
        <v>44834</v>
      </c>
      <c r="P4020"/>
      <c r="Q4020"/>
      <c r="R4020"/>
      <c r="S4020"/>
      <c r="T4020"/>
      <c r="U4020"/>
    </row>
    <row r="4021" spans="1:21" hidden="1">
      <c r="A4021" s="7" t="s">
        <v>8931</v>
      </c>
      <c r="B4021" s="7" t="s">
        <v>8367</v>
      </c>
      <c r="C4021" s="8" t="s">
        <v>5319</v>
      </c>
      <c r="D4021" t="s">
        <v>266</v>
      </c>
      <c r="E4021" t="s">
        <v>3586</v>
      </c>
      <c r="F4021" t="s">
        <v>117</v>
      </c>
      <c r="G4021" t="s">
        <v>3606</v>
      </c>
      <c r="H4021" s="9">
        <v>44733</v>
      </c>
      <c r="I4021" t="s">
        <v>882</v>
      </c>
      <c r="J4021" t="s">
        <v>5330</v>
      </c>
      <c r="K4021" s="9">
        <v>44834</v>
      </c>
      <c r="L4021" t="s">
        <v>29</v>
      </c>
      <c r="M4021"/>
      <c r="N4021" s="9">
        <v>44778</v>
      </c>
      <c r="O4021" s="9">
        <v>44834</v>
      </c>
      <c r="P4021"/>
      <c r="Q4021"/>
      <c r="R4021"/>
      <c r="S4021"/>
      <c r="T4021"/>
      <c r="U4021"/>
    </row>
    <row r="4022" spans="1:21" hidden="1">
      <c r="A4022" s="7" t="s">
        <v>8931</v>
      </c>
      <c r="B4022" s="7" t="s">
        <v>8367</v>
      </c>
      <c r="C4022" s="8" t="s">
        <v>5319</v>
      </c>
      <c r="D4022" t="s">
        <v>266</v>
      </c>
      <c r="E4022" t="s">
        <v>3586</v>
      </c>
      <c r="F4022" t="s">
        <v>117</v>
      </c>
      <c r="G4022" t="s">
        <v>3607</v>
      </c>
      <c r="H4022" s="9">
        <v>44733</v>
      </c>
      <c r="I4022" t="s">
        <v>882</v>
      </c>
      <c r="J4022" t="s">
        <v>5330</v>
      </c>
      <c r="K4022" s="9">
        <v>44834</v>
      </c>
      <c r="L4022" t="s">
        <v>29</v>
      </c>
      <c r="M4022"/>
      <c r="N4022" s="9">
        <v>44778</v>
      </c>
      <c r="O4022" s="9">
        <v>44834</v>
      </c>
      <c r="P4022"/>
      <c r="Q4022"/>
      <c r="R4022"/>
      <c r="S4022"/>
      <c r="T4022"/>
      <c r="U4022"/>
    </row>
    <row r="4023" spans="1:21" hidden="1">
      <c r="A4023" s="7" t="s">
        <v>8931</v>
      </c>
      <c r="B4023" s="7" t="s">
        <v>8367</v>
      </c>
      <c r="C4023" s="8" t="s">
        <v>5319</v>
      </c>
      <c r="D4023" t="s">
        <v>266</v>
      </c>
      <c r="E4023" t="s">
        <v>3586</v>
      </c>
      <c r="F4023" t="s">
        <v>117</v>
      </c>
      <c r="G4023" t="s">
        <v>3608</v>
      </c>
      <c r="H4023" s="9">
        <v>44733</v>
      </c>
      <c r="I4023" t="s">
        <v>882</v>
      </c>
      <c r="J4023" t="s">
        <v>5330</v>
      </c>
      <c r="K4023" s="9">
        <v>44834</v>
      </c>
      <c r="L4023" t="s">
        <v>29</v>
      </c>
      <c r="M4023"/>
      <c r="N4023" s="9">
        <v>44778</v>
      </c>
      <c r="O4023" s="9">
        <v>44834</v>
      </c>
      <c r="P4023"/>
      <c r="Q4023"/>
      <c r="R4023"/>
      <c r="S4023"/>
      <c r="T4023"/>
      <c r="U4023"/>
    </row>
    <row r="4024" spans="1:21" hidden="1">
      <c r="A4024" s="7" t="s">
        <v>8931</v>
      </c>
      <c r="B4024" s="7" t="s">
        <v>8367</v>
      </c>
      <c r="C4024" s="8" t="s">
        <v>5319</v>
      </c>
      <c r="D4024" t="s">
        <v>266</v>
      </c>
      <c r="E4024" t="s">
        <v>3586</v>
      </c>
      <c r="F4024" t="s">
        <v>117</v>
      </c>
      <c r="G4024" t="s">
        <v>3609</v>
      </c>
      <c r="H4024" s="9">
        <v>44733</v>
      </c>
      <c r="I4024" t="s">
        <v>882</v>
      </c>
      <c r="J4024" t="s">
        <v>5330</v>
      </c>
      <c r="K4024" s="9">
        <v>44834</v>
      </c>
      <c r="L4024" t="s">
        <v>29</v>
      </c>
      <c r="M4024"/>
      <c r="N4024" s="9">
        <v>44778</v>
      </c>
      <c r="O4024" s="9">
        <v>44834</v>
      </c>
      <c r="P4024"/>
      <c r="Q4024"/>
      <c r="R4024"/>
      <c r="S4024"/>
      <c r="T4024"/>
      <c r="U4024"/>
    </row>
    <row r="4025" spans="1:21" hidden="1">
      <c r="A4025" s="7" t="s">
        <v>8931</v>
      </c>
      <c r="B4025" s="7" t="s">
        <v>8367</v>
      </c>
      <c r="C4025" s="8" t="s">
        <v>5319</v>
      </c>
      <c r="D4025" t="s">
        <v>266</v>
      </c>
      <c r="E4025" t="s">
        <v>3586</v>
      </c>
      <c r="F4025" t="s">
        <v>117</v>
      </c>
      <c r="G4025" t="s">
        <v>3610</v>
      </c>
      <c r="H4025" s="9">
        <v>44733</v>
      </c>
      <c r="I4025" t="s">
        <v>882</v>
      </c>
      <c r="J4025" t="s">
        <v>5330</v>
      </c>
      <c r="K4025" s="9">
        <v>44834</v>
      </c>
      <c r="L4025" t="s">
        <v>29</v>
      </c>
      <c r="M4025"/>
      <c r="N4025" s="9">
        <v>44778</v>
      </c>
      <c r="O4025" s="9">
        <v>44834</v>
      </c>
      <c r="P4025"/>
      <c r="Q4025"/>
      <c r="R4025"/>
      <c r="S4025"/>
      <c r="T4025"/>
      <c r="U4025"/>
    </row>
    <row r="4026" spans="1:21" hidden="1">
      <c r="A4026" s="7" t="s">
        <v>8931</v>
      </c>
      <c r="B4026" s="7" t="s">
        <v>8367</v>
      </c>
      <c r="C4026" s="8" t="s">
        <v>5319</v>
      </c>
      <c r="D4026" t="s">
        <v>266</v>
      </c>
      <c r="E4026" t="s">
        <v>3586</v>
      </c>
      <c r="F4026" t="s">
        <v>117</v>
      </c>
      <c r="G4026" t="s">
        <v>3611</v>
      </c>
      <c r="H4026" s="9">
        <v>44733</v>
      </c>
      <c r="I4026" t="s">
        <v>882</v>
      </c>
      <c r="J4026" t="s">
        <v>5330</v>
      </c>
      <c r="K4026" s="9">
        <v>44834</v>
      </c>
      <c r="L4026" t="s">
        <v>29</v>
      </c>
      <c r="M4026"/>
      <c r="N4026" s="9">
        <v>44778</v>
      </c>
      <c r="O4026" s="9">
        <v>44834</v>
      </c>
      <c r="P4026"/>
      <c r="Q4026"/>
      <c r="R4026"/>
      <c r="S4026"/>
      <c r="T4026"/>
      <c r="U4026"/>
    </row>
    <row r="4027" spans="1:21" hidden="1">
      <c r="A4027" s="7" t="s">
        <v>8931</v>
      </c>
      <c r="B4027" s="7" t="s">
        <v>8367</v>
      </c>
      <c r="C4027" s="8" t="s">
        <v>5319</v>
      </c>
      <c r="D4027" t="s">
        <v>266</v>
      </c>
      <c r="E4027" t="s">
        <v>3586</v>
      </c>
      <c r="F4027" t="s">
        <v>117</v>
      </c>
      <c r="G4027" t="s">
        <v>3612</v>
      </c>
      <c r="H4027" s="9">
        <v>44733</v>
      </c>
      <c r="I4027" t="s">
        <v>882</v>
      </c>
      <c r="J4027" t="s">
        <v>5330</v>
      </c>
      <c r="K4027" s="9">
        <v>44834</v>
      </c>
      <c r="L4027" t="s">
        <v>29</v>
      </c>
      <c r="M4027"/>
      <c r="N4027" s="9">
        <v>44778</v>
      </c>
      <c r="O4027" s="9">
        <v>44834</v>
      </c>
      <c r="P4027"/>
      <c r="Q4027"/>
      <c r="R4027"/>
      <c r="S4027"/>
      <c r="T4027"/>
      <c r="U4027"/>
    </row>
    <row r="4028" spans="1:21" hidden="1">
      <c r="A4028" s="7" t="s">
        <v>8931</v>
      </c>
      <c r="B4028" s="7" t="s">
        <v>8367</v>
      </c>
      <c r="C4028" s="8" t="s">
        <v>5319</v>
      </c>
      <c r="D4028" t="s">
        <v>266</v>
      </c>
      <c r="E4028" t="s">
        <v>3586</v>
      </c>
      <c r="F4028" t="s">
        <v>117</v>
      </c>
      <c r="G4028" t="s">
        <v>3613</v>
      </c>
      <c r="H4028" s="9">
        <v>44733</v>
      </c>
      <c r="I4028" t="s">
        <v>882</v>
      </c>
      <c r="J4028" t="s">
        <v>5330</v>
      </c>
      <c r="K4028" s="9">
        <v>44834</v>
      </c>
      <c r="L4028" t="s">
        <v>29</v>
      </c>
      <c r="M4028"/>
      <c r="N4028" s="9">
        <v>44778</v>
      </c>
      <c r="O4028" s="9">
        <v>44834</v>
      </c>
      <c r="P4028"/>
      <c r="Q4028"/>
      <c r="R4028"/>
      <c r="S4028"/>
      <c r="T4028"/>
      <c r="U4028"/>
    </row>
    <row r="4029" spans="1:21" hidden="1">
      <c r="A4029" s="7" t="s">
        <v>8931</v>
      </c>
      <c r="B4029" s="7" t="s">
        <v>8367</v>
      </c>
      <c r="C4029" s="8" t="s">
        <v>5319</v>
      </c>
      <c r="D4029" t="s">
        <v>266</v>
      </c>
      <c r="E4029" t="s">
        <v>3586</v>
      </c>
      <c r="F4029" t="s">
        <v>117</v>
      </c>
      <c r="G4029" t="s">
        <v>3614</v>
      </c>
      <c r="H4029" s="9">
        <v>44733</v>
      </c>
      <c r="I4029" t="s">
        <v>882</v>
      </c>
      <c r="J4029" t="s">
        <v>5330</v>
      </c>
      <c r="K4029" s="9">
        <v>44834</v>
      </c>
      <c r="L4029" t="s">
        <v>29</v>
      </c>
      <c r="M4029"/>
      <c r="N4029" s="9">
        <v>44778</v>
      </c>
      <c r="O4029" s="9">
        <v>44834</v>
      </c>
      <c r="P4029"/>
      <c r="Q4029"/>
      <c r="R4029"/>
      <c r="S4029"/>
      <c r="T4029"/>
      <c r="U4029"/>
    </row>
    <row r="4030" spans="1:21" hidden="1">
      <c r="A4030" s="7" t="s">
        <v>8931</v>
      </c>
      <c r="B4030" s="7" t="s">
        <v>8367</v>
      </c>
      <c r="C4030" s="8" t="s">
        <v>5319</v>
      </c>
      <c r="D4030" t="s">
        <v>266</v>
      </c>
      <c r="E4030" t="s">
        <v>3586</v>
      </c>
      <c r="F4030" t="s">
        <v>117</v>
      </c>
      <c r="G4030" t="s">
        <v>3615</v>
      </c>
      <c r="H4030" s="9">
        <v>44733</v>
      </c>
      <c r="I4030" t="s">
        <v>882</v>
      </c>
      <c r="J4030" t="s">
        <v>5330</v>
      </c>
      <c r="K4030" s="9">
        <v>44834</v>
      </c>
      <c r="L4030" t="s">
        <v>29</v>
      </c>
      <c r="M4030"/>
      <c r="N4030" s="9">
        <v>44778</v>
      </c>
      <c r="O4030" s="9">
        <v>44834</v>
      </c>
      <c r="P4030"/>
      <c r="Q4030"/>
      <c r="R4030"/>
      <c r="S4030"/>
      <c r="T4030"/>
      <c r="U4030"/>
    </row>
    <row r="4031" spans="1:21" hidden="1">
      <c r="A4031" s="7" t="s">
        <v>8931</v>
      </c>
      <c r="B4031" s="7" t="s">
        <v>8367</v>
      </c>
      <c r="C4031" s="8" t="s">
        <v>5319</v>
      </c>
      <c r="D4031" t="s">
        <v>266</v>
      </c>
      <c r="E4031" t="s">
        <v>3586</v>
      </c>
      <c r="F4031" t="s">
        <v>117</v>
      </c>
      <c r="G4031" t="s">
        <v>3616</v>
      </c>
      <c r="H4031" s="9">
        <v>44733</v>
      </c>
      <c r="I4031" t="s">
        <v>882</v>
      </c>
      <c r="J4031" t="s">
        <v>5330</v>
      </c>
      <c r="K4031" s="9">
        <v>44834</v>
      </c>
      <c r="L4031" t="s">
        <v>29</v>
      </c>
      <c r="M4031"/>
      <c r="N4031" s="9">
        <v>44778</v>
      </c>
      <c r="O4031" s="9">
        <v>44834</v>
      </c>
      <c r="P4031"/>
      <c r="Q4031"/>
      <c r="R4031"/>
      <c r="S4031"/>
      <c r="T4031"/>
      <c r="U4031"/>
    </row>
    <row r="4032" spans="1:21" hidden="1">
      <c r="A4032" s="7" t="s">
        <v>8931</v>
      </c>
      <c r="B4032" s="7" t="s">
        <v>8367</v>
      </c>
      <c r="C4032" s="8" t="s">
        <v>5319</v>
      </c>
      <c r="D4032" t="s">
        <v>266</v>
      </c>
      <c r="E4032" t="s">
        <v>3586</v>
      </c>
      <c r="F4032" t="s">
        <v>117</v>
      </c>
      <c r="G4032" t="s">
        <v>3617</v>
      </c>
      <c r="H4032" s="9">
        <v>44733</v>
      </c>
      <c r="I4032" t="s">
        <v>882</v>
      </c>
      <c r="J4032" t="s">
        <v>5330</v>
      </c>
      <c r="K4032" s="9">
        <v>44834</v>
      </c>
      <c r="L4032" t="s">
        <v>29</v>
      </c>
      <c r="M4032"/>
      <c r="N4032" s="9">
        <v>44778</v>
      </c>
      <c r="O4032" s="9">
        <v>44834</v>
      </c>
      <c r="P4032"/>
      <c r="Q4032"/>
      <c r="R4032"/>
      <c r="S4032"/>
      <c r="T4032"/>
      <c r="U4032"/>
    </row>
    <row r="4033" spans="1:21" hidden="1">
      <c r="A4033" s="7" t="s">
        <v>8931</v>
      </c>
      <c r="B4033" s="7" t="s">
        <v>8367</v>
      </c>
      <c r="C4033" s="8" t="s">
        <v>5319</v>
      </c>
      <c r="D4033" t="s">
        <v>266</v>
      </c>
      <c r="E4033" t="s">
        <v>3586</v>
      </c>
      <c r="F4033" t="s">
        <v>117</v>
      </c>
      <c r="G4033" t="s">
        <v>3618</v>
      </c>
      <c r="H4033" s="9">
        <v>44733</v>
      </c>
      <c r="I4033" t="s">
        <v>882</v>
      </c>
      <c r="J4033" t="s">
        <v>5330</v>
      </c>
      <c r="K4033" s="9">
        <v>44834</v>
      </c>
      <c r="L4033" t="s">
        <v>29</v>
      </c>
      <c r="M4033"/>
      <c r="N4033" s="9">
        <v>44778</v>
      </c>
      <c r="O4033" s="9">
        <v>44834</v>
      </c>
      <c r="P4033"/>
      <c r="Q4033"/>
      <c r="R4033"/>
      <c r="S4033"/>
      <c r="T4033"/>
      <c r="U4033"/>
    </row>
    <row r="4034" spans="1:21" hidden="1">
      <c r="A4034" s="7" t="s">
        <v>8931</v>
      </c>
      <c r="B4034" s="7" t="s">
        <v>8367</v>
      </c>
      <c r="C4034" s="8" t="s">
        <v>5319</v>
      </c>
      <c r="D4034" t="s">
        <v>266</v>
      </c>
      <c r="E4034" t="s">
        <v>3586</v>
      </c>
      <c r="F4034" t="s">
        <v>117</v>
      </c>
      <c r="G4034" t="s">
        <v>3619</v>
      </c>
      <c r="H4034" s="9">
        <v>44733</v>
      </c>
      <c r="I4034" t="s">
        <v>882</v>
      </c>
      <c r="J4034" t="s">
        <v>5330</v>
      </c>
      <c r="K4034" s="9">
        <v>44834</v>
      </c>
      <c r="L4034" t="s">
        <v>29</v>
      </c>
      <c r="M4034"/>
      <c r="N4034" s="9">
        <v>44778</v>
      </c>
      <c r="O4034" s="9">
        <v>44834</v>
      </c>
      <c r="P4034"/>
      <c r="Q4034"/>
      <c r="R4034"/>
      <c r="S4034"/>
      <c r="T4034"/>
      <c r="U4034"/>
    </row>
    <row r="4035" spans="1:21" hidden="1">
      <c r="A4035" s="7" t="s">
        <v>8933</v>
      </c>
      <c r="B4035" s="7" t="s">
        <v>8368</v>
      </c>
      <c r="C4035" s="8" t="s">
        <v>5319</v>
      </c>
      <c r="D4035" t="s">
        <v>266</v>
      </c>
      <c r="E4035" t="s">
        <v>3620</v>
      </c>
      <c r="F4035" t="s">
        <v>117</v>
      </c>
      <c r="G4035" t="s">
        <v>3621</v>
      </c>
      <c r="H4035" s="9">
        <v>44733</v>
      </c>
      <c r="I4035" t="s">
        <v>758</v>
      </c>
      <c r="J4035" t="s">
        <v>0</v>
      </c>
      <c r="K4035" s="9">
        <v>44874</v>
      </c>
      <c r="L4035" t="s">
        <v>29</v>
      </c>
      <c r="M4035"/>
      <c r="N4035" s="9">
        <v>44778</v>
      </c>
      <c r="O4035" s="9">
        <v>44834</v>
      </c>
      <c r="P4035"/>
      <c r="Q4035" s="9">
        <v>44874</v>
      </c>
      <c r="R4035"/>
      <c r="S4035"/>
      <c r="T4035"/>
      <c r="U4035"/>
    </row>
    <row r="4036" spans="1:21" hidden="1">
      <c r="A4036" s="7" t="s">
        <v>8933</v>
      </c>
      <c r="B4036" s="7" t="s">
        <v>8368</v>
      </c>
      <c r="C4036" s="8" t="s">
        <v>5319</v>
      </c>
      <c r="D4036" t="s">
        <v>266</v>
      </c>
      <c r="E4036" t="s">
        <v>3620</v>
      </c>
      <c r="F4036" t="s">
        <v>117</v>
      </c>
      <c r="G4036" t="s">
        <v>3622</v>
      </c>
      <c r="H4036" s="9">
        <v>44733</v>
      </c>
      <c r="I4036" t="s">
        <v>758</v>
      </c>
      <c r="J4036" t="s">
        <v>0</v>
      </c>
      <c r="K4036" s="9">
        <v>44874</v>
      </c>
      <c r="L4036" t="s">
        <v>29</v>
      </c>
      <c r="M4036"/>
      <c r="N4036" s="9">
        <v>44778</v>
      </c>
      <c r="O4036" s="9">
        <v>44834</v>
      </c>
      <c r="P4036"/>
      <c r="Q4036" s="9">
        <v>44874</v>
      </c>
      <c r="R4036"/>
      <c r="S4036"/>
      <c r="T4036"/>
      <c r="U4036"/>
    </row>
    <row r="4037" spans="1:21" hidden="1">
      <c r="A4037" s="7" t="s">
        <v>8933</v>
      </c>
      <c r="B4037" s="7" t="s">
        <v>8368</v>
      </c>
      <c r="C4037" s="8" t="s">
        <v>5319</v>
      </c>
      <c r="D4037" t="s">
        <v>266</v>
      </c>
      <c r="E4037" t="s">
        <v>3620</v>
      </c>
      <c r="F4037" t="s">
        <v>117</v>
      </c>
      <c r="G4037" t="s">
        <v>3623</v>
      </c>
      <c r="H4037" s="9">
        <v>44733</v>
      </c>
      <c r="I4037" t="s">
        <v>758</v>
      </c>
      <c r="J4037" t="s">
        <v>0</v>
      </c>
      <c r="K4037" s="9">
        <v>44874</v>
      </c>
      <c r="L4037" t="s">
        <v>29</v>
      </c>
      <c r="M4037"/>
      <c r="N4037" s="9">
        <v>44778</v>
      </c>
      <c r="O4037" s="9">
        <v>44834</v>
      </c>
      <c r="P4037"/>
      <c r="Q4037" s="9">
        <v>44874</v>
      </c>
      <c r="R4037"/>
      <c r="S4037"/>
      <c r="T4037"/>
      <c r="U4037"/>
    </row>
    <row r="4038" spans="1:21" hidden="1">
      <c r="A4038" s="7" t="s">
        <v>8933</v>
      </c>
      <c r="B4038" s="7" t="s">
        <v>8368</v>
      </c>
      <c r="C4038" s="8" t="s">
        <v>5319</v>
      </c>
      <c r="D4038" t="s">
        <v>266</v>
      </c>
      <c r="E4038" t="s">
        <v>3620</v>
      </c>
      <c r="F4038" t="s">
        <v>117</v>
      </c>
      <c r="G4038" t="s">
        <v>3624</v>
      </c>
      <c r="H4038" s="9">
        <v>44733</v>
      </c>
      <c r="I4038" t="s">
        <v>758</v>
      </c>
      <c r="J4038" t="s">
        <v>0</v>
      </c>
      <c r="K4038" s="9">
        <v>44874</v>
      </c>
      <c r="L4038" t="s">
        <v>29</v>
      </c>
      <c r="M4038"/>
      <c r="N4038" s="9">
        <v>44778</v>
      </c>
      <c r="O4038" s="9">
        <v>44834</v>
      </c>
      <c r="P4038"/>
      <c r="Q4038" s="9">
        <v>44874</v>
      </c>
      <c r="R4038"/>
      <c r="S4038"/>
      <c r="T4038"/>
      <c r="U4038"/>
    </row>
    <row r="4039" spans="1:21" hidden="1">
      <c r="A4039" s="7" t="s">
        <v>8933</v>
      </c>
      <c r="B4039" s="7" t="s">
        <v>8368</v>
      </c>
      <c r="C4039" s="8" t="s">
        <v>5319</v>
      </c>
      <c r="D4039" t="s">
        <v>266</v>
      </c>
      <c r="E4039" t="s">
        <v>3620</v>
      </c>
      <c r="F4039" t="s">
        <v>117</v>
      </c>
      <c r="G4039" t="s">
        <v>3625</v>
      </c>
      <c r="H4039" s="9">
        <v>44733</v>
      </c>
      <c r="I4039" t="s">
        <v>758</v>
      </c>
      <c r="J4039" t="s">
        <v>0</v>
      </c>
      <c r="K4039" s="9">
        <v>44874</v>
      </c>
      <c r="L4039" t="s">
        <v>29</v>
      </c>
      <c r="M4039"/>
      <c r="N4039" s="9">
        <v>44778</v>
      </c>
      <c r="O4039" s="9">
        <v>44834</v>
      </c>
      <c r="P4039"/>
      <c r="Q4039" s="9">
        <v>44874</v>
      </c>
      <c r="R4039"/>
      <c r="S4039"/>
      <c r="T4039"/>
      <c r="U4039"/>
    </row>
    <row r="4040" spans="1:21" hidden="1">
      <c r="A4040" s="7" t="s">
        <v>8933</v>
      </c>
      <c r="B4040" s="7" t="s">
        <v>8368</v>
      </c>
      <c r="C4040" s="8" t="s">
        <v>5319</v>
      </c>
      <c r="D4040" t="s">
        <v>266</v>
      </c>
      <c r="E4040" t="s">
        <v>3620</v>
      </c>
      <c r="F4040" t="s">
        <v>117</v>
      </c>
      <c r="G4040" t="s">
        <v>3626</v>
      </c>
      <c r="H4040" s="9">
        <v>44733</v>
      </c>
      <c r="I4040" t="s">
        <v>758</v>
      </c>
      <c r="J4040" t="s">
        <v>0</v>
      </c>
      <c r="K4040" s="9">
        <v>44874</v>
      </c>
      <c r="L4040" t="s">
        <v>29</v>
      </c>
      <c r="M4040"/>
      <c r="N4040" s="9">
        <v>44778</v>
      </c>
      <c r="O4040" s="9">
        <v>44834</v>
      </c>
      <c r="P4040"/>
      <c r="Q4040" s="9">
        <v>44874</v>
      </c>
      <c r="R4040"/>
      <c r="S4040"/>
      <c r="T4040"/>
      <c r="U4040"/>
    </row>
    <row r="4041" spans="1:21" hidden="1">
      <c r="A4041" s="7" t="s">
        <v>8933</v>
      </c>
      <c r="B4041" s="7" t="s">
        <v>8368</v>
      </c>
      <c r="C4041" s="8" t="s">
        <v>5319</v>
      </c>
      <c r="D4041" t="s">
        <v>266</v>
      </c>
      <c r="E4041" t="s">
        <v>3620</v>
      </c>
      <c r="F4041" t="s">
        <v>117</v>
      </c>
      <c r="G4041" t="s">
        <v>3627</v>
      </c>
      <c r="H4041" s="9">
        <v>44733</v>
      </c>
      <c r="I4041" t="s">
        <v>758</v>
      </c>
      <c r="J4041" t="s">
        <v>0</v>
      </c>
      <c r="K4041" s="9">
        <v>44874</v>
      </c>
      <c r="L4041" t="s">
        <v>29</v>
      </c>
      <c r="M4041"/>
      <c r="N4041" s="9">
        <v>44778</v>
      </c>
      <c r="O4041" s="9">
        <v>44834</v>
      </c>
      <c r="P4041"/>
      <c r="Q4041" s="9">
        <v>44874</v>
      </c>
      <c r="R4041"/>
      <c r="S4041"/>
      <c r="T4041"/>
      <c r="U4041"/>
    </row>
    <row r="4042" spans="1:21" hidden="1">
      <c r="A4042" s="7" t="s">
        <v>8933</v>
      </c>
      <c r="B4042" s="7" t="s">
        <v>8368</v>
      </c>
      <c r="C4042" s="8" t="s">
        <v>5319</v>
      </c>
      <c r="D4042" t="s">
        <v>266</v>
      </c>
      <c r="E4042" t="s">
        <v>3620</v>
      </c>
      <c r="F4042" t="s">
        <v>117</v>
      </c>
      <c r="G4042" t="s">
        <v>3628</v>
      </c>
      <c r="H4042" s="9">
        <v>44733</v>
      </c>
      <c r="I4042" t="s">
        <v>758</v>
      </c>
      <c r="J4042" t="s">
        <v>0</v>
      </c>
      <c r="K4042" s="9">
        <v>44874</v>
      </c>
      <c r="L4042" t="s">
        <v>29</v>
      </c>
      <c r="M4042"/>
      <c r="N4042" s="9">
        <v>44778</v>
      </c>
      <c r="O4042" s="9">
        <v>44834</v>
      </c>
      <c r="P4042"/>
      <c r="Q4042" s="9">
        <v>44874</v>
      </c>
      <c r="R4042"/>
      <c r="S4042"/>
      <c r="T4042"/>
      <c r="U4042"/>
    </row>
    <row r="4043" spans="1:21" hidden="1">
      <c r="A4043" s="7" t="s">
        <v>8933</v>
      </c>
      <c r="B4043" s="7" t="s">
        <v>8368</v>
      </c>
      <c r="C4043" s="8" t="s">
        <v>5319</v>
      </c>
      <c r="D4043" t="s">
        <v>266</v>
      </c>
      <c r="E4043" t="s">
        <v>3620</v>
      </c>
      <c r="F4043" t="s">
        <v>117</v>
      </c>
      <c r="G4043" t="s">
        <v>3629</v>
      </c>
      <c r="H4043" s="9">
        <v>44733</v>
      </c>
      <c r="I4043" t="s">
        <v>758</v>
      </c>
      <c r="J4043" t="s">
        <v>0</v>
      </c>
      <c r="K4043" s="9">
        <v>44874</v>
      </c>
      <c r="L4043" t="s">
        <v>29</v>
      </c>
      <c r="M4043"/>
      <c r="N4043" s="9">
        <v>44778</v>
      </c>
      <c r="O4043" s="9">
        <v>44834</v>
      </c>
      <c r="P4043"/>
      <c r="Q4043" s="9">
        <v>44874</v>
      </c>
      <c r="R4043"/>
      <c r="S4043"/>
      <c r="T4043"/>
      <c r="U4043"/>
    </row>
    <row r="4044" spans="1:21" hidden="1">
      <c r="A4044" s="7" t="s">
        <v>8933</v>
      </c>
      <c r="B4044" s="7" t="s">
        <v>8368</v>
      </c>
      <c r="C4044" s="8" t="s">
        <v>5319</v>
      </c>
      <c r="D4044" t="s">
        <v>266</v>
      </c>
      <c r="E4044" t="s">
        <v>3620</v>
      </c>
      <c r="F4044" t="s">
        <v>117</v>
      </c>
      <c r="G4044" t="s">
        <v>3630</v>
      </c>
      <c r="H4044" s="9">
        <v>44733</v>
      </c>
      <c r="I4044" t="s">
        <v>758</v>
      </c>
      <c r="J4044" t="s">
        <v>0</v>
      </c>
      <c r="K4044" s="9">
        <v>44874</v>
      </c>
      <c r="L4044" t="s">
        <v>29</v>
      </c>
      <c r="M4044"/>
      <c r="N4044" s="9">
        <v>44778</v>
      </c>
      <c r="O4044" s="9">
        <v>44834</v>
      </c>
      <c r="P4044"/>
      <c r="Q4044" s="9">
        <v>44874</v>
      </c>
      <c r="R4044"/>
      <c r="S4044"/>
      <c r="T4044"/>
      <c r="U4044"/>
    </row>
    <row r="4045" spans="1:21" hidden="1">
      <c r="A4045" s="7" t="s">
        <v>8933</v>
      </c>
      <c r="B4045" s="7" t="s">
        <v>8368</v>
      </c>
      <c r="C4045" s="8" t="s">
        <v>5319</v>
      </c>
      <c r="D4045" t="s">
        <v>266</v>
      </c>
      <c r="E4045" t="s">
        <v>3620</v>
      </c>
      <c r="F4045" t="s">
        <v>117</v>
      </c>
      <c r="G4045" t="s">
        <v>3631</v>
      </c>
      <c r="H4045" s="9">
        <v>44733</v>
      </c>
      <c r="I4045" t="s">
        <v>758</v>
      </c>
      <c r="J4045" t="s">
        <v>0</v>
      </c>
      <c r="K4045" s="9">
        <v>44874</v>
      </c>
      <c r="L4045" t="s">
        <v>29</v>
      </c>
      <c r="M4045"/>
      <c r="N4045" s="9">
        <v>44778</v>
      </c>
      <c r="O4045" s="9">
        <v>44834</v>
      </c>
      <c r="P4045"/>
      <c r="Q4045" s="9">
        <v>44874</v>
      </c>
      <c r="R4045"/>
      <c r="S4045"/>
      <c r="T4045"/>
      <c r="U4045"/>
    </row>
    <row r="4046" spans="1:21" hidden="1">
      <c r="A4046" s="7" t="s">
        <v>8933</v>
      </c>
      <c r="B4046" s="7" t="s">
        <v>8368</v>
      </c>
      <c r="C4046" s="8" t="s">
        <v>5319</v>
      </c>
      <c r="D4046" t="s">
        <v>266</v>
      </c>
      <c r="E4046" t="s">
        <v>3620</v>
      </c>
      <c r="F4046" t="s">
        <v>117</v>
      </c>
      <c r="G4046" t="s">
        <v>3632</v>
      </c>
      <c r="H4046" s="9">
        <v>44733</v>
      </c>
      <c r="I4046" t="s">
        <v>758</v>
      </c>
      <c r="J4046" t="s">
        <v>0</v>
      </c>
      <c r="K4046" s="9">
        <v>44874</v>
      </c>
      <c r="L4046" t="s">
        <v>29</v>
      </c>
      <c r="M4046"/>
      <c r="N4046" s="9">
        <v>44778</v>
      </c>
      <c r="O4046" s="9">
        <v>44834</v>
      </c>
      <c r="P4046"/>
      <c r="Q4046" s="9">
        <v>44874</v>
      </c>
      <c r="R4046"/>
      <c r="S4046"/>
      <c r="T4046"/>
      <c r="U4046"/>
    </row>
    <row r="4047" spans="1:21" hidden="1">
      <c r="A4047" s="7" t="s">
        <v>8933</v>
      </c>
      <c r="B4047" s="7" t="s">
        <v>8368</v>
      </c>
      <c r="C4047" s="8" t="s">
        <v>5319</v>
      </c>
      <c r="D4047" t="s">
        <v>266</v>
      </c>
      <c r="E4047" t="s">
        <v>3620</v>
      </c>
      <c r="F4047" t="s">
        <v>117</v>
      </c>
      <c r="G4047" t="s">
        <v>3633</v>
      </c>
      <c r="H4047" s="9">
        <v>44733</v>
      </c>
      <c r="I4047" t="s">
        <v>758</v>
      </c>
      <c r="J4047" t="s">
        <v>0</v>
      </c>
      <c r="K4047" s="9">
        <v>44874</v>
      </c>
      <c r="L4047" t="s">
        <v>29</v>
      </c>
      <c r="M4047"/>
      <c r="N4047" s="9">
        <v>44778</v>
      </c>
      <c r="O4047" s="9">
        <v>44834</v>
      </c>
      <c r="P4047"/>
      <c r="Q4047" s="9">
        <v>44874</v>
      </c>
      <c r="R4047"/>
      <c r="S4047"/>
      <c r="T4047"/>
      <c r="U4047"/>
    </row>
    <row r="4048" spans="1:21" hidden="1">
      <c r="A4048" s="7" t="s">
        <v>8933</v>
      </c>
      <c r="B4048" s="7" t="s">
        <v>8368</v>
      </c>
      <c r="C4048" s="8" t="s">
        <v>5319</v>
      </c>
      <c r="D4048" t="s">
        <v>266</v>
      </c>
      <c r="E4048" t="s">
        <v>3620</v>
      </c>
      <c r="F4048" t="s">
        <v>117</v>
      </c>
      <c r="G4048" t="s">
        <v>3634</v>
      </c>
      <c r="H4048" s="9">
        <v>44733</v>
      </c>
      <c r="I4048" t="s">
        <v>758</v>
      </c>
      <c r="J4048" t="s">
        <v>0</v>
      </c>
      <c r="K4048" s="9">
        <v>44874</v>
      </c>
      <c r="L4048" t="s">
        <v>29</v>
      </c>
      <c r="M4048"/>
      <c r="N4048" s="9">
        <v>44778</v>
      </c>
      <c r="O4048" s="9">
        <v>44834</v>
      </c>
      <c r="P4048"/>
      <c r="Q4048" s="9">
        <v>44874</v>
      </c>
      <c r="R4048"/>
      <c r="S4048"/>
      <c r="T4048"/>
      <c r="U4048"/>
    </row>
    <row r="4049" spans="1:21" hidden="1">
      <c r="A4049" s="7" t="s">
        <v>8933</v>
      </c>
      <c r="B4049" s="7" t="s">
        <v>8368</v>
      </c>
      <c r="C4049" s="8" t="s">
        <v>5319</v>
      </c>
      <c r="D4049" t="s">
        <v>266</v>
      </c>
      <c r="E4049" t="s">
        <v>3620</v>
      </c>
      <c r="F4049" t="s">
        <v>117</v>
      </c>
      <c r="G4049" t="s">
        <v>3635</v>
      </c>
      <c r="H4049" s="9">
        <v>44733</v>
      </c>
      <c r="I4049" t="s">
        <v>758</v>
      </c>
      <c r="J4049" t="s">
        <v>0</v>
      </c>
      <c r="K4049" s="9">
        <v>44874</v>
      </c>
      <c r="L4049" t="s">
        <v>29</v>
      </c>
      <c r="M4049"/>
      <c r="N4049" s="9">
        <v>44778</v>
      </c>
      <c r="O4049" s="9">
        <v>44834</v>
      </c>
      <c r="P4049"/>
      <c r="Q4049" s="9">
        <v>44874</v>
      </c>
      <c r="R4049"/>
      <c r="S4049"/>
      <c r="T4049"/>
      <c r="U4049"/>
    </row>
    <row r="4050" spans="1:21" hidden="1">
      <c r="A4050" s="7" t="s">
        <v>8933</v>
      </c>
      <c r="B4050" s="7" t="s">
        <v>8368</v>
      </c>
      <c r="C4050" s="8" t="s">
        <v>5319</v>
      </c>
      <c r="D4050" t="s">
        <v>266</v>
      </c>
      <c r="E4050" t="s">
        <v>3620</v>
      </c>
      <c r="F4050" t="s">
        <v>117</v>
      </c>
      <c r="G4050" t="s">
        <v>3636</v>
      </c>
      <c r="H4050" s="9">
        <v>44733</v>
      </c>
      <c r="I4050" t="s">
        <v>758</v>
      </c>
      <c r="J4050" t="s">
        <v>0</v>
      </c>
      <c r="K4050" s="9">
        <v>44874</v>
      </c>
      <c r="L4050" t="s">
        <v>29</v>
      </c>
      <c r="M4050"/>
      <c r="N4050" s="9">
        <v>44778</v>
      </c>
      <c r="O4050" s="9">
        <v>44834</v>
      </c>
      <c r="P4050"/>
      <c r="Q4050" s="9">
        <v>44874</v>
      </c>
      <c r="R4050"/>
      <c r="S4050"/>
      <c r="T4050"/>
      <c r="U4050"/>
    </row>
    <row r="4051" spans="1:21" hidden="1">
      <c r="A4051" s="7" t="s">
        <v>8933</v>
      </c>
      <c r="B4051" s="7" t="s">
        <v>8368</v>
      </c>
      <c r="C4051" s="8" t="s">
        <v>5319</v>
      </c>
      <c r="D4051" t="s">
        <v>266</v>
      </c>
      <c r="E4051" t="s">
        <v>3620</v>
      </c>
      <c r="F4051" t="s">
        <v>117</v>
      </c>
      <c r="G4051" t="s">
        <v>3637</v>
      </c>
      <c r="H4051" s="9">
        <v>44733</v>
      </c>
      <c r="I4051" t="s">
        <v>758</v>
      </c>
      <c r="J4051" t="s">
        <v>0</v>
      </c>
      <c r="K4051" s="9">
        <v>44874</v>
      </c>
      <c r="L4051" t="s">
        <v>29</v>
      </c>
      <c r="M4051"/>
      <c r="N4051" s="9">
        <v>44778</v>
      </c>
      <c r="O4051" s="9">
        <v>44834</v>
      </c>
      <c r="P4051"/>
      <c r="Q4051" s="9">
        <v>44874</v>
      </c>
      <c r="R4051"/>
      <c r="S4051"/>
      <c r="T4051"/>
      <c r="U4051"/>
    </row>
    <row r="4052" spans="1:21" hidden="1">
      <c r="A4052" s="7" t="s">
        <v>8933</v>
      </c>
      <c r="B4052" s="7" t="s">
        <v>8368</v>
      </c>
      <c r="C4052" s="8" t="s">
        <v>5319</v>
      </c>
      <c r="D4052" t="s">
        <v>266</v>
      </c>
      <c r="E4052" t="s">
        <v>3620</v>
      </c>
      <c r="F4052" t="s">
        <v>117</v>
      </c>
      <c r="G4052" t="s">
        <v>3638</v>
      </c>
      <c r="H4052" s="9">
        <v>44733</v>
      </c>
      <c r="I4052" t="s">
        <v>758</v>
      </c>
      <c r="J4052" t="s">
        <v>0</v>
      </c>
      <c r="K4052" s="9">
        <v>44874</v>
      </c>
      <c r="L4052" t="s">
        <v>29</v>
      </c>
      <c r="M4052"/>
      <c r="N4052" s="9">
        <v>44778</v>
      </c>
      <c r="O4052" s="9">
        <v>44834</v>
      </c>
      <c r="P4052"/>
      <c r="Q4052" s="9">
        <v>44874</v>
      </c>
      <c r="R4052"/>
      <c r="S4052"/>
      <c r="T4052"/>
      <c r="U4052"/>
    </row>
    <row r="4053" spans="1:21" hidden="1">
      <c r="A4053" s="7" t="s">
        <v>8933</v>
      </c>
      <c r="B4053" s="7" t="s">
        <v>8368</v>
      </c>
      <c r="C4053" s="8" t="s">
        <v>5319</v>
      </c>
      <c r="D4053" t="s">
        <v>266</v>
      </c>
      <c r="E4053" t="s">
        <v>3620</v>
      </c>
      <c r="F4053" t="s">
        <v>117</v>
      </c>
      <c r="G4053" t="s">
        <v>3639</v>
      </c>
      <c r="H4053" s="9">
        <v>44733</v>
      </c>
      <c r="I4053" t="s">
        <v>758</v>
      </c>
      <c r="J4053" t="s">
        <v>0</v>
      </c>
      <c r="K4053" s="9">
        <v>44874</v>
      </c>
      <c r="L4053" t="s">
        <v>29</v>
      </c>
      <c r="M4053"/>
      <c r="N4053" s="9">
        <v>44778</v>
      </c>
      <c r="O4053" s="9">
        <v>44834</v>
      </c>
      <c r="P4053"/>
      <c r="Q4053" s="9">
        <v>44874</v>
      </c>
      <c r="R4053"/>
      <c r="S4053"/>
      <c r="T4053"/>
      <c r="U4053"/>
    </row>
    <row r="4054" spans="1:21" hidden="1">
      <c r="A4054" s="7" t="s">
        <v>8934</v>
      </c>
      <c r="B4054" s="7" t="s">
        <v>7267</v>
      </c>
      <c r="C4054" s="8" t="s">
        <v>5319</v>
      </c>
      <c r="D4054" t="s">
        <v>266</v>
      </c>
      <c r="E4054" t="s">
        <v>3640</v>
      </c>
      <c r="F4054" t="s">
        <v>117</v>
      </c>
      <c r="G4054" t="s">
        <v>3641</v>
      </c>
      <c r="H4054" s="9">
        <v>44733</v>
      </c>
      <c r="I4054" t="s">
        <v>903</v>
      </c>
      <c r="J4054" t="s">
        <v>0</v>
      </c>
      <c r="K4054" s="9">
        <v>44782</v>
      </c>
      <c r="L4054" t="s">
        <v>29</v>
      </c>
      <c r="M4054"/>
      <c r="N4054"/>
      <c r="O4054"/>
      <c r="P4054"/>
      <c r="Q4054" s="9">
        <v>44782</v>
      </c>
      <c r="R4054"/>
      <c r="S4054"/>
      <c r="T4054"/>
      <c r="U4054"/>
    </row>
    <row r="4055" spans="1:21" hidden="1">
      <c r="A4055" s="7" t="s">
        <v>8934</v>
      </c>
      <c r="B4055" s="7" t="s">
        <v>7267</v>
      </c>
      <c r="C4055" s="8" t="s">
        <v>5319</v>
      </c>
      <c r="D4055" t="s">
        <v>266</v>
      </c>
      <c r="E4055" t="s">
        <v>3640</v>
      </c>
      <c r="F4055" t="s">
        <v>117</v>
      </c>
      <c r="G4055" t="s">
        <v>3642</v>
      </c>
      <c r="H4055" s="9">
        <v>44733</v>
      </c>
      <c r="I4055" t="s">
        <v>903</v>
      </c>
      <c r="J4055" t="s">
        <v>0</v>
      </c>
      <c r="K4055" s="9">
        <v>44782</v>
      </c>
      <c r="L4055" t="s">
        <v>29</v>
      </c>
      <c r="M4055"/>
      <c r="N4055"/>
      <c r="O4055"/>
      <c r="P4055"/>
      <c r="Q4055" s="9">
        <v>44782</v>
      </c>
      <c r="R4055"/>
      <c r="S4055"/>
      <c r="T4055"/>
      <c r="U4055"/>
    </row>
    <row r="4056" spans="1:21" hidden="1">
      <c r="A4056" s="7" t="s">
        <v>8934</v>
      </c>
      <c r="B4056" s="7" t="s">
        <v>7267</v>
      </c>
      <c r="C4056" s="8" t="s">
        <v>5319</v>
      </c>
      <c r="D4056" t="s">
        <v>266</v>
      </c>
      <c r="E4056" t="s">
        <v>3640</v>
      </c>
      <c r="F4056" t="s">
        <v>117</v>
      </c>
      <c r="G4056" t="s">
        <v>3643</v>
      </c>
      <c r="H4056" s="9">
        <v>44733</v>
      </c>
      <c r="I4056" t="s">
        <v>903</v>
      </c>
      <c r="J4056" t="s">
        <v>0</v>
      </c>
      <c r="K4056" s="9">
        <v>44782</v>
      </c>
      <c r="L4056" t="s">
        <v>29</v>
      </c>
      <c r="M4056"/>
      <c r="N4056"/>
      <c r="O4056"/>
      <c r="P4056"/>
      <c r="Q4056" s="9">
        <v>44782</v>
      </c>
      <c r="R4056"/>
      <c r="S4056"/>
      <c r="T4056"/>
      <c r="U4056"/>
    </row>
    <row r="4057" spans="1:21" hidden="1">
      <c r="A4057" s="7" t="s">
        <v>8934</v>
      </c>
      <c r="B4057" s="7" t="s">
        <v>7267</v>
      </c>
      <c r="C4057" s="8" t="s">
        <v>5319</v>
      </c>
      <c r="D4057" t="s">
        <v>266</v>
      </c>
      <c r="E4057" t="s">
        <v>3640</v>
      </c>
      <c r="F4057" t="s">
        <v>117</v>
      </c>
      <c r="G4057" t="s">
        <v>3644</v>
      </c>
      <c r="H4057" s="9">
        <v>44733</v>
      </c>
      <c r="I4057" t="s">
        <v>903</v>
      </c>
      <c r="J4057" t="s">
        <v>0</v>
      </c>
      <c r="K4057" s="9">
        <v>44782</v>
      </c>
      <c r="L4057" t="s">
        <v>29</v>
      </c>
      <c r="M4057"/>
      <c r="N4057"/>
      <c r="O4057"/>
      <c r="P4057"/>
      <c r="Q4057" s="9">
        <v>44782</v>
      </c>
      <c r="R4057"/>
      <c r="S4057"/>
      <c r="T4057"/>
      <c r="U4057"/>
    </row>
    <row r="4058" spans="1:21" hidden="1">
      <c r="A4058" s="7" t="s">
        <v>8934</v>
      </c>
      <c r="B4058" s="7" t="s">
        <v>7267</v>
      </c>
      <c r="C4058" s="8" t="s">
        <v>5319</v>
      </c>
      <c r="D4058" t="s">
        <v>266</v>
      </c>
      <c r="E4058" t="s">
        <v>3640</v>
      </c>
      <c r="F4058" t="s">
        <v>117</v>
      </c>
      <c r="G4058" t="s">
        <v>3645</v>
      </c>
      <c r="H4058" s="9">
        <v>44733</v>
      </c>
      <c r="I4058" t="s">
        <v>903</v>
      </c>
      <c r="J4058" t="s">
        <v>0</v>
      </c>
      <c r="K4058" s="9">
        <v>44782</v>
      </c>
      <c r="L4058" t="s">
        <v>29</v>
      </c>
      <c r="M4058"/>
      <c r="N4058"/>
      <c r="O4058"/>
      <c r="P4058"/>
      <c r="Q4058" s="9">
        <v>44782</v>
      </c>
      <c r="R4058"/>
      <c r="S4058"/>
      <c r="T4058"/>
      <c r="U4058"/>
    </row>
    <row r="4059" spans="1:21" hidden="1">
      <c r="A4059" s="7" t="s">
        <v>8934</v>
      </c>
      <c r="B4059" s="7" t="s">
        <v>7267</v>
      </c>
      <c r="C4059" s="8" t="s">
        <v>5319</v>
      </c>
      <c r="D4059" t="s">
        <v>266</v>
      </c>
      <c r="E4059" t="s">
        <v>3640</v>
      </c>
      <c r="F4059" t="s">
        <v>117</v>
      </c>
      <c r="G4059" t="s">
        <v>3646</v>
      </c>
      <c r="H4059" s="9">
        <v>44733</v>
      </c>
      <c r="I4059" t="s">
        <v>903</v>
      </c>
      <c r="J4059" t="s">
        <v>0</v>
      </c>
      <c r="K4059" s="9">
        <v>44782</v>
      </c>
      <c r="L4059" t="s">
        <v>29</v>
      </c>
      <c r="M4059"/>
      <c r="N4059"/>
      <c r="O4059"/>
      <c r="P4059"/>
      <c r="Q4059" s="9">
        <v>44782</v>
      </c>
      <c r="R4059"/>
      <c r="S4059"/>
      <c r="T4059"/>
      <c r="U4059"/>
    </row>
    <row r="4060" spans="1:21" hidden="1">
      <c r="A4060" s="7" t="s">
        <v>8934</v>
      </c>
      <c r="B4060" s="7" t="s">
        <v>7267</v>
      </c>
      <c r="C4060" s="8" t="s">
        <v>5319</v>
      </c>
      <c r="D4060" t="s">
        <v>266</v>
      </c>
      <c r="E4060" t="s">
        <v>3640</v>
      </c>
      <c r="F4060" t="s">
        <v>117</v>
      </c>
      <c r="G4060" t="s">
        <v>3647</v>
      </c>
      <c r="H4060" s="9">
        <v>44733</v>
      </c>
      <c r="I4060" t="s">
        <v>903</v>
      </c>
      <c r="J4060" t="s">
        <v>0</v>
      </c>
      <c r="K4060" s="9">
        <v>44782</v>
      </c>
      <c r="L4060" t="s">
        <v>29</v>
      </c>
      <c r="M4060"/>
      <c r="N4060"/>
      <c r="O4060"/>
      <c r="P4060"/>
      <c r="Q4060" s="9">
        <v>44782</v>
      </c>
      <c r="R4060"/>
      <c r="S4060"/>
      <c r="T4060"/>
      <c r="U4060"/>
    </row>
    <row r="4061" spans="1:21" hidden="1">
      <c r="A4061" s="7" t="s">
        <v>8934</v>
      </c>
      <c r="B4061" s="7" t="s">
        <v>7267</v>
      </c>
      <c r="C4061" s="8" t="s">
        <v>5319</v>
      </c>
      <c r="D4061" t="s">
        <v>266</v>
      </c>
      <c r="E4061" t="s">
        <v>3640</v>
      </c>
      <c r="F4061" t="s">
        <v>117</v>
      </c>
      <c r="G4061" t="s">
        <v>3648</v>
      </c>
      <c r="H4061" s="9">
        <v>44733</v>
      </c>
      <c r="I4061" t="s">
        <v>903</v>
      </c>
      <c r="J4061" t="s">
        <v>0</v>
      </c>
      <c r="K4061" s="9">
        <v>44782</v>
      </c>
      <c r="L4061" t="s">
        <v>29</v>
      </c>
      <c r="M4061"/>
      <c r="N4061"/>
      <c r="O4061"/>
      <c r="P4061"/>
      <c r="Q4061" s="9">
        <v>44782</v>
      </c>
      <c r="R4061"/>
      <c r="S4061"/>
      <c r="T4061"/>
      <c r="U4061"/>
    </row>
    <row r="4062" spans="1:21" hidden="1">
      <c r="A4062" s="7" t="s">
        <v>8934</v>
      </c>
      <c r="B4062" s="7" t="s">
        <v>7267</v>
      </c>
      <c r="C4062" s="8" t="s">
        <v>5319</v>
      </c>
      <c r="D4062" t="s">
        <v>266</v>
      </c>
      <c r="E4062" t="s">
        <v>3640</v>
      </c>
      <c r="F4062" t="s">
        <v>117</v>
      </c>
      <c r="G4062" t="s">
        <v>3649</v>
      </c>
      <c r="H4062" s="9">
        <v>44733</v>
      </c>
      <c r="I4062" t="s">
        <v>903</v>
      </c>
      <c r="J4062" t="s">
        <v>0</v>
      </c>
      <c r="K4062" s="9">
        <v>44782</v>
      </c>
      <c r="L4062" t="s">
        <v>29</v>
      </c>
      <c r="M4062"/>
      <c r="N4062"/>
      <c r="O4062"/>
      <c r="P4062"/>
      <c r="Q4062" s="9">
        <v>44782</v>
      </c>
      <c r="R4062"/>
      <c r="S4062"/>
      <c r="T4062"/>
      <c r="U4062"/>
    </row>
    <row r="4063" spans="1:21" hidden="1">
      <c r="A4063" s="7" t="s">
        <v>8934</v>
      </c>
      <c r="B4063" s="7" t="s">
        <v>7267</v>
      </c>
      <c r="C4063" s="8" t="s">
        <v>5319</v>
      </c>
      <c r="D4063" t="s">
        <v>266</v>
      </c>
      <c r="E4063" t="s">
        <v>3640</v>
      </c>
      <c r="F4063" t="s">
        <v>117</v>
      </c>
      <c r="G4063" t="s">
        <v>3650</v>
      </c>
      <c r="H4063" s="9">
        <v>44733</v>
      </c>
      <c r="I4063" t="s">
        <v>903</v>
      </c>
      <c r="J4063" t="s">
        <v>0</v>
      </c>
      <c r="K4063" s="9">
        <v>44782</v>
      </c>
      <c r="L4063" t="s">
        <v>29</v>
      </c>
      <c r="M4063"/>
      <c r="N4063"/>
      <c r="O4063"/>
      <c r="P4063"/>
      <c r="Q4063" s="9">
        <v>44782</v>
      </c>
      <c r="R4063"/>
      <c r="S4063"/>
      <c r="T4063"/>
      <c r="U4063"/>
    </row>
    <row r="4064" spans="1:21" hidden="1">
      <c r="A4064" s="7" t="s">
        <v>8934</v>
      </c>
      <c r="B4064" s="7" t="s">
        <v>7267</v>
      </c>
      <c r="C4064" s="8" t="s">
        <v>5319</v>
      </c>
      <c r="D4064" t="s">
        <v>266</v>
      </c>
      <c r="E4064" t="s">
        <v>3640</v>
      </c>
      <c r="F4064" t="s">
        <v>117</v>
      </c>
      <c r="G4064" t="s">
        <v>3651</v>
      </c>
      <c r="H4064" s="9">
        <v>44733</v>
      </c>
      <c r="I4064" t="s">
        <v>903</v>
      </c>
      <c r="J4064" t="s">
        <v>0</v>
      </c>
      <c r="K4064" s="9">
        <v>44782</v>
      </c>
      <c r="L4064" t="s">
        <v>29</v>
      </c>
      <c r="M4064"/>
      <c r="N4064"/>
      <c r="O4064"/>
      <c r="P4064"/>
      <c r="Q4064" s="9">
        <v>44782</v>
      </c>
      <c r="R4064"/>
      <c r="S4064"/>
      <c r="T4064"/>
      <c r="U4064"/>
    </row>
    <row r="4065" spans="1:21" hidden="1">
      <c r="A4065" s="7" t="s">
        <v>8934</v>
      </c>
      <c r="B4065" s="7" t="s">
        <v>7267</v>
      </c>
      <c r="C4065" s="8" t="s">
        <v>5319</v>
      </c>
      <c r="D4065" t="s">
        <v>266</v>
      </c>
      <c r="E4065" t="s">
        <v>3640</v>
      </c>
      <c r="F4065" t="s">
        <v>117</v>
      </c>
      <c r="G4065" t="s">
        <v>3652</v>
      </c>
      <c r="H4065" s="9">
        <v>44733</v>
      </c>
      <c r="I4065" t="s">
        <v>903</v>
      </c>
      <c r="J4065" t="s">
        <v>0</v>
      </c>
      <c r="K4065" s="9">
        <v>44782</v>
      </c>
      <c r="L4065" t="s">
        <v>29</v>
      </c>
      <c r="M4065"/>
      <c r="N4065"/>
      <c r="O4065"/>
      <c r="P4065"/>
      <c r="Q4065" s="9">
        <v>44782</v>
      </c>
      <c r="R4065"/>
      <c r="S4065"/>
      <c r="T4065"/>
      <c r="U4065"/>
    </row>
    <row r="4066" spans="1:21" hidden="1">
      <c r="A4066" s="7" t="s">
        <v>8934</v>
      </c>
      <c r="B4066" s="7" t="s">
        <v>7267</v>
      </c>
      <c r="C4066" s="8" t="s">
        <v>5319</v>
      </c>
      <c r="D4066" t="s">
        <v>266</v>
      </c>
      <c r="E4066" t="s">
        <v>3640</v>
      </c>
      <c r="F4066" t="s">
        <v>117</v>
      </c>
      <c r="G4066" t="s">
        <v>3653</v>
      </c>
      <c r="H4066" s="9">
        <v>44733</v>
      </c>
      <c r="I4066" t="s">
        <v>903</v>
      </c>
      <c r="J4066" t="s">
        <v>5330</v>
      </c>
      <c r="K4066" s="9">
        <v>44834</v>
      </c>
      <c r="L4066" t="s">
        <v>29</v>
      </c>
      <c r="M4066"/>
      <c r="N4066" s="9">
        <v>44778</v>
      </c>
      <c r="O4066" s="9">
        <v>44834</v>
      </c>
      <c r="P4066"/>
      <c r="Q4066"/>
      <c r="R4066"/>
      <c r="S4066"/>
      <c r="T4066"/>
      <c r="U4066"/>
    </row>
    <row r="4067" spans="1:21" hidden="1">
      <c r="A4067" s="7" t="s">
        <v>8934</v>
      </c>
      <c r="B4067" s="7" t="s">
        <v>7267</v>
      </c>
      <c r="C4067" s="8" t="s">
        <v>5319</v>
      </c>
      <c r="D4067" t="s">
        <v>266</v>
      </c>
      <c r="E4067" t="s">
        <v>3640</v>
      </c>
      <c r="F4067" t="s">
        <v>117</v>
      </c>
      <c r="G4067" t="s">
        <v>3654</v>
      </c>
      <c r="H4067" s="9">
        <v>44733</v>
      </c>
      <c r="I4067" t="s">
        <v>903</v>
      </c>
      <c r="J4067" t="s">
        <v>5330</v>
      </c>
      <c r="K4067" s="9">
        <v>44834</v>
      </c>
      <c r="L4067" t="s">
        <v>29</v>
      </c>
      <c r="M4067"/>
      <c r="N4067" s="9">
        <v>44778</v>
      </c>
      <c r="O4067" s="9">
        <v>44834</v>
      </c>
      <c r="P4067"/>
      <c r="Q4067"/>
      <c r="R4067"/>
      <c r="S4067"/>
      <c r="T4067"/>
      <c r="U4067"/>
    </row>
    <row r="4068" spans="1:21" hidden="1">
      <c r="A4068" s="7" t="s">
        <v>8934</v>
      </c>
      <c r="B4068" s="7" t="s">
        <v>7267</v>
      </c>
      <c r="C4068" s="8" t="s">
        <v>5319</v>
      </c>
      <c r="D4068" t="s">
        <v>266</v>
      </c>
      <c r="E4068" t="s">
        <v>3640</v>
      </c>
      <c r="F4068" t="s">
        <v>117</v>
      </c>
      <c r="G4068" t="s">
        <v>3655</v>
      </c>
      <c r="H4068" s="9">
        <v>44733</v>
      </c>
      <c r="I4068" t="s">
        <v>903</v>
      </c>
      <c r="J4068" t="s">
        <v>5330</v>
      </c>
      <c r="K4068" s="9">
        <v>44834</v>
      </c>
      <c r="L4068" t="s">
        <v>29</v>
      </c>
      <c r="M4068"/>
      <c r="N4068" s="9">
        <v>44778</v>
      </c>
      <c r="O4068" s="9">
        <v>44834</v>
      </c>
      <c r="P4068"/>
      <c r="Q4068"/>
      <c r="R4068"/>
      <c r="S4068"/>
      <c r="T4068"/>
      <c r="U4068"/>
    </row>
    <row r="4069" spans="1:21" hidden="1">
      <c r="A4069" s="7" t="s">
        <v>8934</v>
      </c>
      <c r="B4069" s="7" t="s">
        <v>7267</v>
      </c>
      <c r="C4069" s="8" t="s">
        <v>5319</v>
      </c>
      <c r="D4069" t="s">
        <v>266</v>
      </c>
      <c r="E4069" t="s">
        <v>3640</v>
      </c>
      <c r="F4069" t="s">
        <v>117</v>
      </c>
      <c r="G4069" t="s">
        <v>3656</v>
      </c>
      <c r="H4069" s="9">
        <v>44733</v>
      </c>
      <c r="I4069" t="s">
        <v>903</v>
      </c>
      <c r="J4069" t="s">
        <v>5330</v>
      </c>
      <c r="K4069" s="9">
        <v>44834</v>
      </c>
      <c r="L4069" t="s">
        <v>29</v>
      </c>
      <c r="M4069"/>
      <c r="N4069" s="9">
        <v>44778</v>
      </c>
      <c r="O4069" s="9">
        <v>44834</v>
      </c>
      <c r="P4069"/>
      <c r="Q4069"/>
      <c r="R4069"/>
      <c r="S4069"/>
      <c r="T4069"/>
      <c r="U4069"/>
    </row>
    <row r="4070" spans="1:21" hidden="1">
      <c r="A4070" s="7" t="s">
        <v>8934</v>
      </c>
      <c r="B4070" s="7" t="s">
        <v>7267</v>
      </c>
      <c r="C4070" s="8" t="s">
        <v>5319</v>
      </c>
      <c r="D4070" t="s">
        <v>266</v>
      </c>
      <c r="E4070" t="s">
        <v>3640</v>
      </c>
      <c r="F4070" t="s">
        <v>117</v>
      </c>
      <c r="G4070" t="s">
        <v>3657</v>
      </c>
      <c r="H4070" s="9">
        <v>44733</v>
      </c>
      <c r="I4070" t="s">
        <v>903</v>
      </c>
      <c r="J4070" t="s">
        <v>0</v>
      </c>
      <c r="K4070" s="9">
        <v>44782</v>
      </c>
      <c r="L4070" t="s">
        <v>29</v>
      </c>
      <c r="M4070"/>
      <c r="N4070"/>
      <c r="O4070"/>
      <c r="P4070"/>
      <c r="Q4070" s="9">
        <v>44782</v>
      </c>
      <c r="R4070"/>
      <c r="S4070"/>
      <c r="T4070"/>
      <c r="U4070"/>
    </row>
    <row r="4071" spans="1:21" hidden="1">
      <c r="A4071" s="7" t="s">
        <v>8934</v>
      </c>
      <c r="B4071" s="7" t="s">
        <v>7267</v>
      </c>
      <c r="C4071" s="8" t="s">
        <v>5319</v>
      </c>
      <c r="D4071" t="s">
        <v>266</v>
      </c>
      <c r="E4071" t="s">
        <v>3640</v>
      </c>
      <c r="F4071" t="s">
        <v>117</v>
      </c>
      <c r="G4071" t="s">
        <v>3658</v>
      </c>
      <c r="H4071" s="9">
        <v>44733</v>
      </c>
      <c r="I4071" t="s">
        <v>903</v>
      </c>
      <c r="J4071" t="s">
        <v>0</v>
      </c>
      <c r="K4071" s="9">
        <v>44782</v>
      </c>
      <c r="L4071" t="s">
        <v>29</v>
      </c>
      <c r="M4071"/>
      <c r="N4071"/>
      <c r="O4071"/>
      <c r="P4071"/>
      <c r="Q4071" s="9">
        <v>44782</v>
      </c>
      <c r="R4071"/>
      <c r="S4071"/>
      <c r="T4071"/>
      <c r="U4071"/>
    </row>
    <row r="4072" spans="1:21" hidden="1">
      <c r="A4072" s="7" t="s">
        <v>8806</v>
      </c>
      <c r="B4072" s="7" t="s">
        <v>7593</v>
      </c>
      <c r="C4072" s="8" t="s">
        <v>5319</v>
      </c>
      <c r="D4072" t="s">
        <v>266</v>
      </c>
      <c r="E4072" t="s">
        <v>1034</v>
      </c>
      <c r="F4072" t="s">
        <v>117</v>
      </c>
      <c r="G4072" t="s">
        <v>1900</v>
      </c>
      <c r="H4072" s="9">
        <v>44733</v>
      </c>
      <c r="I4072" t="s">
        <v>984</v>
      </c>
      <c r="J4072" t="s">
        <v>2</v>
      </c>
      <c r="K4072" s="9">
        <v>44834</v>
      </c>
      <c r="L4072" t="s">
        <v>29</v>
      </c>
      <c r="M4072" t="s">
        <v>5331</v>
      </c>
      <c r="N4072" s="9">
        <v>44778</v>
      </c>
      <c r="O4072" s="9">
        <v>44834</v>
      </c>
      <c r="P4072"/>
      <c r="Q4072" s="9">
        <v>44872</v>
      </c>
      <c r="R4072"/>
      <c r="S4072"/>
      <c r="T4072"/>
      <c r="U4072"/>
    </row>
    <row r="4073" spans="1:21" hidden="1">
      <c r="A4073" s="7" t="s">
        <v>8805</v>
      </c>
      <c r="B4073" s="7" t="s">
        <v>6936</v>
      </c>
      <c r="C4073" s="8" t="s">
        <v>5319</v>
      </c>
      <c r="D4073" t="s">
        <v>266</v>
      </c>
      <c r="E4073" t="s">
        <v>1032</v>
      </c>
      <c r="F4073" t="s">
        <v>83</v>
      </c>
      <c r="G4073" t="s">
        <v>3659</v>
      </c>
      <c r="H4073" s="9">
        <v>44733</v>
      </c>
      <c r="I4073" t="s">
        <v>984</v>
      </c>
      <c r="J4073" t="s">
        <v>5330</v>
      </c>
      <c r="K4073" s="9">
        <v>44834</v>
      </c>
      <c r="L4073" t="s">
        <v>29</v>
      </c>
      <c r="M4073"/>
      <c r="N4073" s="9">
        <v>44778</v>
      </c>
      <c r="O4073" s="9">
        <v>44834</v>
      </c>
      <c r="P4073"/>
      <c r="Q4073"/>
      <c r="R4073"/>
      <c r="S4073"/>
      <c r="T4073"/>
      <c r="U4073"/>
    </row>
    <row r="4074" spans="1:21" hidden="1">
      <c r="A4074" s="7" t="s">
        <v>8806</v>
      </c>
      <c r="B4074" s="7" t="s">
        <v>7593</v>
      </c>
      <c r="C4074" s="8" t="s">
        <v>5319</v>
      </c>
      <c r="D4074" t="s">
        <v>266</v>
      </c>
      <c r="E4074" t="s">
        <v>1034</v>
      </c>
      <c r="F4074" t="s">
        <v>117</v>
      </c>
      <c r="G4074" t="s">
        <v>1898</v>
      </c>
      <c r="H4074" s="9">
        <v>44733</v>
      </c>
      <c r="I4074" t="s">
        <v>984</v>
      </c>
      <c r="J4074" t="s">
        <v>2</v>
      </c>
      <c r="K4074" s="9">
        <v>44834</v>
      </c>
      <c r="L4074" t="s">
        <v>29</v>
      </c>
      <c r="M4074" t="s">
        <v>5331</v>
      </c>
      <c r="N4074" s="9">
        <v>44778</v>
      </c>
      <c r="O4074" s="9">
        <v>44834</v>
      </c>
      <c r="P4074"/>
      <c r="Q4074" s="9">
        <v>44872</v>
      </c>
      <c r="R4074"/>
      <c r="S4074"/>
      <c r="T4074"/>
      <c r="U4074"/>
    </row>
    <row r="4075" spans="1:21" hidden="1">
      <c r="A4075" s="7" t="s">
        <v>8806</v>
      </c>
      <c r="B4075" s="7" t="s">
        <v>7593</v>
      </c>
      <c r="C4075" s="8" t="s">
        <v>5319</v>
      </c>
      <c r="D4075" t="s">
        <v>266</v>
      </c>
      <c r="E4075" t="s">
        <v>1034</v>
      </c>
      <c r="F4075" t="s">
        <v>117</v>
      </c>
      <c r="G4075" t="s">
        <v>1902</v>
      </c>
      <c r="H4075" s="9">
        <v>44733</v>
      </c>
      <c r="I4075" t="s">
        <v>984</v>
      </c>
      <c r="J4075" t="s">
        <v>2</v>
      </c>
      <c r="K4075" s="9">
        <v>44834</v>
      </c>
      <c r="L4075" t="s">
        <v>29</v>
      </c>
      <c r="M4075" t="s">
        <v>5331</v>
      </c>
      <c r="N4075" s="9">
        <v>44778</v>
      </c>
      <c r="O4075" s="9">
        <v>44834</v>
      </c>
      <c r="P4075"/>
      <c r="Q4075" s="9">
        <v>44872</v>
      </c>
      <c r="R4075"/>
      <c r="S4075"/>
      <c r="T4075"/>
      <c r="U4075"/>
    </row>
    <row r="4076" spans="1:21" hidden="1">
      <c r="A4076" s="7" t="s">
        <v>8806</v>
      </c>
      <c r="B4076" s="7" t="s">
        <v>7593</v>
      </c>
      <c r="C4076" s="8" t="s">
        <v>5319</v>
      </c>
      <c r="D4076" t="s">
        <v>266</v>
      </c>
      <c r="E4076" t="s">
        <v>1034</v>
      </c>
      <c r="F4076" t="s">
        <v>117</v>
      </c>
      <c r="G4076" t="s">
        <v>1899</v>
      </c>
      <c r="H4076" s="9">
        <v>44733</v>
      </c>
      <c r="I4076" t="s">
        <v>984</v>
      </c>
      <c r="J4076" t="s">
        <v>2</v>
      </c>
      <c r="K4076" s="9">
        <v>44834</v>
      </c>
      <c r="L4076" t="s">
        <v>29</v>
      </c>
      <c r="M4076" t="s">
        <v>5331</v>
      </c>
      <c r="N4076" s="9">
        <v>44778</v>
      </c>
      <c r="O4076" s="9">
        <v>44834</v>
      </c>
      <c r="P4076"/>
      <c r="Q4076" s="9">
        <v>44872</v>
      </c>
      <c r="R4076"/>
      <c r="S4076"/>
      <c r="T4076"/>
      <c r="U4076"/>
    </row>
    <row r="4077" spans="1:21" hidden="1">
      <c r="A4077" s="7" t="s">
        <v>8806</v>
      </c>
      <c r="B4077" s="7" t="s">
        <v>7593</v>
      </c>
      <c r="C4077" s="8" t="s">
        <v>5319</v>
      </c>
      <c r="D4077" t="s">
        <v>266</v>
      </c>
      <c r="E4077" t="s">
        <v>1034</v>
      </c>
      <c r="F4077" t="s">
        <v>117</v>
      </c>
      <c r="G4077" t="s">
        <v>1901</v>
      </c>
      <c r="H4077" s="9">
        <v>44733</v>
      </c>
      <c r="I4077" t="s">
        <v>984</v>
      </c>
      <c r="J4077" t="s">
        <v>2</v>
      </c>
      <c r="K4077" s="9">
        <v>44834</v>
      </c>
      <c r="L4077" t="s">
        <v>29</v>
      </c>
      <c r="M4077" t="s">
        <v>5331</v>
      </c>
      <c r="N4077" s="9">
        <v>44778</v>
      </c>
      <c r="O4077" s="9">
        <v>44834</v>
      </c>
      <c r="P4077"/>
      <c r="Q4077" s="9">
        <v>44872</v>
      </c>
      <c r="R4077"/>
      <c r="S4077"/>
      <c r="T4077"/>
      <c r="U4077"/>
    </row>
    <row r="4078" spans="1:21" hidden="1">
      <c r="A4078" s="7" t="s">
        <v>8806</v>
      </c>
      <c r="B4078" s="7" t="s">
        <v>7593</v>
      </c>
      <c r="C4078" s="8" t="s">
        <v>5319</v>
      </c>
      <c r="D4078" t="s">
        <v>266</v>
      </c>
      <c r="E4078" t="s">
        <v>1034</v>
      </c>
      <c r="F4078" t="s">
        <v>117</v>
      </c>
      <c r="G4078" t="s">
        <v>1905</v>
      </c>
      <c r="H4078" s="9">
        <v>44733</v>
      </c>
      <c r="I4078" t="s">
        <v>984</v>
      </c>
      <c r="J4078" t="s">
        <v>2</v>
      </c>
      <c r="K4078" s="9">
        <v>44834</v>
      </c>
      <c r="L4078" t="s">
        <v>29</v>
      </c>
      <c r="M4078" t="s">
        <v>5331</v>
      </c>
      <c r="N4078" s="9">
        <v>44778</v>
      </c>
      <c r="O4078" s="9">
        <v>44834</v>
      </c>
      <c r="P4078"/>
      <c r="Q4078" s="9">
        <v>44872</v>
      </c>
      <c r="R4078"/>
      <c r="S4078"/>
      <c r="T4078"/>
      <c r="U4078"/>
    </row>
    <row r="4079" spans="1:21" hidden="1">
      <c r="A4079" s="7" t="s">
        <v>8806</v>
      </c>
      <c r="B4079" s="7" t="s">
        <v>7593</v>
      </c>
      <c r="C4079" s="8" t="s">
        <v>5319</v>
      </c>
      <c r="D4079" t="s">
        <v>266</v>
      </c>
      <c r="E4079" t="s">
        <v>1034</v>
      </c>
      <c r="F4079" t="s">
        <v>117</v>
      </c>
      <c r="G4079" t="s">
        <v>3660</v>
      </c>
      <c r="H4079" s="9">
        <v>44733</v>
      </c>
      <c r="I4079" t="s">
        <v>984</v>
      </c>
      <c r="J4079" t="s">
        <v>5330</v>
      </c>
      <c r="K4079" s="9">
        <v>44834</v>
      </c>
      <c r="L4079" t="s">
        <v>29</v>
      </c>
      <c r="M4079"/>
      <c r="N4079" s="9">
        <v>44778</v>
      </c>
      <c r="O4079" s="9">
        <v>44834</v>
      </c>
      <c r="P4079"/>
      <c r="Q4079"/>
      <c r="R4079"/>
      <c r="S4079"/>
      <c r="T4079"/>
      <c r="U4079"/>
    </row>
    <row r="4080" spans="1:21" hidden="1">
      <c r="A4080" s="7" t="s">
        <v>8934</v>
      </c>
      <c r="B4080" s="7" t="s">
        <v>7267</v>
      </c>
      <c r="C4080" s="8" t="s">
        <v>5319</v>
      </c>
      <c r="D4080" t="s">
        <v>266</v>
      </c>
      <c r="E4080" t="s">
        <v>3640</v>
      </c>
      <c r="F4080" t="s">
        <v>117</v>
      </c>
      <c r="G4080" t="s">
        <v>3661</v>
      </c>
      <c r="H4080" s="9">
        <v>44733</v>
      </c>
      <c r="I4080" t="s">
        <v>903</v>
      </c>
      <c r="J4080" t="s">
        <v>0</v>
      </c>
      <c r="K4080" s="9">
        <v>44782</v>
      </c>
      <c r="L4080" t="s">
        <v>29</v>
      </c>
      <c r="M4080"/>
      <c r="N4080"/>
      <c r="O4080"/>
      <c r="P4080"/>
      <c r="Q4080" s="9">
        <v>44782</v>
      </c>
      <c r="R4080"/>
      <c r="S4080"/>
      <c r="T4080"/>
      <c r="U4080"/>
    </row>
    <row r="4081" spans="1:21" hidden="1">
      <c r="A4081" s="7" t="s">
        <v>8934</v>
      </c>
      <c r="B4081" s="7" t="s">
        <v>7267</v>
      </c>
      <c r="C4081" s="8" t="s">
        <v>5319</v>
      </c>
      <c r="D4081" t="s">
        <v>266</v>
      </c>
      <c r="E4081" t="s">
        <v>3640</v>
      </c>
      <c r="F4081" t="s">
        <v>117</v>
      </c>
      <c r="G4081" t="s">
        <v>3662</v>
      </c>
      <c r="H4081" s="9">
        <v>44733</v>
      </c>
      <c r="I4081" t="s">
        <v>903</v>
      </c>
      <c r="J4081" t="s">
        <v>0</v>
      </c>
      <c r="K4081" s="9">
        <v>44782</v>
      </c>
      <c r="L4081" t="s">
        <v>29</v>
      </c>
      <c r="M4081"/>
      <c r="N4081"/>
      <c r="O4081"/>
      <c r="P4081"/>
      <c r="Q4081" s="9">
        <v>44782</v>
      </c>
      <c r="R4081"/>
      <c r="S4081"/>
      <c r="T4081"/>
      <c r="U4081"/>
    </row>
    <row r="4082" spans="1:21" hidden="1">
      <c r="A4082" s="7" t="s">
        <v>8934</v>
      </c>
      <c r="B4082" s="7" t="s">
        <v>7267</v>
      </c>
      <c r="C4082" s="8" t="s">
        <v>5319</v>
      </c>
      <c r="D4082" t="s">
        <v>266</v>
      </c>
      <c r="E4082" t="s">
        <v>3640</v>
      </c>
      <c r="F4082" t="s">
        <v>117</v>
      </c>
      <c r="G4082" t="s">
        <v>3663</v>
      </c>
      <c r="H4082" s="9">
        <v>44733</v>
      </c>
      <c r="I4082" t="s">
        <v>903</v>
      </c>
      <c r="J4082" t="s">
        <v>0</v>
      </c>
      <c r="K4082" s="9">
        <v>44782</v>
      </c>
      <c r="L4082" t="s">
        <v>29</v>
      </c>
      <c r="M4082"/>
      <c r="N4082"/>
      <c r="O4082"/>
      <c r="P4082"/>
      <c r="Q4082" s="9">
        <v>44782</v>
      </c>
      <c r="R4082"/>
      <c r="S4082"/>
      <c r="T4082"/>
      <c r="U4082"/>
    </row>
    <row r="4083" spans="1:21" hidden="1">
      <c r="A4083" s="7" t="s">
        <v>8934</v>
      </c>
      <c r="B4083" s="7" t="s">
        <v>7267</v>
      </c>
      <c r="C4083" s="8" t="s">
        <v>5319</v>
      </c>
      <c r="D4083" t="s">
        <v>266</v>
      </c>
      <c r="E4083" t="s">
        <v>3640</v>
      </c>
      <c r="F4083" t="s">
        <v>117</v>
      </c>
      <c r="G4083" t="s">
        <v>3664</v>
      </c>
      <c r="H4083" s="9">
        <v>44733</v>
      </c>
      <c r="I4083" t="s">
        <v>903</v>
      </c>
      <c r="J4083" t="s">
        <v>0</v>
      </c>
      <c r="K4083" s="9">
        <v>44782</v>
      </c>
      <c r="L4083" t="s">
        <v>29</v>
      </c>
      <c r="M4083"/>
      <c r="N4083"/>
      <c r="O4083"/>
      <c r="P4083"/>
      <c r="Q4083" s="9">
        <v>44782</v>
      </c>
      <c r="R4083"/>
      <c r="S4083"/>
      <c r="T4083"/>
      <c r="U4083"/>
    </row>
    <row r="4084" spans="1:21" hidden="1">
      <c r="A4084" s="7" t="s">
        <v>8934</v>
      </c>
      <c r="B4084" s="7" t="s">
        <v>7267</v>
      </c>
      <c r="C4084" s="8" t="s">
        <v>5319</v>
      </c>
      <c r="D4084" t="s">
        <v>266</v>
      </c>
      <c r="E4084" t="s">
        <v>3640</v>
      </c>
      <c r="F4084" t="s">
        <v>117</v>
      </c>
      <c r="G4084" t="s">
        <v>3665</v>
      </c>
      <c r="H4084" s="9">
        <v>44733</v>
      </c>
      <c r="I4084" t="s">
        <v>903</v>
      </c>
      <c r="J4084" t="s">
        <v>0</v>
      </c>
      <c r="K4084" s="9">
        <v>44782</v>
      </c>
      <c r="L4084" t="s">
        <v>29</v>
      </c>
      <c r="M4084"/>
      <c r="N4084"/>
      <c r="O4084"/>
      <c r="P4084"/>
      <c r="Q4084" s="9">
        <v>44782</v>
      </c>
      <c r="R4084"/>
      <c r="S4084"/>
      <c r="T4084"/>
      <c r="U4084"/>
    </row>
    <row r="4085" spans="1:21" hidden="1">
      <c r="A4085" s="7" t="s">
        <v>8934</v>
      </c>
      <c r="B4085" s="7" t="s">
        <v>7267</v>
      </c>
      <c r="C4085" s="8" t="s">
        <v>5319</v>
      </c>
      <c r="D4085" t="s">
        <v>266</v>
      </c>
      <c r="E4085" t="s">
        <v>3640</v>
      </c>
      <c r="F4085" t="s">
        <v>117</v>
      </c>
      <c r="G4085" t="s">
        <v>3666</v>
      </c>
      <c r="H4085" s="9">
        <v>44733</v>
      </c>
      <c r="I4085" t="s">
        <v>903</v>
      </c>
      <c r="J4085" t="s">
        <v>0</v>
      </c>
      <c r="K4085" s="9">
        <v>44782</v>
      </c>
      <c r="L4085" t="s">
        <v>29</v>
      </c>
      <c r="M4085"/>
      <c r="N4085"/>
      <c r="O4085"/>
      <c r="P4085"/>
      <c r="Q4085" s="9">
        <v>44782</v>
      </c>
      <c r="R4085"/>
      <c r="S4085"/>
      <c r="T4085"/>
      <c r="U4085"/>
    </row>
    <row r="4086" spans="1:21" hidden="1">
      <c r="A4086" s="7" t="s">
        <v>8934</v>
      </c>
      <c r="B4086" s="7" t="s">
        <v>7267</v>
      </c>
      <c r="C4086" s="8" t="s">
        <v>5319</v>
      </c>
      <c r="D4086" t="s">
        <v>266</v>
      </c>
      <c r="E4086" t="s">
        <v>3640</v>
      </c>
      <c r="F4086" t="s">
        <v>117</v>
      </c>
      <c r="G4086" t="s">
        <v>3667</v>
      </c>
      <c r="H4086" s="9">
        <v>44733</v>
      </c>
      <c r="I4086" t="s">
        <v>903</v>
      </c>
      <c r="J4086" t="s">
        <v>0</v>
      </c>
      <c r="K4086" s="9">
        <v>44782</v>
      </c>
      <c r="L4086" t="s">
        <v>29</v>
      </c>
      <c r="M4086"/>
      <c r="N4086"/>
      <c r="O4086"/>
      <c r="P4086"/>
      <c r="Q4086" s="9">
        <v>44782</v>
      </c>
      <c r="R4086"/>
      <c r="S4086"/>
      <c r="T4086"/>
      <c r="U4086"/>
    </row>
    <row r="4087" spans="1:21" hidden="1">
      <c r="A4087" s="7" t="s">
        <v>8934</v>
      </c>
      <c r="B4087" s="7" t="s">
        <v>7267</v>
      </c>
      <c r="C4087" s="8" t="s">
        <v>5319</v>
      </c>
      <c r="D4087" t="s">
        <v>266</v>
      </c>
      <c r="E4087" t="s">
        <v>3640</v>
      </c>
      <c r="F4087" t="s">
        <v>117</v>
      </c>
      <c r="G4087" t="s">
        <v>3668</v>
      </c>
      <c r="H4087" s="9">
        <v>44733</v>
      </c>
      <c r="I4087" t="s">
        <v>903</v>
      </c>
      <c r="J4087" t="s">
        <v>0</v>
      </c>
      <c r="K4087" s="9">
        <v>44782</v>
      </c>
      <c r="L4087" t="s">
        <v>29</v>
      </c>
      <c r="M4087"/>
      <c r="N4087"/>
      <c r="O4087"/>
      <c r="P4087"/>
      <c r="Q4087" s="9">
        <v>44782</v>
      </c>
      <c r="R4087"/>
      <c r="S4087"/>
      <c r="T4087"/>
      <c r="U4087"/>
    </row>
    <row r="4088" spans="1:21" hidden="1">
      <c r="A4088" s="7" t="s">
        <v>8934</v>
      </c>
      <c r="B4088" s="7" t="s">
        <v>7267</v>
      </c>
      <c r="C4088" s="8" t="s">
        <v>5319</v>
      </c>
      <c r="D4088" t="s">
        <v>266</v>
      </c>
      <c r="E4088" t="s">
        <v>3640</v>
      </c>
      <c r="F4088" t="s">
        <v>117</v>
      </c>
      <c r="G4088" t="s">
        <v>3669</v>
      </c>
      <c r="H4088" s="9">
        <v>44733</v>
      </c>
      <c r="I4088" t="s">
        <v>903</v>
      </c>
      <c r="J4088" t="s">
        <v>0</v>
      </c>
      <c r="K4088" s="9">
        <v>44782</v>
      </c>
      <c r="L4088" t="s">
        <v>29</v>
      </c>
      <c r="M4088"/>
      <c r="N4088"/>
      <c r="O4088"/>
      <c r="P4088"/>
      <c r="Q4088" s="9">
        <v>44782</v>
      </c>
      <c r="R4088"/>
      <c r="S4088"/>
      <c r="T4088"/>
      <c r="U4088"/>
    </row>
    <row r="4089" spans="1:21" hidden="1">
      <c r="A4089" s="7" t="s">
        <v>8934</v>
      </c>
      <c r="B4089" s="7" t="s">
        <v>7267</v>
      </c>
      <c r="C4089" s="8" t="s">
        <v>5319</v>
      </c>
      <c r="D4089" t="s">
        <v>266</v>
      </c>
      <c r="E4089" t="s">
        <v>3640</v>
      </c>
      <c r="F4089" t="s">
        <v>117</v>
      </c>
      <c r="G4089" t="s">
        <v>3670</v>
      </c>
      <c r="H4089" s="9">
        <v>44733</v>
      </c>
      <c r="I4089" t="s">
        <v>903</v>
      </c>
      <c r="J4089" t="s">
        <v>0</v>
      </c>
      <c r="K4089" s="9">
        <v>44782</v>
      </c>
      <c r="L4089" t="s">
        <v>29</v>
      </c>
      <c r="M4089"/>
      <c r="N4089"/>
      <c r="O4089"/>
      <c r="P4089"/>
      <c r="Q4089" s="9">
        <v>44782</v>
      </c>
      <c r="R4089"/>
      <c r="S4089"/>
      <c r="T4089"/>
      <c r="U4089"/>
    </row>
    <row r="4090" spans="1:21" hidden="1">
      <c r="A4090" s="7" t="s">
        <v>8934</v>
      </c>
      <c r="B4090" s="7" t="s">
        <v>7267</v>
      </c>
      <c r="C4090" s="8" t="s">
        <v>5319</v>
      </c>
      <c r="D4090" t="s">
        <v>266</v>
      </c>
      <c r="E4090" t="s">
        <v>3640</v>
      </c>
      <c r="F4090" t="s">
        <v>117</v>
      </c>
      <c r="G4090" t="s">
        <v>3671</v>
      </c>
      <c r="H4090" s="9">
        <v>44733</v>
      </c>
      <c r="I4090" t="s">
        <v>903</v>
      </c>
      <c r="J4090" t="s">
        <v>0</v>
      </c>
      <c r="K4090" s="9">
        <v>44782</v>
      </c>
      <c r="L4090" t="s">
        <v>29</v>
      </c>
      <c r="M4090"/>
      <c r="N4090"/>
      <c r="O4090"/>
      <c r="P4090"/>
      <c r="Q4090" s="9">
        <v>44782</v>
      </c>
      <c r="R4090"/>
      <c r="S4090"/>
      <c r="T4090"/>
      <c r="U4090"/>
    </row>
    <row r="4091" spans="1:21" hidden="1">
      <c r="A4091" s="7" t="s">
        <v>8934</v>
      </c>
      <c r="B4091" s="7" t="s">
        <v>7267</v>
      </c>
      <c r="C4091" s="8" t="s">
        <v>5319</v>
      </c>
      <c r="D4091" t="s">
        <v>266</v>
      </c>
      <c r="E4091" t="s">
        <v>3640</v>
      </c>
      <c r="F4091" t="s">
        <v>117</v>
      </c>
      <c r="G4091" t="s">
        <v>3672</v>
      </c>
      <c r="H4091" s="9">
        <v>44733</v>
      </c>
      <c r="I4091" t="s">
        <v>903</v>
      </c>
      <c r="J4091" t="s">
        <v>0</v>
      </c>
      <c r="K4091" s="9">
        <v>44782</v>
      </c>
      <c r="L4091" t="s">
        <v>29</v>
      </c>
      <c r="M4091"/>
      <c r="N4091"/>
      <c r="O4091"/>
      <c r="P4091"/>
      <c r="Q4091" s="9">
        <v>44782</v>
      </c>
      <c r="R4091"/>
      <c r="S4091"/>
      <c r="T4091"/>
      <c r="U4091"/>
    </row>
    <row r="4092" spans="1:21" hidden="1">
      <c r="A4092" s="7" t="s">
        <v>8934</v>
      </c>
      <c r="B4092" s="7" t="s">
        <v>7267</v>
      </c>
      <c r="C4092" s="8" t="s">
        <v>5319</v>
      </c>
      <c r="D4092" t="s">
        <v>266</v>
      </c>
      <c r="E4092" t="s">
        <v>3640</v>
      </c>
      <c r="F4092" t="s">
        <v>117</v>
      </c>
      <c r="G4092" t="s">
        <v>3673</v>
      </c>
      <c r="H4092" s="9">
        <v>44733</v>
      </c>
      <c r="I4092" t="s">
        <v>903</v>
      </c>
      <c r="J4092" t="s">
        <v>0</v>
      </c>
      <c r="K4092" s="9">
        <v>44782</v>
      </c>
      <c r="L4092" t="s">
        <v>29</v>
      </c>
      <c r="M4092"/>
      <c r="N4092"/>
      <c r="O4092"/>
      <c r="P4092"/>
      <c r="Q4092" s="9">
        <v>44782</v>
      </c>
      <c r="R4092"/>
      <c r="S4092"/>
      <c r="T4092"/>
      <c r="U4092"/>
    </row>
    <row r="4093" spans="1:21" hidden="1">
      <c r="A4093" s="7" t="s">
        <v>8934</v>
      </c>
      <c r="B4093" s="7" t="s">
        <v>7267</v>
      </c>
      <c r="C4093" s="8" t="s">
        <v>5319</v>
      </c>
      <c r="D4093" t="s">
        <v>266</v>
      </c>
      <c r="E4093" t="s">
        <v>3640</v>
      </c>
      <c r="F4093" t="s">
        <v>117</v>
      </c>
      <c r="G4093" t="s">
        <v>3674</v>
      </c>
      <c r="H4093" s="9">
        <v>44733</v>
      </c>
      <c r="I4093" t="s">
        <v>903</v>
      </c>
      <c r="J4093" t="s">
        <v>0</v>
      </c>
      <c r="K4093" s="9">
        <v>44782</v>
      </c>
      <c r="L4093" t="s">
        <v>29</v>
      </c>
      <c r="M4093"/>
      <c r="N4093"/>
      <c r="O4093"/>
      <c r="P4093"/>
      <c r="Q4093" s="9">
        <v>44782</v>
      </c>
      <c r="R4093"/>
      <c r="S4093"/>
      <c r="T4093"/>
      <c r="U4093"/>
    </row>
    <row r="4094" spans="1:21" hidden="1">
      <c r="A4094" s="7" t="s">
        <v>8934</v>
      </c>
      <c r="B4094" s="7" t="s">
        <v>7267</v>
      </c>
      <c r="C4094" s="8" t="s">
        <v>5319</v>
      </c>
      <c r="D4094" t="s">
        <v>266</v>
      </c>
      <c r="E4094" t="s">
        <v>3640</v>
      </c>
      <c r="F4094" t="s">
        <v>117</v>
      </c>
      <c r="G4094" t="s">
        <v>3675</v>
      </c>
      <c r="H4094" s="9">
        <v>44733</v>
      </c>
      <c r="I4094" t="s">
        <v>903</v>
      </c>
      <c r="J4094" t="s">
        <v>0</v>
      </c>
      <c r="K4094" s="9">
        <v>44782</v>
      </c>
      <c r="L4094" t="s">
        <v>29</v>
      </c>
      <c r="M4094"/>
      <c r="N4094"/>
      <c r="O4094"/>
      <c r="P4094"/>
      <c r="Q4094" s="9">
        <v>44782</v>
      </c>
      <c r="R4094"/>
      <c r="S4094"/>
      <c r="T4094"/>
      <c r="U4094"/>
    </row>
    <row r="4095" spans="1:21" hidden="1">
      <c r="A4095" s="7" t="s">
        <v>8934</v>
      </c>
      <c r="B4095" s="7" t="s">
        <v>7267</v>
      </c>
      <c r="C4095" s="8" t="s">
        <v>5319</v>
      </c>
      <c r="D4095" t="s">
        <v>266</v>
      </c>
      <c r="E4095" t="s">
        <v>3640</v>
      </c>
      <c r="F4095" t="s">
        <v>117</v>
      </c>
      <c r="G4095" t="s">
        <v>3676</v>
      </c>
      <c r="H4095" s="9">
        <v>44733</v>
      </c>
      <c r="I4095" t="s">
        <v>903</v>
      </c>
      <c r="J4095" t="s">
        <v>0</v>
      </c>
      <c r="K4095" s="9">
        <v>44782</v>
      </c>
      <c r="L4095" t="s">
        <v>29</v>
      </c>
      <c r="M4095"/>
      <c r="N4095"/>
      <c r="O4095"/>
      <c r="P4095"/>
      <c r="Q4095" s="9">
        <v>44782</v>
      </c>
      <c r="R4095"/>
      <c r="S4095"/>
      <c r="T4095"/>
      <c r="U4095"/>
    </row>
    <row r="4096" spans="1:21" hidden="1">
      <c r="A4096" s="7" t="s">
        <v>8934</v>
      </c>
      <c r="B4096" s="7" t="s">
        <v>7267</v>
      </c>
      <c r="C4096" s="8" t="s">
        <v>5319</v>
      </c>
      <c r="D4096" t="s">
        <v>266</v>
      </c>
      <c r="E4096" t="s">
        <v>3640</v>
      </c>
      <c r="F4096" t="s">
        <v>117</v>
      </c>
      <c r="G4096" t="s">
        <v>3677</v>
      </c>
      <c r="H4096" s="9">
        <v>44733</v>
      </c>
      <c r="I4096" t="s">
        <v>903</v>
      </c>
      <c r="J4096" t="s">
        <v>0</v>
      </c>
      <c r="K4096" s="9">
        <v>44782</v>
      </c>
      <c r="L4096" t="s">
        <v>29</v>
      </c>
      <c r="M4096"/>
      <c r="N4096"/>
      <c r="O4096"/>
      <c r="P4096"/>
      <c r="Q4096" s="9">
        <v>44782</v>
      </c>
      <c r="R4096"/>
      <c r="S4096"/>
      <c r="T4096"/>
      <c r="U4096"/>
    </row>
    <row r="4097" spans="1:21" hidden="1">
      <c r="A4097" s="7" t="s">
        <v>8934</v>
      </c>
      <c r="B4097" s="7" t="s">
        <v>7267</v>
      </c>
      <c r="C4097" s="8" t="s">
        <v>5319</v>
      </c>
      <c r="D4097" t="s">
        <v>266</v>
      </c>
      <c r="E4097" t="s">
        <v>3640</v>
      </c>
      <c r="F4097" t="s">
        <v>117</v>
      </c>
      <c r="G4097" t="s">
        <v>3678</v>
      </c>
      <c r="H4097" s="9">
        <v>44733</v>
      </c>
      <c r="I4097" t="s">
        <v>903</v>
      </c>
      <c r="J4097" t="s">
        <v>0</v>
      </c>
      <c r="K4097" s="9">
        <v>44782</v>
      </c>
      <c r="L4097" t="s">
        <v>29</v>
      </c>
      <c r="M4097"/>
      <c r="N4097"/>
      <c r="O4097"/>
      <c r="P4097"/>
      <c r="Q4097" s="9">
        <v>44782</v>
      </c>
      <c r="R4097"/>
      <c r="S4097"/>
      <c r="T4097"/>
      <c r="U4097"/>
    </row>
    <row r="4098" spans="1:21" hidden="1">
      <c r="A4098" s="7" t="s">
        <v>8934</v>
      </c>
      <c r="B4098" s="7" t="s">
        <v>7267</v>
      </c>
      <c r="C4098" s="8" t="s">
        <v>5319</v>
      </c>
      <c r="D4098" t="s">
        <v>266</v>
      </c>
      <c r="E4098" t="s">
        <v>3640</v>
      </c>
      <c r="F4098" t="s">
        <v>117</v>
      </c>
      <c r="G4098" t="s">
        <v>3679</v>
      </c>
      <c r="H4098" s="9">
        <v>44733</v>
      </c>
      <c r="I4098" t="s">
        <v>903</v>
      </c>
      <c r="J4098" t="s">
        <v>0</v>
      </c>
      <c r="K4098" s="9">
        <v>44782</v>
      </c>
      <c r="L4098" t="s">
        <v>29</v>
      </c>
      <c r="M4098"/>
      <c r="N4098"/>
      <c r="O4098"/>
      <c r="P4098"/>
      <c r="Q4098" s="9">
        <v>44782</v>
      </c>
      <c r="R4098"/>
      <c r="S4098"/>
      <c r="T4098"/>
      <c r="U4098"/>
    </row>
    <row r="4099" spans="1:21" hidden="1">
      <c r="A4099" s="7" t="s">
        <v>8934</v>
      </c>
      <c r="B4099" s="7" t="s">
        <v>7267</v>
      </c>
      <c r="C4099" s="8" t="s">
        <v>5319</v>
      </c>
      <c r="D4099" t="s">
        <v>266</v>
      </c>
      <c r="E4099" t="s">
        <v>3640</v>
      </c>
      <c r="F4099" t="s">
        <v>117</v>
      </c>
      <c r="G4099" t="s">
        <v>3680</v>
      </c>
      <c r="H4099" s="9">
        <v>44733</v>
      </c>
      <c r="I4099" t="s">
        <v>903</v>
      </c>
      <c r="J4099" t="s">
        <v>0</v>
      </c>
      <c r="K4099" s="9">
        <v>44782</v>
      </c>
      <c r="L4099" t="s">
        <v>29</v>
      </c>
      <c r="M4099"/>
      <c r="N4099"/>
      <c r="O4099"/>
      <c r="P4099"/>
      <c r="Q4099" s="9">
        <v>44782</v>
      </c>
      <c r="R4099"/>
      <c r="S4099"/>
      <c r="T4099"/>
      <c r="U4099"/>
    </row>
    <row r="4100" spans="1:21" hidden="1">
      <c r="A4100" s="7" t="s">
        <v>8934</v>
      </c>
      <c r="B4100" s="7" t="s">
        <v>7267</v>
      </c>
      <c r="C4100" s="8" t="s">
        <v>5319</v>
      </c>
      <c r="D4100" t="s">
        <v>266</v>
      </c>
      <c r="E4100" t="s">
        <v>3640</v>
      </c>
      <c r="F4100" t="s">
        <v>117</v>
      </c>
      <c r="G4100" t="s">
        <v>3681</v>
      </c>
      <c r="H4100" s="9">
        <v>44733</v>
      </c>
      <c r="I4100" t="s">
        <v>903</v>
      </c>
      <c r="J4100" t="s">
        <v>0</v>
      </c>
      <c r="K4100" s="9">
        <v>44782</v>
      </c>
      <c r="L4100" t="s">
        <v>29</v>
      </c>
      <c r="M4100"/>
      <c r="N4100"/>
      <c r="O4100"/>
      <c r="P4100"/>
      <c r="Q4100" s="9">
        <v>44782</v>
      </c>
      <c r="R4100"/>
      <c r="S4100"/>
      <c r="T4100"/>
      <c r="U4100"/>
    </row>
    <row r="4101" spans="1:21" hidden="1">
      <c r="A4101" s="7" t="s">
        <v>8934</v>
      </c>
      <c r="B4101" s="7" t="s">
        <v>7267</v>
      </c>
      <c r="C4101" s="8" t="s">
        <v>5319</v>
      </c>
      <c r="D4101" t="s">
        <v>266</v>
      </c>
      <c r="E4101" t="s">
        <v>3640</v>
      </c>
      <c r="F4101" t="s">
        <v>117</v>
      </c>
      <c r="G4101" t="s">
        <v>3682</v>
      </c>
      <c r="H4101" s="9">
        <v>44733</v>
      </c>
      <c r="I4101" t="s">
        <v>903</v>
      </c>
      <c r="J4101" t="s">
        <v>0</v>
      </c>
      <c r="K4101" s="9">
        <v>44782</v>
      </c>
      <c r="L4101" t="s">
        <v>29</v>
      </c>
      <c r="M4101"/>
      <c r="N4101"/>
      <c r="O4101"/>
      <c r="P4101"/>
      <c r="Q4101" s="9">
        <v>44782</v>
      </c>
      <c r="R4101"/>
      <c r="S4101"/>
      <c r="T4101"/>
      <c r="U4101"/>
    </row>
    <row r="4102" spans="1:21" hidden="1">
      <c r="A4102" s="7" t="s">
        <v>8934</v>
      </c>
      <c r="B4102" s="7" t="s">
        <v>7267</v>
      </c>
      <c r="C4102" s="8" t="s">
        <v>5319</v>
      </c>
      <c r="D4102" t="s">
        <v>266</v>
      </c>
      <c r="E4102" t="s">
        <v>3640</v>
      </c>
      <c r="F4102" t="s">
        <v>117</v>
      </c>
      <c r="G4102" t="s">
        <v>3683</v>
      </c>
      <c r="H4102" s="9">
        <v>44733</v>
      </c>
      <c r="I4102" t="s">
        <v>903</v>
      </c>
      <c r="J4102" t="s">
        <v>0</v>
      </c>
      <c r="K4102" s="9">
        <v>44782</v>
      </c>
      <c r="L4102" t="s">
        <v>29</v>
      </c>
      <c r="M4102"/>
      <c r="N4102"/>
      <c r="O4102"/>
      <c r="P4102"/>
      <c r="Q4102" s="9">
        <v>44782</v>
      </c>
      <c r="R4102"/>
      <c r="S4102"/>
      <c r="T4102"/>
      <c r="U4102"/>
    </row>
    <row r="4103" spans="1:21" hidden="1">
      <c r="A4103" s="7" t="s">
        <v>8934</v>
      </c>
      <c r="B4103" s="7" t="s">
        <v>7267</v>
      </c>
      <c r="C4103" s="8" t="s">
        <v>5319</v>
      </c>
      <c r="D4103" t="s">
        <v>266</v>
      </c>
      <c r="E4103" t="s">
        <v>3640</v>
      </c>
      <c r="F4103" t="s">
        <v>117</v>
      </c>
      <c r="G4103" t="s">
        <v>3684</v>
      </c>
      <c r="H4103" s="9">
        <v>44733</v>
      </c>
      <c r="I4103" t="s">
        <v>903</v>
      </c>
      <c r="J4103" t="s">
        <v>0</v>
      </c>
      <c r="K4103" s="9">
        <v>44782</v>
      </c>
      <c r="L4103" t="s">
        <v>29</v>
      </c>
      <c r="M4103"/>
      <c r="N4103"/>
      <c r="O4103"/>
      <c r="P4103"/>
      <c r="Q4103" s="9">
        <v>44782</v>
      </c>
      <c r="R4103"/>
      <c r="S4103"/>
      <c r="T4103"/>
      <c r="U4103"/>
    </row>
    <row r="4104" spans="1:21" hidden="1">
      <c r="A4104" s="7" t="s">
        <v>8934</v>
      </c>
      <c r="B4104" s="7" t="s">
        <v>7267</v>
      </c>
      <c r="C4104" s="8" t="s">
        <v>5319</v>
      </c>
      <c r="D4104" t="s">
        <v>266</v>
      </c>
      <c r="E4104" t="s">
        <v>3640</v>
      </c>
      <c r="F4104" t="s">
        <v>117</v>
      </c>
      <c r="G4104" t="s">
        <v>3685</v>
      </c>
      <c r="H4104" s="9">
        <v>44733</v>
      </c>
      <c r="I4104" t="s">
        <v>903</v>
      </c>
      <c r="J4104" t="s">
        <v>0</v>
      </c>
      <c r="K4104" s="9">
        <v>44782</v>
      </c>
      <c r="L4104" t="s">
        <v>29</v>
      </c>
      <c r="M4104"/>
      <c r="N4104"/>
      <c r="O4104"/>
      <c r="P4104"/>
      <c r="Q4104" s="9">
        <v>44782</v>
      </c>
      <c r="R4104"/>
      <c r="S4104"/>
      <c r="T4104"/>
      <c r="U4104"/>
    </row>
    <row r="4105" spans="1:21" hidden="1">
      <c r="A4105" s="7" t="s">
        <v>8934</v>
      </c>
      <c r="B4105" s="7" t="s">
        <v>7267</v>
      </c>
      <c r="C4105" s="8" t="s">
        <v>5319</v>
      </c>
      <c r="D4105" t="s">
        <v>266</v>
      </c>
      <c r="E4105" t="s">
        <v>3640</v>
      </c>
      <c r="F4105" t="s">
        <v>117</v>
      </c>
      <c r="G4105" t="s">
        <v>3686</v>
      </c>
      <c r="H4105" s="9">
        <v>44733</v>
      </c>
      <c r="I4105" t="s">
        <v>903</v>
      </c>
      <c r="J4105" t="s">
        <v>0</v>
      </c>
      <c r="K4105" s="9">
        <v>44782</v>
      </c>
      <c r="L4105" t="s">
        <v>29</v>
      </c>
      <c r="M4105"/>
      <c r="N4105"/>
      <c r="O4105"/>
      <c r="P4105"/>
      <c r="Q4105" s="9">
        <v>44782</v>
      </c>
      <c r="R4105"/>
      <c r="S4105"/>
      <c r="T4105"/>
      <c r="U4105"/>
    </row>
    <row r="4106" spans="1:21" hidden="1">
      <c r="A4106" s="7" t="s">
        <v>8934</v>
      </c>
      <c r="B4106" s="7" t="s">
        <v>7267</v>
      </c>
      <c r="C4106" s="8" t="s">
        <v>5319</v>
      </c>
      <c r="D4106" t="s">
        <v>266</v>
      </c>
      <c r="E4106" t="s">
        <v>3640</v>
      </c>
      <c r="F4106" t="s">
        <v>117</v>
      </c>
      <c r="G4106" t="s">
        <v>3687</v>
      </c>
      <c r="H4106" s="9">
        <v>44733</v>
      </c>
      <c r="I4106" t="s">
        <v>903</v>
      </c>
      <c r="J4106" t="s">
        <v>0</v>
      </c>
      <c r="K4106" s="9">
        <v>44782</v>
      </c>
      <c r="L4106" t="s">
        <v>29</v>
      </c>
      <c r="M4106"/>
      <c r="N4106"/>
      <c r="O4106"/>
      <c r="P4106"/>
      <c r="Q4106" s="9">
        <v>44782</v>
      </c>
      <c r="R4106"/>
      <c r="S4106"/>
      <c r="T4106"/>
      <c r="U4106"/>
    </row>
    <row r="4107" spans="1:21" hidden="1">
      <c r="A4107" s="7" t="s">
        <v>8934</v>
      </c>
      <c r="B4107" s="7" t="s">
        <v>7267</v>
      </c>
      <c r="C4107" s="8" t="s">
        <v>5319</v>
      </c>
      <c r="D4107" t="s">
        <v>266</v>
      </c>
      <c r="E4107" t="s">
        <v>3640</v>
      </c>
      <c r="F4107" t="s">
        <v>117</v>
      </c>
      <c r="G4107" t="s">
        <v>3688</v>
      </c>
      <c r="H4107" s="9">
        <v>44733</v>
      </c>
      <c r="I4107" t="s">
        <v>903</v>
      </c>
      <c r="J4107" t="s">
        <v>0</v>
      </c>
      <c r="K4107" s="9">
        <v>44782</v>
      </c>
      <c r="L4107" t="s">
        <v>29</v>
      </c>
      <c r="M4107"/>
      <c r="N4107"/>
      <c r="O4107"/>
      <c r="P4107"/>
      <c r="Q4107" s="9">
        <v>44782</v>
      </c>
      <c r="R4107"/>
      <c r="S4107"/>
      <c r="T4107"/>
      <c r="U4107"/>
    </row>
    <row r="4108" spans="1:21" hidden="1">
      <c r="A4108" s="7" t="s">
        <v>8934</v>
      </c>
      <c r="B4108" s="7" t="s">
        <v>7267</v>
      </c>
      <c r="C4108" s="8" t="s">
        <v>5319</v>
      </c>
      <c r="D4108" t="s">
        <v>266</v>
      </c>
      <c r="E4108" t="s">
        <v>3640</v>
      </c>
      <c r="F4108" t="s">
        <v>117</v>
      </c>
      <c r="G4108" t="s">
        <v>3689</v>
      </c>
      <c r="H4108" s="9">
        <v>44733</v>
      </c>
      <c r="I4108" t="s">
        <v>903</v>
      </c>
      <c r="J4108" t="s">
        <v>0</v>
      </c>
      <c r="K4108" s="9">
        <v>44782</v>
      </c>
      <c r="L4108" t="s">
        <v>29</v>
      </c>
      <c r="M4108"/>
      <c r="N4108"/>
      <c r="O4108"/>
      <c r="P4108"/>
      <c r="Q4108" s="9">
        <v>44782</v>
      </c>
      <c r="R4108"/>
      <c r="S4108"/>
      <c r="T4108"/>
      <c r="U4108"/>
    </row>
    <row r="4109" spans="1:21" hidden="1">
      <c r="A4109" s="7" t="s">
        <v>8934</v>
      </c>
      <c r="B4109" s="7" t="s">
        <v>7267</v>
      </c>
      <c r="C4109" s="8" t="s">
        <v>5319</v>
      </c>
      <c r="D4109" t="s">
        <v>266</v>
      </c>
      <c r="E4109" t="s">
        <v>3640</v>
      </c>
      <c r="F4109" t="s">
        <v>117</v>
      </c>
      <c r="G4109" t="s">
        <v>3690</v>
      </c>
      <c r="H4109" s="9">
        <v>44733</v>
      </c>
      <c r="I4109" t="s">
        <v>903</v>
      </c>
      <c r="J4109" t="s">
        <v>0</v>
      </c>
      <c r="K4109" s="9">
        <v>44782</v>
      </c>
      <c r="L4109" t="s">
        <v>29</v>
      </c>
      <c r="M4109"/>
      <c r="N4109"/>
      <c r="O4109"/>
      <c r="P4109"/>
      <c r="Q4109" s="9">
        <v>44782</v>
      </c>
      <c r="R4109"/>
      <c r="S4109"/>
      <c r="T4109"/>
      <c r="U4109"/>
    </row>
    <row r="4110" spans="1:21" hidden="1">
      <c r="A4110" s="7" t="s">
        <v>8934</v>
      </c>
      <c r="B4110" s="7" t="s">
        <v>7267</v>
      </c>
      <c r="C4110" s="8" t="s">
        <v>5319</v>
      </c>
      <c r="D4110" t="s">
        <v>266</v>
      </c>
      <c r="E4110" t="s">
        <v>3640</v>
      </c>
      <c r="F4110" t="s">
        <v>117</v>
      </c>
      <c r="G4110" t="s">
        <v>3691</v>
      </c>
      <c r="H4110" s="9">
        <v>44733</v>
      </c>
      <c r="I4110" t="s">
        <v>903</v>
      </c>
      <c r="J4110" t="s">
        <v>0</v>
      </c>
      <c r="K4110" s="9">
        <v>44782</v>
      </c>
      <c r="L4110" t="s">
        <v>29</v>
      </c>
      <c r="M4110"/>
      <c r="N4110"/>
      <c r="O4110"/>
      <c r="P4110"/>
      <c r="Q4110" s="9">
        <v>44782</v>
      </c>
      <c r="R4110"/>
      <c r="S4110"/>
      <c r="T4110"/>
      <c r="U4110"/>
    </row>
    <row r="4111" spans="1:21" hidden="1">
      <c r="A4111" s="7" t="s">
        <v>8934</v>
      </c>
      <c r="B4111" s="7" t="s">
        <v>7267</v>
      </c>
      <c r="C4111" s="8" t="s">
        <v>5319</v>
      </c>
      <c r="D4111" t="s">
        <v>266</v>
      </c>
      <c r="E4111" t="s">
        <v>3640</v>
      </c>
      <c r="F4111" t="s">
        <v>117</v>
      </c>
      <c r="G4111" t="s">
        <v>3692</v>
      </c>
      <c r="H4111" s="9">
        <v>44733</v>
      </c>
      <c r="I4111" t="s">
        <v>903</v>
      </c>
      <c r="J4111" t="s">
        <v>0</v>
      </c>
      <c r="K4111" s="9">
        <v>44782</v>
      </c>
      <c r="L4111" t="s">
        <v>29</v>
      </c>
      <c r="M4111"/>
      <c r="N4111"/>
      <c r="O4111"/>
      <c r="P4111"/>
      <c r="Q4111" s="9">
        <v>44782</v>
      </c>
      <c r="R4111"/>
      <c r="S4111"/>
      <c r="T4111"/>
      <c r="U4111"/>
    </row>
    <row r="4112" spans="1:21" hidden="1">
      <c r="A4112" s="7" t="s">
        <v>8934</v>
      </c>
      <c r="B4112" s="7" t="s">
        <v>7267</v>
      </c>
      <c r="C4112" s="8" t="s">
        <v>5319</v>
      </c>
      <c r="D4112" t="s">
        <v>266</v>
      </c>
      <c r="E4112" t="s">
        <v>3640</v>
      </c>
      <c r="F4112" t="s">
        <v>117</v>
      </c>
      <c r="G4112" t="s">
        <v>3693</v>
      </c>
      <c r="H4112" s="9">
        <v>44733</v>
      </c>
      <c r="I4112" t="s">
        <v>903</v>
      </c>
      <c r="J4112" t="s">
        <v>0</v>
      </c>
      <c r="K4112" s="9">
        <v>44782</v>
      </c>
      <c r="L4112" t="s">
        <v>29</v>
      </c>
      <c r="M4112"/>
      <c r="N4112"/>
      <c r="O4112"/>
      <c r="P4112"/>
      <c r="Q4112" s="9">
        <v>44782</v>
      </c>
      <c r="R4112"/>
      <c r="S4112"/>
      <c r="T4112"/>
      <c r="U4112"/>
    </row>
    <row r="4113" spans="1:21" hidden="1">
      <c r="A4113" s="7" t="s">
        <v>8934</v>
      </c>
      <c r="B4113" s="7" t="s">
        <v>7267</v>
      </c>
      <c r="C4113" s="8" t="s">
        <v>5319</v>
      </c>
      <c r="D4113" t="s">
        <v>266</v>
      </c>
      <c r="E4113" t="s">
        <v>3640</v>
      </c>
      <c r="F4113" t="s">
        <v>117</v>
      </c>
      <c r="G4113" t="s">
        <v>3694</v>
      </c>
      <c r="H4113" s="9">
        <v>44733</v>
      </c>
      <c r="I4113" t="s">
        <v>903</v>
      </c>
      <c r="J4113" t="s">
        <v>0</v>
      </c>
      <c r="K4113" s="9">
        <v>44782</v>
      </c>
      <c r="L4113" t="s">
        <v>29</v>
      </c>
      <c r="M4113"/>
      <c r="N4113"/>
      <c r="O4113"/>
      <c r="P4113"/>
      <c r="Q4113" s="9">
        <v>44782</v>
      </c>
      <c r="R4113"/>
      <c r="S4113"/>
      <c r="T4113"/>
      <c r="U4113"/>
    </row>
    <row r="4114" spans="1:21" hidden="1">
      <c r="A4114" s="7" t="s">
        <v>8934</v>
      </c>
      <c r="B4114" s="7" t="s">
        <v>7267</v>
      </c>
      <c r="C4114" s="8" t="s">
        <v>5319</v>
      </c>
      <c r="D4114" t="s">
        <v>266</v>
      </c>
      <c r="E4114" t="s">
        <v>3640</v>
      </c>
      <c r="F4114" t="s">
        <v>117</v>
      </c>
      <c r="G4114" t="s">
        <v>3695</v>
      </c>
      <c r="H4114" s="9">
        <v>44733</v>
      </c>
      <c r="I4114" t="s">
        <v>903</v>
      </c>
      <c r="J4114" t="s">
        <v>0</v>
      </c>
      <c r="K4114" s="9">
        <v>44782</v>
      </c>
      <c r="L4114" t="s">
        <v>29</v>
      </c>
      <c r="M4114"/>
      <c r="N4114"/>
      <c r="O4114"/>
      <c r="P4114"/>
      <c r="Q4114" s="9">
        <v>44782</v>
      </c>
      <c r="R4114"/>
      <c r="S4114"/>
      <c r="T4114"/>
      <c r="U4114"/>
    </row>
    <row r="4115" spans="1:21" hidden="1">
      <c r="A4115" s="7" t="s">
        <v>8934</v>
      </c>
      <c r="B4115" s="7" t="s">
        <v>7267</v>
      </c>
      <c r="C4115" s="8" t="s">
        <v>5319</v>
      </c>
      <c r="D4115" t="s">
        <v>266</v>
      </c>
      <c r="E4115" t="s">
        <v>3640</v>
      </c>
      <c r="F4115" t="s">
        <v>117</v>
      </c>
      <c r="G4115" t="s">
        <v>3696</v>
      </c>
      <c r="H4115" s="9">
        <v>44733</v>
      </c>
      <c r="I4115" t="s">
        <v>903</v>
      </c>
      <c r="J4115" t="s">
        <v>0</v>
      </c>
      <c r="K4115" s="9">
        <v>44782</v>
      </c>
      <c r="L4115" t="s">
        <v>29</v>
      </c>
      <c r="M4115"/>
      <c r="N4115"/>
      <c r="O4115"/>
      <c r="P4115"/>
      <c r="Q4115" s="9">
        <v>44782</v>
      </c>
      <c r="R4115"/>
      <c r="S4115"/>
      <c r="T4115"/>
      <c r="U4115"/>
    </row>
    <row r="4116" spans="1:21" hidden="1">
      <c r="A4116" s="7" t="s">
        <v>8934</v>
      </c>
      <c r="B4116" s="7" t="s">
        <v>7267</v>
      </c>
      <c r="C4116" s="8" t="s">
        <v>5319</v>
      </c>
      <c r="D4116" t="s">
        <v>266</v>
      </c>
      <c r="E4116" t="s">
        <v>3640</v>
      </c>
      <c r="F4116" t="s">
        <v>117</v>
      </c>
      <c r="G4116" t="s">
        <v>3697</v>
      </c>
      <c r="H4116" s="9">
        <v>44733</v>
      </c>
      <c r="I4116" t="s">
        <v>903</v>
      </c>
      <c r="J4116" t="s">
        <v>0</v>
      </c>
      <c r="K4116" s="9">
        <v>44782</v>
      </c>
      <c r="L4116" t="s">
        <v>29</v>
      </c>
      <c r="M4116"/>
      <c r="N4116"/>
      <c r="O4116"/>
      <c r="P4116"/>
      <c r="Q4116" s="9">
        <v>44782</v>
      </c>
      <c r="R4116"/>
      <c r="S4116"/>
      <c r="T4116"/>
      <c r="U4116"/>
    </row>
    <row r="4117" spans="1:21" hidden="1">
      <c r="A4117" s="7" t="s">
        <v>8934</v>
      </c>
      <c r="B4117" s="7" t="s">
        <v>7267</v>
      </c>
      <c r="C4117" s="8" t="s">
        <v>5319</v>
      </c>
      <c r="D4117" t="s">
        <v>266</v>
      </c>
      <c r="E4117" t="s">
        <v>3640</v>
      </c>
      <c r="F4117" t="s">
        <v>117</v>
      </c>
      <c r="G4117" t="s">
        <v>3698</v>
      </c>
      <c r="H4117" s="9">
        <v>44733</v>
      </c>
      <c r="I4117" t="s">
        <v>903</v>
      </c>
      <c r="J4117" t="s">
        <v>0</v>
      </c>
      <c r="K4117" s="9">
        <v>44782</v>
      </c>
      <c r="L4117" t="s">
        <v>29</v>
      </c>
      <c r="M4117"/>
      <c r="N4117"/>
      <c r="O4117"/>
      <c r="P4117"/>
      <c r="Q4117" s="9">
        <v>44782</v>
      </c>
      <c r="R4117"/>
      <c r="S4117"/>
      <c r="T4117"/>
      <c r="U4117"/>
    </row>
    <row r="4118" spans="1:21" hidden="1">
      <c r="A4118" s="7" t="s">
        <v>8934</v>
      </c>
      <c r="B4118" s="7" t="s">
        <v>7267</v>
      </c>
      <c r="C4118" s="8" t="s">
        <v>5319</v>
      </c>
      <c r="D4118" t="s">
        <v>266</v>
      </c>
      <c r="E4118" t="s">
        <v>3640</v>
      </c>
      <c r="F4118" t="s">
        <v>117</v>
      </c>
      <c r="G4118" t="s">
        <v>3699</v>
      </c>
      <c r="H4118" s="9">
        <v>44733</v>
      </c>
      <c r="I4118" t="s">
        <v>903</v>
      </c>
      <c r="J4118" t="s">
        <v>0</v>
      </c>
      <c r="K4118" s="9">
        <v>44782</v>
      </c>
      <c r="L4118" t="s">
        <v>29</v>
      </c>
      <c r="M4118"/>
      <c r="N4118"/>
      <c r="O4118"/>
      <c r="P4118"/>
      <c r="Q4118" s="9">
        <v>44782</v>
      </c>
      <c r="R4118"/>
      <c r="S4118"/>
      <c r="T4118"/>
      <c r="U4118"/>
    </row>
    <row r="4119" spans="1:21" hidden="1">
      <c r="A4119" s="7" t="s">
        <v>8861</v>
      </c>
      <c r="B4119" s="7" t="s">
        <v>8218</v>
      </c>
      <c r="C4119" s="8" t="s">
        <v>5319</v>
      </c>
      <c r="D4119" t="s">
        <v>266</v>
      </c>
      <c r="E4119" t="s">
        <v>2260</v>
      </c>
      <c r="F4119" t="s">
        <v>117</v>
      </c>
      <c r="G4119" t="s">
        <v>3700</v>
      </c>
      <c r="H4119" s="9">
        <v>44733</v>
      </c>
      <c r="I4119" t="s">
        <v>2262</v>
      </c>
      <c r="J4119" t="s">
        <v>0</v>
      </c>
      <c r="K4119" s="9">
        <v>44879</v>
      </c>
      <c r="L4119" t="s">
        <v>29</v>
      </c>
      <c r="M4119"/>
      <c r="N4119" s="9">
        <v>44778</v>
      </c>
      <c r="O4119" s="9">
        <v>44834</v>
      </c>
      <c r="P4119"/>
      <c r="Q4119" s="9">
        <v>44879</v>
      </c>
      <c r="R4119"/>
      <c r="S4119"/>
      <c r="T4119"/>
      <c r="U4119"/>
    </row>
    <row r="4120" spans="1:21" hidden="1">
      <c r="A4120" s="7" t="s">
        <v>8726</v>
      </c>
      <c r="B4120" s="7" t="s">
        <v>7519</v>
      </c>
      <c r="C4120" s="8" t="s">
        <v>5319</v>
      </c>
      <c r="D4120" t="s">
        <v>266</v>
      </c>
      <c r="E4120" t="s">
        <v>179</v>
      </c>
      <c r="F4120" t="s">
        <v>117</v>
      </c>
      <c r="G4120" t="s">
        <v>189</v>
      </c>
      <c r="H4120" s="9">
        <v>44733</v>
      </c>
      <c r="I4120" t="s">
        <v>181</v>
      </c>
      <c r="J4120" t="s">
        <v>5330</v>
      </c>
      <c r="K4120" s="9">
        <v>44834</v>
      </c>
      <c r="L4120" t="s">
        <v>29</v>
      </c>
      <c r="M4120"/>
      <c r="N4120" s="9">
        <v>44778</v>
      </c>
      <c r="O4120" s="9">
        <v>44834</v>
      </c>
      <c r="P4120"/>
      <c r="Q4120"/>
      <c r="R4120"/>
      <c r="S4120"/>
      <c r="T4120"/>
      <c r="U4120"/>
    </row>
    <row r="4121" spans="1:21" hidden="1">
      <c r="A4121" s="7" t="s">
        <v>8765</v>
      </c>
      <c r="B4121" s="7" t="s">
        <v>5405</v>
      </c>
      <c r="C4121" s="8" t="s">
        <v>5319</v>
      </c>
      <c r="D4121" t="s">
        <v>266</v>
      </c>
      <c r="E4121" t="s">
        <v>25</v>
      </c>
      <c r="F4121" t="s">
        <v>231</v>
      </c>
      <c r="G4121" t="s">
        <v>3701</v>
      </c>
      <c r="H4121" s="9">
        <v>44733</v>
      </c>
      <c r="I4121" t="s">
        <v>8634</v>
      </c>
      <c r="J4121" t="s">
        <v>5330</v>
      </c>
      <c r="K4121" s="9">
        <v>44834</v>
      </c>
      <c r="L4121" t="s">
        <v>29</v>
      </c>
      <c r="M4121"/>
      <c r="N4121" s="9">
        <v>44778</v>
      </c>
      <c r="O4121" s="9">
        <v>44834</v>
      </c>
      <c r="P4121"/>
      <c r="Q4121"/>
      <c r="R4121"/>
      <c r="S4121"/>
      <c r="T4121"/>
      <c r="U4121"/>
    </row>
    <row r="4122" spans="1:21" hidden="1">
      <c r="A4122" s="7" t="s">
        <v>8935</v>
      </c>
      <c r="B4122" s="7" t="s">
        <v>8369</v>
      </c>
      <c r="C4122" s="8" t="s">
        <v>5319</v>
      </c>
      <c r="D4122" t="s">
        <v>266</v>
      </c>
      <c r="E4122" t="s">
        <v>3702</v>
      </c>
      <c r="F4122" t="s">
        <v>117</v>
      </c>
      <c r="G4122" t="s">
        <v>3703</v>
      </c>
      <c r="H4122" s="9">
        <v>44735</v>
      </c>
      <c r="I4122" t="s">
        <v>3092</v>
      </c>
      <c r="J4122" t="s">
        <v>5330</v>
      </c>
      <c r="K4122" s="9">
        <v>44834</v>
      </c>
      <c r="L4122" t="s">
        <v>29</v>
      </c>
      <c r="M4122"/>
      <c r="N4122" s="9">
        <v>44778</v>
      </c>
      <c r="O4122" s="9">
        <v>44834</v>
      </c>
      <c r="P4122"/>
      <c r="Q4122"/>
      <c r="R4122"/>
      <c r="S4122"/>
      <c r="T4122"/>
      <c r="U4122"/>
    </row>
    <row r="4123" spans="1:21" hidden="1">
      <c r="A4123" s="7" t="s">
        <v>8809</v>
      </c>
      <c r="B4123" s="7" t="s">
        <v>7973</v>
      </c>
      <c r="C4123" s="8" t="s">
        <v>5319</v>
      </c>
      <c r="D4123" t="s">
        <v>266</v>
      </c>
      <c r="E4123" t="s">
        <v>1040</v>
      </c>
      <c r="F4123" t="s">
        <v>231</v>
      </c>
      <c r="G4123" t="s">
        <v>3704</v>
      </c>
      <c r="H4123" s="9">
        <v>44733</v>
      </c>
      <c r="I4123" t="s">
        <v>984</v>
      </c>
      <c r="J4123" t="s">
        <v>0</v>
      </c>
      <c r="K4123" s="9">
        <v>44791</v>
      </c>
      <c r="L4123" t="s">
        <v>29</v>
      </c>
      <c r="M4123"/>
      <c r="N4123" s="9">
        <v>44778</v>
      </c>
      <c r="O4123"/>
      <c r="P4123"/>
      <c r="Q4123" s="9">
        <v>44791</v>
      </c>
      <c r="R4123" s="9">
        <v>44782.597326388903</v>
      </c>
      <c r="S4123"/>
      <c r="T4123"/>
      <c r="U4123"/>
    </row>
    <row r="4124" spans="1:21" hidden="1">
      <c r="A4124" s="7" t="s">
        <v>8809</v>
      </c>
      <c r="B4124" s="7" t="s">
        <v>7973</v>
      </c>
      <c r="C4124" s="8" t="s">
        <v>5319</v>
      </c>
      <c r="D4124" t="s">
        <v>266</v>
      </c>
      <c r="E4124" t="s">
        <v>1040</v>
      </c>
      <c r="F4124" t="s">
        <v>231</v>
      </c>
      <c r="G4124" t="s">
        <v>3705</v>
      </c>
      <c r="H4124" s="9">
        <v>44733</v>
      </c>
      <c r="I4124" t="s">
        <v>984</v>
      </c>
      <c r="J4124" t="s">
        <v>0</v>
      </c>
      <c r="K4124" s="9">
        <v>44791</v>
      </c>
      <c r="L4124" t="s">
        <v>29</v>
      </c>
      <c r="M4124"/>
      <c r="N4124" s="9">
        <v>44778</v>
      </c>
      <c r="O4124"/>
      <c r="P4124"/>
      <c r="Q4124" s="9">
        <v>44791</v>
      </c>
      <c r="R4124" s="9">
        <v>44782.597326388903</v>
      </c>
      <c r="S4124"/>
      <c r="T4124"/>
      <c r="U4124"/>
    </row>
    <row r="4125" spans="1:21" hidden="1">
      <c r="A4125" s="7" t="s">
        <v>8871</v>
      </c>
      <c r="B4125" s="7" t="s">
        <v>8280</v>
      </c>
      <c r="C4125" s="8" t="s">
        <v>5319</v>
      </c>
      <c r="D4125" t="s">
        <v>266</v>
      </c>
      <c r="E4125" t="s">
        <v>2463</v>
      </c>
      <c r="F4125" t="s">
        <v>231</v>
      </c>
      <c r="G4125" t="s">
        <v>3706</v>
      </c>
      <c r="H4125" s="9">
        <v>44733</v>
      </c>
      <c r="I4125" t="s">
        <v>903</v>
      </c>
      <c r="J4125" t="s">
        <v>212</v>
      </c>
      <c r="K4125" s="9">
        <v>44806.4850925926</v>
      </c>
      <c r="L4125" t="s">
        <v>29</v>
      </c>
      <c r="M4125"/>
      <c r="N4125" s="9">
        <v>44778</v>
      </c>
      <c r="O4125"/>
      <c r="P4125"/>
      <c r="Q4125"/>
      <c r="R4125" s="9">
        <v>44806.484525462998</v>
      </c>
      <c r="S4125"/>
      <c r="T4125"/>
      <c r="U4125"/>
    </row>
    <row r="4126" spans="1:21" hidden="1">
      <c r="A4126" s="7" t="s">
        <v>8890</v>
      </c>
      <c r="B4126" s="7" t="s">
        <v>8280</v>
      </c>
      <c r="C4126" s="8" t="s">
        <v>5319</v>
      </c>
      <c r="D4126" t="s">
        <v>266</v>
      </c>
      <c r="E4126" t="s">
        <v>2463</v>
      </c>
      <c r="F4126" t="s">
        <v>117</v>
      </c>
      <c r="G4126" t="s">
        <v>3707</v>
      </c>
      <c r="H4126" s="9">
        <v>44733</v>
      </c>
      <c r="I4126" t="s">
        <v>903</v>
      </c>
      <c r="J4126" t="s">
        <v>212</v>
      </c>
      <c r="K4126" s="9">
        <v>44806.485057870399</v>
      </c>
      <c r="L4126" t="s">
        <v>29</v>
      </c>
      <c r="M4126"/>
      <c r="N4126" s="9">
        <v>44778</v>
      </c>
      <c r="O4126"/>
      <c r="P4126"/>
      <c r="Q4126"/>
      <c r="R4126" s="9">
        <v>44806.4842361111</v>
      </c>
      <c r="S4126"/>
      <c r="T4126"/>
      <c r="U4126"/>
    </row>
    <row r="4127" spans="1:21" hidden="1">
      <c r="A4127" s="7" t="s">
        <v>8890</v>
      </c>
      <c r="B4127" s="7" t="s">
        <v>8280</v>
      </c>
      <c r="C4127" s="8" t="s">
        <v>5319</v>
      </c>
      <c r="D4127" t="s">
        <v>266</v>
      </c>
      <c r="E4127" t="s">
        <v>2463</v>
      </c>
      <c r="F4127" t="s">
        <v>117</v>
      </c>
      <c r="G4127" t="s">
        <v>3708</v>
      </c>
      <c r="H4127" s="9">
        <v>44733</v>
      </c>
      <c r="I4127" t="s">
        <v>903</v>
      </c>
      <c r="J4127" t="s">
        <v>212</v>
      </c>
      <c r="K4127" s="9">
        <v>44806.485057870399</v>
      </c>
      <c r="L4127" t="s">
        <v>29</v>
      </c>
      <c r="M4127"/>
      <c r="N4127" s="9">
        <v>44778</v>
      </c>
      <c r="O4127"/>
      <c r="P4127"/>
      <c r="Q4127"/>
      <c r="R4127" s="9">
        <v>44806.4842361111</v>
      </c>
      <c r="S4127"/>
      <c r="T4127"/>
      <c r="U4127"/>
    </row>
    <row r="4128" spans="1:21" hidden="1">
      <c r="A4128" s="7" t="s">
        <v>8890</v>
      </c>
      <c r="B4128" s="7" t="s">
        <v>8280</v>
      </c>
      <c r="C4128" s="8" t="s">
        <v>5319</v>
      </c>
      <c r="D4128" t="s">
        <v>266</v>
      </c>
      <c r="E4128" t="s">
        <v>2463</v>
      </c>
      <c r="F4128" t="s">
        <v>117</v>
      </c>
      <c r="G4128" t="s">
        <v>3709</v>
      </c>
      <c r="H4128" s="9">
        <v>44733</v>
      </c>
      <c r="I4128" t="s">
        <v>903</v>
      </c>
      <c r="J4128" t="s">
        <v>212</v>
      </c>
      <c r="K4128" s="9">
        <v>44806.485057870399</v>
      </c>
      <c r="L4128" t="s">
        <v>29</v>
      </c>
      <c r="M4128"/>
      <c r="N4128" s="9">
        <v>44778</v>
      </c>
      <c r="O4128"/>
      <c r="P4128"/>
      <c r="Q4128"/>
      <c r="R4128" s="9">
        <v>44806.4842361111</v>
      </c>
      <c r="S4128"/>
      <c r="T4128"/>
      <c r="U4128"/>
    </row>
    <row r="4129" spans="1:21" hidden="1">
      <c r="A4129" s="7" t="s">
        <v>8871</v>
      </c>
      <c r="B4129" s="7" t="s">
        <v>8280</v>
      </c>
      <c r="C4129" s="8" t="s">
        <v>5319</v>
      </c>
      <c r="D4129" t="s">
        <v>266</v>
      </c>
      <c r="E4129" t="s">
        <v>2463</v>
      </c>
      <c r="F4129" t="s">
        <v>231</v>
      </c>
      <c r="G4129" t="s">
        <v>3710</v>
      </c>
      <c r="H4129" s="9">
        <v>44733</v>
      </c>
      <c r="I4129" t="s">
        <v>903</v>
      </c>
      <c r="J4129" t="s">
        <v>212</v>
      </c>
      <c r="K4129" s="9">
        <v>44806.4850925926</v>
      </c>
      <c r="L4129" t="s">
        <v>29</v>
      </c>
      <c r="M4129"/>
      <c r="N4129" s="9">
        <v>44778</v>
      </c>
      <c r="O4129"/>
      <c r="P4129"/>
      <c r="Q4129"/>
      <c r="R4129" s="9">
        <v>44806.484525462998</v>
      </c>
      <c r="S4129"/>
      <c r="T4129"/>
      <c r="U4129"/>
    </row>
    <row r="4130" spans="1:21" hidden="1">
      <c r="A4130" s="7" t="s">
        <v>8890</v>
      </c>
      <c r="B4130" s="7" t="s">
        <v>8280</v>
      </c>
      <c r="C4130" s="8" t="s">
        <v>5319</v>
      </c>
      <c r="D4130" t="s">
        <v>266</v>
      </c>
      <c r="E4130" t="s">
        <v>2463</v>
      </c>
      <c r="F4130" t="s">
        <v>117</v>
      </c>
      <c r="G4130" t="s">
        <v>3711</v>
      </c>
      <c r="H4130" s="9">
        <v>44733</v>
      </c>
      <c r="I4130" t="s">
        <v>903</v>
      </c>
      <c r="J4130" t="s">
        <v>212</v>
      </c>
      <c r="K4130" s="9">
        <v>44806.485057870399</v>
      </c>
      <c r="L4130" t="s">
        <v>29</v>
      </c>
      <c r="M4130"/>
      <c r="N4130" s="9">
        <v>44778</v>
      </c>
      <c r="O4130"/>
      <c r="P4130"/>
      <c r="Q4130"/>
      <c r="R4130" s="9">
        <v>44806.4842361111</v>
      </c>
      <c r="S4130"/>
      <c r="T4130"/>
      <c r="U4130"/>
    </row>
    <row r="4131" spans="1:21" hidden="1">
      <c r="A4131" s="7" t="s">
        <v>8765</v>
      </c>
      <c r="B4131" s="7" t="s">
        <v>5405</v>
      </c>
      <c r="C4131" s="8" t="s">
        <v>5319</v>
      </c>
      <c r="D4131" t="s">
        <v>266</v>
      </c>
      <c r="E4131" t="s">
        <v>25</v>
      </c>
      <c r="F4131" t="s">
        <v>231</v>
      </c>
      <c r="G4131" t="s">
        <v>3712</v>
      </c>
      <c r="H4131" s="9">
        <v>44733</v>
      </c>
      <c r="I4131" t="s">
        <v>8634</v>
      </c>
      <c r="J4131" t="s">
        <v>0</v>
      </c>
      <c r="K4131" s="9">
        <v>44862</v>
      </c>
      <c r="L4131" t="s">
        <v>29</v>
      </c>
      <c r="M4131"/>
      <c r="N4131" s="9">
        <v>44778</v>
      </c>
      <c r="O4131"/>
      <c r="P4131"/>
      <c r="Q4131" s="9">
        <v>44862</v>
      </c>
      <c r="R4131"/>
      <c r="S4131"/>
      <c r="T4131"/>
      <c r="U4131"/>
    </row>
    <row r="4132" spans="1:21" hidden="1">
      <c r="A4132" s="7" t="s">
        <v>8936</v>
      </c>
      <c r="B4132" s="7" t="s">
        <v>8059</v>
      </c>
      <c r="C4132" s="8" t="s">
        <v>5319</v>
      </c>
      <c r="D4132" t="s">
        <v>266</v>
      </c>
      <c r="E4132" t="s">
        <v>3713</v>
      </c>
      <c r="F4132" t="s">
        <v>117</v>
      </c>
      <c r="G4132" t="s">
        <v>3714</v>
      </c>
      <c r="H4132" s="9">
        <v>44733</v>
      </c>
      <c r="I4132" t="s">
        <v>984</v>
      </c>
      <c r="J4132" t="s">
        <v>5330</v>
      </c>
      <c r="K4132" s="9">
        <v>44834</v>
      </c>
      <c r="L4132" t="s">
        <v>29</v>
      </c>
      <c r="M4132"/>
      <c r="N4132" s="9">
        <v>44778</v>
      </c>
      <c r="O4132" s="9">
        <v>44834</v>
      </c>
      <c r="P4132"/>
      <c r="Q4132"/>
      <c r="R4132"/>
      <c r="S4132"/>
      <c r="T4132"/>
      <c r="U4132"/>
    </row>
    <row r="4133" spans="1:21" hidden="1">
      <c r="A4133" s="7" t="s">
        <v>8936</v>
      </c>
      <c r="B4133" s="7" t="s">
        <v>8059</v>
      </c>
      <c r="C4133" s="8" t="s">
        <v>5319</v>
      </c>
      <c r="D4133" t="s">
        <v>266</v>
      </c>
      <c r="E4133" t="s">
        <v>3713</v>
      </c>
      <c r="F4133" t="s">
        <v>117</v>
      </c>
      <c r="G4133" t="s">
        <v>3715</v>
      </c>
      <c r="H4133" s="9">
        <v>44733</v>
      </c>
      <c r="I4133" t="s">
        <v>984</v>
      </c>
      <c r="J4133" t="s">
        <v>5330</v>
      </c>
      <c r="K4133" s="9">
        <v>44834</v>
      </c>
      <c r="L4133" t="s">
        <v>29</v>
      </c>
      <c r="M4133"/>
      <c r="N4133" s="9">
        <v>44778</v>
      </c>
      <c r="O4133" s="9">
        <v>44834</v>
      </c>
      <c r="P4133"/>
      <c r="Q4133"/>
      <c r="R4133"/>
      <c r="S4133"/>
      <c r="T4133"/>
      <c r="U4133"/>
    </row>
    <row r="4134" spans="1:21" hidden="1">
      <c r="A4134" s="7" t="s">
        <v>8937</v>
      </c>
      <c r="B4134" s="7" t="s">
        <v>8039</v>
      </c>
      <c r="C4134" s="8" t="s">
        <v>5319</v>
      </c>
      <c r="D4134" t="s">
        <v>266</v>
      </c>
      <c r="E4134" t="s">
        <v>3716</v>
      </c>
      <c r="F4134" t="s">
        <v>117</v>
      </c>
      <c r="G4134" t="s">
        <v>3717</v>
      </c>
      <c r="H4134" s="9">
        <v>44733</v>
      </c>
      <c r="I4134" t="s">
        <v>77</v>
      </c>
      <c r="J4134" t="s">
        <v>5330</v>
      </c>
      <c r="K4134" s="9">
        <v>44834</v>
      </c>
      <c r="L4134" t="s">
        <v>29</v>
      </c>
      <c r="M4134"/>
      <c r="N4134" s="9">
        <v>44778</v>
      </c>
      <c r="O4134" s="9">
        <v>44834</v>
      </c>
      <c r="P4134"/>
      <c r="Q4134"/>
      <c r="R4134"/>
      <c r="S4134"/>
      <c r="T4134"/>
      <c r="U4134"/>
    </row>
    <row r="4135" spans="1:21" hidden="1">
      <c r="A4135" s="7" t="s">
        <v>8810</v>
      </c>
      <c r="B4135" s="7" t="s">
        <v>6752</v>
      </c>
      <c r="C4135" s="8" t="s">
        <v>5319</v>
      </c>
      <c r="D4135" t="s">
        <v>266</v>
      </c>
      <c r="E4135" t="s">
        <v>1050</v>
      </c>
      <c r="F4135" t="s">
        <v>117</v>
      </c>
      <c r="G4135" t="s">
        <v>3718</v>
      </c>
      <c r="H4135" s="9">
        <v>44733</v>
      </c>
      <c r="I4135" t="s">
        <v>984</v>
      </c>
      <c r="J4135" t="s">
        <v>5330</v>
      </c>
      <c r="K4135" s="9">
        <v>44834</v>
      </c>
      <c r="L4135" t="s">
        <v>29</v>
      </c>
      <c r="M4135"/>
      <c r="N4135" s="9">
        <v>44778</v>
      </c>
      <c r="O4135" s="9">
        <v>44834</v>
      </c>
      <c r="P4135"/>
      <c r="Q4135"/>
      <c r="R4135"/>
      <c r="S4135"/>
      <c r="T4135"/>
      <c r="U4135"/>
    </row>
    <row r="4136" spans="1:21" hidden="1">
      <c r="A4136" s="7" t="s">
        <v>8810</v>
      </c>
      <c r="B4136" s="7" t="s">
        <v>6752</v>
      </c>
      <c r="C4136" s="8" t="s">
        <v>5319</v>
      </c>
      <c r="D4136" t="s">
        <v>266</v>
      </c>
      <c r="E4136" t="s">
        <v>1050</v>
      </c>
      <c r="F4136" t="s">
        <v>117</v>
      </c>
      <c r="G4136" t="s">
        <v>3719</v>
      </c>
      <c r="H4136" s="9">
        <v>44733</v>
      </c>
      <c r="I4136" t="s">
        <v>984</v>
      </c>
      <c r="J4136" t="s">
        <v>5330</v>
      </c>
      <c r="K4136" s="9">
        <v>44834</v>
      </c>
      <c r="L4136" t="s">
        <v>29</v>
      </c>
      <c r="M4136"/>
      <c r="N4136" s="9">
        <v>44778</v>
      </c>
      <c r="O4136" s="9">
        <v>44834</v>
      </c>
      <c r="P4136"/>
      <c r="Q4136"/>
      <c r="R4136"/>
      <c r="S4136"/>
      <c r="T4136"/>
      <c r="U4136"/>
    </row>
    <row r="4137" spans="1:21" hidden="1">
      <c r="A4137" s="7" t="s">
        <v>8810</v>
      </c>
      <c r="B4137" s="7" t="s">
        <v>6752</v>
      </c>
      <c r="C4137" s="8" t="s">
        <v>5319</v>
      </c>
      <c r="D4137" t="s">
        <v>266</v>
      </c>
      <c r="E4137" t="s">
        <v>1050</v>
      </c>
      <c r="F4137" t="s">
        <v>117</v>
      </c>
      <c r="G4137" t="s">
        <v>3720</v>
      </c>
      <c r="H4137" s="9">
        <v>44733</v>
      </c>
      <c r="I4137" t="s">
        <v>984</v>
      </c>
      <c r="J4137" t="s">
        <v>5330</v>
      </c>
      <c r="K4137" s="9">
        <v>44834</v>
      </c>
      <c r="L4137" t="s">
        <v>29</v>
      </c>
      <c r="M4137"/>
      <c r="N4137" s="9">
        <v>44778</v>
      </c>
      <c r="O4137" s="9">
        <v>44834</v>
      </c>
      <c r="P4137"/>
      <c r="Q4137"/>
      <c r="R4137"/>
      <c r="S4137"/>
      <c r="T4137"/>
      <c r="U4137"/>
    </row>
    <row r="4138" spans="1:21" hidden="1">
      <c r="A4138" s="7" t="s">
        <v>8758</v>
      </c>
      <c r="B4138" s="7" t="s">
        <v>5405</v>
      </c>
      <c r="C4138" s="8" t="s">
        <v>5319</v>
      </c>
      <c r="D4138" t="s">
        <v>266</v>
      </c>
      <c r="E4138" t="s">
        <v>25</v>
      </c>
      <c r="F4138" t="s">
        <v>493</v>
      </c>
      <c r="G4138" t="s">
        <v>2767</v>
      </c>
      <c r="H4138" s="9">
        <v>44733</v>
      </c>
      <c r="I4138" t="s">
        <v>8634</v>
      </c>
      <c r="J4138" t="s">
        <v>0</v>
      </c>
      <c r="K4138" s="9">
        <v>44862</v>
      </c>
      <c r="L4138" t="s">
        <v>29</v>
      </c>
      <c r="M4138"/>
      <c r="N4138"/>
      <c r="O4138"/>
      <c r="P4138"/>
      <c r="Q4138" s="9">
        <v>44862</v>
      </c>
      <c r="R4138"/>
      <c r="S4138"/>
      <c r="T4138"/>
      <c r="U4138"/>
    </row>
    <row r="4139" spans="1:21" hidden="1">
      <c r="A4139" s="7" t="s">
        <v>8810</v>
      </c>
      <c r="B4139" s="7" t="s">
        <v>6752</v>
      </c>
      <c r="C4139" s="8" t="s">
        <v>5319</v>
      </c>
      <c r="D4139" t="s">
        <v>266</v>
      </c>
      <c r="E4139" t="s">
        <v>1050</v>
      </c>
      <c r="F4139" t="s">
        <v>117</v>
      </c>
      <c r="G4139" t="s">
        <v>3721</v>
      </c>
      <c r="H4139" s="9">
        <v>44733</v>
      </c>
      <c r="I4139" t="s">
        <v>984</v>
      </c>
      <c r="J4139" t="s">
        <v>5330</v>
      </c>
      <c r="K4139" s="9">
        <v>44834</v>
      </c>
      <c r="L4139" t="s">
        <v>29</v>
      </c>
      <c r="M4139"/>
      <c r="N4139" s="9">
        <v>44778</v>
      </c>
      <c r="O4139" s="9">
        <v>44834</v>
      </c>
      <c r="P4139"/>
      <c r="Q4139"/>
      <c r="R4139"/>
      <c r="S4139"/>
      <c r="T4139"/>
      <c r="U4139"/>
    </row>
    <row r="4140" spans="1:21" hidden="1">
      <c r="A4140" s="7" t="s">
        <v>8811</v>
      </c>
      <c r="B4140" s="7" t="s">
        <v>8293</v>
      </c>
      <c r="C4140" s="8" t="s">
        <v>5319</v>
      </c>
      <c r="D4140" t="s">
        <v>266</v>
      </c>
      <c r="E4140" t="s">
        <v>1053</v>
      </c>
      <c r="F4140" t="s">
        <v>117</v>
      </c>
      <c r="G4140" t="s">
        <v>3722</v>
      </c>
      <c r="H4140" s="9">
        <v>44733</v>
      </c>
      <c r="I4140" t="s">
        <v>322</v>
      </c>
      <c r="J4140" t="s">
        <v>5330</v>
      </c>
      <c r="K4140" s="9">
        <v>44834</v>
      </c>
      <c r="L4140" t="s">
        <v>29</v>
      </c>
      <c r="M4140"/>
      <c r="N4140" s="9">
        <v>44778</v>
      </c>
      <c r="O4140" s="9">
        <v>44834</v>
      </c>
      <c r="P4140"/>
      <c r="Q4140"/>
      <c r="R4140"/>
      <c r="S4140"/>
      <c r="T4140"/>
      <c r="U4140"/>
    </row>
    <row r="4141" spans="1:21" hidden="1">
      <c r="A4141" s="7" t="s">
        <v>8811</v>
      </c>
      <c r="B4141" s="7" t="s">
        <v>8293</v>
      </c>
      <c r="C4141" s="8" t="s">
        <v>5319</v>
      </c>
      <c r="D4141" t="s">
        <v>266</v>
      </c>
      <c r="E4141" t="s">
        <v>1053</v>
      </c>
      <c r="F4141" t="s">
        <v>117</v>
      </c>
      <c r="G4141" t="s">
        <v>3723</v>
      </c>
      <c r="H4141" s="9">
        <v>44733</v>
      </c>
      <c r="I4141" t="s">
        <v>322</v>
      </c>
      <c r="J4141" t="s">
        <v>5330</v>
      </c>
      <c r="K4141" s="9">
        <v>44834</v>
      </c>
      <c r="L4141" t="s">
        <v>29</v>
      </c>
      <c r="M4141"/>
      <c r="N4141" s="9">
        <v>44778</v>
      </c>
      <c r="O4141" s="9">
        <v>44834</v>
      </c>
      <c r="P4141"/>
      <c r="Q4141"/>
      <c r="R4141"/>
      <c r="S4141"/>
      <c r="T4141"/>
      <c r="U4141"/>
    </row>
    <row r="4142" spans="1:21" hidden="1">
      <c r="A4142" s="7" t="s">
        <v>8811</v>
      </c>
      <c r="B4142" s="7" t="s">
        <v>8293</v>
      </c>
      <c r="C4142" s="8" t="s">
        <v>5319</v>
      </c>
      <c r="D4142" t="s">
        <v>266</v>
      </c>
      <c r="E4142" t="s">
        <v>1053</v>
      </c>
      <c r="F4142" t="s">
        <v>117</v>
      </c>
      <c r="G4142" t="s">
        <v>3724</v>
      </c>
      <c r="H4142" s="9">
        <v>44733</v>
      </c>
      <c r="I4142" t="s">
        <v>322</v>
      </c>
      <c r="J4142" t="s">
        <v>5330</v>
      </c>
      <c r="K4142" s="9">
        <v>44834</v>
      </c>
      <c r="L4142" t="s">
        <v>29</v>
      </c>
      <c r="M4142"/>
      <c r="N4142" s="9">
        <v>44778</v>
      </c>
      <c r="O4142" s="9">
        <v>44834</v>
      </c>
      <c r="P4142"/>
      <c r="Q4142"/>
      <c r="R4142"/>
      <c r="S4142"/>
      <c r="T4142"/>
      <c r="U4142"/>
    </row>
    <row r="4143" spans="1:21" hidden="1">
      <c r="A4143" s="7" t="s">
        <v>8811</v>
      </c>
      <c r="B4143" s="7" t="s">
        <v>8293</v>
      </c>
      <c r="C4143" s="8" t="s">
        <v>5319</v>
      </c>
      <c r="D4143" t="s">
        <v>266</v>
      </c>
      <c r="E4143" t="s">
        <v>1053</v>
      </c>
      <c r="F4143" t="s">
        <v>117</v>
      </c>
      <c r="G4143" t="s">
        <v>3725</v>
      </c>
      <c r="H4143" s="9">
        <v>44733</v>
      </c>
      <c r="I4143" t="s">
        <v>322</v>
      </c>
      <c r="J4143" t="s">
        <v>5330</v>
      </c>
      <c r="K4143" s="9">
        <v>44834</v>
      </c>
      <c r="L4143" t="s">
        <v>29</v>
      </c>
      <c r="M4143"/>
      <c r="N4143" s="9">
        <v>44778</v>
      </c>
      <c r="O4143" s="9">
        <v>44834</v>
      </c>
      <c r="P4143"/>
      <c r="Q4143"/>
      <c r="R4143"/>
      <c r="S4143"/>
      <c r="T4143"/>
      <c r="U4143"/>
    </row>
    <row r="4144" spans="1:21" hidden="1">
      <c r="A4144" s="7" t="s">
        <v>8811</v>
      </c>
      <c r="B4144" s="7" t="s">
        <v>8293</v>
      </c>
      <c r="C4144" s="8" t="s">
        <v>5319</v>
      </c>
      <c r="D4144" t="s">
        <v>266</v>
      </c>
      <c r="E4144" t="s">
        <v>1053</v>
      </c>
      <c r="F4144" t="s">
        <v>117</v>
      </c>
      <c r="G4144" t="s">
        <v>3726</v>
      </c>
      <c r="H4144" s="9">
        <v>44733</v>
      </c>
      <c r="I4144" t="s">
        <v>322</v>
      </c>
      <c r="J4144" t="s">
        <v>5330</v>
      </c>
      <c r="K4144" s="9">
        <v>44834</v>
      </c>
      <c r="L4144" t="s">
        <v>29</v>
      </c>
      <c r="M4144"/>
      <c r="N4144" s="9">
        <v>44778</v>
      </c>
      <c r="O4144" s="9">
        <v>44834</v>
      </c>
      <c r="P4144"/>
      <c r="Q4144"/>
      <c r="R4144"/>
      <c r="S4144"/>
      <c r="T4144"/>
      <c r="U4144"/>
    </row>
    <row r="4145" spans="1:21" hidden="1">
      <c r="A4145" s="7" t="s">
        <v>8890</v>
      </c>
      <c r="B4145" s="7" t="s">
        <v>8280</v>
      </c>
      <c r="C4145" s="8" t="s">
        <v>5319</v>
      </c>
      <c r="D4145" t="s">
        <v>266</v>
      </c>
      <c r="E4145" t="s">
        <v>2463</v>
      </c>
      <c r="F4145" t="s">
        <v>117</v>
      </c>
      <c r="G4145" t="s">
        <v>3727</v>
      </c>
      <c r="H4145" s="9">
        <v>44733</v>
      </c>
      <c r="I4145" t="s">
        <v>903</v>
      </c>
      <c r="J4145" t="s">
        <v>212</v>
      </c>
      <c r="K4145" s="9">
        <v>44806.485057870399</v>
      </c>
      <c r="L4145" t="s">
        <v>29</v>
      </c>
      <c r="M4145"/>
      <c r="N4145" s="9">
        <v>44778</v>
      </c>
      <c r="O4145"/>
      <c r="P4145"/>
      <c r="Q4145"/>
      <c r="R4145" s="9">
        <v>44806.4842361111</v>
      </c>
      <c r="S4145"/>
      <c r="T4145"/>
      <c r="U4145"/>
    </row>
    <row r="4146" spans="1:21" hidden="1">
      <c r="A4146" s="7" t="s">
        <v>8890</v>
      </c>
      <c r="B4146" s="7" t="s">
        <v>8280</v>
      </c>
      <c r="C4146" s="8" t="s">
        <v>5319</v>
      </c>
      <c r="D4146" t="s">
        <v>266</v>
      </c>
      <c r="E4146" t="s">
        <v>2463</v>
      </c>
      <c r="F4146" t="s">
        <v>117</v>
      </c>
      <c r="G4146" t="s">
        <v>3728</v>
      </c>
      <c r="H4146" s="9">
        <v>44733</v>
      </c>
      <c r="I4146" t="s">
        <v>903</v>
      </c>
      <c r="J4146" t="s">
        <v>212</v>
      </c>
      <c r="K4146" s="9">
        <v>44806.485057870399</v>
      </c>
      <c r="L4146" t="s">
        <v>29</v>
      </c>
      <c r="M4146"/>
      <c r="N4146" s="9">
        <v>44778</v>
      </c>
      <c r="O4146"/>
      <c r="P4146"/>
      <c r="Q4146"/>
      <c r="R4146" s="9">
        <v>44806.4842361111</v>
      </c>
      <c r="S4146"/>
      <c r="T4146"/>
      <c r="U4146"/>
    </row>
    <row r="4147" spans="1:21" hidden="1">
      <c r="A4147" s="7" t="s">
        <v>8871</v>
      </c>
      <c r="B4147" s="7" t="s">
        <v>8280</v>
      </c>
      <c r="C4147" s="8" t="s">
        <v>5319</v>
      </c>
      <c r="D4147" t="s">
        <v>266</v>
      </c>
      <c r="E4147" t="s">
        <v>2463</v>
      </c>
      <c r="F4147" t="s">
        <v>231</v>
      </c>
      <c r="G4147" t="s">
        <v>3729</v>
      </c>
      <c r="H4147" s="9">
        <v>44733</v>
      </c>
      <c r="I4147" t="s">
        <v>903</v>
      </c>
      <c r="J4147" t="s">
        <v>212</v>
      </c>
      <c r="K4147" s="9">
        <v>44806.4850925926</v>
      </c>
      <c r="L4147" t="s">
        <v>29</v>
      </c>
      <c r="M4147"/>
      <c r="N4147" s="9">
        <v>44778</v>
      </c>
      <c r="O4147"/>
      <c r="P4147"/>
      <c r="Q4147"/>
      <c r="R4147" s="9">
        <v>44806.484525462998</v>
      </c>
      <c r="S4147"/>
      <c r="T4147"/>
      <c r="U4147"/>
    </row>
    <row r="4148" spans="1:21" hidden="1">
      <c r="A4148" s="7" t="s">
        <v>8890</v>
      </c>
      <c r="B4148" s="7" t="s">
        <v>8280</v>
      </c>
      <c r="C4148" s="8" t="s">
        <v>5319</v>
      </c>
      <c r="D4148" t="s">
        <v>266</v>
      </c>
      <c r="E4148" t="s">
        <v>2463</v>
      </c>
      <c r="F4148" t="s">
        <v>117</v>
      </c>
      <c r="G4148" t="s">
        <v>3730</v>
      </c>
      <c r="H4148" s="9">
        <v>44733</v>
      </c>
      <c r="I4148" t="s">
        <v>903</v>
      </c>
      <c r="J4148" t="s">
        <v>212</v>
      </c>
      <c r="K4148" s="9">
        <v>44806.485057870399</v>
      </c>
      <c r="L4148" t="s">
        <v>29</v>
      </c>
      <c r="M4148"/>
      <c r="N4148" s="9">
        <v>44778</v>
      </c>
      <c r="O4148"/>
      <c r="P4148"/>
      <c r="Q4148"/>
      <c r="R4148" s="9">
        <v>44806.4842361111</v>
      </c>
      <c r="S4148"/>
      <c r="T4148"/>
      <c r="U4148"/>
    </row>
    <row r="4149" spans="1:21" hidden="1">
      <c r="A4149" s="7" t="s">
        <v>8890</v>
      </c>
      <c r="B4149" s="7" t="s">
        <v>8280</v>
      </c>
      <c r="C4149" s="8" t="s">
        <v>5319</v>
      </c>
      <c r="D4149" t="s">
        <v>266</v>
      </c>
      <c r="E4149" t="s">
        <v>2463</v>
      </c>
      <c r="F4149" t="s">
        <v>117</v>
      </c>
      <c r="G4149" t="s">
        <v>3731</v>
      </c>
      <c r="H4149" s="9">
        <v>44733</v>
      </c>
      <c r="I4149" t="s">
        <v>903</v>
      </c>
      <c r="J4149" t="s">
        <v>212</v>
      </c>
      <c r="K4149" s="9">
        <v>44806.485057870399</v>
      </c>
      <c r="L4149" t="s">
        <v>29</v>
      </c>
      <c r="M4149"/>
      <c r="N4149" s="9">
        <v>44778</v>
      </c>
      <c r="O4149"/>
      <c r="P4149"/>
      <c r="Q4149"/>
      <c r="R4149" s="9">
        <v>44806.4842361111</v>
      </c>
      <c r="S4149"/>
      <c r="T4149"/>
      <c r="U4149"/>
    </row>
    <row r="4150" spans="1:21" hidden="1">
      <c r="A4150" s="7" t="s">
        <v>8890</v>
      </c>
      <c r="B4150" s="7" t="s">
        <v>8280</v>
      </c>
      <c r="C4150" s="8" t="s">
        <v>5319</v>
      </c>
      <c r="D4150" t="s">
        <v>266</v>
      </c>
      <c r="E4150" t="s">
        <v>2463</v>
      </c>
      <c r="F4150" t="s">
        <v>117</v>
      </c>
      <c r="G4150" t="s">
        <v>3732</v>
      </c>
      <c r="H4150" s="9">
        <v>44733</v>
      </c>
      <c r="I4150" t="s">
        <v>903</v>
      </c>
      <c r="J4150" t="s">
        <v>212</v>
      </c>
      <c r="K4150" s="9">
        <v>44806.485057870399</v>
      </c>
      <c r="L4150" t="s">
        <v>29</v>
      </c>
      <c r="M4150"/>
      <c r="N4150" s="9">
        <v>44778</v>
      </c>
      <c r="O4150"/>
      <c r="P4150"/>
      <c r="Q4150"/>
      <c r="R4150" s="9">
        <v>44806.4842361111</v>
      </c>
      <c r="S4150"/>
      <c r="T4150"/>
      <c r="U4150"/>
    </row>
    <row r="4151" spans="1:21" hidden="1">
      <c r="A4151" s="7" t="s">
        <v>8890</v>
      </c>
      <c r="B4151" s="7" t="s">
        <v>8280</v>
      </c>
      <c r="C4151" s="8" t="s">
        <v>5319</v>
      </c>
      <c r="D4151" t="s">
        <v>266</v>
      </c>
      <c r="E4151" t="s">
        <v>2463</v>
      </c>
      <c r="F4151" t="s">
        <v>117</v>
      </c>
      <c r="G4151" t="s">
        <v>3733</v>
      </c>
      <c r="H4151" s="9">
        <v>44733</v>
      </c>
      <c r="I4151" t="s">
        <v>903</v>
      </c>
      <c r="J4151" t="s">
        <v>212</v>
      </c>
      <c r="K4151" s="9">
        <v>44806.485057870399</v>
      </c>
      <c r="L4151" t="s">
        <v>29</v>
      </c>
      <c r="M4151"/>
      <c r="N4151" s="9">
        <v>44778</v>
      </c>
      <c r="O4151"/>
      <c r="P4151"/>
      <c r="Q4151"/>
      <c r="R4151" s="9">
        <v>44806.4842361111</v>
      </c>
      <c r="S4151"/>
      <c r="T4151"/>
      <c r="U4151"/>
    </row>
    <row r="4152" spans="1:21" hidden="1">
      <c r="A4152" s="7" t="s">
        <v>8890</v>
      </c>
      <c r="B4152" s="7" t="s">
        <v>8280</v>
      </c>
      <c r="C4152" s="8" t="s">
        <v>5319</v>
      </c>
      <c r="D4152" t="s">
        <v>266</v>
      </c>
      <c r="E4152" t="s">
        <v>2463</v>
      </c>
      <c r="F4152" t="s">
        <v>117</v>
      </c>
      <c r="G4152" t="s">
        <v>3734</v>
      </c>
      <c r="H4152" s="9">
        <v>44733</v>
      </c>
      <c r="I4152" t="s">
        <v>903</v>
      </c>
      <c r="J4152" t="s">
        <v>212</v>
      </c>
      <c r="K4152" s="9">
        <v>44806.485057870399</v>
      </c>
      <c r="L4152" t="s">
        <v>29</v>
      </c>
      <c r="M4152"/>
      <c r="N4152" s="9">
        <v>44778</v>
      </c>
      <c r="O4152"/>
      <c r="P4152"/>
      <c r="Q4152"/>
      <c r="R4152" s="9">
        <v>44806.4842361111</v>
      </c>
      <c r="S4152"/>
      <c r="T4152"/>
      <c r="U4152"/>
    </row>
    <row r="4153" spans="1:21" hidden="1">
      <c r="A4153" s="7" t="s">
        <v>8871</v>
      </c>
      <c r="B4153" s="7" t="s">
        <v>8280</v>
      </c>
      <c r="C4153" s="8" t="s">
        <v>5319</v>
      </c>
      <c r="D4153" t="s">
        <v>266</v>
      </c>
      <c r="E4153" t="s">
        <v>2463</v>
      </c>
      <c r="F4153" t="s">
        <v>231</v>
      </c>
      <c r="G4153" t="s">
        <v>3734</v>
      </c>
      <c r="H4153" s="9">
        <v>44733</v>
      </c>
      <c r="I4153" t="s">
        <v>903</v>
      </c>
      <c r="J4153" t="s">
        <v>212</v>
      </c>
      <c r="K4153" s="9">
        <v>44806.4850925926</v>
      </c>
      <c r="L4153" t="s">
        <v>29</v>
      </c>
      <c r="M4153"/>
      <c r="N4153" s="9">
        <v>44778</v>
      </c>
      <c r="O4153"/>
      <c r="P4153"/>
      <c r="Q4153"/>
      <c r="R4153" s="9">
        <v>44806.484525462998</v>
      </c>
      <c r="S4153"/>
      <c r="T4153"/>
      <c r="U4153"/>
    </row>
    <row r="4154" spans="1:21" hidden="1">
      <c r="A4154" s="7" t="s">
        <v>8890</v>
      </c>
      <c r="B4154" s="7" t="s">
        <v>8280</v>
      </c>
      <c r="C4154" s="8" t="s">
        <v>5319</v>
      </c>
      <c r="D4154" t="s">
        <v>266</v>
      </c>
      <c r="E4154" t="s">
        <v>2463</v>
      </c>
      <c r="F4154" t="s">
        <v>117</v>
      </c>
      <c r="G4154" t="s">
        <v>3735</v>
      </c>
      <c r="H4154" s="9">
        <v>44733</v>
      </c>
      <c r="I4154" t="s">
        <v>903</v>
      </c>
      <c r="J4154" t="s">
        <v>212</v>
      </c>
      <c r="K4154" s="9">
        <v>44806.485057870399</v>
      </c>
      <c r="L4154" t="s">
        <v>29</v>
      </c>
      <c r="M4154"/>
      <c r="N4154" s="9">
        <v>44778</v>
      </c>
      <c r="O4154"/>
      <c r="P4154"/>
      <c r="Q4154"/>
      <c r="R4154" s="9">
        <v>44806.4842361111</v>
      </c>
      <c r="S4154"/>
      <c r="T4154"/>
      <c r="U4154"/>
    </row>
    <row r="4155" spans="1:21" hidden="1">
      <c r="A4155" s="7" t="s">
        <v>8871</v>
      </c>
      <c r="B4155" s="7" t="s">
        <v>8280</v>
      </c>
      <c r="C4155" s="8" t="s">
        <v>5319</v>
      </c>
      <c r="D4155" t="s">
        <v>266</v>
      </c>
      <c r="E4155" t="s">
        <v>2463</v>
      </c>
      <c r="F4155" t="s">
        <v>231</v>
      </c>
      <c r="G4155" t="s">
        <v>3735</v>
      </c>
      <c r="H4155" s="9">
        <v>44733</v>
      </c>
      <c r="I4155" t="s">
        <v>903</v>
      </c>
      <c r="J4155" t="s">
        <v>212</v>
      </c>
      <c r="K4155" s="9">
        <v>44806.4850925926</v>
      </c>
      <c r="L4155" t="s">
        <v>29</v>
      </c>
      <c r="M4155"/>
      <c r="N4155" s="9">
        <v>44778</v>
      </c>
      <c r="O4155"/>
      <c r="P4155"/>
      <c r="Q4155"/>
      <c r="R4155" s="9">
        <v>44806.484525462998</v>
      </c>
      <c r="S4155"/>
      <c r="T4155"/>
      <c r="U4155"/>
    </row>
    <row r="4156" spans="1:21" hidden="1">
      <c r="A4156" s="7" t="s">
        <v>8890</v>
      </c>
      <c r="B4156" s="7" t="s">
        <v>8280</v>
      </c>
      <c r="C4156" s="8" t="s">
        <v>5319</v>
      </c>
      <c r="D4156" t="s">
        <v>266</v>
      </c>
      <c r="E4156" t="s">
        <v>2463</v>
      </c>
      <c r="F4156" t="s">
        <v>117</v>
      </c>
      <c r="G4156" t="s">
        <v>3736</v>
      </c>
      <c r="H4156" s="9">
        <v>44733</v>
      </c>
      <c r="I4156" t="s">
        <v>903</v>
      </c>
      <c r="J4156" t="s">
        <v>212</v>
      </c>
      <c r="K4156" s="9">
        <v>44806.485057870399</v>
      </c>
      <c r="L4156" t="s">
        <v>29</v>
      </c>
      <c r="M4156"/>
      <c r="N4156" s="9">
        <v>44778</v>
      </c>
      <c r="O4156"/>
      <c r="P4156"/>
      <c r="Q4156"/>
      <c r="R4156" s="9">
        <v>44806.4842361111</v>
      </c>
      <c r="S4156"/>
      <c r="T4156"/>
      <c r="U4156"/>
    </row>
    <row r="4157" spans="1:21" hidden="1">
      <c r="A4157" s="7" t="s">
        <v>8871</v>
      </c>
      <c r="B4157" s="7" t="s">
        <v>8280</v>
      </c>
      <c r="C4157" s="8" t="s">
        <v>5319</v>
      </c>
      <c r="D4157" t="s">
        <v>266</v>
      </c>
      <c r="E4157" t="s">
        <v>2463</v>
      </c>
      <c r="F4157" t="s">
        <v>231</v>
      </c>
      <c r="G4157" t="s">
        <v>3736</v>
      </c>
      <c r="H4157" s="9">
        <v>44733</v>
      </c>
      <c r="I4157" t="s">
        <v>903</v>
      </c>
      <c r="J4157" t="s">
        <v>212</v>
      </c>
      <c r="K4157" s="9">
        <v>44806.4850925926</v>
      </c>
      <c r="L4157" t="s">
        <v>29</v>
      </c>
      <c r="M4157"/>
      <c r="N4157" s="9">
        <v>44778</v>
      </c>
      <c r="O4157"/>
      <c r="P4157"/>
      <c r="Q4157"/>
      <c r="R4157" s="9">
        <v>44806.484525462998</v>
      </c>
      <c r="S4157"/>
      <c r="T4157"/>
      <c r="U4157"/>
    </row>
    <row r="4158" spans="1:21" hidden="1">
      <c r="A4158" s="7" t="s">
        <v>8890</v>
      </c>
      <c r="B4158" s="7" t="s">
        <v>8280</v>
      </c>
      <c r="C4158" s="8" t="s">
        <v>5319</v>
      </c>
      <c r="D4158" t="s">
        <v>266</v>
      </c>
      <c r="E4158" t="s">
        <v>2463</v>
      </c>
      <c r="F4158" t="s">
        <v>117</v>
      </c>
      <c r="G4158" t="s">
        <v>3737</v>
      </c>
      <c r="H4158" s="9">
        <v>44733</v>
      </c>
      <c r="I4158" t="s">
        <v>903</v>
      </c>
      <c r="J4158" t="s">
        <v>212</v>
      </c>
      <c r="K4158" s="9">
        <v>44806.485057870399</v>
      </c>
      <c r="L4158" t="s">
        <v>29</v>
      </c>
      <c r="M4158"/>
      <c r="N4158" s="9">
        <v>44778</v>
      </c>
      <c r="O4158"/>
      <c r="P4158"/>
      <c r="Q4158"/>
      <c r="R4158" s="9">
        <v>44806.4842361111</v>
      </c>
      <c r="S4158"/>
      <c r="T4158"/>
      <c r="U4158"/>
    </row>
    <row r="4159" spans="1:21" hidden="1">
      <c r="A4159" s="7" t="s">
        <v>8871</v>
      </c>
      <c r="B4159" s="7" t="s">
        <v>8280</v>
      </c>
      <c r="C4159" s="8" t="s">
        <v>5319</v>
      </c>
      <c r="D4159" t="s">
        <v>266</v>
      </c>
      <c r="E4159" t="s">
        <v>2463</v>
      </c>
      <c r="F4159" t="s">
        <v>231</v>
      </c>
      <c r="G4159" t="s">
        <v>3737</v>
      </c>
      <c r="H4159" s="9">
        <v>44733</v>
      </c>
      <c r="I4159" t="s">
        <v>903</v>
      </c>
      <c r="J4159" t="s">
        <v>212</v>
      </c>
      <c r="K4159" s="9">
        <v>44806.4850925926</v>
      </c>
      <c r="L4159" t="s">
        <v>29</v>
      </c>
      <c r="M4159"/>
      <c r="N4159" s="9">
        <v>44778</v>
      </c>
      <c r="O4159"/>
      <c r="P4159"/>
      <c r="Q4159"/>
      <c r="R4159" s="9">
        <v>44806.484525462998</v>
      </c>
      <c r="S4159"/>
      <c r="T4159"/>
      <c r="U4159"/>
    </row>
    <row r="4160" spans="1:21" hidden="1">
      <c r="A4160" s="7" t="s">
        <v>8890</v>
      </c>
      <c r="B4160" s="7" t="s">
        <v>8280</v>
      </c>
      <c r="C4160" s="8" t="s">
        <v>5319</v>
      </c>
      <c r="D4160" t="s">
        <v>266</v>
      </c>
      <c r="E4160" t="s">
        <v>2463</v>
      </c>
      <c r="F4160" t="s">
        <v>117</v>
      </c>
      <c r="G4160" t="s">
        <v>3738</v>
      </c>
      <c r="H4160" s="9">
        <v>44733</v>
      </c>
      <c r="I4160" t="s">
        <v>903</v>
      </c>
      <c r="J4160" t="s">
        <v>212</v>
      </c>
      <c r="K4160" s="9">
        <v>44806.485057870399</v>
      </c>
      <c r="L4160" t="s">
        <v>29</v>
      </c>
      <c r="M4160"/>
      <c r="N4160" s="9">
        <v>44778</v>
      </c>
      <c r="O4160"/>
      <c r="P4160"/>
      <c r="Q4160"/>
      <c r="R4160" s="9">
        <v>44806.4842361111</v>
      </c>
      <c r="S4160"/>
      <c r="T4160"/>
      <c r="U4160"/>
    </row>
    <row r="4161" spans="1:21" hidden="1">
      <c r="A4161" s="7" t="s">
        <v>8890</v>
      </c>
      <c r="B4161" s="7" t="s">
        <v>8280</v>
      </c>
      <c r="C4161" s="8" t="s">
        <v>5319</v>
      </c>
      <c r="D4161" t="s">
        <v>266</v>
      </c>
      <c r="E4161" t="s">
        <v>2463</v>
      </c>
      <c r="F4161" t="s">
        <v>117</v>
      </c>
      <c r="G4161" t="s">
        <v>3739</v>
      </c>
      <c r="H4161" s="9">
        <v>44733</v>
      </c>
      <c r="I4161" t="s">
        <v>903</v>
      </c>
      <c r="J4161" t="s">
        <v>212</v>
      </c>
      <c r="K4161" s="9">
        <v>44806.485057870399</v>
      </c>
      <c r="L4161" t="s">
        <v>29</v>
      </c>
      <c r="M4161"/>
      <c r="N4161" s="9">
        <v>44778</v>
      </c>
      <c r="O4161"/>
      <c r="P4161"/>
      <c r="Q4161"/>
      <c r="R4161" s="9">
        <v>44806.4842361111</v>
      </c>
      <c r="S4161"/>
      <c r="T4161"/>
      <c r="U4161"/>
    </row>
    <row r="4162" spans="1:21" hidden="1">
      <c r="A4162" s="7" t="s">
        <v>8890</v>
      </c>
      <c r="B4162" s="7" t="s">
        <v>8280</v>
      </c>
      <c r="C4162" s="8" t="s">
        <v>5319</v>
      </c>
      <c r="D4162" t="s">
        <v>266</v>
      </c>
      <c r="E4162" t="s">
        <v>2463</v>
      </c>
      <c r="F4162" t="s">
        <v>117</v>
      </c>
      <c r="G4162" t="s">
        <v>3740</v>
      </c>
      <c r="H4162" s="9">
        <v>44733</v>
      </c>
      <c r="I4162" t="s">
        <v>903</v>
      </c>
      <c r="J4162" t="s">
        <v>212</v>
      </c>
      <c r="K4162" s="9">
        <v>44806.485057870399</v>
      </c>
      <c r="L4162" t="s">
        <v>29</v>
      </c>
      <c r="M4162"/>
      <c r="N4162" s="9">
        <v>44778</v>
      </c>
      <c r="O4162"/>
      <c r="P4162"/>
      <c r="Q4162"/>
      <c r="R4162" s="9">
        <v>44806.4842361111</v>
      </c>
      <c r="S4162"/>
      <c r="T4162"/>
      <c r="U4162"/>
    </row>
    <row r="4163" spans="1:21" hidden="1">
      <c r="A4163" s="7" t="s">
        <v>8871</v>
      </c>
      <c r="B4163" s="7" t="s">
        <v>8280</v>
      </c>
      <c r="C4163" s="8" t="s">
        <v>5319</v>
      </c>
      <c r="D4163" t="s">
        <v>266</v>
      </c>
      <c r="E4163" t="s">
        <v>2463</v>
      </c>
      <c r="F4163" t="s">
        <v>231</v>
      </c>
      <c r="G4163" t="s">
        <v>3741</v>
      </c>
      <c r="H4163" s="9">
        <v>44733</v>
      </c>
      <c r="I4163" t="s">
        <v>903</v>
      </c>
      <c r="J4163" t="s">
        <v>212</v>
      </c>
      <c r="K4163" s="9">
        <v>44806.4850925926</v>
      </c>
      <c r="L4163" t="s">
        <v>29</v>
      </c>
      <c r="M4163"/>
      <c r="N4163" s="9">
        <v>44778</v>
      </c>
      <c r="O4163"/>
      <c r="P4163"/>
      <c r="Q4163"/>
      <c r="R4163" s="9">
        <v>44806.484525462998</v>
      </c>
      <c r="S4163"/>
      <c r="T4163"/>
      <c r="U4163"/>
    </row>
    <row r="4164" spans="1:21" hidden="1">
      <c r="A4164" s="7" t="s">
        <v>8890</v>
      </c>
      <c r="B4164" s="7" t="s">
        <v>8280</v>
      </c>
      <c r="C4164" s="8" t="s">
        <v>5319</v>
      </c>
      <c r="D4164" t="s">
        <v>266</v>
      </c>
      <c r="E4164" t="s">
        <v>2463</v>
      </c>
      <c r="F4164" t="s">
        <v>117</v>
      </c>
      <c r="G4164" t="s">
        <v>3742</v>
      </c>
      <c r="H4164" s="9">
        <v>44733</v>
      </c>
      <c r="I4164" t="s">
        <v>903</v>
      </c>
      <c r="J4164" t="s">
        <v>212</v>
      </c>
      <c r="K4164" s="9">
        <v>44806.485057870399</v>
      </c>
      <c r="L4164" t="s">
        <v>29</v>
      </c>
      <c r="M4164"/>
      <c r="N4164" s="9">
        <v>44778</v>
      </c>
      <c r="O4164"/>
      <c r="P4164"/>
      <c r="Q4164"/>
      <c r="R4164" s="9">
        <v>44806.4842361111</v>
      </c>
      <c r="S4164"/>
      <c r="T4164"/>
      <c r="U4164"/>
    </row>
    <row r="4165" spans="1:21" hidden="1">
      <c r="A4165" s="7" t="s">
        <v>8890</v>
      </c>
      <c r="B4165" s="7" t="s">
        <v>8280</v>
      </c>
      <c r="C4165" s="8" t="s">
        <v>5319</v>
      </c>
      <c r="D4165" t="s">
        <v>266</v>
      </c>
      <c r="E4165" t="s">
        <v>2463</v>
      </c>
      <c r="F4165" t="s">
        <v>117</v>
      </c>
      <c r="G4165" t="s">
        <v>3743</v>
      </c>
      <c r="H4165" s="9">
        <v>44733</v>
      </c>
      <c r="I4165" t="s">
        <v>903</v>
      </c>
      <c r="J4165" t="s">
        <v>212</v>
      </c>
      <c r="K4165" s="9">
        <v>44806.485057870399</v>
      </c>
      <c r="L4165" t="s">
        <v>29</v>
      </c>
      <c r="M4165"/>
      <c r="N4165" s="9">
        <v>44778</v>
      </c>
      <c r="O4165"/>
      <c r="P4165"/>
      <c r="Q4165"/>
      <c r="R4165" s="9">
        <v>44806.4842361111</v>
      </c>
      <c r="S4165"/>
      <c r="T4165"/>
      <c r="U4165"/>
    </row>
    <row r="4166" spans="1:21" hidden="1">
      <c r="A4166" s="7" t="s">
        <v>8938</v>
      </c>
      <c r="B4166" s="7" t="s">
        <v>8370</v>
      </c>
      <c r="C4166" s="8" t="s">
        <v>5319</v>
      </c>
      <c r="D4166" t="s">
        <v>266</v>
      </c>
      <c r="E4166" t="s">
        <v>3744</v>
      </c>
      <c r="F4166" t="s">
        <v>117</v>
      </c>
      <c r="G4166" t="s">
        <v>3745</v>
      </c>
      <c r="H4166" s="9">
        <v>44735</v>
      </c>
      <c r="I4166" t="s">
        <v>3107</v>
      </c>
      <c r="J4166" t="s">
        <v>5330</v>
      </c>
      <c r="K4166" s="9">
        <v>44834</v>
      </c>
      <c r="L4166" t="s">
        <v>29</v>
      </c>
      <c r="M4166"/>
      <c r="N4166" s="9">
        <v>44778</v>
      </c>
      <c r="O4166" s="9">
        <v>44834</v>
      </c>
      <c r="P4166"/>
      <c r="Q4166"/>
      <c r="R4166"/>
      <c r="S4166"/>
      <c r="T4166"/>
      <c r="U4166"/>
    </row>
    <row r="4167" spans="1:21" hidden="1">
      <c r="A4167" s="7" t="s">
        <v>8939</v>
      </c>
      <c r="B4167" s="7" t="s">
        <v>8078</v>
      </c>
      <c r="C4167" s="8" t="s">
        <v>5319</v>
      </c>
      <c r="D4167" t="s">
        <v>266</v>
      </c>
      <c r="E4167" t="s">
        <v>3746</v>
      </c>
      <c r="F4167" t="s">
        <v>117</v>
      </c>
      <c r="G4167" t="s">
        <v>3747</v>
      </c>
      <c r="H4167" s="9">
        <v>44733</v>
      </c>
      <c r="I4167" t="s">
        <v>984</v>
      </c>
      <c r="J4167" t="s">
        <v>5330</v>
      </c>
      <c r="K4167" s="9">
        <v>44834</v>
      </c>
      <c r="L4167" t="s">
        <v>29</v>
      </c>
      <c r="M4167"/>
      <c r="N4167" s="9">
        <v>44778</v>
      </c>
      <c r="O4167" s="9">
        <v>44834</v>
      </c>
      <c r="P4167"/>
      <c r="Q4167"/>
      <c r="R4167"/>
      <c r="S4167"/>
      <c r="T4167"/>
      <c r="U4167"/>
    </row>
    <row r="4168" spans="1:21" hidden="1">
      <c r="A4168" s="7" t="s">
        <v>8758</v>
      </c>
      <c r="B4168" s="7" t="s">
        <v>5405</v>
      </c>
      <c r="C4168" s="8" t="s">
        <v>5319</v>
      </c>
      <c r="D4168" t="s">
        <v>266</v>
      </c>
      <c r="E4168" t="s">
        <v>25</v>
      </c>
      <c r="F4168" t="s">
        <v>493</v>
      </c>
      <c r="G4168" t="s">
        <v>2769</v>
      </c>
      <c r="H4168" s="9">
        <v>44733</v>
      </c>
      <c r="I4168" t="s">
        <v>8634</v>
      </c>
      <c r="J4168" t="s">
        <v>0</v>
      </c>
      <c r="K4168" s="9">
        <v>44862</v>
      </c>
      <c r="L4168" t="s">
        <v>29</v>
      </c>
      <c r="M4168"/>
      <c r="N4168"/>
      <c r="O4168"/>
      <c r="P4168"/>
      <c r="Q4168" s="9">
        <v>44862</v>
      </c>
      <c r="R4168"/>
      <c r="S4168"/>
      <c r="T4168"/>
      <c r="U4168"/>
    </row>
    <row r="4169" spans="1:21" hidden="1">
      <c r="A4169" s="7" t="s">
        <v>8940</v>
      </c>
      <c r="B4169" s="7" t="s">
        <v>6941</v>
      </c>
      <c r="C4169" s="8" t="s">
        <v>5319</v>
      </c>
      <c r="D4169" t="s">
        <v>266</v>
      </c>
      <c r="E4169" t="s">
        <v>3748</v>
      </c>
      <c r="F4169" t="s">
        <v>280</v>
      </c>
      <c r="G4169" t="s">
        <v>3749</v>
      </c>
      <c r="H4169" s="9">
        <v>44733</v>
      </c>
      <c r="I4169" t="s">
        <v>758</v>
      </c>
      <c r="J4169" t="s">
        <v>5330</v>
      </c>
      <c r="K4169" s="9">
        <v>44834</v>
      </c>
      <c r="L4169" t="s">
        <v>29</v>
      </c>
      <c r="M4169"/>
      <c r="N4169" s="9">
        <v>44778</v>
      </c>
      <c r="O4169" s="9">
        <v>44834</v>
      </c>
      <c r="P4169"/>
      <c r="Q4169"/>
      <c r="R4169"/>
      <c r="S4169"/>
      <c r="T4169"/>
      <c r="U4169"/>
    </row>
    <row r="4170" spans="1:21" hidden="1">
      <c r="A4170" s="7" t="s">
        <v>8940</v>
      </c>
      <c r="B4170" s="7" t="s">
        <v>6941</v>
      </c>
      <c r="C4170" s="8" t="s">
        <v>5319</v>
      </c>
      <c r="D4170" t="s">
        <v>266</v>
      </c>
      <c r="E4170" t="s">
        <v>3748</v>
      </c>
      <c r="F4170" t="s">
        <v>280</v>
      </c>
      <c r="G4170" t="s">
        <v>3750</v>
      </c>
      <c r="H4170" s="9">
        <v>44733</v>
      </c>
      <c r="I4170" t="s">
        <v>758</v>
      </c>
      <c r="J4170" t="s">
        <v>5330</v>
      </c>
      <c r="K4170" s="9">
        <v>44834</v>
      </c>
      <c r="L4170" t="s">
        <v>29</v>
      </c>
      <c r="M4170"/>
      <c r="N4170" s="9">
        <v>44778</v>
      </c>
      <c r="O4170" s="9">
        <v>44834</v>
      </c>
      <c r="P4170"/>
      <c r="Q4170"/>
      <c r="R4170"/>
      <c r="S4170"/>
      <c r="T4170"/>
      <c r="U4170"/>
    </row>
    <row r="4171" spans="1:21" hidden="1">
      <c r="A4171" s="7" t="s">
        <v>8940</v>
      </c>
      <c r="B4171" s="7" t="s">
        <v>6941</v>
      </c>
      <c r="C4171" s="8" t="s">
        <v>5319</v>
      </c>
      <c r="D4171" t="s">
        <v>266</v>
      </c>
      <c r="E4171" t="s">
        <v>3748</v>
      </c>
      <c r="F4171" t="s">
        <v>280</v>
      </c>
      <c r="G4171" t="s">
        <v>3751</v>
      </c>
      <c r="H4171" s="9">
        <v>44733</v>
      </c>
      <c r="I4171" t="s">
        <v>758</v>
      </c>
      <c r="J4171" t="s">
        <v>5330</v>
      </c>
      <c r="K4171" s="9">
        <v>44834</v>
      </c>
      <c r="L4171" t="s">
        <v>29</v>
      </c>
      <c r="M4171"/>
      <c r="N4171" s="9">
        <v>44778</v>
      </c>
      <c r="O4171" s="9">
        <v>44834</v>
      </c>
      <c r="P4171"/>
      <c r="Q4171"/>
      <c r="R4171"/>
      <c r="S4171"/>
      <c r="T4171"/>
      <c r="U4171"/>
    </row>
    <row r="4172" spans="1:21" hidden="1">
      <c r="A4172" s="7" t="s">
        <v>8902</v>
      </c>
      <c r="B4172" s="7" t="s">
        <v>6805</v>
      </c>
      <c r="C4172" s="8" t="s">
        <v>5319</v>
      </c>
      <c r="D4172" t="s">
        <v>266</v>
      </c>
      <c r="E4172" t="s">
        <v>2175</v>
      </c>
      <c r="F4172" t="s">
        <v>117</v>
      </c>
      <c r="G4172" t="s">
        <v>3752</v>
      </c>
      <c r="H4172" s="9">
        <v>44733</v>
      </c>
      <c r="I4172" t="s">
        <v>488</v>
      </c>
      <c r="J4172" t="s">
        <v>5330</v>
      </c>
      <c r="K4172" s="9">
        <v>44834</v>
      </c>
      <c r="L4172" t="s">
        <v>29</v>
      </c>
      <c r="M4172"/>
      <c r="N4172" s="9">
        <v>44778</v>
      </c>
      <c r="O4172" s="9">
        <v>44834</v>
      </c>
      <c r="P4172"/>
      <c r="Q4172"/>
      <c r="R4172"/>
      <c r="S4172"/>
      <c r="T4172"/>
      <c r="U4172"/>
    </row>
    <row r="4173" spans="1:21" hidden="1">
      <c r="A4173" s="7" t="s">
        <v>8849</v>
      </c>
      <c r="B4173" s="7" t="s">
        <v>6805</v>
      </c>
      <c r="C4173" s="8" t="s">
        <v>5319</v>
      </c>
      <c r="D4173" t="s">
        <v>266</v>
      </c>
      <c r="E4173" t="s">
        <v>2175</v>
      </c>
      <c r="F4173" t="s">
        <v>75</v>
      </c>
      <c r="G4173" t="s">
        <v>3752</v>
      </c>
      <c r="H4173" s="9">
        <v>44733</v>
      </c>
      <c r="I4173" t="s">
        <v>488</v>
      </c>
      <c r="J4173" t="s">
        <v>5330</v>
      </c>
      <c r="K4173" s="9">
        <v>44834</v>
      </c>
      <c r="L4173" t="s">
        <v>29</v>
      </c>
      <c r="M4173"/>
      <c r="N4173" s="9">
        <v>44778</v>
      </c>
      <c r="O4173" s="9">
        <v>44834</v>
      </c>
      <c r="P4173"/>
      <c r="Q4173"/>
      <c r="R4173"/>
      <c r="S4173"/>
      <c r="T4173"/>
      <c r="U4173"/>
    </row>
    <row r="4174" spans="1:21" hidden="1">
      <c r="A4174" s="7" t="s">
        <v>8902</v>
      </c>
      <c r="B4174" s="7" t="s">
        <v>6805</v>
      </c>
      <c r="C4174" s="8" t="s">
        <v>5319</v>
      </c>
      <c r="D4174" t="s">
        <v>266</v>
      </c>
      <c r="E4174" t="s">
        <v>2175</v>
      </c>
      <c r="F4174" t="s">
        <v>117</v>
      </c>
      <c r="G4174" t="s">
        <v>3753</v>
      </c>
      <c r="H4174" s="9">
        <v>44733</v>
      </c>
      <c r="I4174" t="s">
        <v>488</v>
      </c>
      <c r="J4174" t="s">
        <v>5330</v>
      </c>
      <c r="K4174" s="9">
        <v>44834</v>
      </c>
      <c r="L4174" t="s">
        <v>29</v>
      </c>
      <c r="M4174"/>
      <c r="N4174" s="9">
        <v>44778</v>
      </c>
      <c r="O4174" s="9">
        <v>44834</v>
      </c>
      <c r="P4174"/>
      <c r="Q4174"/>
      <c r="R4174"/>
      <c r="S4174"/>
      <c r="T4174"/>
      <c r="U4174"/>
    </row>
    <row r="4175" spans="1:21" hidden="1">
      <c r="A4175" s="7" t="s">
        <v>8849</v>
      </c>
      <c r="B4175" s="7" t="s">
        <v>6805</v>
      </c>
      <c r="C4175" s="8" t="s">
        <v>5319</v>
      </c>
      <c r="D4175" t="s">
        <v>266</v>
      </c>
      <c r="E4175" t="s">
        <v>2175</v>
      </c>
      <c r="F4175" t="s">
        <v>75</v>
      </c>
      <c r="G4175" t="s">
        <v>3753</v>
      </c>
      <c r="H4175" s="9">
        <v>44733</v>
      </c>
      <c r="I4175" t="s">
        <v>488</v>
      </c>
      <c r="J4175" t="s">
        <v>5330</v>
      </c>
      <c r="K4175" s="9">
        <v>44834</v>
      </c>
      <c r="L4175" t="s">
        <v>29</v>
      </c>
      <c r="M4175"/>
      <c r="N4175" s="9">
        <v>44778</v>
      </c>
      <c r="O4175" s="9">
        <v>44834</v>
      </c>
      <c r="P4175"/>
      <c r="Q4175"/>
      <c r="R4175"/>
      <c r="S4175"/>
      <c r="T4175"/>
      <c r="U4175"/>
    </row>
    <row r="4176" spans="1:21" hidden="1">
      <c r="A4176" s="7" t="s">
        <v>8902</v>
      </c>
      <c r="B4176" s="7" t="s">
        <v>6805</v>
      </c>
      <c r="C4176" s="8" t="s">
        <v>5319</v>
      </c>
      <c r="D4176" t="s">
        <v>266</v>
      </c>
      <c r="E4176" t="s">
        <v>2175</v>
      </c>
      <c r="F4176" t="s">
        <v>117</v>
      </c>
      <c r="G4176" t="s">
        <v>3754</v>
      </c>
      <c r="H4176" s="9">
        <v>44733</v>
      </c>
      <c r="I4176" t="s">
        <v>488</v>
      </c>
      <c r="J4176" t="s">
        <v>5330</v>
      </c>
      <c r="K4176" s="9">
        <v>44834</v>
      </c>
      <c r="L4176" t="s">
        <v>29</v>
      </c>
      <c r="M4176"/>
      <c r="N4176" s="9">
        <v>44778</v>
      </c>
      <c r="O4176" s="9">
        <v>44834</v>
      </c>
      <c r="P4176"/>
      <c r="Q4176"/>
      <c r="R4176"/>
      <c r="S4176"/>
      <c r="T4176"/>
      <c r="U4176"/>
    </row>
    <row r="4177" spans="1:21" hidden="1">
      <c r="A4177" s="7" t="s">
        <v>8849</v>
      </c>
      <c r="B4177" s="7" t="s">
        <v>6805</v>
      </c>
      <c r="C4177" s="8" t="s">
        <v>5319</v>
      </c>
      <c r="D4177" t="s">
        <v>266</v>
      </c>
      <c r="E4177" t="s">
        <v>2175</v>
      </c>
      <c r="F4177" t="s">
        <v>75</v>
      </c>
      <c r="G4177" t="s">
        <v>3754</v>
      </c>
      <c r="H4177" s="9">
        <v>44733</v>
      </c>
      <c r="I4177" t="s">
        <v>488</v>
      </c>
      <c r="J4177" t="s">
        <v>5330</v>
      </c>
      <c r="K4177" s="9">
        <v>44834</v>
      </c>
      <c r="L4177" t="s">
        <v>29</v>
      </c>
      <c r="M4177"/>
      <c r="N4177" s="9">
        <v>44778</v>
      </c>
      <c r="O4177" s="9">
        <v>44834</v>
      </c>
      <c r="P4177"/>
      <c r="Q4177"/>
      <c r="R4177"/>
      <c r="S4177"/>
      <c r="T4177"/>
      <c r="U4177"/>
    </row>
    <row r="4178" spans="1:21" hidden="1">
      <c r="A4178" s="7" t="s">
        <v>8941</v>
      </c>
      <c r="B4178" s="7" t="s">
        <v>7852</v>
      </c>
      <c r="C4178" s="8" t="s">
        <v>5319</v>
      </c>
      <c r="D4178" t="s">
        <v>266</v>
      </c>
      <c r="E4178" t="s">
        <v>3755</v>
      </c>
      <c r="F4178" t="s">
        <v>117</v>
      </c>
      <c r="G4178" t="s">
        <v>3756</v>
      </c>
      <c r="H4178" s="9">
        <v>44733</v>
      </c>
      <c r="I4178" t="s">
        <v>85</v>
      </c>
      <c r="J4178" t="s">
        <v>5330</v>
      </c>
      <c r="K4178" s="9">
        <v>44834</v>
      </c>
      <c r="L4178" t="s">
        <v>29</v>
      </c>
      <c r="M4178"/>
      <c r="N4178" s="9">
        <v>44778</v>
      </c>
      <c r="O4178" s="9">
        <v>44834</v>
      </c>
      <c r="P4178"/>
      <c r="Q4178"/>
      <c r="R4178"/>
      <c r="S4178"/>
      <c r="T4178"/>
      <c r="U4178"/>
    </row>
    <row r="4179" spans="1:21" hidden="1">
      <c r="A4179" s="7" t="s">
        <v>8942</v>
      </c>
      <c r="B4179" s="7" t="s">
        <v>7965</v>
      </c>
      <c r="C4179" s="8" t="s">
        <v>5319</v>
      </c>
      <c r="D4179" t="s">
        <v>266</v>
      </c>
      <c r="E4179" t="s">
        <v>3757</v>
      </c>
      <c r="F4179" t="s">
        <v>231</v>
      </c>
      <c r="G4179" t="s">
        <v>3758</v>
      </c>
      <c r="H4179" s="9">
        <v>44733</v>
      </c>
      <c r="I4179" t="s">
        <v>2187</v>
      </c>
      <c r="J4179" t="s">
        <v>5330</v>
      </c>
      <c r="K4179" s="9">
        <v>44834</v>
      </c>
      <c r="L4179" t="s">
        <v>29</v>
      </c>
      <c r="M4179"/>
      <c r="N4179" s="9">
        <v>44778</v>
      </c>
      <c r="O4179" s="9">
        <v>44834</v>
      </c>
      <c r="P4179"/>
      <c r="Q4179"/>
      <c r="R4179"/>
      <c r="S4179"/>
      <c r="T4179"/>
      <c r="U4179"/>
    </row>
    <row r="4180" spans="1:21" hidden="1">
      <c r="A4180" s="7" t="s">
        <v>8908</v>
      </c>
      <c r="B4180" s="7" t="s">
        <v>6755</v>
      </c>
      <c r="C4180" s="8" t="s">
        <v>5319</v>
      </c>
      <c r="D4180" t="s">
        <v>266</v>
      </c>
      <c r="E4180" t="s">
        <v>3179</v>
      </c>
      <c r="F4180" t="s">
        <v>117</v>
      </c>
      <c r="G4180" t="s">
        <v>3759</v>
      </c>
      <c r="H4180" s="9">
        <v>44733</v>
      </c>
      <c r="I4180" t="s">
        <v>3102</v>
      </c>
      <c r="J4180" t="s">
        <v>5330</v>
      </c>
      <c r="K4180" s="9">
        <v>44834</v>
      </c>
      <c r="L4180" t="s">
        <v>29</v>
      </c>
      <c r="M4180"/>
      <c r="N4180" s="9">
        <v>44778</v>
      </c>
      <c r="O4180" s="9">
        <v>44834</v>
      </c>
      <c r="P4180"/>
      <c r="Q4180"/>
      <c r="R4180"/>
      <c r="S4180"/>
      <c r="T4180"/>
      <c r="U4180"/>
    </row>
    <row r="4181" spans="1:21" hidden="1">
      <c r="A4181" s="7" t="s">
        <v>8926</v>
      </c>
      <c r="B4181" s="7" t="s">
        <v>6802</v>
      </c>
      <c r="C4181" s="8" t="s">
        <v>5319</v>
      </c>
      <c r="D4181" t="s">
        <v>266</v>
      </c>
      <c r="E4181" t="s">
        <v>3511</v>
      </c>
      <c r="F4181" t="s">
        <v>117</v>
      </c>
      <c r="G4181" t="s">
        <v>3760</v>
      </c>
      <c r="H4181" s="9">
        <v>44733</v>
      </c>
      <c r="I4181" t="s">
        <v>2187</v>
      </c>
      <c r="J4181" t="s">
        <v>5330</v>
      </c>
      <c r="K4181" s="9">
        <v>44834</v>
      </c>
      <c r="L4181" t="s">
        <v>29</v>
      </c>
      <c r="M4181"/>
      <c r="N4181" s="9">
        <v>44778</v>
      </c>
      <c r="O4181" s="9">
        <v>44834</v>
      </c>
      <c r="P4181"/>
      <c r="Q4181"/>
      <c r="R4181"/>
      <c r="S4181"/>
      <c r="T4181"/>
      <c r="U4181"/>
    </row>
    <row r="4182" spans="1:21" hidden="1">
      <c r="A4182" s="7" t="s">
        <v>8927</v>
      </c>
      <c r="B4182" s="7" t="s">
        <v>8366</v>
      </c>
      <c r="C4182" s="8" t="s">
        <v>5319</v>
      </c>
      <c r="D4182" t="s">
        <v>266</v>
      </c>
      <c r="E4182" t="s">
        <v>3513</v>
      </c>
      <c r="F4182" t="s">
        <v>117</v>
      </c>
      <c r="G4182" t="s">
        <v>3761</v>
      </c>
      <c r="H4182" s="9">
        <v>44733</v>
      </c>
      <c r="I4182" t="s">
        <v>2187</v>
      </c>
      <c r="J4182" t="s">
        <v>5330</v>
      </c>
      <c r="K4182" s="9">
        <v>44834</v>
      </c>
      <c r="L4182" t="s">
        <v>29</v>
      </c>
      <c r="M4182"/>
      <c r="N4182" s="9">
        <v>44778</v>
      </c>
      <c r="O4182" s="9">
        <v>44834</v>
      </c>
      <c r="P4182"/>
      <c r="Q4182"/>
      <c r="R4182"/>
      <c r="S4182"/>
      <c r="T4182"/>
      <c r="U4182"/>
    </row>
    <row r="4183" spans="1:21" hidden="1">
      <c r="A4183" s="7" t="s">
        <v>8892</v>
      </c>
      <c r="B4183" s="7" t="s">
        <v>8194</v>
      </c>
      <c r="C4183" s="8" t="s">
        <v>5319</v>
      </c>
      <c r="D4183" t="s">
        <v>266</v>
      </c>
      <c r="E4183" t="s">
        <v>2800</v>
      </c>
      <c r="F4183" t="s">
        <v>117</v>
      </c>
      <c r="G4183" t="s">
        <v>3762</v>
      </c>
      <c r="H4183" s="9">
        <v>44733</v>
      </c>
      <c r="I4183" t="s">
        <v>85</v>
      </c>
      <c r="J4183" t="s">
        <v>0</v>
      </c>
      <c r="K4183" s="9">
        <v>44753</v>
      </c>
      <c r="L4183" t="s">
        <v>29</v>
      </c>
      <c r="M4183"/>
      <c r="N4183"/>
      <c r="O4183"/>
      <c r="P4183"/>
      <c r="Q4183" s="9">
        <v>44753</v>
      </c>
      <c r="R4183"/>
      <c r="S4183"/>
      <c r="T4183"/>
      <c r="U4183"/>
    </row>
    <row r="4184" spans="1:21" hidden="1">
      <c r="A4184" s="7" t="s">
        <v>8892</v>
      </c>
      <c r="B4184" s="7" t="s">
        <v>8194</v>
      </c>
      <c r="C4184" s="8" t="s">
        <v>5319</v>
      </c>
      <c r="D4184" t="s">
        <v>266</v>
      </c>
      <c r="E4184" t="s">
        <v>2800</v>
      </c>
      <c r="F4184" t="s">
        <v>117</v>
      </c>
      <c r="G4184" t="s">
        <v>3763</v>
      </c>
      <c r="H4184" s="9">
        <v>44733</v>
      </c>
      <c r="I4184" t="s">
        <v>85</v>
      </c>
      <c r="J4184" t="s">
        <v>0</v>
      </c>
      <c r="K4184" s="9">
        <v>44753</v>
      </c>
      <c r="L4184" t="s">
        <v>29</v>
      </c>
      <c r="M4184"/>
      <c r="N4184"/>
      <c r="O4184"/>
      <c r="P4184"/>
      <c r="Q4184" s="9">
        <v>44753</v>
      </c>
      <c r="R4184"/>
      <c r="S4184"/>
      <c r="T4184"/>
      <c r="U4184"/>
    </row>
    <row r="4185" spans="1:21" hidden="1">
      <c r="A4185" s="7" t="s">
        <v>8943</v>
      </c>
      <c r="B4185" s="7" t="s">
        <v>7874</v>
      </c>
      <c r="C4185" s="8" t="s">
        <v>5319</v>
      </c>
      <c r="D4185" t="s">
        <v>266</v>
      </c>
      <c r="E4185" t="s">
        <v>3764</v>
      </c>
      <c r="F4185" t="s">
        <v>231</v>
      </c>
      <c r="G4185" t="s">
        <v>3765</v>
      </c>
      <c r="H4185" s="9">
        <v>44733</v>
      </c>
      <c r="I4185" t="s">
        <v>984</v>
      </c>
      <c r="J4185" t="s">
        <v>2</v>
      </c>
      <c r="K4185" s="9">
        <v>44792</v>
      </c>
      <c r="L4185" t="s">
        <v>29</v>
      </c>
      <c r="M4185" t="s">
        <v>3766</v>
      </c>
      <c r="N4185" s="9">
        <v>44778</v>
      </c>
      <c r="O4185"/>
      <c r="P4185"/>
      <c r="Q4185"/>
      <c r="R4185"/>
      <c r="S4185"/>
      <c r="T4185"/>
      <c r="U4185"/>
    </row>
    <row r="4186" spans="1:21" hidden="1">
      <c r="A4186" s="7" t="s">
        <v>8943</v>
      </c>
      <c r="B4186" s="7" t="s">
        <v>7874</v>
      </c>
      <c r="C4186" s="8" t="s">
        <v>5319</v>
      </c>
      <c r="D4186" t="s">
        <v>266</v>
      </c>
      <c r="E4186" t="s">
        <v>3764</v>
      </c>
      <c r="F4186" t="s">
        <v>231</v>
      </c>
      <c r="G4186" t="s">
        <v>3767</v>
      </c>
      <c r="H4186" s="9">
        <v>44733</v>
      </c>
      <c r="I4186" t="s">
        <v>984</v>
      </c>
      <c r="J4186" t="s">
        <v>2</v>
      </c>
      <c r="K4186" s="9">
        <v>44792</v>
      </c>
      <c r="L4186" t="s">
        <v>29</v>
      </c>
      <c r="M4186" t="s">
        <v>3766</v>
      </c>
      <c r="N4186" s="9">
        <v>44778</v>
      </c>
      <c r="O4186"/>
      <c r="P4186"/>
      <c r="Q4186"/>
      <c r="R4186"/>
      <c r="S4186"/>
      <c r="T4186"/>
      <c r="U4186"/>
    </row>
    <row r="4187" spans="1:21" hidden="1">
      <c r="A4187" s="7" t="s">
        <v>8943</v>
      </c>
      <c r="B4187" s="7" t="s">
        <v>7874</v>
      </c>
      <c r="C4187" s="8" t="s">
        <v>5319</v>
      </c>
      <c r="D4187" t="s">
        <v>266</v>
      </c>
      <c r="E4187" t="s">
        <v>3764</v>
      </c>
      <c r="F4187" t="s">
        <v>231</v>
      </c>
      <c r="G4187" t="s">
        <v>3768</v>
      </c>
      <c r="H4187" s="9">
        <v>44733</v>
      </c>
      <c r="I4187" t="s">
        <v>984</v>
      </c>
      <c r="J4187" t="s">
        <v>2</v>
      </c>
      <c r="K4187" s="9">
        <v>44792</v>
      </c>
      <c r="L4187" t="s">
        <v>29</v>
      </c>
      <c r="M4187" t="s">
        <v>3766</v>
      </c>
      <c r="N4187" s="9">
        <v>44778</v>
      </c>
      <c r="O4187"/>
      <c r="P4187"/>
      <c r="Q4187"/>
      <c r="R4187"/>
      <c r="S4187"/>
      <c r="T4187"/>
      <c r="U4187"/>
    </row>
    <row r="4188" spans="1:21" hidden="1">
      <c r="A4188" s="7" t="s">
        <v>8944</v>
      </c>
      <c r="B4188" s="7" t="s">
        <v>7932</v>
      </c>
      <c r="C4188" s="8" t="s">
        <v>5319</v>
      </c>
      <c r="D4188" t="s">
        <v>266</v>
      </c>
      <c r="E4188" t="s">
        <v>3769</v>
      </c>
      <c r="F4188" t="s">
        <v>117</v>
      </c>
      <c r="G4188" t="s">
        <v>3770</v>
      </c>
      <c r="H4188" s="9">
        <v>44733</v>
      </c>
      <c r="I4188" t="s">
        <v>3771</v>
      </c>
      <c r="J4188" t="s">
        <v>5330</v>
      </c>
      <c r="K4188" s="9">
        <v>44834</v>
      </c>
      <c r="L4188" t="s">
        <v>29</v>
      </c>
      <c r="M4188"/>
      <c r="N4188" s="9">
        <v>44778</v>
      </c>
      <c r="O4188" s="9">
        <v>44834</v>
      </c>
      <c r="P4188"/>
      <c r="Q4188"/>
      <c r="R4188"/>
      <c r="S4188"/>
      <c r="T4188"/>
      <c r="U4188"/>
    </row>
    <row r="4189" spans="1:21" hidden="1">
      <c r="A4189" s="7" t="s">
        <v>8944</v>
      </c>
      <c r="B4189" s="7" t="s">
        <v>7932</v>
      </c>
      <c r="C4189" s="8" t="s">
        <v>5319</v>
      </c>
      <c r="D4189" t="s">
        <v>266</v>
      </c>
      <c r="E4189" t="s">
        <v>3769</v>
      </c>
      <c r="F4189" t="s">
        <v>117</v>
      </c>
      <c r="G4189" t="s">
        <v>3772</v>
      </c>
      <c r="H4189" s="9">
        <v>44733</v>
      </c>
      <c r="I4189" t="s">
        <v>3771</v>
      </c>
      <c r="J4189" t="s">
        <v>5330</v>
      </c>
      <c r="K4189" s="9">
        <v>44834</v>
      </c>
      <c r="L4189" t="s">
        <v>29</v>
      </c>
      <c r="M4189"/>
      <c r="N4189" s="9">
        <v>44778</v>
      </c>
      <c r="O4189" s="9">
        <v>44834</v>
      </c>
      <c r="P4189"/>
      <c r="Q4189"/>
      <c r="R4189"/>
      <c r="S4189"/>
      <c r="T4189"/>
      <c r="U4189"/>
    </row>
    <row r="4190" spans="1:21" hidden="1">
      <c r="A4190" s="7" t="s">
        <v>8944</v>
      </c>
      <c r="B4190" s="7" t="s">
        <v>7932</v>
      </c>
      <c r="C4190" s="8" t="s">
        <v>5319</v>
      </c>
      <c r="D4190" t="s">
        <v>266</v>
      </c>
      <c r="E4190" t="s">
        <v>3769</v>
      </c>
      <c r="F4190" t="s">
        <v>117</v>
      </c>
      <c r="G4190" t="s">
        <v>3773</v>
      </c>
      <c r="H4190" s="9">
        <v>44733</v>
      </c>
      <c r="I4190" t="s">
        <v>3771</v>
      </c>
      <c r="J4190" t="s">
        <v>5330</v>
      </c>
      <c r="K4190" s="9">
        <v>44834</v>
      </c>
      <c r="L4190" t="s">
        <v>29</v>
      </c>
      <c r="M4190"/>
      <c r="N4190" s="9">
        <v>44778</v>
      </c>
      <c r="O4190" s="9">
        <v>44834</v>
      </c>
      <c r="P4190"/>
      <c r="Q4190"/>
      <c r="R4190"/>
      <c r="S4190"/>
      <c r="T4190"/>
      <c r="U4190"/>
    </row>
    <row r="4191" spans="1:21" hidden="1">
      <c r="A4191" s="7" t="s">
        <v>8825</v>
      </c>
      <c r="B4191" s="7" t="s">
        <v>5405</v>
      </c>
      <c r="C4191" s="8" t="s">
        <v>5319</v>
      </c>
      <c r="D4191" t="s">
        <v>266</v>
      </c>
      <c r="E4191" t="s">
        <v>25</v>
      </c>
      <c r="F4191" t="s">
        <v>111</v>
      </c>
      <c r="G4191" t="s">
        <v>3774</v>
      </c>
      <c r="H4191" s="9">
        <v>44733</v>
      </c>
      <c r="I4191" t="s">
        <v>8634</v>
      </c>
      <c r="J4191" t="s">
        <v>0</v>
      </c>
      <c r="K4191" s="9">
        <v>44881</v>
      </c>
      <c r="L4191" t="s">
        <v>29</v>
      </c>
      <c r="M4191"/>
      <c r="N4191"/>
      <c r="O4191"/>
      <c r="P4191"/>
      <c r="Q4191" s="9">
        <v>44881</v>
      </c>
      <c r="R4191"/>
      <c r="S4191"/>
      <c r="T4191"/>
      <c r="U4191"/>
    </row>
    <row r="4192" spans="1:21" hidden="1">
      <c r="A4192" s="7" t="s">
        <v>8758</v>
      </c>
      <c r="B4192" s="7" t="s">
        <v>5405</v>
      </c>
      <c r="C4192" s="8" t="s">
        <v>5319</v>
      </c>
      <c r="D4192" t="s">
        <v>266</v>
      </c>
      <c r="E4192" t="s">
        <v>25</v>
      </c>
      <c r="F4192" t="s">
        <v>493</v>
      </c>
      <c r="G4192" t="s">
        <v>2806</v>
      </c>
      <c r="H4192" s="9">
        <v>44733</v>
      </c>
      <c r="I4192" t="s">
        <v>8634</v>
      </c>
      <c r="J4192" t="s">
        <v>0</v>
      </c>
      <c r="K4192" s="9">
        <v>44862</v>
      </c>
      <c r="L4192" t="s">
        <v>29</v>
      </c>
      <c r="M4192"/>
      <c r="N4192"/>
      <c r="O4192"/>
      <c r="P4192"/>
      <c r="Q4192" s="9">
        <v>44862</v>
      </c>
      <c r="R4192"/>
      <c r="S4192"/>
      <c r="T4192"/>
      <c r="U4192"/>
    </row>
    <row r="4193" spans="1:21" hidden="1">
      <c r="A4193" s="7" t="s">
        <v>8825</v>
      </c>
      <c r="B4193" s="7" t="s">
        <v>5405</v>
      </c>
      <c r="C4193" s="8" t="s">
        <v>5319</v>
      </c>
      <c r="D4193" t="s">
        <v>266</v>
      </c>
      <c r="E4193" t="s">
        <v>25</v>
      </c>
      <c r="F4193" t="s">
        <v>111</v>
      </c>
      <c r="G4193" t="s">
        <v>3775</v>
      </c>
      <c r="H4193" s="9">
        <v>44733</v>
      </c>
      <c r="I4193" t="s">
        <v>8634</v>
      </c>
      <c r="J4193" t="s">
        <v>0</v>
      </c>
      <c r="K4193" s="9">
        <v>44881</v>
      </c>
      <c r="L4193" t="s">
        <v>29</v>
      </c>
      <c r="M4193"/>
      <c r="N4193"/>
      <c r="O4193"/>
      <c r="P4193"/>
      <c r="Q4193" s="9">
        <v>44881</v>
      </c>
      <c r="R4193"/>
      <c r="S4193"/>
      <c r="T4193"/>
      <c r="U4193"/>
    </row>
    <row r="4194" spans="1:21" hidden="1">
      <c r="A4194" s="7" t="s">
        <v>8945</v>
      </c>
      <c r="B4194" s="7" t="s">
        <v>8371</v>
      </c>
      <c r="C4194" s="8" t="s">
        <v>5319</v>
      </c>
      <c r="D4194" t="s">
        <v>266</v>
      </c>
      <c r="E4194" t="s">
        <v>3776</v>
      </c>
      <c r="F4194" t="s">
        <v>83</v>
      </c>
      <c r="G4194" t="s">
        <v>3777</v>
      </c>
      <c r="H4194" s="9">
        <v>44735</v>
      </c>
      <c r="I4194" t="s">
        <v>3778</v>
      </c>
      <c r="J4194" t="s">
        <v>5330</v>
      </c>
      <c r="K4194" s="9">
        <v>44834</v>
      </c>
      <c r="L4194" t="s">
        <v>29</v>
      </c>
      <c r="M4194"/>
      <c r="N4194" s="9">
        <v>44778</v>
      </c>
      <c r="O4194" s="9">
        <v>44834</v>
      </c>
      <c r="P4194"/>
      <c r="Q4194"/>
      <c r="R4194"/>
      <c r="S4194"/>
      <c r="T4194"/>
      <c r="U4194"/>
    </row>
    <row r="4195" spans="1:21" hidden="1">
      <c r="A4195" s="7" t="s">
        <v>8825</v>
      </c>
      <c r="B4195" s="7" t="s">
        <v>5405</v>
      </c>
      <c r="C4195" s="8" t="s">
        <v>5319</v>
      </c>
      <c r="D4195" t="s">
        <v>266</v>
      </c>
      <c r="E4195" t="s">
        <v>25</v>
      </c>
      <c r="F4195" t="s">
        <v>111</v>
      </c>
      <c r="G4195" t="s">
        <v>3779</v>
      </c>
      <c r="H4195" s="9">
        <v>44733</v>
      </c>
      <c r="I4195" t="s">
        <v>8634</v>
      </c>
      <c r="J4195" t="s">
        <v>5330</v>
      </c>
      <c r="K4195" s="9">
        <v>44834</v>
      </c>
      <c r="L4195" t="s">
        <v>29</v>
      </c>
      <c r="M4195"/>
      <c r="N4195" s="9">
        <v>44778</v>
      </c>
      <c r="O4195" s="9">
        <v>44834</v>
      </c>
      <c r="P4195"/>
      <c r="Q4195"/>
      <c r="R4195"/>
      <c r="S4195"/>
      <c r="T4195"/>
      <c r="U4195"/>
    </row>
    <row r="4196" spans="1:21" hidden="1">
      <c r="A4196" s="7" t="s">
        <v>8825</v>
      </c>
      <c r="B4196" s="7" t="s">
        <v>5405</v>
      </c>
      <c r="C4196" s="8" t="s">
        <v>5319</v>
      </c>
      <c r="D4196" t="s">
        <v>266</v>
      </c>
      <c r="E4196" t="s">
        <v>25</v>
      </c>
      <c r="F4196" t="s">
        <v>111</v>
      </c>
      <c r="G4196" t="s">
        <v>3780</v>
      </c>
      <c r="H4196" s="9">
        <v>44733</v>
      </c>
      <c r="I4196" t="s">
        <v>8634</v>
      </c>
      <c r="J4196" t="s">
        <v>5330</v>
      </c>
      <c r="K4196" s="9">
        <v>44834</v>
      </c>
      <c r="L4196" t="s">
        <v>29</v>
      </c>
      <c r="M4196"/>
      <c r="N4196" s="9">
        <v>44778</v>
      </c>
      <c r="O4196" s="9">
        <v>44834</v>
      </c>
      <c r="P4196"/>
      <c r="Q4196"/>
      <c r="R4196"/>
      <c r="S4196"/>
      <c r="T4196"/>
      <c r="U4196"/>
    </row>
    <row r="4197" spans="1:21" hidden="1">
      <c r="A4197" s="7" t="s">
        <v>8758</v>
      </c>
      <c r="B4197" s="7" t="s">
        <v>5405</v>
      </c>
      <c r="C4197" s="8" t="s">
        <v>5319</v>
      </c>
      <c r="D4197" t="s">
        <v>266</v>
      </c>
      <c r="E4197" t="s">
        <v>25</v>
      </c>
      <c r="F4197" t="s">
        <v>493</v>
      </c>
      <c r="G4197" t="s">
        <v>3781</v>
      </c>
      <c r="H4197" s="9">
        <v>44733</v>
      </c>
      <c r="I4197" t="s">
        <v>8634</v>
      </c>
      <c r="J4197" t="s">
        <v>0</v>
      </c>
      <c r="K4197" s="9">
        <v>44862</v>
      </c>
      <c r="L4197" t="s">
        <v>29</v>
      </c>
      <c r="M4197"/>
      <c r="N4197"/>
      <c r="O4197"/>
      <c r="P4197"/>
      <c r="Q4197" s="9">
        <v>44862</v>
      </c>
      <c r="R4197"/>
      <c r="S4197"/>
      <c r="T4197"/>
      <c r="U4197"/>
    </row>
    <row r="4198" spans="1:21" hidden="1">
      <c r="A4198" s="7" t="s">
        <v>8946</v>
      </c>
      <c r="B4198" s="7" t="s">
        <v>8372</v>
      </c>
      <c r="C4198" s="8" t="s">
        <v>5319</v>
      </c>
      <c r="D4198" t="s">
        <v>266</v>
      </c>
      <c r="E4198" t="s">
        <v>3782</v>
      </c>
      <c r="F4198" t="s">
        <v>231</v>
      </c>
      <c r="G4198" t="s">
        <v>3783</v>
      </c>
      <c r="H4198" s="9">
        <v>44733</v>
      </c>
      <c r="I4198" t="s">
        <v>2121</v>
      </c>
      <c r="J4198" t="s">
        <v>5330</v>
      </c>
      <c r="K4198" s="9">
        <v>44834</v>
      </c>
      <c r="L4198" t="s">
        <v>29</v>
      </c>
      <c r="M4198"/>
      <c r="N4198" s="9">
        <v>44778</v>
      </c>
      <c r="O4198" s="9">
        <v>44834</v>
      </c>
      <c r="P4198"/>
      <c r="Q4198"/>
      <c r="R4198"/>
      <c r="S4198"/>
      <c r="T4198"/>
      <c r="U4198"/>
    </row>
    <row r="4199" spans="1:21" hidden="1">
      <c r="A4199" s="7" t="s">
        <v>8805</v>
      </c>
      <c r="B4199" s="7" t="s">
        <v>6936</v>
      </c>
      <c r="C4199" s="8" t="s">
        <v>5319</v>
      </c>
      <c r="D4199" t="s">
        <v>266</v>
      </c>
      <c r="E4199" t="s">
        <v>1032</v>
      </c>
      <c r="F4199" t="s">
        <v>83</v>
      </c>
      <c r="G4199" t="s">
        <v>3784</v>
      </c>
      <c r="H4199" s="9">
        <v>44733</v>
      </c>
      <c r="I4199" t="s">
        <v>984</v>
      </c>
      <c r="J4199" t="s">
        <v>5330</v>
      </c>
      <c r="K4199" s="9">
        <v>44834</v>
      </c>
      <c r="L4199" t="s">
        <v>29</v>
      </c>
      <c r="M4199"/>
      <c r="N4199" s="9">
        <v>44778</v>
      </c>
      <c r="O4199" s="9">
        <v>44834</v>
      </c>
      <c r="P4199"/>
      <c r="Q4199"/>
      <c r="R4199"/>
      <c r="S4199"/>
      <c r="T4199"/>
      <c r="U4199"/>
    </row>
    <row r="4200" spans="1:21" hidden="1">
      <c r="A4200" s="7" t="s">
        <v>8805</v>
      </c>
      <c r="B4200" s="7" t="s">
        <v>6936</v>
      </c>
      <c r="C4200" s="8" t="s">
        <v>5319</v>
      </c>
      <c r="D4200" t="s">
        <v>266</v>
      </c>
      <c r="E4200" t="s">
        <v>1032</v>
      </c>
      <c r="F4200" t="s">
        <v>83</v>
      </c>
      <c r="G4200" t="s">
        <v>3785</v>
      </c>
      <c r="H4200" s="9">
        <v>44733</v>
      </c>
      <c r="I4200" t="s">
        <v>984</v>
      </c>
      <c r="J4200" t="s">
        <v>5330</v>
      </c>
      <c r="K4200" s="9">
        <v>44834</v>
      </c>
      <c r="L4200" t="s">
        <v>29</v>
      </c>
      <c r="M4200"/>
      <c r="N4200" s="9">
        <v>44778</v>
      </c>
      <c r="O4200" s="9">
        <v>44834</v>
      </c>
      <c r="P4200"/>
      <c r="Q4200"/>
      <c r="R4200"/>
      <c r="S4200"/>
      <c r="T4200"/>
      <c r="U4200"/>
    </row>
    <row r="4201" spans="1:21" hidden="1">
      <c r="A4201" s="7" t="s">
        <v>8805</v>
      </c>
      <c r="B4201" s="7" t="s">
        <v>6936</v>
      </c>
      <c r="C4201" s="8" t="s">
        <v>5319</v>
      </c>
      <c r="D4201" t="s">
        <v>266</v>
      </c>
      <c r="E4201" t="s">
        <v>1032</v>
      </c>
      <c r="F4201" t="s">
        <v>83</v>
      </c>
      <c r="G4201" t="s">
        <v>3786</v>
      </c>
      <c r="H4201" s="9">
        <v>44733</v>
      </c>
      <c r="I4201" t="s">
        <v>984</v>
      </c>
      <c r="J4201" t="s">
        <v>5330</v>
      </c>
      <c r="K4201" s="9">
        <v>44834</v>
      </c>
      <c r="L4201" t="s">
        <v>29</v>
      </c>
      <c r="M4201"/>
      <c r="N4201" s="9">
        <v>44778</v>
      </c>
      <c r="O4201" s="9">
        <v>44834</v>
      </c>
      <c r="P4201"/>
      <c r="Q4201"/>
      <c r="R4201"/>
      <c r="S4201"/>
      <c r="T4201"/>
      <c r="U4201"/>
    </row>
    <row r="4202" spans="1:21" hidden="1">
      <c r="A4202" s="7" t="s">
        <v>8805</v>
      </c>
      <c r="B4202" s="7" t="s">
        <v>6936</v>
      </c>
      <c r="C4202" s="8" t="s">
        <v>5319</v>
      </c>
      <c r="D4202" t="s">
        <v>266</v>
      </c>
      <c r="E4202" t="s">
        <v>1032</v>
      </c>
      <c r="F4202" t="s">
        <v>83</v>
      </c>
      <c r="G4202" t="s">
        <v>3787</v>
      </c>
      <c r="H4202" s="9">
        <v>44733</v>
      </c>
      <c r="I4202" t="s">
        <v>984</v>
      </c>
      <c r="J4202" t="s">
        <v>5330</v>
      </c>
      <c r="K4202" s="9">
        <v>44834</v>
      </c>
      <c r="L4202" t="s">
        <v>29</v>
      </c>
      <c r="M4202"/>
      <c r="N4202" s="9">
        <v>44778</v>
      </c>
      <c r="O4202" s="9">
        <v>44834</v>
      </c>
      <c r="P4202"/>
      <c r="Q4202"/>
      <c r="R4202"/>
      <c r="S4202"/>
      <c r="T4202"/>
      <c r="U4202"/>
    </row>
    <row r="4203" spans="1:21" hidden="1">
      <c r="A4203" s="7" t="s">
        <v>8805</v>
      </c>
      <c r="B4203" s="7" t="s">
        <v>6936</v>
      </c>
      <c r="C4203" s="8" t="s">
        <v>5319</v>
      </c>
      <c r="D4203" t="s">
        <v>266</v>
      </c>
      <c r="E4203" t="s">
        <v>1032</v>
      </c>
      <c r="F4203" t="s">
        <v>83</v>
      </c>
      <c r="G4203" t="s">
        <v>3788</v>
      </c>
      <c r="H4203" s="9">
        <v>44733</v>
      </c>
      <c r="I4203" t="s">
        <v>984</v>
      </c>
      <c r="J4203" t="s">
        <v>5330</v>
      </c>
      <c r="K4203" s="9">
        <v>44834</v>
      </c>
      <c r="L4203" t="s">
        <v>29</v>
      </c>
      <c r="M4203"/>
      <c r="N4203" s="9">
        <v>44778</v>
      </c>
      <c r="O4203" s="9">
        <v>44834</v>
      </c>
      <c r="P4203"/>
      <c r="Q4203"/>
      <c r="R4203"/>
      <c r="S4203"/>
      <c r="T4203"/>
      <c r="U4203"/>
    </row>
    <row r="4204" spans="1:21" hidden="1">
      <c r="A4204" s="7" t="s">
        <v>8805</v>
      </c>
      <c r="B4204" s="7" t="s">
        <v>6936</v>
      </c>
      <c r="C4204" s="8" t="s">
        <v>5319</v>
      </c>
      <c r="D4204" t="s">
        <v>266</v>
      </c>
      <c r="E4204" t="s">
        <v>1032</v>
      </c>
      <c r="F4204" t="s">
        <v>83</v>
      </c>
      <c r="G4204" t="s">
        <v>3789</v>
      </c>
      <c r="H4204" s="9">
        <v>44733</v>
      </c>
      <c r="I4204" t="s">
        <v>984</v>
      </c>
      <c r="J4204" t="s">
        <v>5330</v>
      </c>
      <c r="K4204" s="9">
        <v>44834</v>
      </c>
      <c r="L4204" t="s">
        <v>29</v>
      </c>
      <c r="M4204"/>
      <c r="N4204" s="9">
        <v>44778</v>
      </c>
      <c r="O4204" s="9">
        <v>44834</v>
      </c>
      <c r="P4204"/>
      <c r="Q4204"/>
      <c r="R4204"/>
      <c r="S4204"/>
      <c r="T4204"/>
      <c r="U4204"/>
    </row>
    <row r="4205" spans="1:21" hidden="1">
      <c r="A4205" s="7" t="s">
        <v>8805</v>
      </c>
      <c r="B4205" s="7" t="s">
        <v>6936</v>
      </c>
      <c r="C4205" s="8" t="s">
        <v>5319</v>
      </c>
      <c r="D4205" t="s">
        <v>266</v>
      </c>
      <c r="E4205" t="s">
        <v>1032</v>
      </c>
      <c r="F4205" t="s">
        <v>83</v>
      </c>
      <c r="G4205" t="s">
        <v>3790</v>
      </c>
      <c r="H4205" s="9">
        <v>44733</v>
      </c>
      <c r="I4205" t="s">
        <v>984</v>
      </c>
      <c r="J4205" t="s">
        <v>5330</v>
      </c>
      <c r="K4205" s="9">
        <v>44834</v>
      </c>
      <c r="L4205" t="s">
        <v>29</v>
      </c>
      <c r="M4205"/>
      <c r="N4205" s="9">
        <v>44778</v>
      </c>
      <c r="O4205" s="9">
        <v>44834</v>
      </c>
      <c r="P4205"/>
      <c r="Q4205"/>
      <c r="R4205"/>
      <c r="S4205"/>
      <c r="T4205"/>
      <c r="U4205"/>
    </row>
    <row r="4206" spans="1:21" hidden="1">
      <c r="A4206" s="7" t="s">
        <v>8805</v>
      </c>
      <c r="B4206" s="7" t="s">
        <v>6936</v>
      </c>
      <c r="C4206" s="8" t="s">
        <v>5319</v>
      </c>
      <c r="D4206" t="s">
        <v>266</v>
      </c>
      <c r="E4206" t="s">
        <v>1032</v>
      </c>
      <c r="F4206" t="s">
        <v>83</v>
      </c>
      <c r="G4206" t="s">
        <v>3791</v>
      </c>
      <c r="H4206" s="9">
        <v>44733</v>
      </c>
      <c r="I4206" t="s">
        <v>984</v>
      </c>
      <c r="J4206" t="s">
        <v>5330</v>
      </c>
      <c r="K4206" s="9">
        <v>44834</v>
      </c>
      <c r="L4206" t="s">
        <v>29</v>
      </c>
      <c r="M4206"/>
      <c r="N4206" s="9">
        <v>44778</v>
      </c>
      <c r="O4206" s="9">
        <v>44834</v>
      </c>
      <c r="P4206"/>
      <c r="Q4206"/>
      <c r="R4206"/>
      <c r="S4206"/>
      <c r="T4206"/>
      <c r="U4206"/>
    </row>
    <row r="4207" spans="1:21" hidden="1">
      <c r="A4207" s="7" t="s">
        <v>8805</v>
      </c>
      <c r="B4207" s="7" t="s">
        <v>6936</v>
      </c>
      <c r="C4207" s="8" t="s">
        <v>5319</v>
      </c>
      <c r="D4207" t="s">
        <v>266</v>
      </c>
      <c r="E4207" t="s">
        <v>1032</v>
      </c>
      <c r="F4207" t="s">
        <v>83</v>
      </c>
      <c r="G4207" t="s">
        <v>3792</v>
      </c>
      <c r="H4207" s="9">
        <v>44733</v>
      </c>
      <c r="I4207" t="s">
        <v>984</v>
      </c>
      <c r="J4207" t="s">
        <v>5330</v>
      </c>
      <c r="K4207" s="9">
        <v>44834</v>
      </c>
      <c r="L4207" t="s">
        <v>29</v>
      </c>
      <c r="M4207"/>
      <c r="N4207" s="9">
        <v>44778</v>
      </c>
      <c r="O4207" s="9">
        <v>44834</v>
      </c>
      <c r="P4207"/>
      <c r="Q4207"/>
      <c r="R4207"/>
      <c r="S4207"/>
      <c r="T4207"/>
      <c r="U4207"/>
    </row>
    <row r="4208" spans="1:21" hidden="1">
      <c r="A4208" s="7" t="s">
        <v>8805</v>
      </c>
      <c r="B4208" s="7" t="s">
        <v>6936</v>
      </c>
      <c r="C4208" s="8" t="s">
        <v>5319</v>
      </c>
      <c r="D4208" t="s">
        <v>266</v>
      </c>
      <c r="E4208" t="s">
        <v>1032</v>
      </c>
      <c r="F4208" t="s">
        <v>83</v>
      </c>
      <c r="G4208" t="s">
        <v>3793</v>
      </c>
      <c r="H4208" s="9">
        <v>44733</v>
      </c>
      <c r="I4208" t="s">
        <v>984</v>
      </c>
      <c r="J4208" t="s">
        <v>5330</v>
      </c>
      <c r="K4208" s="9">
        <v>44834</v>
      </c>
      <c r="L4208" t="s">
        <v>29</v>
      </c>
      <c r="M4208"/>
      <c r="N4208" s="9">
        <v>44778</v>
      </c>
      <c r="O4208" s="9">
        <v>44834</v>
      </c>
      <c r="P4208"/>
      <c r="Q4208"/>
      <c r="R4208"/>
      <c r="S4208"/>
      <c r="T4208"/>
      <c r="U4208"/>
    </row>
    <row r="4209" spans="1:21" hidden="1">
      <c r="A4209" s="7" t="s">
        <v>8814</v>
      </c>
      <c r="B4209" s="7" t="s">
        <v>6936</v>
      </c>
      <c r="C4209" s="8" t="s">
        <v>5319</v>
      </c>
      <c r="D4209" t="s">
        <v>266</v>
      </c>
      <c r="E4209" t="s">
        <v>1032</v>
      </c>
      <c r="F4209" t="s">
        <v>280</v>
      </c>
      <c r="G4209" t="s">
        <v>3793</v>
      </c>
      <c r="H4209" s="9">
        <v>44733</v>
      </c>
      <c r="I4209" t="s">
        <v>984</v>
      </c>
      <c r="J4209" t="s">
        <v>269</v>
      </c>
      <c r="K4209" s="9">
        <v>44804.500555555598</v>
      </c>
      <c r="L4209" t="s">
        <v>29</v>
      </c>
      <c r="M4209"/>
      <c r="N4209" s="9">
        <v>44778</v>
      </c>
      <c r="O4209"/>
      <c r="P4209"/>
      <c r="Q4209"/>
      <c r="R4209" s="9">
        <v>44804.498969907399</v>
      </c>
      <c r="S4209"/>
      <c r="T4209"/>
      <c r="U4209"/>
    </row>
    <row r="4210" spans="1:21" hidden="1">
      <c r="A4210" s="7" t="s">
        <v>8805</v>
      </c>
      <c r="B4210" s="7" t="s">
        <v>6936</v>
      </c>
      <c r="C4210" s="8" t="s">
        <v>5319</v>
      </c>
      <c r="D4210" t="s">
        <v>266</v>
      </c>
      <c r="E4210" t="s">
        <v>1032</v>
      </c>
      <c r="F4210" t="s">
        <v>83</v>
      </c>
      <c r="G4210" t="s">
        <v>3794</v>
      </c>
      <c r="H4210" s="9">
        <v>44733</v>
      </c>
      <c r="I4210" t="s">
        <v>984</v>
      </c>
      <c r="J4210" t="s">
        <v>5330</v>
      </c>
      <c r="K4210" s="9">
        <v>44834</v>
      </c>
      <c r="L4210" t="s">
        <v>29</v>
      </c>
      <c r="M4210"/>
      <c r="N4210" s="9">
        <v>44778</v>
      </c>
      <c r="O4210" s="9">
        <v>44834</v>
      </c>
      <c r="P4210"/>
      <c r="Q4210"/>
      <c r="R4210"/>
      <c r="S4210"/>
      <c r="T4210"/>
      <c r="U4210"/>
    </row>
    <row r="4211" spans="1:21" hidden="1">
      <c r="A4211" s="7" t="s">
        <v>8805</v>
      </c>
      <c r="B4211" s="7" t="s">
        <v>6936</v>
      </c>
      <c r="C4211" s="8" t="s">
        <v>5319</v>
      </c>
      <c r="D4211" t="s">
        <v>266</v>
      </c>
      <c r="E4211" t="s">
        <v>1032</v>
      </c>
      <c r="F4211" t="s">
        <v>83</v>
      </c>
      <c r="G4211" t="s">
        <v>3795</v>
      </c>
      <c r="H4211" s="9">
        <v>44733</v>
      </c>
      <c r="I4211" t="s">
        <v>984</v>
      </c>
      <c r="J4211" t="s">
        <v>5330</v>
      </c>
      <c r="K4211" s="9">
        <v>44834</v>
      </c>
      <c r="L4211" t="s">
        <v>29</v>
      </c>
      <c r="M4211"/>
      <c r="N4211" s="9">
        <v>44778</v>
      </c>
      <c r="O4211" s="9">
        <v>44834</v>
      </c>
      <c r="P4211"/>
      <c r="Q4211"/>
      <c r="R4211"/>
      <c r="S4211"/>
      <c r="T4211"/>
      <c r="U4211"/>
    </row>
    <row r="4212" spans="1:21" hidden="1">
      <c r="A4212" s="7" t="s">
        <v>8805</v>
      </c>
      <c r="B4212" s="7" t="s">
        <v>6936</v>
      </c>
      <c r="C4212" s="8" t="s">
        <v>5319</v>
      </c>
      <c r="D4212" t="s">
        <v>266</v>
      </c>
      <c r="E4212" t="s">
        <v>1032</v>
      </c>
      <c r="F4212" t="s">
        <v>83</v>
      </c>
      <c r="G4212" t="s">
        <v>3796</v>
      </c>
      <c r="H4212" s="9">
        <v>44733</v>
      </c>
      <c r="I4212" t="s">
        <v>984</v>
      </c>
      <c r="J4212" t="s">
        <v>5330</v>
      </c>
      <c r="K4212" s="9">
        <v>44834</v>
      </c>
      <c r="L4212" t="s">
        <v>29</v>
      </c>
      <c r="M4212"/>
      <c r="N4212" s="9">
        <v>44778</v>
      </c>
      <c r="O4212" s="9">
        <v>44834</v>
      </c>
      <c r="P4212"/>
      <c r="Q4212"/>
      <c r="R4212"/>
      <c r="S4212"/>
      <c r="T4212"/>
      <c r="U4212"/>
    </row>
    <row r="4213" spans="1:21" hidden="1">
      <c r="A4213" s="7" t="s">
        <v>8758</v>
      </c>
      <c r="B4213" s="7" t="s">
        <v>5405</v>
      </c>
      <c r="C4213" s="8" t="s">
        <v>5319</v>
      </c>
      <c r="D4213" t="s">
        <v>266</v>
      </c>
      <c r="E4213" t="s">
        <v>25</v>
      </c>
      <c r="F4213" t="s">
        <v>493</v>
      </c>
      <c r="G4213" t="s">
        <v>3797</v>
      </c>
      <c r="H4213" s="9">
        <v>44733</v>
      </c>
      <c r="I4213" t="s">
        <v>8634</v>
      </c>
      <c r="J4213" t="s">
        <v>0</v>
      </c>
      <c r="K4213" s="9">
        <v>44862</v>
      </c>
      <c r="L4213" t="s">
        <v>29</v>
      </c>
      <c r="M4213"/>
      <c r="N4213" s="9">
        <v>44778</v>
      </c>
      <c r="O4213"/>
      <c r="P4213"/>
      <c r="Q4213" s="9">
        <v>44862</v>
      </c>
      <c r="R4213"/>
      <c r="S4213"/>
      <c r="T4213"/>
      <c r="U4213"/>
    </row>
    <row r="4214" spans="1:21" hidden="1">
      <c r="A4214" s="7" t="s">
        <v>8758</v>
      </c>
      <c r="B4214" s="7" t="s">
        <v>5405</v>
      </c>
      <c r="C4214" s="8" t="s">
        <v>5319</v>
      </c>
      <c r="D4214" t="s">
        <v>266</v>
      </c>
      <c r="E4214" t="s">
        <v>25</v>
      </c>
      <c r="F4214" t="s">
        <v>493</v>
      </c>
      <c r="G4214" t="s">
        <v>2819</v>
      </c>
      <c r="H4214" s="9">
        <v>44733</v>
      </c>
      <c r="I4214" t="s">
        <v>8634</v>
      </c>
      <c r="J4214" t="s">
        <v>0</v>
      </c>
      <c r="K4214" s="9">
        <v>44862</v>
      </c>
      <c r="L4214" t="s">
        <v>29</v>
      </c>
      <c r="M4214"/>
      <c r="N4214" s="9">
        <v>44778</v>
      </c>
      <c r="O4214"/>
      <c r="P4214"/>
      <c r="Q4214" s="9">
        <v>44862</v>
      </c>
      <c r="R4214"/>
      <c r="S4214"/>
      <c r="T4214"/>
      <c r="U4214"/>
    </row>
    <row r="4215" spans="1:21" hidden="1">
      <c r="A4215" s="7" t="s">
        <v>8758</v>
      </c>
      <c r="B4215" s="7" t="s">
        <v>5405</v>
      </c>
      <c r="C4215" s="8" t="s">
        <v>5319</v>
      </c>
      <c r="D4215" t="s">
        <v>266</v>
      </c>
      <c r="E4215" t="s">
        <v>25</v>
      </c>
      <c r="F4215" t="s">
        <v>493</v>
      </c>
      <c r="G4215" t="s">
        <v>3798</v>
      </c>
      <c r="H4215" s="9">
        <v>44733</v>
      </c>
      <c r="I4215" t="s">
        <v>8634</v>
      </c>
      <c r="J4215" t="s">
        <v>5330</v>
      </c>
      <c r="K4215" s="9">
        <v>44834</v>
      </c>
      <c r="L4215" t="s">
        <v>29</v>
      </c>
      <c r="M4215"/>
      <c r="N4215" s="9">
        <v>44778</v>
      </c>
      <c r="O4215" s="9">
        <v>44834</v>
      </c>
      <c r="P4215"/>
      <c r="Q4215"/>
      <c r="R4215"/>
      <c r="S4215"/>
      <c r="T4215"/>
      <c r="U4215"/>
    </row>
    <row r="4216" spans="1:21" hidden="1">
      <c r="A4216" s="7" t="s">
        <v>8758</v>
      </c>
      <c r="B4216" s="7" t="s">
        <v>5405</v>
      </c>
      <c r="C4216" s="8" t="s">
        <v>5319</v>
      </c>
      <c r="D4216" t="s">
        <v>266</v>
      </c>
      <c r="E4216" t="s">
        <v>25</v>
      </c>
      <c r="F4216" t="s">
        <v>493</v>
      </c>
      <c r="G4216" t="s">
        <v>2828</v>
      </c>
      <c r="H4216" s="9">
        <v>44733</v>
      </c>
      <c r="I4216" t="s">
        <v>8634</v>
      </c>
      <c r="J4216" t="s">
        <v>0</v>
      </c>
      <c r="K4216" s="9">
        <v>44862</v>
      </c>
      <c r="L4216" t="s">
        <v>29</v>
      </c>
      <c r="M4216"/>
      <c r="N4216" s="9">
        <v>44778</v>
      </c>
      <c r="O4216"/>
      <c r="P4216"/>
      <c r="Q4216" s="9">
        <v>44862</v>
      </c>
      <c r="R4216"/>
      <c r="S4216"/>
      <c r="T4216"/>
      <c r="U4216"/>
    </row>
    <row r="4217" spans="1:21" hidden="1">
      <c r="A4217" s="7" t="s">
        <v>8758</v>
      </c>
      <c r="B4217" s="7" t="s">
        <v>5405</v>
      </c>
      <c r="C4217" s="8" t="s">
        <v>5319</v>
      </c>
      <c r="D4217" t="s">
        <v>266</v>
      </c>
      <c r="E4217" t="s">
        <v>25</v>
      </c>
      <c r="F4217" t="s">
        <v>493</v>
      </c>
      <c r="G4217" t="s">
        <v>3799</v>
      </c>
      <c r="H4217" s="9">
        <v>44733</v>
      </c>
      <c r="I4217" t="s">
        <v>8634</v>
      </c>
      <c r="J4217" t="s">
        <v>0</v>
      </c>
      <c r="K4217" s="9">
        <v>44862</v>
      </c>
      <c r="L4217" t="s">
        <v>29</v>
      </c>
      <c r="M4217"/>
      <c r="N4217" s="9">
        <v>44778</v>
      </c>
      <c r="O4217"/>
      <c r="P4217"/>
      <c r="Q4217" s="9">
        <v>44862</v>
      </c>
      <c r="R4217"/>
      <c r="S4217"/>
      <c r="T4217"/>
      <c r="U4217"/>
    </row>
    <row r="4218" spans="1:21" hidden="1">
      <c r="A4218" s="7" t="s">
        <v>8758</v>
      </c>
      <c r="B4218" s="7" t="s">
        <v>5405</v>
      </c>
      <c r="C4218" s="8" t="s">
        <v>5319</v>
      </c>
      <c r="D4218" t="s">
        <v>266</v>
      </c>
      <c r="E4218" t="s">
        <v>25</v>
      </c>
      <c r="F4218" t="s">
        <v>493</v>
      </c>
      <c r="G4218" t="s">
        <v>3800</v>
      </c>
      <c r="H4218" s="9">
        <v>44733</v>
      </c>
      <c r="I4218" t="s">
        <v>8634</v>
      </c>
      <c r="J4218" t="s">
        <v>0</v>
      </c>
      <c r="K4218" s="9">
        <v>44862</v>
      </c>
      <c r="L4218" t="s">
        <v>29</v>
      </c>
      <c r="M4218"/>
      <c r="N4218" s="9">
        <v>44778</v>
      </c>
      <c r="O4218"/>
      <c r="P4218"/>
      <c r="Q4218" s="9">
        <v>44862</v>
      </c>
      <c r="R4218"/>
      <c r="S4218"/>
      <c r="T4218"/>
      <c r="U4218"/>
    </row>
    <row r="4219" spans="1:21" hidden="1">
      <c r="A4219" s="7" t="s">
        <v>8758</v>
      </c>
      <c r="B4219" s="7" t="s">
        <v>5405</v>
      </c>
      <c r="C4219" s="8" t="s">
        <v>5319</v>
      </c>
      <c r="D4219" t="s">
        <v>266</v>
      </c>
      <c r="E4219" t="s">
        <v>25</v>
      </c>
      <c r="F4219" t="s">
        <v>493</v>
      </c>
      <c r="G4219" t="s">
        <v>2831</v>
      </c>
      <c r="H4219" s="9">
        <v>44733</v>
      </c>
      <c r="I4219" t="s">
        <v>8634</v>
      </c>
      <c r="J4219" t="s">
        <v>0</v>
      </c>
      <c r="K4219" s="9">
        <v>44862</v>
      </c>
      <c r="L4219" t="s">
        <v>29</v>
      </c>
      <c r="M4219"/>
      <c r="N4219" s="9">
        <v>44778</v>
      </c>
      <c r="O4219"/>
      <c r="P4219"/>
      <c r="Q4219" s="9">
        <v>44862</v>
      </c>
      <c r="R4219"/>
      <c r="S4219"/>
      <c r="T4219"/>
      <c r="U4219"/>
    </row>
    <row r="4220" spans="1:21" hidden="1">
      <c r="A4220" s="7" t="s">
        <v>8758</v>
      </c>
      <c r="B4220" s="7" t="s">
        <v>5405</v>
      </c>
      <c r="C4220" s="8" t="s">
        <v>5319</v>
      </c>
      <c r="D4220" t="s">
        <v>266</v>
      </c>
      <c r="E4220" t="s">
        <v>25</v>
      </c>
      <c r="F4220" t="s">
        <v>493</v>
      </c>
      <c r="G4220" t="s">
        <v>2832</v>
      </c>
      <c r="H4220" s="9">
        <v>44733</v>
      </c>
      <c r="I4220" t="s">
        <v>8634</v>
      </c>
      <c r="J4220" t="s">
        <v>0</v>
      </c>
      <c r="K4220" s="9">
        <v>44862</v>
      </c>
      <c r="L4220" t="s">
        <v>29</v>
      </c>
      <c r="M4220"/>
      <c r="N4220" s="9">
        <v>44778</v>
      </c>
      <c r="O4220"/>
      <c r="P4220"/>
      <c r="Q4220" s="9">
        <v>44862</v>
      </c>
      <c r="R4220"/>
      <c r="S4220"/>
      <c r="T4220"/>
      <c r="U4220"/>
    </row>
    <row r="4221" spans="1:21" hidden="1">
      <c r="A4221" s="7" t="s">
        <v>8758</v>
      </c>
      <c r="B4221" s="7" t="s">
        <v>5405</v>
      </c>
      <c r="C4221" s="8" t="s">
        <v>5319</v>
      </c>
      <c r="D4221" t="s">
        <v>266</v>
      </c>
      <c r="E4221" t="s">
        <v>25</v>
      </c>
      <c r="F4221" t="s">
        <v>493</v>
      </c>
      <c r="G4221" t="s">
        <v>3801</v>
      </c>
      <c r="H4221" s="9">
        <v>44733</v>
      </c>
      <c r="I4221" t="s">
        <v>8634</v>
      </c>
      <c r="J4221" t="s">
        <v>0</v>
      </c>
      <c r="K4221" s="9">
        <v>44862</v>
      </c>
      <c r="L4221" t="s">
        <v>29</v>
      </c>
      <c r="M4221"/>
      <c r="N4221" s="9">
        <v>44778</v>
      </c>
      <c r="O4221"/>
      <c r="P4221"/>
      <c r="Q4221" s="9">
        <v>44862</v>
      </c>
      <c r="R4221"/>
      <c r="S4221"/>
      <c r="T4221"/>
      <c r="U4221"/>
    </row>
    <row r="4222" spans="1:21" hidden="1">
      <c r="A4222" s="7" t="s">
        <v>8758</v>
      </c>
      <c r="B4222" s="7" t="s">
        <v>5405</v>
      </c>
      <c r="C4222" s="8" t="s">
        <v>5319</v>
      </c>
      <c r="D4222" t="s">
        <v>266</v>
      </c>
      <c r="E4222" t="s">
        <v>25</v>
      </c>
      <c r="F4222" t="s">
        <v>493</v>
      </c>
      <c r="G4222" t="s">
        <v>2834</v>
      </c>
      <c r="H4222" s="9">
        <v>44733</v>
      </c>
      <c r="I4222" t="s">
        <v>8634</v>
      </c>
      <c r="J4222" t="s">
        <v>0</v>
      </c>
      <c r="K4222" s="9">
        <v>44862</v>
      </c>
      <c r="L4222" t="s">
        <v>29</v>
      </c>
      <c r="M4222"/>
      <c r="N4222" s="9">
        <v>44778</v>
      </c>
      <c r="O4222"/>
      <c r="P4222"/>
      <c r="Q4222" s="9">
        <v>44862</v>
      </c>
      <c r="R4222"/>
      <c r="S4222"/>
      <c r="T4222"/>
      <c r="U4222"/>
    </row>
    <row r="4223" spans="1:21" hidden="1">
      <c r="A4223" s="7" t="s">
        <v>8758</v>
      </c>
      <c r="B4223" s="7" t="s">
        <v>5405</v>
      </c>
      <c r="C4223" s="8" t="s">
        <v>5319</v>
      </c>
      <c r="D4223" t="s">
        <v>266</v>
      </c>
      <c r="E4223" t="s">
        <v>25</v>
      </c>
      <c r="F4223" t="s">
        <v>493</v>
      </c>
      <c r="G4223" t="s">
        <v>3802</v>
      </c>
      <c r="H4223" s="9">
        <v>44733</v>
      </c>
      <c r="I4223" t="s">
        <v>8634</v>
      </c>
      <c r="J4223" t="s">
        <v>0</v>
      </c>
      <c r="K4223" s="9">
        <v>44862</v>
      </c>
      <c r="L4223" t="s">
        <v>29</v>
      </c>
      <c r="M4223"/>
      <c r="N4223" s="9">
        <v>44778</v>
      </c>
      <c r="O4223"/>
      <c r="P4223"/>
      <c r="Q4223" s="9">
        <v>44862</v>
      </c>
      <c r="R4223"/>
      <c r="S4223"/>
      <c r="T4223"/>
      <c r="U4223"/>
    </row>
    <row r="4224" spans="1:21" hidden="1">
      <c r="A4224" s="7" t="s">
        <v>8758</v>
      </c>
      <c r="B4224" s="7" t="s">
        <v>5405</v>
      </c>
      <c r="C4224" s="8" t="s">
        <v>5319</v>
      </c>
      <c r="D4224" t="s">
        <v>266</v>
      </c>
      <c r="E4224" t="s">
        <v>25</v>
      </c>
      <c r="F4224" t="s">
        <v>493</v>
      </c>
      <c r="G4224" t="s">
        <v>556</v>
      </c>
      <c r="H4224" s="9">
        <v>44733</v>
      </c>
      <c r="I4224" t="s">
        <v>8634</v>
      </c>
      <c r="J4224" t="s">
        <v>0</v>
      </c>
      <c r="K4224" s="9">
        <v>44862</v>
      </c>
      <c r="L4224" t="s">
        <v>29</v>
      </c>
      <c r="M4224"/>
      <c r="N4224" s="9">
        <v>44778</v>
      </c>
      <c r="O4224"/>
      <c r="P4224"/>
      <c r="Q4224" s="9">
        <v>44862</v>
      </c>
      <c r="R4224"/>
      <c r="S4224"/>
      <c r="T4224"/>
      <c r="U4224"/>
    </row>
    <row r="4225" spans="1:21" hidden="1">
      <c r="A4225" s="7" t="s">
        <v>8758</v>
      </c>
      <c r="B4225" s="7" t="s">
        <v>5405</v>
      </c>
      <c r="C4225" s="8" t="s">
        <v>5319</v>
      </c>
      <c r="D4225" t="s">
        <v>266</v>
      </c>
      <c r="E4225" t="s">
        <v>25</v>
      </c>
      <c r="F4225" t="s">
        <v>493</v>
      </c>
      <c r="G4225" t="s">
        <v>3803</v>
      </c>
      <c r="H4225" s="9">
        <v>44733</v>
      </c>
      <c r="I4225" t="s">
        <v>8634</v>
      </c>
      <c r="J4225" t="s">
        <v>5330</v>
      </c>
      <c r="K4225" s="9">
        <v>44834</v>
      </c>
      <c r="L4225" t="s">
        <v>29</v>
      </c>
      <c r="M4225"/>
      <c r="N4225" s="9">
        <v>44778</v>
      </c>
      <c r="O4225" s="9">
        <v>44834</v>
      </c>
      <c r="P4225"/>
      <c r="Q4225"/>
      <c r="R4225"/>
      <c r="S4225"/>
      <c r="T4225"/>
      <c r="U4225"/>
    </row>
    <row r="4226" spans="1:21" hidden="1">
      <c r="A4226" s="7" t="s">
        <v>8758</v>
      </c>
      <c r="B4226" s="7" t="s">
        <v>5405</v>
      </c>
      <c r="C4226" s="8" t="s">
        <v>5319</v>
      </c>
      <c r="D4226" t="s">
        <v>266</v>
      </c>
      <c r="E4226" t="s">
        <v>25</v>
      </c>
      <c r="F4226" t="s">
        <v>493</v>
      </c>
      <c r="G4226" t="s">
        <v>3804</v>
      </c>
      <c r="H4226" s="9">
        <v>44733</v>
      </c>
      <c r="I4226" t="s">
        <v>8634</v>
      </c>
      <c r="J4226" t="s">
        <v>0</v>
      </c>
      <c r="K4226" s="9">
        <v>44862</v>
      </c>
      <c r="L4226" t="s">
        <v>29</v>
      </c>
      <c r="M4226"/>
      <c r="N4226" s="9">
        <v>44778</v>
      </c>
      <c r="O4226"/>
      <c r="P4226"/>
      <c r="Q4226" s="9">
        <v>44862</v>
      </c>
      <c r="R4226"/>
      <c r="S4226"/>
      <c r="T4226"/>
      <c r="U4226"/>
    </row>
    <row r="4227" spans="1:21" hidden="1">
      <c r="A4227" s="7" t="s">
        <v>8758</v>
      </c>
      <c r="B4227" s="7" t="s">
        <v>5405</v>
      </c>
      <c r="C4227" s="8" t="s">
        <v>5319</v>
      </c>
      <c r="D4227" t="s">
        <v>266</v>
      </c>
      <c r="E4227" t="s">
        <v>25</v>
      </c>
      <c r="F4227" t="s">
        <v>493</v>
      </c>
      <c r="G4227" t="s">
        <v>2839</v>
      </c>
      <c r="H4227" s="9">
        <v>44733</v>
      </c>
      <c r="I4227" t="s">
        <v>8634</v>
      </c>
      <c r="J4227" t="s">
        <v>0</v>
      </c>
      <c r="K4227" s="9">
        <v>44862</v>
      </c>
      <c r="L4227" t="s">
        <v>29</v>
      </c>
      <c r="M4227"/>
      <c r="N4227" s="9">
        <v>44778</v>
      </c>
      <c r="O4227"/>
      <c r="P4227"/>
      <c r="Q4227" s="9">
        <v>44862</v>
      </c>
      <c r="R4227"/>
      <c r="S4227"/>
      <c r="T4227"/>
      <c r="U4227"/>
    </row>
    <row r="4228" spans="1:21" hidden="1">
      <c r="A4228" s="7" t="s">
        <v>8758</v>
      </c>
      <c r="B4228" s="7" t="s">
        <v>5405</v>
      </c>
      <c r="C4228" s="8" t="s">
        <v>5319</v>
      </c>
      <c r="D4228" t="s">
        <v>266</v>
      </c>
      <c r="E4228" t="s">
        <v>25</v>
      </c>
      <c r="F4228" t="s">
        <v>493</v>
      </c>
      <c r="G4228" t="s">
        <v>3805</v>
      </c>
      <c r="H4228" s="9">
        <v>44733</v>
      </c>
      <c r="I4228" t="s">
        <v>8634</v>
      </c>
      <c r="J4228" t="s">
        <v>0</v>
      </c>
      <c r="K4228" s="9">
        <v>44862</v>
      </c>
      <c r="L4228" t="s">
        <v>29</v>
      </c>
      <c r="M4228"/>
      <c r="N4228" s="9">
        <v>44778</v>
      </c>
      <c r="O4228"/>
      <c r="P4228"/>
      <c r="Q4228" s="9">
        <v>44862</v>
      </c>
      <c r="R4228"/>
      <c r="S4228"/>
      <c r="T4228"/>
      <c r="U4228"/>
    </row>
    <row r="4229" spans="1:21" hidden="1">
      <c r="A4229" s="7" t="s">
        <v>8758</v>
      </c>
      <c r="B4229" s="7" t="s">
        <v>5405</v>
      </c>
      <c r="C4229" s="8" t="s">
        <v>5319</v>
      </c>
      <c r="D4229" t="s">
        <v>266</v>
      </c>
      <c r="E4229" t="s">
        <v>25</v>
      </c>
      <c r="F4229" t="s">
        <v>493</v>
      </c>
      <c r="G4229" t="s">
        <v>3806</v>
      </c>
      <c r="H4229" s="9">
        <v>44733</v>
      </c>
      <c r="I4229" t="s">
        <v>8634</v>
      </c>
      <c r="J4229" t="s">
        <v>0</v>
      </c>
      <c r="K4229" s="9">
        <v>44862</v>
      </c>
      <c r="L4229" t="s">
        <v>29</v>
      </c>
      <c r="M4229"/>
      <c r="N4229" s="9">
        <v>44778</v>
      </c>
      <c r="O4229"/>
      <c r="P4229"/>
      <c r="Q4229" s="9">
        <v>44862</v>
      </c>
      <c r="R4229"/>
      <c r="S4229"/>
      <c r="T4229"/>
      <c r="U4229"/>
    </row>
    <row r="4230" spans="1:21" hidden="1">
      <c r="A4230" s="7" t="s">
        <v>8758</v>
      </c>
      <c r="B4230" s="7" t="s">
        <v>5405</v>
      </c>
      <c r="C4230" s="8" t="s">
        <v>5319</v>
      </c>
      <c r="D4230" t="s">
        <v>266</v>
      </c>
      <c r="E4230" t="s">
        <v>25</v>
      </c>
      <c r="F4230" t="s">
        <v>493</v>
      </c>
      <c r="G4230" t="s">
        <v>3807</v>
      </c>
      <c r="H4230" s="9">
        <v>44733</v>
      </c>
      <c r="I4230" t="s">
        <v>8634</v>
      </c>
      <c r="J4230" t="s">
        <v>0</v>
      </c>
      <c r="K4230" s="9">
        <v>44862</v>
      </c>
      <c r="L4230" t="s">
        <v>29</v>
      </c>
      <c r="M4230"/>
      <c r="N4230" s="9">
        <v>44778</v>
      </c>
      <c r="O4230"/>
      <c r="P4230"/>
      <c r="Q4230" s="9">
        <v>44862</v>
      </c>
      <c r="R4230"/>
      <c r="S4230"/>
      <c r="T4230"/>
      <c r="U4230"/>
    </row>
    <row r="4231" spans="1:21" hidden="1">
      <c r="A4231" s="7" t="s">
        <v>8758</v>
      </c>
      <c r="B4231" s="7" t="s">
        <v>5405</v>
      </c>
      <c r="C4231" s="8" t="s">
        <v>5319</v>
      </c>
      <c r="D4231" t="s">
        <v>266</v>
      </c>
      <c r="E4231" t="s">
        <v>25</v>
      </c>
      <c r="F4231" t="s">
        <v>493</v>
      </c>
      <c r="G4231" t="s">
        <v>3808</v>
      </c>
      <c r="H4231" s="9">
        <v>44733</v>
      </c>
      <c r="I4231" t="s">
        <v>8634</v>
      </c>
      <c r="J4231" t="s">
        <v>5330</v>
      </c>
      <c r="K4231" s="9">
        <v>44834</v>
      </c>
      <c r="L4231" t="s">
        <v>29</v>
      </c>
      <c r="M4231"/>
      <c r="N4231" s="9">
        <v>44778</v>
      </c>
      <c r="O4231" s="9">
        <v>44834</v>
      </c>
      <c r="P4231"/>
      <c r="Q4231"/>
      <c r="R4231"/>
      <c r="S4231"/>
      <c r="T4231"/>
      <c r="U4231"/>
    </row>
    <row r="4232" spans="1:21" hidden="1">
      <c r="A4232" s="7" t="s">
        <v>8758</v>
      </c>
      <c r="B4232" s="7" t="s">
        <v>5405</v>
      </c>
      <c r="C4232" s="8" t="s">
        <v>5319</v>
      </c>
      <c r="D4232" t="s">
        <v>266</v>
      </c>
      <c r="E4232" t="s">
        <v>25</v>
      </c>
      <c r="F4232" t="s">
        <v>493</v>
      </c>
      <c r="G4232" t="s">
        <v>3809</v>
      </c>
      <c r="H4232" s="9">
        <v>44733</v>
      </c>
      <c r="I4232" t="s">
        <v>8634</v>
      </c>
      <c r="J4232" t="s">
        <v>5330</v>
      </c>
      <c r="K4232" s="9">
        <v>44834</v>
      </c>
      <c r="L4232" t="s">
        <v>29</v>
      </c>
      <c r="M4232"/>
      <c r="N4232" s="9">
        <v>44778</v>
      </c>
      <c r="O4232" s="9">
        <v>44834</v>
      </c>
      <c r="P4232"/>
      <c r="Q4232"/>
      <c r="R4232"/>
      <c r="S4232"/>
      <c r="T4232"/>
      <c r="U4232"/>
    </row>
    <row r="4233" spans="1:21" hidden="1">
      <c r="A4233" s="7" t="s">
        <v>8758</v>
      </c>
      <c r="B4233" s="7" t="s">
        <v>5405</v>
      </c>
      <c r="C4233" s="8" t="s">
        <v>5319</v>
      </c>
      <c r="D4233" t="s">
        <v>266</v>
      </c>
      <c r="E4233" t="s">
        <v>25</v>
      </c>
      <c r="F4233" t="s">
        <v>493</v>
      </c>
      <c r="G4233" t="s">
        <v>3810</v>
      </c>
      <c r="H4233" s="9">
        <v>44733</v>
      </c>
      <c r="I4233" t="s">
        <v>8634</v>
      </c>
      <c r="J4233" t="s">
        <v>5330</v>
      </c>
      <c r="K4233" s="9">
        <v>44834</v>
      </c>
      <c r="L4233" t="s">
        <v>29</v>
      </c>
      <c r="M4233"/>
      <c r="N4233" s="9">
        <v>44778</v>
      </c>
      <c r="O4233" s="9">
        <v>44834</v>
      </c>
      <c r="P4233"/>
      <c r="Q4233"/>
      <c r="R4233"/>
      <c r="S4233"/>
      <c r="T4233"/>
      <c r="U4233"/>
    </row>
    <row r="4234" spans="1:21" hidden="1">
      <c r="A4234" s="7" t="s">
        <v>8758</v>
      </c>
      <c r="B4234" s="7" t="s">
        <v>5405</v>
      </c>
      <c r="C4234" s="8" t="s">
        <v>5319</v>
      </c>
      <c r="D4234" t="s">
        <v>266</v>
      </c>
      <c r="E4234" t="s">
        <v>25</v>
      </c>
      <c r="F4234" t="s">
        <v>493</v>
      </c>
      <c r="G4234" t="s">
        <v>3811</v>
      </c>
      <c r="H4234" s="9">
        <v>44733</v>
      </c>
      <c r="I4234" t="s">
        <v>8634</v>
      </c>
      <c r="J4234" t="s">
        <v>0</v>
      </c>
      <c r="K4234" s="9">
        <v>44862</v>
      </c>
      <c r="L4234" t="s">
        <v>29</v>
      </c>
      <c r="M4234"/>
      <c r="N4234" s="9">
        <v>44778</v>
      </c>
      <c r="O4234"/>
      <c r="P4234"/>
      <c r="Q4234" s="9">
        <v>44862</v>
      </c>
      <c r="R4234"/>
      <c r="S4234"/>
      <c r="T4234"/>
      <c r="U4234"/>
    </row>
    <row r="4235" spans="1:21" hidden="1">
      <c r="A4235" s="7" t="s">
        <v>8758</v>
      </c>
      <c r="B4235" s="7" t="s">
        <v>5405</v>
      </c>
      <c r="C4235" s="8" t="s">
        <v>5319</v>
      </c>
      <c r="D4235" t="s">
        <v>266</v>
      </c>
      <c r="E4235" t="s">
        <v>25</v>
      </c>
      <c r="F4235" t="s">
        <v>493</v>
      </c>
      <c r="G4235" t="s">
        <v>2844</v>
      </c>
      <c r="H4235" s="9">
        <v>44733</v>
      </c>
      <c r="I4235" t="s">
        <v>8634</v>
      </c>
      <c r="J4235" t="s">
        <v>5330</v>
      </c>
      <c r="K4235" s="9">
        <v>44834</v>
      </c>
      <c r="L4235" t="s">
        <v>29</v>
      </c>
      <c r="M4235"/>
      <c r="N4235" s="9">
        <v>44778</v>
      </c>
      <c r="O4235" s="9">
        <v>44834</v>
      </c>
      <c r="P4235"/>
      <c r="Q4235"/>
      <c r="R4235"/>
      <c r="S4235"/>
      <c r="T4235"/>
      <c r="U4235"/>
    </row>
    <row r="4236" spans="1:21" hidden="1">
      <c r="A4236" s="7" t="s">
        <v>8758</v>
      </c>
      <c r="B4236" s="7" t="s">
        <v>5405</v>
      </c>
      <c r="C4236" s="8" t="s">
        <v>5319</v>
      </c>
      <c r="D4236" t="s">
        <v>266</v>
      </c>
      <c r="E4236" t="s">
        <v>25</v>
      </c>
      <c r="F4236" t="s">
        <v>493</v>
      </c>
      <c r="G4236" t="s">
        <v>3812</v>
      </c>
      <c r="H4236" s="9">
        <v>44733</v>
      </c>
      <c r="I4236" t="s">
        <v>8634</v>
      </c>
      <c r="J4236" t="s">
        <v>0</v>
      </c>
      <c r="K4236" s="9">
        <v>44862</v>
      </c>
      <c r="L4236" t="s">
        <v>29</v>
      </c>
      <c r="M4236"/>
      <c r="N4236" s="9">
        <v>44778</v>
      </c>
      <c r="O4236"/>
      <c r="P4236"/>
      <c r="Q4236" s="9">
        <v>44862</v>
      </c>
      <c r="R4236"/>
      <c r="S4236"/>
      <c r="T4236"/>
      <c r="U4236"/>
    </row>
    <row r="4237" spans="1:21" hidden="1">
      <c r="A4237" s="7" t="s">
        <v>8758</v>
      </c>
      <c r="B4237" s="7" t="s">
        <v>5405</v>
      </c>
      <c r="C4237" s="8" t="s">
        <v>5319</v>
      </c>
      <c r="D4237" t="s">
        <v>266</v>
      </c>
      <c r="E4237" t="s">
        <v>25</v>
      </c>
      <c r="F4237" t="s">
        <v>493</v>
      </c>
      <c r="G4237" t="s">
        <v>3813</v>
      </c>
      <c r="H4237" s="9">
        <v>44733</v>
      </c>
      <c r="I4237" t="s">
        <v>8634</v>
      </c>
      <c r="J4237" t="s">
        <v>0</v>
      </c>
      <c r="K4237" s="9">
        <v>44862</v>
      </c>
      <c r="L4237" t="s">
        <v>29</v>
      </c>
      <c r="M4237"/>
      <c r="N4237" s="9">
        <v>44778</v>
      </c>
      <c r="O4237"/>
      <c r="P4237"/>
      <c r="Q4237" s="9">
        <v>44862</v>
      </c>
      <c r="R4237"/>
      <c r="S4237"/>
      <c r="T4237"/>
      <c r="U4237"/>
    </row>
    <row r="4238" spans="1:21" hidden="1">
      <c r="A4238" s="7" t="s">
        <v>8758</v>
      </c>
      <c r="B4238" s="7" t="s">
        <v>5405</v>
      </c>
      <c r="C4238" s="8" t="s">
        <v>5319</v>
      </c>
      <c r="D4238" t="s">
        <v>266</v>
      </c>
      <c r="E4238" t="s">
        <v>25</v>
      </c>
      <c r="F4238" t="s">
        <v>493</v>
      </c>
      <c r="G4238" t="s">
        <v>3814</v>
      </c>
      <c r="H4238" s="9">
        <v>44733</v>
      </c>
      <c r="I4238" t="s">
        <v>8634</v>
      </c>
      <c r="J4238" t="s">
        <v>0</v>
      </c>
      <c r="K4238" s="9">
        <v>44862</v>
      </c>
      <c r="L4238" t="s">
        <v>29</v>
      </c>
      <c r="M4238"/>
      <c r="N4238" s="9">
        <v>44778</v>
      </c>
      <c r="O4238"/>
      <c r="P4238"/>
      <c r="Q4238" s="9">
        <v>44862</v>
      </c>
      <c r="R4238"/>
      <c r="S4238"/>
      <c r="T4238"/>
      <c r="U4238"/>
    </row>
    <row r="4239" spans="1:21" hidden="1">
      <c r="A4239" s="7" t="s">
        <v>8758</v>
      </c>
      <c r="B4239" s="7" t="s">
        <v>5405</v>
      </c>
      <c r="C4239" s="8" t="s">
        <v>5319</v>
      </c>
      <c r="D4239" t="s">
        <v>266</v>
      </c>
      <c r="E4239" t="s">
        <v>25</v>
      </c>
      <c r="F4239" t="s">
        <v>493</v>
      </c>
      <c r="G4239" t="s">
        <v>2845</v>
      </c>
      <c r="H4239" s="9">
        <v>44733</v>
      </c>
      <c r="I4239" t="s">
        <v>8634</v>
      </c>
      <c r="J4239" t="s">
        <v>0</v>
      </c>
      <c r="K4239" s="9">
        <v>44862</v>
      </c>
      <c r="L4239" t="s">
        <v>29</v>
      </c>
      <c r="M4239"/>
      <c r="N4239" s="9">
        <v>44778</v>
      </c>
      <c r="O4239"/>
      <c r="P4239"/>
      <c r="Q4239" s="9">
        <v>44862</v>
      </c>
      <c r="R4239"/>
      <c r="S4239"/>
      <c r="T4239"/>
      <c r="U4239"/>
    </row>
    <row r="4240" spans="1:21" hidden="1">
      <c r="A4240" s="7" t="s">
        <v>8758</v>
      </c>
      <c r="B4240" s="7" t="s">
        <v>5405</v>
      </c>
      <c r="C4240" s="8" t="s">
        <v>5319</v>
      </c>
      <c r="D4240" t="s">
        <v>266</v>
      </c>
      <c r="E4240" t="s">
        <v>25</v>
      </c>
      <c r="F4240" t="s">
        <v>493</v>
      </c>
      <c r="G4240" t="s">
        <v>3815</v>
      </c>
      <c r="H4240" s="9">
        <v>44733</v>
      </c>
      <c r="I4240" t="s">
        <v>8634</v>
      </c>
      <c r="J4240" t="s">
        <v>0</v>
      </c>
      <c r="K4240" s="9">
        <v>44862</v>
      </c>
      <c r="L4240" t="s">
        <v>29</v>
      </c>
      <c r="M4240"/>
      <c r="N4240" s="9">
        <v>44778</v>
      </c>
      <c r="O4240"/>
      <c r="P4240"/>
      <c r="Q4240" s="9">
        <v>44862</v>
      </c>
      <c r="R4240"/>
      <c r="S4240"/>
      <c r="T4240"/>
      <c r="U4240"/>
    </row>
    <row r="4241" spans="1:21" hidden="1">
      <c r="A4241" s="7" t="s">
        <v>8758</v>
      </c>
      <c r="B4241" s="7" t="s">
        <v>5405</v>
      </c>
      <c r="C4241" s="8" t="s">
        <v>5319</v>
      </c>
      <c r="D4241" t="s">
        <v>266</v>
      </c>
      <c r="E4241" t="s">
        <v>25</v>
      </c>
      <c r="F4241" t="s">
        <v>493</v>
      </c>
      <c r="G4241" t="s">
        <v>3816</v>
      </c>
      <c r="H4241" s="9">
        <v>44733</v>
      </c>
      <c r="I4241" t="s">
        <v>8634</v>
      </c>
      <c r="J4241" t="s">
        <v>0</v>
      </c>
      <c r="K4241" s="9">
        <v>44862</v>
      </c>
      <c r="L4241" t="s">
        <v>29</v>
      </c>
      <c r="M4241"/>
      <c r="N4241" s="9">
        <v>44778</v>
      </c>
      <c r="O4241"/>
      <c r="P4241"/>
      <c r="Q4241" s="9">
        <v>44862</v>
      </c>
      <c r="R4241"/>
      <c r="S4241"/>
      <c r="T4241"/>
      <c r="U4241"/>
    </row>
    <row r="4242" spans="1:21" hidden="1">
      <c r="A4242" s="7" t="s">
        <v>8758</v>
      </c>
      <c r="B4242" s="7" t="s">
        <v>5405</v>
      </c>
      <c r="C4242" s="8" t="s">
        <v>5319</v>
      </c>
      <c r="D4242" t="s">
        <v>266</v>
      </c>
      <c r="E4242" t="s">
        <v>25</v>
      </c>
      <c r="F4242" t="s">
        <v>493</v>
      </c>
      <c r="G4242" t="s">
        <v>3817</v>
      </c>
      <c r="H4242" s="9">
        <v>44733</v>
      </c>
      <c r="I4242" t="s">
        <v>8634</v>
      </c>
      <c r="J4242" t="s">
        <v>0</v>
      </c>
      <c r="K4242" s="9">
        <v>44862</v>
      </c>
      <c r="L4242" t="s">
        <v>29</v>
      </c>
      <c r="M4242"/>
      <c r="N4242" s="9">
        <v>44778</v>
      </c>
      <c r="O4242"/>
      <c r="P4242"/>
      <c r="Q4242" s="9">
        <v>44862</v>
      </c>
      <c r="R4242"/>
      <c r="S4242"/>
      <c r="T4242"/>
      <c r="U4242"/>
    </row>
    <row r="4243" spans="1:21" hidden="1">
      <c r="A4243" s="7" t="s">
        <v>8758</v>
      </c>
      <c r="B4243" s="7" t="s">
        <v>5405</v>
      </c>
      <c r="C4243" s="8" t="s">
        <v>5319</v>
      </c>
      <c r="D4243" t="s">
        <v>266</v>
      </c>
      <c r="E4243" t="s">
        <v>25</v>
      </c>
      <c r="F4243" t="s">
        <v>493</v>
      </c>
      <c r="G4243" t="s">
        <v>3818</v>
      </c>
      <c r="H4243" s="9">
        <v>44733</v>
      </c>
      <c r="I4243" t="s">
        <v>8634</v>
      </c>
      <c r="J4243" t="s">
        <v>0</v>
      </c>
      <c r="K4243" s="9">
        <v>44862</v>
      </c>
      <c r="L4243" t="s">
        <v>29</v>
      </c>
      <c r="M4243"/>
      <c r="N4243" s="9">
        <v>44778</v>
      </c>
      <c r="O4243"/>
      <c r="P4243"/>
      <c r="Q4243" s="9">
        <v>44862</v>
      </c>
      <c r="R4243"/>
      <c r="S4243"/>
      <c r="T4243"/>
      <c r="U4243"/>
    </row>
    <row r="4244" spans="1:21" hidden="1">
      <c r="A4244" s="7" t="s">
        <v>8758</v>
      </c>
      <c r="B4244" s="7" t="s">
        <v>5405</v>
      </c>
      <c r="C4244" s="8" t="s">
        <v>5319</v>
      </c>
      <c r="D4244" t="s">
        <v>266</v>
      </c>
      <c r="E4244" t="s">
        <v>25</v>
      </c>
      <c r="F4244" t="s">
        <v>493</v>
      </c>
      <c r="G4244" t="s">
        <v>3819</v>
      </c>
      <c r="H4244" s="9">
        <v>44733</v>
      </c>
      <c r="I4244" t="s">
        <v>8634</v>
      </c>
      <c r="J4244" t="s">
        <v>0</v>
      </c>
      <c r="K4244" s="9">
        <v>44862</v>
      </c>
      <c r="L4244" t="s">
        <v>29</v>
      </c>
      <c r="M4244"/>
      <c r="N4244" s="9">
        <v>44778</v>
      </c>
      <c r="O4244"/>
      <c r="P4244"/>
      <c r="Q4244" s="9">
        <v>44862</v>
      </c>
      <c r="R4244"/>
      <c r="S4244"/>
      <c r="T4244"/>
      <c r="U4244"/>
    </row>
    <row r="4245" spans="1:21" hidden="1">
      <c r="A4245" s="7" t="s">
        <v>8758</v>
      </c>
      <c r="B4245" s="7" t="s">
        <v>5405</v>
      </c>
      <c r="C4245" s="8" t="s">
        <v>5319</v>
      </c>
      <c r="D4245" t="s">
        <v>266</v>
      </c>
      <c r="E4245" t="s">
        <v>25</v>
      </c>
      <c r="F4245" t="s">
        <v>493</v>
      </c>
      <c r="G4245" t="s">
        <v>3820</v>
      </c>
      <c r="H4245" s="9">
        <v>44733</v>
      </c>
      <c r="I4245" t="s">
        <v>8634</v>
      </c>
      <c r="J4245" t="s">
        <v>0</v>
      </c>
      <c r="K4245" s="9">
        <v>44862</v>
      </c>
      <c r="L4245" t="s">
        <v>29</v>
      </c>
      <c r="M4245"/>
      <c r="N4245" s="9">
        <v>44778</v>
      </c>
      <c r="O4245"/>
      <c r="P4245"/>
      <c r="Q4245" s="9">
        <v>44862</v>
      </c>
      <c r="R4245"/>
      <c r="S4245"/>
      <c r="T4245"/>
      <c r="U4245"/>
    </row>
    <row r="4246" spans="1:21" hidden="1">
      <c r="A4246" s="7" t="s">
        <v>8758</v>
      </c>
      <c r="B4246" s="7" t="s">
        <v>5405</v>
      </c>
      <c r="C4246" s="8" t="s">
        <v>5319</v>
      </c>
      <c r="D4246" t="s">
        <v>266</v>
      </c>
      <c r="E4246" t="s">
        <v>25</v>
      </c>
      <c r="F4246" t="s">
        <v>493</v>
      </c>
      <c r="G4246" t="s">
        <v>3821</v>
      </c>
      <c r="H4246" s="9">
        <v>44733</v>
      </c>
      <c r="I4246" t="s">
        <v>8634</v>
      </c>
      <c r="J4246" t="s">
        <v>0</v>
      </c>
      <c r="K4246" s="9">
        <v>44862</v>
      </c>
      <c r="L4246" t="s">
        <v>29</v>
      </c>
      <c r="M4246"/>
      <c r="N4246" s="9">
        <v>44778</v>
      </c>
      <c r="O4246"/>
      <c r="P4246"/>
      <c r="Q4246" s="9">
        <v>44862</v>
      </c>
      <c r="R4246"/>
      <c r="S4246"/>
      <c r="T4246"/>
      <c r="U4246"/>
    </row>
    <row r="4247" spans="1:21" hidden="1">
      <c r="A4247" s="7" t="s">
        <v>8758</v>
      </c>
      <c r="B4247" s="7" t="s">
        <v>5405</v>
      </c>
      <c r="C4247" s="8" t="s">
        <v>5319</v>
      </c>
      <c r="D4247" t="s">
        <v>266</v>
      </c>
      <c r="E4247" t="s">
        <v>25</v>
      </c>
      <c r="F4247" t="s">
        <v>493</v>
      </c>
      <c r="G4247" t="s">
        <v>3822</v>
      </c>
      <c r="H4247" s="9">
        <v>44733</v>
      </c>
      <c r="I4247" t="s">
        <v>8634</v>
      </c>
      <c r="J4247" t="s">
        <v>0</v>
      </c>
      <c r="K4247" s="9">
        <v>44862</v>
      </c>
      <c r="L4247" t="s">
        <v>29</v>
      </c>
      <c r="M4247"/>
      <c r="N4247" s="9">
        <v>44778</v>
      </c>
      <c r="O4247"/>
      <c r="P4247"/>
      <c r="Q4247" s="9">
        <v>44862</v>
      </c>
      <c r="R4247"/>
      <c r="S4247"/>
      <c r="T4247"/>
      <c r="U4247"/>
    </row>
    <row r="4248" spans="1:21" hidden="1">
      <c r="A4248" s="7" t="s">
        <v>8758</v>
      </c>
      <c r="B4248" s="7" t="s">
        <v>5405</v>
      </c>
      <c r="C4248" s="8" t="s">
        <v>5319</v>
      </c>
      <c r="D4248" t="s">
        <v>266</v>
      </c>
      <c r="E4248" t="s">
        <v>25</v>
      </c>
      <c r="F4248" t="s">
        <v>493</v>
      </c>
      <c r="G4248" t="s">
        <v>3823</v>
      </c>
      <c r="H4248" s="9">
        <v>44733</v>
      </c>
      <c r="I4248" t="s">
        <v>8634</v>
      </c>
      <c r="J4248" t="s">
        <v>0</v>
      </c>
      <c r="K4248" s="9">
        <v>44862</v>
      </c>
      <c r="L4248" t="s">
        <v>29</v>
      </c>
      <c r="M4248"/>
      <c r="N4248" s="9">
        <v>44778</v>
      </c>
      <c r="O4248"/>
      <c r="P4248"/>
      <c r="Q4248" s="9">
        <v>44862</v>
      </c>
      <c r="R4248"/>
      <c r="S4248"/>
      <c r="T4248"/>
      <c r="U4248"/>
    </row>
    <row r="4249" spans="1:21" hidden="1">
      <c r="A4249" s="7" t="s">
        <v>8758</v>
      </c>
      <c r="B4249" s="7" t="s">
        <v>5405</v>
      </c>
      <c r="C4249" s="8" t="s">
        <v>5319</v>
      </c>
      <c r="D4249" t="s">
        <v>266</v>
      </c>
      <c r="E4249" t="s">
        <v>25</v>
      </c>
      <c r="F4249" t="s">
        <v>493</v>
      </c>
      <c r="G4249" t="s">
        <v>2848</v>
      </c>
      <c r="H4249" s="9">
        <v>44733</v>
      </c>
      <c r="I4249" t="s">
        <v>8634</v>
      </c>
      <c r="J4249" t="s">
        <v>0</v>
      </c>
      <c r="K4249" s="9">
        <v>44862</v>
      </c>
      <c r="L4249" t="s">
        <v>29</v>
      </c>
      <c r="M4249"/>
      <c r="N4249" s="9">
        <v>44778</v>
      </c>
      <c r="O4249"/>
      <c r="P4249"/>
      <c r="Q4249" s="9">
        <v>44862</v>
      </c>
      <c r="R4249"/>
      <c r="S4249"/>
      <c r="T4249"/>
      <c r="U4249"/>
    </row>
    <row r="4250" spans="1:21" hidden="1">
      <c r="A4250" s="7" t="s">
        <v>8758</v>
      </c>
      <c r="B4250" s="7" t="s">
        <v>5405</v>
      </c>
      <c r="C4250" s="8" t="s">
        <v>5319</v>
      </c>
      <c r="D4250" t="s">
        <v>266</v>
      </c>
      <c r="E4250" t="s">
        <v>25</v>
      </c>
      <c r="F4250" t="s">
        <v>493</v>
      </c>
      <c r="G4250" t="s">
        <v>2849</v>
      </c>
      <c r="H4250" s="9">
        <v>44733</v>
      </c>
      <c r="I4250" t="s">
        <v>8634</v>
      </c>
      <c r="J4250" t="s">
        <v>0</v>
      </c>
      <c r="K4250" s="9">
        <v>44862</v>
      </c>
      <c r="L4250" t="s">
        <v>29</v>
      </c>
      <c r="M4250"/>
      <c r="N4250" s="9">
        <v>44778</v>
      </c>
      <c r="O4250"/>
      <c r="P4250"/>
      <c r="Q4250" s="9">
        <v>44862</v>
      </c>
      <c r="R4250"/>
      <c r="S4250"/>
      <c r="T4250"/>
      <c r="U4250"/>
    </row>
    <row r="4251" spans="1:21" hidden="1">
      <c r="A4251" s="7" t="s">
        <v>8758</v>
      </c>
      <c r="B4251" s="7" t="s">
        <v>5405</v>
      </c>
      <c r="C4251" s="8" t="s">
        <v>5319</v>
      </c>
      <c r="D4251" t="s">
        <v>266</v>
      </c>
      <c r="E4251" t="s">
        <v>25</v>
      </c>
      <c r="F4251" t="s">
        <v>493</v>
      </c>
      <c r="G4251" t="s">
        <v>3824</v>
      </c>
      <c r="H4251" s="9">
        <v>44733</v>
      </c>
      <c r="I4251" t="s">
        <v>8634</v>
      </c>
      <c r="J4251" t="s">
        <v>0</v>
      </c>
      <c r="K4251" s="9">
        <v>44862</v>
      </c>
      <c r="L4251" t="s">
        <v>29</v>
      </c>
      <c r="M4251"/>
      <c r="N4251" s="9">
        <v>44778</v>
      </c>
      <c r="O4251"/>
      <c r="P4251"/>
      <c r="Q4251" s="9">
        <v>44862</v>
      </c>
      <c r="R4251"/>
      <c r="S4251"/>
      <c r="T4251"/>
      <c r="U4251"/>
    </row>
    <row r="4252" spans="1:21" hidden="1">
      <c r="A4252" s="7" t="s">
        <v>8758</v>
      </c>
      <c r="B4252" s="7" t="s">
        <v>5405</v>
      </c>
      <c r="C4252" s="8" t="s">
        <v>5319</v>
      </c>
      <c r="D4252" t="s">
        <v>266</v>
      </c>
      <c r="E4252" t="s">
        <v>25</v>
      </c>
      <c r="F4252" t="s">
        <v>493</v>
      </c>
      <c r="G4252" t="s">
        <v>3825</v>
      </c>
      <c r="H4252" s="9">
        <v>44733</v>
      </c>
      <c r="I4252" t="s">
        <v>8634</v>
      </c>
      <c r="J4252" t="s">
        <v>5330</v>
      </c>
      <c r="K4252" s="9">
        <v>44834</v>
      </c>
      <c r="L4252" t="s">
        <v>29</v>
      </c>
      <c r="M4252"/>
      <c r="N4252" s="9">
        <v>44778</v>
      </c>
      <c r="O4252" s="9">
        <v>44834</v>
      </c>
      <c r="P4252"/>
      <c r="Q4252"/>
      <c r="R4252"/>
      <c r="S4252"/>
      <c r="T4252"/>
      <c r="U4252"/>
    </row>
    <row r="4253" spans="1:21" hidden="1">
      <c r="A4253" s="7" t="s">
        <v>8758</v>
      </c>
      <c r="B4253" s="7" t="s">
        <v>5405</v>
      </c>
      <c r="C4253" s="8" t="s">
        <v>5319</v>
      </c>
      <c r="D4253" t="s">
        <v>266</v>
      </c>
      <c r="E4253" t="s">
        <v>25</v>
      </c>
      <c r="F4253" t="s">
        <v>493</v>
      </c>
      <c r="G4253" t="s">
        <v>579</v>
      </c>
      <c r="H4253" s="9">
        <v>44733</v>
      </c>
      <c r="I4253" t="s">
        <v>8634</v>
      </c>
      <c r="J4253" t="s">
        <v>0</v>
      </c>
      <c r="K4253" s="9">
        <v>44862</v>
      </c>
      <c r="L4253" t="s">
        <v>29</v>
      </c>
      <c r="M4253"/>
      <c r="N4253" s="9">
        <v>44778</v>
      </c>
      <c r="O4253"/>
      <c r="P4253"/>
      <c r="Q4253" s="9">
        <v>44862</v>
      </c>
      <c r="R4253"/>
      <c r="S4253"/>
      <c r="T4253"/>
      <c r="U4253"/>
    </row>
    <row r="4254" spans="1:21" hidden="1">
      <c r="A4254" s="7" t="s">
        <v>8758</v>
      </c>
      <c r="B4254" s="7" t="s">
        <v>5405</v>
      </c>
      <c r="C4254" s="8" t="s">
        <v>5319</v>
      </c>
      <c r="D4254" t="s">
        <v>266</v>
      </c>
      <c r="E4254" t="s">
        <v>25</v>
      </c>
      <c r="F4254" t="s">
        <v>493</v>
      </c>
      <c r="G4254" t="s">
        <v>3826</v>
      </c>
      <c r="H4254" s="9">
        <v>44733</v>
      </c>
      <c r="I4254" t="s">
        <v>8634</v>
      </c>
      <c r="J4254" t="s">
        <v>0</v>
      </c>
      <c r="K4254" s="9">
        <v>44862</v>
      </c>
      <c r="L4254" t="s">
        <v>29</v>
      </c>
      <c r="M4254"/>
      <c r="N4254" s="9">
        <v>44778</v>
      </c>
      <c r="O4254"/>
      <c r="P4254"/>
      <c r="Q4254" s="9">
        <v>44862</v>
      </c>
      <c r="R4254"/>
      <c r="S4254"/>
      <c r="T4254"/>
      <c r="U4254"/>
    </row>
    <row r="4255" spans="1:21" hidden="1">
      <c r="A4255" s="7" t="s">
        <v>8758</v>
      </c>
      <c r="B4255" s="7" t="s">
        <v>5405</v>
      </c>
      <c r="C4255" s="8" t="s">
        <v>5319</v>
      </c>
      <c r="D4255" t="s">
        <v>266</v>
      </c>
      <c r="E4255" t="s">
        <v>25</v>
      </c>
      <c r="F4255" t="s">
        <v>493</v>
      </c>
      <c r="G4255" t="s">
        <v>3827</v>
      </c>
      <c r="H4255" s="9">
        <v>44733</v>
      </c>
      <c r="I4255" t="s">
        <v>8634</v>
      </c>
      <c r="J4255" t="s">
        <v>0</v>
      </c>
      <c r="K4255" s="9">
        <v>44862</v>
      </c>
      <c r="L4255" t="s">
        <v>29</v>
      </c>
      <c r="M4255"/>
      <c r="N4255" s="9">
        <v>44778</v>
      </c>
      <c r="O4255"/>
      <c r="P4255"/>
      <c r="Q4255" s="9">
        <v>44862</v>
      </c>
      <c r="R4255"/>
      <c r="S4255"/>
      <c r="T4255"/>
      <c r="U4255"/>
    </row>
    <row r="4256" spans="1:21" hidden="1">
      <c r="A4256" s="7" t="s">
        <v>8758</v>
      </c>
      <c r="B4256" s="7" t="s">
        <v>5405</v>
      </c>
      <c r="C4256" s="8" t="s">
        <v>5319</v>
      </c>
      <c r="D4256" t="s">
        <v>266</v>
      </c>
      <c r="E4256" t="s">
        <v>25</v>
      </c>
      <c r="F4256" t="s">
        <v>493</v>
      </c>
      <c r="G4256" t="s">
        <v>3828</v>
      </c>
      <c r="H4256" s="9">
        <v>44733</v>
      </c>
      <c r="I4256" t="s">
        <v>8634</v>
      </c>
      <c r="J4256" t="s">
        <v>0</v>
      </c>
      <c r="K4256" s="9">
        <v>44862</v>
      </c>
      <c r="L4256" t="s">
        <v>29</v>
      </c>
      <c r="M4256"/>
      <c r="N4256" s="9">
        <v>44778</v>
      </c>
      <c r="O4256"/>
      <c r="P4256"/>
      <c r="Q4256" s="9">
        <v>44862</v>
      </c>
      <c r="R4256"/>
      <c r="S4256"/>
      <c r="T4256"/>
      <c r="U4256"/>
    </row>
    <row r="4257" spans="1:21" hidden="1">
      <c r="A4257" s="7" t="s">
        <v>8758</v>
      </c>
      <c r="B4257" s="7" t="s">
        <v>5405</v>
      </c>
      <c r="C4257" s="8" t="s">
        <v>5319</v>
      </c>
      <c r="D4257" t="s">
        <v>266</v>
      </c>
      <c r="E4257" t="s">
        <v>25</v>
      </c>
      <c r="F4257" t="s">
        <v>493</v>
      </c>
      <c r="G4257" t="s">
        <v>3829</v>
      </c>
      <c r="H4257" s="9">
        <v>44733</v>
      </c>
      <c r="I4257" t="s">
        <v>8634</v>
      </c>
      <c r="J4257" t="s">
        <v>5330</v>
      </c>
      <c r="K4257" s="9">
        <v>44834</v>
      </c>
      <c r="L4257" t="s">
        <v>29</v>
      </c>
      <c r="M4257"/>
      <c r="N4257" s="9">
        <v>44778</v>
      </c>
      <c r="O4257" s="9">
        <v>44834</v>
      </c>
      <c r="P4257"/>
      <c r="Q4257"/>
      <c r="R4257"/>
      <c r="S4257"/>
      <c r="T4257"/>
      <c r="U4257"/>
    </row>
    <row r="4258" spans="1:21" hidden="1">
      <c r="A4258" s="7" t="s">
        <v>8758</v>
      </c>
      <c r="B4258" s="7" t="s">
        <v>5405</v>
      </c>
      <c r="C4258" s="8" t="s">
        <v>5319</v>
      </c>
      <c r="D4258" t="s">
        <v>266</v>
      </c>
      <c r="E4258" t="s">
        <v>25</v>
      </c>
      <c r="F4258" t="s">
        <v>493</v>
      </c>
      <c r="G4258" t="s">
        <v>2854</v>
      </c>
      <c r="H4258" s="9">
        <v>44733</v>
      </c>
      <c r="I4258" t="s">
        <v>8634</v>
      </c>
      <c r="J4258" t="s">
        <v>0</v>
      </c>
      <c r="K4258" s="9">
        <v>44862</v>
      </c>
      <c r="L4258" t="s">
        <v>29</v>
      </c>
      <c r="M4258"/>
      <c r="N4258" s="9">
        <v>44778</v>
      </c>
      <c r="O4258"/>
      <c r="P4258"/>
      <c r="Q4258" s="9">
        <v>44862</v>
      </c>
      <c r="R4258"/>
      <c r="S4258"/>
      <c r="T4258"/>
      <c r="U4258"/>
    </row>
    <row r="4259" spans="1:21" hidden="1">
      <c r="A4259" s="7" t="s">
        <v>8758</v>
      </c>
      <c r="B4259" s="7" t="s">
        <v>5405</v>
      </c>
      <c r="C4259" s="8" t="s">
        <v>5319</v>
      </c>
      <c r="D4259" t="s">
        <v>266</v>
      </c>
      <c r="E4259" t="s">
        <v>25</v>
      </c>
      <c r="F4259" t="s">
        <v>493</v>
      </c>
      <c r="G4259" t="s">
        <v>3830</v>
      </c>
      <c r="H4259" s="9">
        <v>44733</v>
      </c>
      <c r="I4259" t="s">
        <v>8634</v>
      </c>
      <c r="J4259" t="s">
        <v>5330</v>
      </c>
      <c r="K4259" s="9">
        <v>44834</v>
      </c>
      <c r="L4259" t="s">
        <v>29</v>
      </c>
      <c r="M4259"/>
      <c r="N4259" s="9">
        <v>44778</v>
      </c>
      <c r="O4259" s="9">
        <v>44834</v>
      </c>
      <c r="P4259"/>
      <c r="Q4259"/>
      <c r="R4259"/>
      <c r="S4259"/>
      <c r="T4259"/>
      <c r="U4259"/>
    </row>
    <row r="4260" spans="1:21" hidden="1">
      <c r="A4260" s="7" t="s">
        <v>8758</v>
      </c>
      <c r="B4260" s="7" t="s">
        <v>5405</v>
      </c>
      <c r="C4260" s="8" t="s">
        <v>5319</v>
      </c>
      <c r="D4260" t="s">
        <v>266</v>
      </c>
      <c r="E4260" t="s">
        <v>25</v>
      </c>
      <c r="F4260" t="s">
        <v>493</v>
      </c>
      <c r="G4260" t="s">
        <v>2855</v>
      </c>
      <c r="H4260" s="9">
        <v>44733</v>
      </c>
      <c r="I4260" t="s">
        <v>8634</v>
      </c>
      <c r="J4260" t="s">
        <v>0</v>
      </c>
      <c r="K4260" s="9">
        <v>44862</v>
      </c>
      <c r="L4260" t="s">
        <v>29</v>
      </c>
      <c r="M4260"/>
      <c r="N4260" s="9">
        <v>44778</v>
      </c>
      <c r="O4260"/>
      <c r="P4260"/>
      <c r="Q4260" s="9">
        <v>44862</v>
      </c>
      <c r="R4260"/>
      <c r="S4260"/>
      <c r="T4260"/>
      <c r="U4260"/>
    </row>
    <row r="4261" spans="1:21" hidden="1">
      <c r="A4261" s="7" t="s">
        <v>8758</v>
      </c>
      <c r="B4261" s="7" t="s">
        <v>5405</v>
      </c>
      <c r="C4261" s="8" t="s">
        <v>5319</v>
      </c>
      <c r="D4261" t="s">
        <v>266</v>
      </c>
      <c r="E4261" t="s">
        <v>25</v>
      </c>
      <c r="F4261" t="s">
        <v>493</v>
      </c>
      <c r="G4261" t="s">
        <v>3831</v>
      </c>
      <c r="H4261" s="9">
        <v>44733</v>
      </c>
      <c r="I4261" t="s">
        <v>8634</v>
      </c>
      <c r="J4261" t="s">
        <v>5330</v>
      </c>
      <c r="K4261" s="9">
        <v>44834</v>
      </c>
      <c r="L4261" t="s">
        <v>29</v>
      </c>
      <c r="M4261"/>
      <c r="N4261" s="9">
        <v>44778</v>
      </c>
      <c r="O4261" s="9">
        <v>44834</v>
      </c>
      <c r="P4261"/>
      <c r="Q4261"/>
      <c r="R4261"/>
      <c r="S4261"/>
      <c r="T4261"/>
      <c r="U4261"/>
    </row>
    <row r="4262" spans="1:21" hidden="1">
      <c r="A4262" s="7" t="s">
        <v>8758</v>
      </c>
      <c r="B4262" s="7" t="s">
        <v>5405</v>
      </c>
      <c r="C4262" s="8" t="s">
        <v>5319</v>
      </c>
      <c r="D4262" t="s">
        <v>266</v>
      </c>
      <c r="E4262" t="s">
        <v>25</v>
      </c>
      <c r="F4262" t="s">
        <v>493</v>
      </c>
      <c r="G4262" t="s">
        <v>2856</v>
      </c>
      <c r="H4262" s="9">
        <v>44733</v>
      </c>
      <c r="I4262" t="s">
        <v>8634</v>
      </c>
      <c r="J4262" t="s">
        <v>0</v>
      </c>
      <c r="K4262" s="9">
        <v>44862</v>
      </c>
      <c r="L4262" t="s">
        <v>29</v>
      </c>
      <c r="M4262"/>
      <c r="N4262" s="9">
        <v>44778</v>
      </c>
      <c r="O4262"/>
      <c r="P4262"/>
      <c r="Q4262" s="9">
        <v>44862</v>
      </c>
      <c r="R4262"/>
      <c r="S4262"/>
      <c r="T4262"/>
      <c r="U4262"/>
    </row>
    <row r="4263" spans="1:21" hidden="1">
      <c r="A4263" s="7" t="s">
        <v>8758</v>
      </c>
      <c r="B4263" s="7" t="s">
        <v>5405</v>
      </c>
      <c r="C4263" s="8" t="s">
        <v>5319</v>
      </c>
      <c r="D4263" t="s">
        <v>266</v>
      </c>
      <c r="E4263" t="s">
        <v>25</v>
      </c>
      <c r="F4263" t="s">
        <v>493</v>
      </c>
      <c r="G4263" t="s">
        <v>2857</v>
      </c>
      <c r="H4263" s="9">
        <v>44733</v>
      </c>
      <c r="I4263" t="s">
        <v>8634</v>
      </c>
      <c r="J4263" t="s">
        <v>0</v>
      </c>
      <c r="K4263" s="9">
        <v>44862</v>
      </c>
      <c r="L4263" t="s">
        <v>29</v>
      </c>
      <c r="M4263"/>
      <c r="N4263" s="9">
        <v>44778</v>
      </c>
      <c r="O4263"/>
      <c r="P4263"/>
      <c r="Q4263" s="9">
        <v>44862</v>
      </c>
      <c r="R4263"/>
      <c r="S4263"/>
      <c r="T4263"/>
      <c r="U4263"/>
    </row>
    <row r="4264" spans="1:21" hidden="1">
      <c r="A4264" s="7" t="s">
        <v>8758</v>
      </c>
      <c r="B4264" s="7" t="s">
        <v>5405</v>
      </c>
      <c r="C4264" s="8" t="s">
        <v>5319</v>
      </c>
      <c r="D4264" t="s">
        <v>266</v>
      </c>
      <c r="E4264" t="s">
        <v>25</v>
      </c>
      <c r="F4264" t="s">
        <v>493</v>
      </c>
      <c r="G4264" t="s">
        <v>2858</v>
      </c>
      <c r="H4264" s="9">
        <v>44733</v>
      </c>
      <c r="I4264" t="s">
        <v>8634</v>
      </c>
      <c r="J4264" t="s">
        <v>5330</v>
      </c>
      <c r="K4264" s="9">
        <v>44834</v>
      </c>
      <c r="L4264" t="s">
        <v>29</v>
      </c>
      <c r="M4264"/>
      <c r="N4264" s="9">
        <v>44778</v>
      </c>
      <c r="O4264" s="9">
        <v>44834</v>
      </c>
      <c r="P4264"/>
      <c r="Q4264"/>
      <c r="R4264"/>
      <c r="S4264"/>
      <c r="T4264"/>
      <c r="U4264"/>
    </row>
    <row r="4265" spans="1:21" hidden="1">
      <c r="A4265" s="7" t="s">
        <v>8758</v>
      </c>
      <c r="B4265" s="7" t="s">
        <v>5405</v>
      </c>
      <c r="C4265" s="8" t="s">
        <v>5319</v>
      </c>
      <c r="D4265" t="s">
        <v>266</v>
      </c>
      <c r="E4265" t="s">
        <v>25</v>
      </c>
      <c r="F4265" t="s">
        <v>493</v>
      </c>
      <c r="G4265" t="s">
        <v>2859</v>
      </c>
      <c r="H4265" s="9">
        <v>44733</v>
      </c>
      <c r="I4265" t="s">
        <v>8634</v>
      </c>
      <c r="J4265" t="s">
        <v>5330</v>
      </c>
      <c r="K4265" s="9">
        <v>44834</v>
      </c>
      <c r="L4265" t="s">
        <v>29</v>
      </c>
      <c r="M4265"/>
      <c r="N4265" s="9">
        <v>44778</v>
      </c>
      <c r="O4265" s="9">
        <v>44834</v>
      </c>
      <c r="P4265"/>
      <c r="Q4265"/>
      <c r="R4265"/>
      <c r="S4265"/>
      <c r="T4265"/>
      <c r="U4265"/>
    </row>
    <row r="4266" spans="1:21" hidden="1">
      <c r="A4266" s="7" t="s">
        <v>8758</v>
      </c>
      <c r="B4266" s="7" t="s">
        <v>5405</v>
      </c>
      <c r="C4266" s="8" t="s">
        <v>5319</v>
      </c>
      <c r="D4266" t="s">
        <v>266</v>
      </c>
      <c r="E4266" t="s">
        <v>25</v>
      </c>
      <c r="F4266" t="s">
        <v>493</v>
      </c>
      <c r="G4266" t="s">
        <v>3832</v>
      </c>
      <c r="H4266" s="9">
        <v>44733</v>
      </c>
      <c r="I4266" t="s">
        <v>8634</v>
      </c>
      <c r="J4266" t="s">
        <v>0</v>
      </c>
      <c r="K4266" s="9">
        <v>44862</v>
      </c>
      <c r="L4266" t="s">
        <v>29</v>
      </c>
      <c r="M4266"/>
      <c r="N4266" s="9">
        <v>44778</v>
      </c>
      <c r="O4266"/>
      <c r="P4266"/>
      <c r="Q4266" s="9">
        <v>44862</v>
      </c>
      <c r="R4266"/>
      <c r="S4266"/>
      <c r="T4266"/>
      <c r="U4266"/>
    </row>
    <row r="4267" spans="1:21" hidden="1">
      <c r="A4267" s="7" t="s">
        <v>8758</v>
      </c>
      <c r="B4267" s="7" t="s">
        <v>5405</v>
      </c>
      <c r="C4267" s="8" t="s">
        <v>5319</v>
      </c>
      <c r="D4267" t="s">
        <v>266</v>
      </c>
      <c r="E4267" t="s">
        <v>25</v>
      </c>
      <c r="F4267" t="s">
        <v>493</v>
      </c>
      <c r="G4267" t="s">
        <v>3833</v>
      </c>
      <c r="H4267" s="9">
        <v>44733</v>
      </c>
      <c r="I4267" t="s">
        <v>8634</v>
      </c>
      <c r="J4267" t="s">
        <v>5330</v>
      </c>
      <c r="K4267" s="9">
        <v>44834</v>
      </c>
      <c r="L4267" t="s">
        <v>29</v>
      </c>
      <c r="M4267"/>
      <c r="N4267" s="9">
        <v>44778</v>
      </c>
      <c r="O4267" s="9">
        <v>44834</v>
      </c>
      <c r="P4267"/>
      <c r="Q4267"/>
      <c r="R4267"/>
      <c r="S4267"/>
      <c r="T4267"/>
      <c r="U4267"/>
    </row>
    <row r="4268" spans="1:21" hidden="1">
      <c r="A4268" s="7" t="s">
        <v>8758</v>
      </c>
      <c r="B4268" s="7" t="s">
        <v>5405</v>
      </c>
      <c r="C4268" s="8" t="s">
        <v>5319</v>
      </c>
      <c r="D4268" t="s">
        <v>266</v>
      </c>
      <c r="E4268" t="s">
        <v>25</v>
      </c>
      <c r="F4268" t="s">
        <v>493</v>
      </c>
      <c r="G4268" t="s">
        <v>3834</v>
      </c>
      <c r="H4268" s="9">
        <v>44733</v>
      </c>
      <c r="I4268" t="s">
        <v>8634</v>
      </c>
      <c r="J4268" t="s">
        <v>0</v>
      </c>
      <c r="K4268" s="9">
        <v>44862</v>
      </c>
      <c r="L4268" t="s">
        <v>29</v>
      </c>
      <c r="M4268"/>
      <c r="N4268" s="9">
        <v>44778</v>
      </c>
      <c r="O4268"/>
      <c r="P4268"/>
      <c r="Q4268" s="9">
        <v>44862</v>
      </c>
      <c r="R4268"/>
      <c r="S4268"/>
      <c r="T4268"/>
      <c r="U4268"/>
    </row>
    <row r="4269" spans="1:21" hidden="1">
      <c r="A4269" s="7" t="s">
        <v>8758</v>
      </c>
      <c r="B4269" s="7" t="s">
        <v>5405</v>
      </c>
      <c r="C4269" s="8" t="s">
        <v>5319</v>
      </c>
      <c r="D4269" t="s">
        <v>266</v>
      </c>
      <c r="E4269" t="s">
        <v>25</v>
      </c>
      <c r="F4269" t="s">
        <v>493</v>
      </c>
      <c r="G4269" t="s">
        <v>2861</v>
      </c>
      <c r="H4269" s="9">
        <v>44733</v>
      </c>
      <c r="I4269" t="s">
        <v>8634</v>
      </c>
      <c r="J4269" t="s">
        <v>0</v>
      </c>
      <c r="K4269" s="9">
        <v>44862</v>
      </c>
      <c r="L4269" t="s">
        <v>29</v>
      </c>
      <c r="M4269"/>
      <c r="N4269" s="9">
        <v>44778</v>
      </c>
      <c r="O4269"/>
      <c r="P4269"/>
      <c r="Q4269" s="9">
        <v>44862</v>
      </c>
      <c r="R4269"/>
      <c r="S4269"/>
      <c r="T4269"/>
      <c r="U4269"/>
    </row>
    <row r="4270" spans="1:21" hidden="1">
      <c r="A4270" s="7" t="s">
        <v>8758</v>
      </c>
      <c r="B4270" s="7" t="s">
        <v>5405</v>
      </c>
      <c r="C4270" s="8" t="s">
        <v>5319</v>
      </c>
      <c r="D4270" t="s">
        <v>266</v>
      </c>
      <c r="E4270" t="s">
        <v>25</v>
      </c>
      <c r="F4270" t="s">
        <v>493</v>
      </c>
      <c r="G4270" t="s">
        <v>3835</v>
      </c>
      <c r="H4270" s="9">
        <v>44733</v>
      </c>
      <c r="I4270" t="s">
        <v>8634</v>
      </c>
      <c r="J4270" t="s">
        <v>0</v>
      </c>
      <c r="K4270" s="9">
        <v>44862</v>
      </c>
      <c r="L4270" t="s">
        <v>29</v>
      </c>
      <c r="M4270"/>
      <c r="N4270" s="9">
        <v>44778</v>
      </c>
      <c r="O4270"/>
      <c r="P4270"/>
      <c r="Q4270" s="9">
        <v>44862</v>
      </c>
      <c r="R4270"/>
      <c r="S4270"/>
      <c r="T4270"/>
      <c r="U4270"/>
    </row>
    <row r="4271" spans="1:21" hidden="1">
      <c r="A4271" s="7" t="s">
        <v>8758</v>
      </c>
      <c r="B4271" s="7" t="s">
        <v>5405</v>
      </c>
      <c r="C4271" s="8" t="s">
        <v>5319</v>
      </c>
      <c r="D4271" t="s">
        <v>266</v>
      </c>
      <c r="E4271" t="s">
        <v>25</v>
      </c>
      <c r="F4271" t="s">
        <v>493</v>
      </c>
      <c r="G4271" t="s">
        <v>2866</v>
      </c>
      <c r="H4271" s="9">
        <v>44733</v>
      </c>
      <c r="I4271" t="s">
        <v>8634</v>
      </c>
      <c r="J4271" t="s">
        <v>0</v>
      </c>
      <c r="K4271" s="9">
        <v>44862</v>
      </c>
      <c r="L4271" t="s">
        <v>29</v>
      </c>
      <c r="M4271"/>
      <c r="N4271" s="9">
        <v>44778</v>
      </c>
      <c r="O4271"/>
      <c r="P4271"/>
      <c r="Q4271" s="9">
        <v>44862</v>
      </c>
      <c r="R4271"/>
      <c r="S4271"/>
      <c r="T4271"/>
      <c r="U4271"/>
    </row>
    <row r="4272" spans="1:21" hidden="1">
      <c r="A4272" s="7" t="s">
        <v>8758</v>
      </c>
      <c r="B4272" s="7" t="s">
        <v>5405</v>
      </c>
      <c r="C4272" s="8" t="s">
        <v>5319</v>
      </c>
      <c r="D4272" t="s">
        <v>266</v>
      </c>
      <c r="E4272" t="s">
        <v>25</v>
      </c>
      <c r="F4272" t="s">
        <v>493</v>
      </c>
      <c r="G4272" t="s">
        <v>3836</v>
      </c>
      <c r="H4272" s="9">
        <v>44733</v>
      </c>
      <c r="I4272" t="s">
        <v>8634</v>
      </c>
      <c r="J4272" t="s">
        <v>5330</v>
      </c>
      <c r="K4272" s="9">
        <v>44834</v>
      </c>
      <c r="L4272" t="s">
        <v>29</v>
      </c>
      <c r="M4272"/>
      <c r="N4272" s="9">
        <v>44778</v>
      </c>
      <c r="O4272" s="9">
        <v>44834</v>
      </c>
      <c r="P4272"/>
      <c r="Q4272"/>
      <c r="R4272"/>
      <c r="S4272"/>
      <c r="T4272"/>
      <c r="U4272"/>
    </row>
    <row r="4273" spans="1:21" hidden="1">
      <c r="A4273" s="7" t="s">
        <v>8758</v>
      </c>
      <c r="B4273" s="7" t="s">
        <v>5405</v>
      </c>
      <c r="C4273" s="8" t="s">
        <v>5319</v>
      </c>
      <c r="D4273" t="s">
        <v>266</v>
      </c>
      <c r="E4273" t="s">
        <v>25</v>
      </c>
      <c r="F4273" t="s">
        <v>493</v>
      </c>
      <c r="G4273" t="s">
        <v>2871</v>
      </c>
      <c r="H4273" s="9">
        <v>44733</v>
      </c>
      <c r="I4273" t="s">
        <v>8634</v>
      </c>
      <c r="J4273" t="s">
        <v>0</v>
      </c>
      <c r="K4273" s="9">
        <v>44862</v>
      </c>
      <c r="L4273" t="s">
        <v>29</v>
      </c>
      <c r="M4273"/>
      <c r="N4273" s="9">
        <v>44778</v>
      </c>
      <c r="O4273"/>
      <c r="P4273"/>
      <c r="Q4273" s="9">
        <v>44862</v>
      </c>
      <c r="R4273"/>
      <c r="S4273"/>
      <c r="T4273"/>
      <c r="U4273"/>
    </row>
    <row r="4274" spans="1:21" hidden="1">
      <c r="A4274" s="7" t="s">
        <v>8758</v>
      </c>
      <c r="B4274" s="7" t="s">
        <v>5405</v>
      </c>
      <c r="C4274" s="8" t="s">
        <v>5319</v>
      </c>
      <c r="D4274" t="s">
        <v>266</v>
      </c>
      <c r="E4274" t="s">
        <v>25</v>
      </c>
      <c r="F4274" t="s">
        <v>493</v>
      </c>
      <c r="G4274" t="s">
        <v>3837</v>
      </c>
      <c r="H4274" s="9">
        <v>44733</v>
      </c>
      <c r="I4274" t="s">
        <v>8634</v>
      </c>
      <c r="J4274" t="s">
        <v>0</v>
      </c>
      <c r="K4274" s="9">
        <v>44862</v>
      </c>
      <c r="L4274" t="s">
        <v>29</v>
      </c>
      <c r="M4274"/>
      <c r="N4274" s="9">
        <v>44778</v>
      </c>
      <c r="O4274"/>
      <c r="P4274"/>
      <c r="Q4274" s="9">
        <v>44862</v>
      </c>
      <c r="R4274"/>
      <c r="S4274"/>
      <c r="T4274"/>
      <c r="U4274"/>
    </row>
    <row r="4275" spans="1:21" hidden="1">
      <c r="A4275" s="7" t="s">
        <v>8758</v>
      </c>
      <c r="B4275" s="7" t="s">
        <v>5405</v>
      </c>
      <c r="C4275" s="8" t="s">
        <v>5319</v>
      </c>
      <c r="D4275" t="s">
        <v>266</v>
      </c>
      <c r="E4275" t="s">
        <v>25</v>
      </c>
      <c r="F4275" t="s">
        <v>493</v>
      </c>
      <c r="G4275" t="s">
        <v>3838</v>
      </c>
      <c r="H4275" s="9">
        <v>44733</v>
      </c>
      <c r="I4275" t="s">
        <v>8634</v>
      </c>
      <c r="J4275" t="s">
        <v>0</v>
      </c>
      <c r="K4275" s="9">
        <v>44862</v>
      </c>
      <c r="L4275" t="s">
        <v>29</v>
      </c>
      <c r="M4275"/>
      <c r="N4275" s="9">
        <v>44778</v>
      </c>
      <c r="O4275"/>
      <c r="P4275"/>
      <c r="Q4275" s="9">
        <v>44862</v>
      </c>
      <c r="R4275"/>
      <c r="S4275"/>
      <c r="T4275"/>
      <c r="U4275"/>
    </row>
    <row r="4276" spans="1:21" hidden="1">
      <c r="A4276" s="7" t="s">
        <v>8758</v>
      </c>
      <c r="B4276" s="7" t="s">
        <v>5405</v>
      </c>
      <c r="C4276" s="8" t="s">
        <v>5319</v>
      </c>
      <c r="D4276" t="s">
        <v>266</v>
      </c>
      <c r="E4276" t="s">
        <v>25</v>
      </c>
      <c r="F4276" t="s">
        <v>493</v>
      </c>
      <c r="G4276" t="s">
        <v>2876</v>
      </c>
      <c r="H4276" s="9">
        <v>44733</v>
      </c>
      <c r="I4276" t="s">
        <v>8634</v>
      </c>
      <c r="J4276" t="s">
        <v>0</v>
      </c>
      <c r="K4276" s="9">
        <v>44862</v>
      </c>
      <c r="L4276" t="s">
        <v>29</v>
      </c>
      <c r="M4276"/>
      <c r="N4276" s="9">
        <v>44778</v>
      </c>
      <c r="O4276"/>
      <c r="P4276"/>
      <c r="Q4276" s="9">
        <v>44862</v>
      </c>
      <c r="R4276"/>
      <c r="S4276"/>
      <c r="T4276"/>
      <c r="U4276"/>
    </row>
    <row r="4277" spans="1:21" hidden="1">
      <c r="A4277" s="7" t="s">
        <v>8758</v>
      </c>
      <c r="B4277" s="7" t="s">
        <v>5405</v>
      </c>
      <c r="C4277" s="8" t="s">
        <v>5319</v>
      </c>
      <c r="D4277" t="s">
        <v>266</v>
      </c>
      <c r="E4277" t="s">
        <v>25</v>
      </c>
      <c r="F4277" t="s">
        <v>493</v>
      </c>
      <c r="G4277" t="s">
        <v>3839</v>
      </c>
      <c r="H4277" s="9">
        <v>44733</v>
      </c>
      <c r="I4277" t="s">
        <v>8634</v>
      </c>
      <c r="J4277" t="s">
        <v>0</v>
      </c>
      <c r="K4277" s="9">
        <v>44862</v>
      </c>
      <c r="L4277" t="s">
        <v>29</v>
      </c>
      <c r="M4277"/>
      <c r="N4277" s="9">
        <v>44778</v>
      </c>
      <c r="O4277"/>
      <c r="P4277"/>
      <c r="Q4277" s="9">
        <v>44862</v>
      </c>
      <c r="R4277"/>
      <c r="S4277"/>
      <c r="T4277"/>
      <c r="U4277"/>
    </row>
    <row r="4278" spans="1:21" hidden="1">
      <c r="A4278" s="7" t="s">
        <v>8758</v>
      </c>
      <c r="B4278" s="7" t="s">
        <v>5405</v>
      </c>
      <c r="C4278" s="8" t="s">
        <v>5319</v>
      </c>
      <c r="D4278" t="s">
        <v>266</v>
      </c>
      <c r="E4278" t="s">
        <v>25</v>
      </c>
      <c r="F4278" t="s">
        <v>493</v>
      </c>
      <c r="G4278" t="s">
        <v>3840</v>
      </c>
      <c r="H4278" s="9">
        <v>44733</v>
      </c>
      <c r="I4278" t="s">
        <v>8634</v>
      </c>
      <c r="J4278" t="s">
        <v>0</v>
      </c>
      <c r="K4278" s="9">
        <v>44862</v>
      </c>
      <c r="L4278" t="s">
        <v>29</v>
      </c>
      <c r="M4278"/>
      <c r="N4278" s="9">
        <v>44778</v>
      </c>
      <c r="O4278"/>
      <c r="P4278"/>
      <c r="Q4278" s="9">
        <v>44862</v>
      </c>
      <c r="R4278"/>
      <c r="S4278"/>
      <c r="T4278"/>
      <c r="U4278"/>
    </row>
    <row r="4279" spans="1:21" hidden="1">
      <c r="A4279" s="7" t="s">
        <v>8758</v>
      </c>
      <c r="B4279" s="7" t="s">
        <v>5405</v>
      </c>
      <c r="C4279" s="8" t="s">
        <v>5319</v>
      </c>
      <c r="D4279" t="s">
        <v>266</v>
      </c>
      <c r="E4279" t="s">
        <v>25</v>
      </c>
      <c r="F4279" t="s">
        <v>493</v>
      </c>
      <c r="G4279" t="s">
        <v>594</v>
      </c>
      <c r="H4279" s="9">
        <v>44733</v>
      </c>
      <c r="I4279" t="s">
        <v>8634</v>
      </c>
      <c r="J4279" t="s">
        <v>0</v>
      </c>
      <c r="K4279" s="9">
        <v>44862</v>
      </c>
      <c r="L4279" t="s">
        <v>29</v>
      </c>
      <c r="M4279"/>
      <c r="N4279" s="9">
        <v>44778</v>
      </c>
      <c r="O4279"/>
      <c r="P4279"/>
      <c r="Q4279" s="9">
        <v>44862</v>
      </c>
      <c r="R4279"/>
      <c r="S4279"/>
      <c r="T4279"/>
      <c r="U4279"/>
    </row>
    <row r="4280" spans="1:21" hidden="1">
      <c r="A4280" s="7" t="s">
        <v>8758</v>
      </c>
      <c r="B4280" s="7" t="s">
        <v>5405</v>
      </c>
      <c r="C4280" s="8" t="s">
        <v>5319</v>
      </c>
      <c r="D4280" t="s">
        <v>266</v>
      </c>
      <c r="E4280" t="s">
        <v>25</v>
      </c>
      <c r="F4280" t="s">
        <v>493</v>
      </c>
      <c r="G4280" t="s">
        <v>3841</v>
      </c>
      <c r="H4280" s="9">
        <v>44733</v>
      </c>
      <c r="I4280" t="s">
        <v>8634</v>
      </c>
      <c r="J4280" t="s">
        <v>0</v>
      </c>
      <c r="K4280" s="9">
        <v>44862</v>
      </c>
      <c r="L4280" t="s">
        <v>29</v>
      </c>
      <c r="M4280"/>
      <c r="N4280" s="9">
        <v>44778</v>
      </c>
      <c r="O4280"/>
      <c r="P4280"/>
      <c r="Q4280" s="9">
        <v>44862</v>
      </c>
      <c r="R4280"/>
      <c r="S4280"/>
      <c r="T4280"/>
      <c r="U4280"/>
    </row>
    <row r="4281" spans="1:21" hidden="1">
      <c r="A4281" s="7" t="s">
        <v>8758</v>
      </c>
      <c r="B4281" s="7" t="s">
        <v>5405</v>
      </c>
      <c r="C4281" s="8" t="s">
        <v>5319</v>
      </c>
      <c r="D4281" t="s">
        <v>266</v>
      </c>
      <c r="E4281" t="s">
        <v>25</v>
      </c>
      <c r="F4281" t="s">
        <v>493</v>
      </c>
      <c r="G4281" t="s">
        <v>3842</v>
      </c>
      <c r="H4281" s="9">
        <v>44733</v>
      </c>
      <c r="I4281" t="s">
        <v>8634</v>
      </c>
      <c r="J4281" t="s">
        <v>0</v>
      </c>
      <c r="K4281" s="9">
        <v>44862</v>
      </c>
      <c r="L4281" t="s">
        <v>29</v>
      </c>
      <c r="M4281"/>
      <c r="N4281" s="9">
        <v>44778</v>
      </c>
      <c r="O4281"/>
      <c r="P4281"/>
      <c r="Q4281" s="9">
        <v>44862</v>
      </c>
      <c r="R4281"/>
      <c r="S4281"/>
      <c r="T4281"/>
      <c r="U4281"/>
    </row>
    <row r="4282" spans="1:21" hidden="1">
      <c r="A4282" s="7" t="s">
        <v>8758</v>
      </c>
      <c r="B4282" s="7" t="s">
        <v>5405</v>
      </c>
      <c r="C4282" s="8" t="s">
        <v>5319</v>
      </c>
      <c r="D4282" t="s">
        <v>266</v>
      </c>
      <c r="E4282" t="s">
        <v>25</v>
      </c>
      <c r="F4282" t="s">
        <v>493</v>
      </c>
      <c r="G4282" t="s">
        <v>3843</v>
      </c>
      <c r="H4282" s="9">
        <v>44733</v>
      </c>
      <c r="I4282" t="s">
        <v>8634</v>
      </c>
      <c r="J4282" t="s">
        <v>5330</v>
      </c>
      <c r="K4282" s="9">
        <v>44834</v>
      </c>
      <c r="L4282" t="s">
        <v>29</v>
      </c>
      <c r="M4282"/>
      <c r="N4282" s="9">
        <v>44778</v>
      </c>
      <c r="O4282" s="9">
        <v>44834</v>
      </c>
      <c r="P4282"/>
      <c r="Q4282"/>
      <c r="R4282"/>
      <c r="S4282"/>
      <c r="T4282"/>
      <c r="U4282"/>
    </row>
    <row r="4283" spans="1:21" hidden="1">
      <c r="A4283" s="7" t="s">
        <v>8758</v>
      </c>
      <c r="B4283" s="7" t="s">
        <v>5405</v>
      </c>
      <c r="C4283" s="8" t="s">
        <v>5319</v>
      </c>
      <c r="D4283" t="s">
        <v>266</v>
      </c>
      <c r="E4283" t="s">
        <v>25</v>
      </c>
      <c r="F4283" t="s">
        <v>493</v>
      </c>
      <c r="G4283" t="s">
        <v>3844</v>
      </c>
      <c r="H4283" s="9">
        <v>44733</v>
      </c>
      <c r="I4283" t="s">
        <v>8634</v>
      </c>
      <c r="J4283" t="s">
        <v>0</v>
      </c>
      <c r="K4283" s="9">
        <v>44862</v>
      </c>
      <c r="L4283" t="s">
        <v>29</v>
      </c>
      <c r="M4283"/>
      <c r="N4283" s="9">
        <v>44778</v>
      </c>
      <c r="O4283"/>
      <c r="P4283"/>
      <c r="Q4283" s="9">
        <v>44862</v>
      </c>
      <c r="R4283"/>
      <c r="S4283"/>
      <c r="T4283"/>
      <c r="U4283"/>
    </row>
    <row r="4284" spans="1:21" hidden="1">
      <c r="A4284" s="7" t="s">
        <v>8758</v>
      </c>
      <c r="B4284" s="7" t="s">
        <v>5405</v>
      </c>
      <c r="C4284" s="8" t="s">
        <v>5319</v>
      </c>
      <c r="D4284" t="s">
        <v>266</v>
      </c>
      <c r="E4284" t="s">
        <v>25</v>
      </c>
      <c r="F4284" t="s">
        <v>493</v>
      </c>
      <c r="G4284" t="s">
        <v>3845</v>
      </c>
      <c r="H4284" s="9">
        <v>44733</v>
      </c>
      <c r="I4284" t="s">
        <v>8634</v>
      </c>
      <c r="J4284" t="s">
        <v>5330</v>
      </c>
      <c r="K4284" s="9">
        <v>44834</v>
      </c>
      <c r="L4284" t="s">
        <v>29</v>
      </c>
      <c r="M4284"/>
      <c r="N4284" s="9">
        <v>44778</v>
      </c>
      <c r="O4284" s="9">
        <v>44834</v>
      </c>
      <c r="P4284"/>
      <c r="Q4284"/>
      <c r="R4284"/>
      <c r="S4284"/>
      <c r="T4284"/>
      <c r="U4284"/>
    </row>
    <row r="4285" spans="1:21" hidden="1">
      <c r="A4285" s="7" t="s">
        <v>8758</v>
      </c>
      <c r="B4285" s="7" t="s">
        <v>5405</v>
      </c>
      <c r="C4285" s="8" t="s">
        <v>5319</v>
      </c>
      <c r="D4285" t="s">
        <v>266</v>
      </c>
      <c r="E4285" t="s">
        <v>25</v>
      </c>
      <c r="F4285" t="s">
        <v>493</v>
      </c>
      <c r="G4285" t="s">
        <v>2882</v>
      </c>
      <c r="H4285" s="9">
        <v>44733</v>
      </c>
      <c r="I4285" t="s">
        <v>8634</v>
      </c>
      <c r="J4285" t="s">
        <v>0</v>
      </c>
      <c r="K4285" s="9">
        <v>44862</v>
      </c>
      <c r="L4285" t="s">
        <v>29</v>
      </c>
      <c r="M4285"/>
      <c r="N4285" s="9">
        <v>44778</v>
      </c>
      <c r="O4285"/>
      <c r="P4285"/>
      <c r="Q4285" s="9">
        <v>44862</v>
      </c>
      <c r="R4285"/>
      <c r="S4285"/>
      <c r="T4285"/>
      <c r="U4285"/>
    </row>
    <row r="4286" spans="1:21" hidden="1">
      <c r="A4286" s="7" t="s">
        <v>8825</v>
      </c>
      <c r="B4286" s="7" t="s">
        <v>5405</v>
      </c>
      <c r="C4286" s="8" t="s">
        <v>5319</v>
      </c>
      <c r="D4286" t="s">
        <v>266</v>
      </c>
      <c r="E4286" t="s">
        <v>25</v>
      </c>
      <c r="F4286" t="s">
        <v>111</v>
      </c>
      <c r="G4286" t="s">
        <v>3846</v>
      </c>
      <c r="H4286" s="9">
        <v>44733</v>
      </c>
      <c r="I4286" t="s">
        <v>8634</v>
      </c>
      <c r="J4286" t="s">
        <v>0</v>
      </c>
      <c r="K4286" s="9">
        <v>44881</v>
      </c>
      <c r="L4286" t="s">
        <v>29</v>
      </c>
      <c r="M4286"/>
      <c r="N4286" s="9">
        <v>44778</v>
      </c>
      <c r="O4286"/>
      <c r="P4286"/>
      <c r="Q4286" s="9">
        <v>44881</v>
      </c>
      <c r="R4286"/>
      <c r="S4286"/>
      <c r="T4286"/>
      <c r="U4286"/>
    </row>
    <row r="4287" spans="1:21" hidden="1">
      <c r="A4287" s="7" t="s">
        <v>8758</v>
      </c>
      <c r="B4287" s="7" t="s">
        <v>5405</v>
      </c>
      <c r="C4287" s="8" t="s">
        <v>5319</v>
      </c>
      <c r="D4287" t="s">
        <v>266</v>
      </c>
      <c r="E4287" t="s">
        <v>25</v>
      </c>
      <c r="F4287" t="s">
        <v>493</v>
      </c>
      <c r="G4287" t="s">
        <v>3847</v>
      </c>
      <c r="H4287" s="9">
        <v>44733</v>
      </c>
      <c r="I4287" t="s">
        <v>8634</v>
      </c>
      <c r="J4287" t="s">
        <v>0</v>
      </c>
      <c r="K4287" s="9">
        <v>44862</v>
      </c>
      <c r="L4287" t="s">
        <v>29</v>
      </c>
      <c r="M4287"/>
      <c r="N4287" s="9">
        <v>44778</v>
      </c>
      <c r="O4287"/>
      <c r="P4287"/>
      <c r="Q4287" s="9">
        <v>44862</v>
      </c>
      <c r="R4287"/>
      <c r="S4287"/>
      <c r="T4287"/>
      <c r="U4287"/>
    </row>
    <row r="4288" spans="1:21" hidden="1">
      <c r="A4288" s="7" t="s">
        <v>8758</v>
      </c>
      <c r="B4288" s="7" t="s">
        <v>5405</v>
      </c>
      <c r="C4288" s="8" t="s">
        <v>5319</v>
      </c>
      <c r="D4288" t="s">
        <v>266</v>
      </c>
      <c r="E4288" t="s">
        <v>25</v>
      </c>
      <c r="F4288" t="s">
        <v>493</v>
      </c>
      <c r="G4288" t="s">
        <v>2885</v>
      </c>
      <c r="H4288" s="9">
        <v>44733</v>
      </c>
      <c r="I4288" t="s">
        <v>8634</v>
      </c>
      <c r="J4288" t="s">
        <v>0</v>
      </c>
      <c r="K4288" s="9">
        <v>44862</v>
      </c>
      <c r="L4288" t="s">
        <v>29</v>
      </c>
      <c r="M4288"/>
      <c r="N4288" s="9">
        <v>44778</v>
      </c>
      <c r="O4288"/>
      <c r="P4288"/>
      <c r="Q4288" s="9">
        <v>44862</v>
      </c>
      <c r="R4288"/>
      <c r="S4288"/>
      <c r="T4288"/>
      <c r="U4288"/>
    </row>
    <row r="4289" spans="1:21" hidden="1">
      <c r="A4289" s="7" t="s">
        <v>8758</v>
      </c>
      <c r="B4289" s="7" t="s">
        <v>5405</v>
      </c>
      <c r="C4289" s="8" t="s">
        <v>5319</v>
      </c>
      <c r="D4289" t="s">
        <v>266</v>
      </c>
      <c r="E4289" t="s">
        <v>25</v>
      </c>
      <c r="F4289" t="s">
        <v>493</v>
      </c>
      <c r="G4289" t="s">
        <v>2886</v>
      </c>
      <c r="H4289" s="9">
        <v>44733</v>
      </c>
      <c r="I4289" t="s">
        <v>8634</v>
      </c>
      <c r="J4289" t="s">
        <v>0</v>
      </c>
      <c r="K4289" s="9">
        <v>44862</v>
      </c>
      <c r="L4289" t="s">
        <v>29</v>
      </c>
      <c r="M4289"/>
      <c r="N4289" s="9">
        <v>44778</v>
      </c>
      <c r="O4289"/>
      <c r="P4289"/>
      <c r="Q4289" s="9">
        <v>44862</v>
      </c>
      <c r="R4289"/>
      <c r="S4289"/>
      <c r="T4289"/>
      <c r="U4289"/>
    </row>
    <row r="4290" spans="1:21" hidden="1">
      <c r="A4290" s="7" t="s">
        <v>8758</v>
      </c>
      <c r="B4290" s="7" t="s">
        <v>5405</v>
      </c>
      <c r="C4290" s="8" t="s">
        <v>5319</v>
      </c>
      <c r="D4290" t="s">
        <v>266</v>
      </c>
      <c r="E4290" t="s">
        <v>25</v>
      </c>
      <c r="F4290" t="s">
        <v>493</v>
      </c>
      <c r="G4290" t="s">
        <v>3848</v>
      </c>
      <c r="H4290" s="9">
        <v>44733</v>
      </c>
      <c r="I4290" t="s">
        <v>8634</v>
      </c>
      <c r="J4290" t="s">
        <v>0</v>
      </c>
      <c r="K4290" s="9">
        <v>44862</v>
      </c>
      <c r="L4290" t="s">
        <v>29</v>
      </c>
      <c r="M4290"/>
      <c r="N4290" s="9">
        <v>44778</v>
      </c>
      <c r="O4290"/>
      <c r="P4290"/>
      <c r="Q4290" s="9">
        <v>44862</v>
      </c>
      <c r="R4290"/>
      <c r="S4290"/>
      <c r="T4290"/>
      <c r="U4290"/>
    </row>
    <row r="4291" spans="1:21" hidden="1">
      <c r="A4291" s="7" t="s">
        <v>8758</v>
      </c>
      <c r="B4291" s="7" t="s">
        <v>5405</v>
      </c>
      <c r="C4291" s="8" t="s">
        <v>5319</v>
      </c>
      <c r="D4291" t="s">
        <v>266</v>
      </c>
      <c r="E4291" t="s">
        <v>25</v>
      </c>
      <c r="F4291" t="s">
        <v>493</v>
      </c>
      <c r="G4291" t="s">
        <v>3849</v>
      </c>
      <c r="H4291" s="9">
        <v>44733</v>
      </c>
      <c r="I4291" t="s">
        <v>8634</v>
      </c>
      <c r="J4291" t="s">
        <v>0</v>
      </c>
      <c r="K4291" s="9">
        <v>44862</v>
      </c>
      <c r="L4291" t="s">
        <v>29</v>
      </c>
      <c r="M4291"/>
      <c r="N4291" s="9">
        <v>44778</v>
      </c>
      <c r="O4291"/>
      <c r="P4291"/>
      <c r="Q4291" s="9">
        <v>44862</v>
      </c>
      <c r="R4291"/>
      <c r="S4291"/>
      <c r="T4291"/>
      <c r="U4291"/>
    </row>
    <row r="4292" spans="1:21" hidden="1">
      <c r="A4292" s="7" t="s">
        <v>8758</v>
      </c>
      <c r="B4292" s="7" t="s">
        <v>5405</v>
      </c>
      <c r="C4292" s="8" t="s">
        <v>5319</v>
      </c>
      <c r="D4292" t="s">
        <v>266</v>
      </c>
      <c r="E4292" t="s">
        <v>25</v>
      </c>
      <c r="F4292" t="s">
        <v>493</v>
      </c>
      <c r="G4292" t="s">
        <v>3850</v>
      </c>
      <c r="H4292" s="9">
        <v>44733</v>
      </c>
      <c r="I4292" t="s">
        <v>8634</v>
      </c>
      <c r="J4292" t="s">
        <v>0</v>
      </c>
      <c r="K4292" s="9">
        <v>44862</v>
      </c>
      <c r="L4292" t="s">
        <v>29</v>
      </c>
      <c r="M4292"/>
      <c r="N4292" s="9">
        <v>44778</v>
      </c>
      <c r="O4292"/>
      <c r="P4292"/>
      <c r="Q4292" s="9">
        <v>44862</v>
      </c>
      <c r="R4292"/>
      <c r="S4292"/>
      <c r="T4292"/>
      <c r="U4292"/>
    </row>
    <row r="4293" spans="1:21" hidden="1">
      <c r="A4293" s="7" t="s">
        <v>8758</v>
      </c>
      <c r="B4293" s="7" t="s">
        <v>5405</v>
      </c>
      <c r="C4293" s="8" t="s">
        <v>5319</v>
      </c>
      <c r="D4293" t="s">
        <v>266</v>
      </c>
      <c r="E4293" t="s">
        <v>25</v>
      </c>
      <c r="F4293" t="s">
        <v>493</v>
      </c>
      <c r="G4293" t="s">
        <v>3851</v>
      </c>
      <c r="H4293" s="9">
        <v>44733</v>
      </c>
      <c r="I4293" t="s">
        <v>8634</v>
      </c>
      <c r="J4293" t="s">
        <v>5330</v>
      </c>
      <c r="K4293" s="9">
        <v>44834</v>
      </c>
      <c r="L4293" t="s">
        <v>29</v>
      </c>
      <c r="M4293"/>
      <c r="N4293" s="9">
        <v>44778</v>
      </c>
      <c r="O4293" s="9">
        <v>44834</v>
      </c>
      <c r="P4293"/>
      <c r="Q4293"/>
      <c r="R4293"/>
      <c r="S4293"/>
      <c r="T4293"/>
      <c r="U4293"/>
    </row>
    <row r="4294" spans="1:21" hidden="1">
      <c r="A4294" s="7" t="s">
        <v>8758</v>
      </c>
      <c r="B4294" s="7" t="s">
        <v>5405</v>
      </c>
      <c r="C4294" s="8" t="s">
        <v>5319</v>
      </c>
      <c r="D4294" t="s">
        <v>266</v>
      </c>
      <c r="E4294" t="s">
        <v>25</v>
      </c>
      <c r="F4294" t="s">
        <v>493</v>
      </c>
      <c r="G4294" t="s">
        <v>2888</v>
      </c>
      <c r="H4294" s="9">
        <v>44733</v>
      </c>
      <c r="I4294" t="s">
        <v>8634</v>
      </c>
      <c r="J4294" t="s">
        <v>0</v>
      </c>
      <c r="K4294" s="9">
        <v>44862</v>
      </c>
      <c r="L4294" t="s">
        <v>29</v>
      </c>
      <c r="M4294"/>
      <c r="N4294" s="9">
        <v>44778</v>
      </c>
      <c r="O4294"/>
      <c r="P4294"/>
      <c r="Q4294" s="9">
        <v>44862</v>
      </c>
      <c r="R4294"/>
      <c r="S4294"/>
      <c r="T4294"/>
      <c r="U4294"/>
    </row>
    <row r="4295" spans="1:21" hidden="1">
      <c r="A4295" s="7" t="s">
        <v>8758</v>
      </c>
      <c r="B4295" s="7" t="s">
        <v>5405</v>
      </c>
      <c r="C4295" s="8" t="s">
        <v>5319</v>
      </c>
      <c r="D4295" t="s">
        <v>266</v>
      </c>
      <c r="E4295" t="s">
        <v>25</v>
      </c>
      <c r="F4295" t="s">
        <v>493</v>
      </c>
      <c r="G4295" t="s">
        <v>2889</v>
      </c>
      <c r="H4295" s="9">
        <v>44733</v>
      </c>
      <c r="I4295" t="s">
        <v>8634</v>
      </c>
      <c r="J4295" t="s">
        <v>0</v>
      </c>
      <c r="K4295" s="9">
        <v>44862</v>
      </c>
      <c r="L4295" t="s">
        <v>29</v>
      </c>
      <c r="M4295"/>
      <c r="N4295" s="9">
        <v>44778</v>
      </c>
      <c r="O4295"/>
      <c r="P4295"/>
      <c r="Q4295" s="9">
        <v>44862</v>
      </c>
      <c r="R4295"/>
      <c r="S4295"/>
      <c r="T4295"/>
      <c r="U4295"/>
    </row>
    <row r="4296" spans="1:21" hidden="1">
      <c r="A4296" s="7" t="s">
        <v>8758</v>
      </c>
      <c r="B4296" s="7" t="s">
        <v>5405</v>
      </c>
      <c r="C4296" s="8" t="s">
        <v>5319</v>
      </c>
      <c r="D4296" t="s">
        <v>266</v>
      </c>
      <c r="E4296" t="s">
        <v>25</v>
      </c>
      <c r="F4296" t="s">
        <v>493</v>
      </c>
      <c r="G4296" t="s">
        <v>2894</v>
      </c>
      <c r="H4296" s="9">
        <v>44733</v>
      </c>
      <c r="I4296" t="s">
        <v>8634</v>
      </c>
      <c r="J4296" t="s">
        <v>0</v>
      </c>
      <c r="K4296" s="9">
        <v>44862</v>
      </c>
      <c r="L4296" t="s">
        <v>29</v>
      </c>
      <c r="M4296"/>
      <c r="N4296" s="9">
        <v>44778</v>
      </c>
      <c r="O4296"/>
      <c r="P4296"/>
      <c r="Q4296" s="9">
        <v>44862</v>
      </c>
      <c r="R4296"/>
      <c r="S4296"/>
      <c r="T4296"/>
      <c r="U4296"/>
    </row>
    <row r="4297" spans="1:21" hidden="1">
      <c r="A4297" s="7" t="s">
        <v>8758</v>
      </c>
      <c r="B4297" s="7" t="s">
        <v>5405</v>
      </c>
      <c r="C4297" s="8" t="s">
        <v>5319</v>
      </c>
      <c r="D4297" t="s">
        <v>266</v>
      </c>
      <c r="E4297" t="s">
        <v>25</v>
      </c>
      <c r="F4297" t="s">
        <v>493</v>
      </c>
      <c r="G4297" t="s">
        <v>2898</v>
      </c>
      <c r="H4297" s="9">
        <v>44733</v>
      </c>
      <c r="I4297" t="s">
        <v>8634</v>
      </c>
      <c r="J4297" t="s">
        <v>0</v>
      </c>
      <c r="K4297" s="9">
        <v>44862</v>
      </c>
      <c r="L4297" t="s">
        <v>29</v>
      </c>
      <c r="M4297"/>
      <c r="N4297" s="9">
        <v>44778</v>
      </c>
      <c r="O4297"/>
      <c r="P4297"/>
      <c r="Q4297" s="9">
        <v>44862</v>
      </c>
      <c r="R4297"/>
      <c r="S4297"/>
      <c r="T4297"/>
      <c r="U4297"/>
    </row>
    <row r="4298" spans="1:21" hidden="1">
      <c r="A4298" s="7" t="s">
        <v>8758</v>
      </c>
      <c r="B4298" s="7" t="s">
        <v>5405</v>
      </c>
      <c r="C4298" s="8" t="s">
        <v>5319</v>
      </c>
      <c r="D4298" t="s">
        <v>266</v>
      </c>
      <c r="E4298" t="s">
        <v>25</v>
      </c>
      <c r="F4298" t="s">
        <v>493</v>
      </c>
      <c r="G4298" t="s">
        <v>3852</v>
      </c>
      <c r="H4298" s="9">
        <v>44733</v>
      </c>
      <c r="I4298" t="s">
        <v>8634</v>
      </c>
      <c r="J4298" t="s">
        <v>0</v>
      </c>
      <c r="K4298" s="9">
        <v>44862</v>
      </c>
      <c r="L4298" t="s">
        <v>29</v>
      </c>
      <c r="M4298"/>
      <c r="N4298" s="9">
        <v>44778</v>
      </c>
      <c r="O4298"/>
      <c r="P4298"/>
      <c r="Q4298" s="9">
        <v>44862</v>
      </c>
      <c r="R4298"/>
      <c r="S4298"/>
      <c r="T4298"/>
      <c r="U4298"/>
    </row>
    <row r="4299" spans="1:21" hidden="1">
      <c r="A4299" s="7" t="s">
        <v>8758</v>
      </c>
      <c r="B4299" s="7" t="s">
        <v>5405</v>
      </c>
      <c r="C4299" s="8" t="s">
        <v>5319</v>
      </c>
      <c r="D4299" t="s">
        <v>266</v>
      </c>
      <c r="E4299" t="s">
        <v>25</v>
      </c>
      <c r="F4299" t="s">
        <v>493</v>
      </c>
      <c r="G4299" t="s">
        <v>3853</v>
      </c>
      <c r="H4299" s="9">
        <v>44733</v>
      </c>
      <c r="I4299" t="s">
        <v>8634</v>
      </c>
      <c r="J4299" t="s">
        <v>0</v>
      </c>
      <c r="K4299" s="9">
        <v>44862</v>
      </c>
      <c r="L4299" t="s">
        <v>29</v>
      </c>
      <c r="M4299"/>
      <c r="N4299" s="9">
        <v>44778</v>
      </c>
      <c r="O4299"/>
      <c r="P4299"/>
      <c r="Q4299" s="9">
        <v>44862</v>
      </c>
      <c r="R4299"/>
      <c r="S4299"/>
      <c r="T4299"/>
      <c r="U4299"/>
    </row>
    <row r="4300" spans="1:21" hidden="1">
      <c r="A4300" s="7" t="s">
        <v>8758</v>
      </c>
      <c r="B4300" s="7" t="s">
        <v>5405</v>
      </c>
      <c r="C4300" s="8" t="s">
        <v>5319</v>
      </c>
      <c r="D4300" t="s">
        <v>266</v>
      </c>
      <c r="E4300" t="s">
        <v>25</v>
      </c>
      <c r="F4300" t="s">
        <v>493</v>
      </c>
      <c r="G4300" t="s">
        <v>3854</v>
      </c>
      <c r="H4300" s="9">
        <v>44733</v>
      </c>
      <c r="I4300" t="s">
        <v>8634</v>
      </c>
      <c r="J4300" t="s">
        <v>0</v>
      </c>
      <c r="K4300" s="9">
        <v>44862</v>
      </c>
      <c r="L4300" t="s">
        <v>29</v>
      </c>
      <c r="M4300"/>
      <c r="N4300" s="9">
        <v>44778</v>
      </c>
      <c r="O4300"/>
      <c r="P4300"/>
      <c r="Q4300" s="9">
        <v>44862</v>
      </c>
      <c r="R4300"/>
      <c r="S4300"/>
      <c r="T4300"/>
      <c r="U4300"/>
    </row>
    <row r="4301" spans="1:21" hidden="1">
      <c r="A4301" s="7" t="s">
        <v>8758</v>
      </c>
      <c r="B4301" s="7" t="s">
        <v>5405</v>
      </c>
      <c r="C4301" s="8" t="s">
        <v>5319</v>
      </c>
      <c r="D4301" t="s">
        <v>266</v>
      </c>
      <c r="E4301" t="s">
        <v>25</v>
      </c>
      <c r="F4301" t="s">
        <v>493</v>
      </c>
      <c r="G4301" t="s">
        <v>2906</v>
      </c>
      <c r="H4301" s="9">
        <v>44733</v>
      </c>
      <c r="I4301" t="s">
        <v>8634</v>
      </c>
      <c r="J4301" t="s">
        <v>0</v>
      </c>
      <c r="K4301" s="9">
        <v>44862</v>
      </c>
      <c r="L4301" t="s">
        <v>29</v>
      </c>
      <c r="M4301"/>
      <c r="N4301" s="9">
        <v>44778</v>
      </c>
      <c r="O4301"/>
      <c r="P4301"/>
      <c r="Q4301" s="9">
        <v>44862</v>
      </c>
      <c r="R4301"/>
      <c r="S4301"/>
      <c r="T4301"/>
      <c r="U4301"/>
    </row>
    <row r="4302" spans="1:21" hidden="1">
      <c r="A4302" s="7" t="s">
        <v>8758</v>
      </c>
      <c r="B4302" s="7" t="s">
        <v>5405</v>
      </c>
      <c r="C4302" s="8" t="s">
        <v>5319</v>
      </c>
      <c r="D4302" t="s">
        <v>266</v>
      </c>
      <c r="E4302" t="s">
        <v>25</v>
      </c>
      <c r="F4302" t="s">
        <v>493</v>
      </c>
      <c r="G4302" t="s">
        <v>2907</v>
      </c>
      <c r="H4302" s="9">
        <v>44733</v>
      </c>
      <c r="I4302" t="s">
        <v>8634</v>
      </c>
      <c r="J4302" t="s">
        <v>0</v>
      </c>
      <c r="K4302" s="9">
        <v>44862</v>
      </c>
      <c r="L4302" t="s">
        <v>29</v>
      </c>
      <c r="M4302"/>
      <c r="N4302" s="9">
        <v>44778</v>
      </c>
      <c r="O4302"/>
      <c r="P4302"/>
      <c r="Q4302" s="9">
        <v>44862</v>
      </c>
      <c r="R4302"/>
      <c r="S4302"/>
      <c r="T4302"/>
      <c r="U4302"/>
    </row>
    <row r="4303" spans="1:21" hidden="1">
      <c r="A4303" s="7" t="s">
        <v>8758</v>
      </c>
      <c r="B4303" s="7" t="s">
        <v>5405</v>
      </c>
      <c r="C4303" s="8" t="s">
        <v>5319</v>
      </c>
      <c r="D4303" t="s">
        <v>266</v>
      </c>
      <c r="E4303" t="s">
        <v>25</v>
      </c>
      <c r="F4303" t="s">
        <v>493</v>
      </c>
      <c r="G4303" t="s">
        <v>3855</v>
      </c>
      <c r="H4303" s="9">
        <v>44733</v>
      </c>
      <c r="I4303" t="s">
        <v>8634</v>
      </c>
      <c r="J4303" t="s">
        <v>0</v>
      </c>
      <c r="K4303" s="9">
        <v>44862</v>
      </c>
      <c r="L4303" t="s">
        <v>29</v>
      </c>
      <c r="M4303"/>
      <c r="N4303" s="9">
        <v>44778</v>
      </c>
      <c r="O4303"/>
      <c r="P4303"/>
      <c r="Q4303" s="9">
        <v>44862</v>
      </c>
      <c r="R4303"/>
      <c r="S4303"/>
      <c r="T4303"/>
      <c r="U4303"/>
    </row>
    <row r="4304" spans="1:21" hidden="1">
      <c r="A4304" s="7" t="s">
        <v>8758</v>
      </c>
      <c r="B4304" s="7" t="s">
        <v>5405</v>
      </c>
      <c r="C4304" s="8" t="s">
        <v>5319</v>
      </c>
      <c r="D4304" t="s">
        <v>266</v>
      </c>
      <c r="E4304" t="s">
        <v>25</v>
      </c>
      <c r="F4304" t="s">
        <v>493</v>
      </c>
      <c r="G4304" t="s">
        <v>2908</v>
      </c>
      <c r="H4304" s="9">
        <v>44733</v>
      </c>
      <c r="I4304" t="s">
        <v>8634</v>
      </c>
      <c r="J4304" t="s">
        <v>0</v>
      </c>
      <c r="K4304" s="9">
        <v>44862</v>
      </c>
      <c r="L4304" t="s">
        <v>29</v>
      </c>
      <c r="M4304"/>
      <c r="N4304" s="9">
        <v>44778</v>
      </c>
      <c r="O4304"/>
      <c r="P4304"/>
      <c r="Q4304" s="9">
        <v>44862</v>
      </c>
      <c r="R4304"/>
      <c r="S4304"/>
      <c r="T4304"/>
      <c r="U4304"/>
    </row>
    <row r="4305" spans="1:21" hidden="1">
      <c r="A4305" s="7" t="s">
        <v>8758</v>
      </c>
      <c r="B4305" s="7" t="s">
        <v>5405</v>
      </c>
      <c r="C4305" s="8" t="s">
        <v>5319</v>
      </c>
      <c r="D4305" t="s">
        <v>266</v>
      </c>
      <c r="E4305" t="s">
        <v>25</v>
      </c>
      <c r="F4305" t="s">
        <v>493</v>
      </c>
      <c r="G4305" t="s">
        <v>2909</v>
      </c>
      <c r="H4305" s="9">
        <v>44733</v>
      </c>
      <c r="I4305" t="s">
        <v>8634</v>
      </c>
      <c r="J4305" t="s">
        <v>0</v>
      </c>
      <c r="K4305" s="9">
        <v>44862</v>
      </c>
      <c r="L4305" t="s">
        <v>29</v>
      </c>
      <c r="M4305"/>
      <c r="N4305" s="9">
        <v>44778</v>
      </c>
      <c r="O4305"/>
      <c r="P4305"/>
      <c r="Q4305" s="9">
        <v>44862</v>
      </c>
      <c r="R4305"/>
      <c r="S4305"/>
      <c r="T4305"/>
      <c r="U4305"/>
    </row>
    <row r="4306" spans="1:21" hidden="1">
      <c r="A4306" s="7" t="s">
        <v>8758</v>
      </c>
      <c r="B4306" s="7" t="s">
        <v>5405</v>
      </c>
      <c r="C4306" s="8" t="s">
        <v>5319</v>
      </c>
      <c r="D4306" t="s">
        <v>266</v>
      </c>
      <c r="E4306" t="s">
        <v>25</v>
      </c>
      <c r="F4306" t="s">
        <v>493</v>
      </c>
      <c r="G4306" t="s">
        <v>3856</v>
      </c>
      <c r="H4306" s="9">
        <v>44733</v>
      </c>
      <c r="I4306" t="s">
        <v>8634</v>
      </c>
      <c r="J4306" t="s">
        <v>0</v>
      </c>
      <c r="K4306" s="9">
        <v>44862</v>
      </c>
      <c r="L4306" t="s">
        <v>29</v>
      </c>
      <c r="M4306"/>
      <c r="N4306" s="9">
        <v>44778</v>
      </c>
      <c r="O4306"/>
      <c r="P4306"/>
      <c r="Q4306" s="9">
        <v>44862</v>
      </c>
      <c r="R4306"/>
      <c r="S4306"/>
      <c r="T4306"/>
      <c r="U4306"/>
    </row>
    <row r="4307" spans="1:21" hidden="1">
      <c r="A4307" s="7" t="s">
        <v>8758</v>
      </c>
      <c r="B4307" s="7" t="s">
        <v>5405</v>
      </c>
      <c r="C4307" s="8" t="s">
        <v>5319</v>
      </c>
      <c r="D4307" t="s">
        <v>266</v>
      </c>
      <c r="E4307" t="s">
        <v>25</v>
      </c>
      <c r="F4307" t="s">
        <v>493</v>
      </c>
      <c r="G4307" t="s">
        <v>2910</v>
      </c>
      <c r="H4307" s="9">
        <v>44733</v>
      </c>
      <c r="I4307" t="s">
        <v>8634</v>
      </c>
      <c r="J4307" t="s">
        <v>0</v>
      </c>
      <c r="K4307" s="9">
        <v>44862</v>
      </c>
      <c r="L4307" t="s">
        <v>29</v>
      </c>
      <c r="M4307"/>
      <c r="N4307" s="9">
        <v>44778</v>
      </c>
      <c r="O4307"/>
      <c r="P4307"/>
      <c r="Q4307" s="9">
        <v>44862</v>
      </c>
      <c r="R4307"/>
      <c r="S4307"/>
      <c r="T4307"/>
      <c r="U4307"/>
    </row>
    <row r="4308" spans="1:21" hidden="1">
      <c r="A4308" s="7" t="s">
        <v>8758</v>
      </c>
      <c r="B4308" s="7" t="s">
        <v>5405</v>
      </c>
      <c r="C4308" s="8" t="s">
        <v>5319</v>
      </c>
      <c r="D4308" t="s">
        <v>266</v>
      </c>
      <c r="E4308" t="s">
        <v>25</v>
      </c>
      <c r="F4308" t="s">
        <v>493</v>
      </c>
      <c r="G4308" t="s">
        <v>3857</v>
      </c>
      <c r="H4308" s="9">
        <v>44733</v>
      </c>
      <c r="I4308" t="s">
        <v>8634</v>
      </c>
      <c r="J4308" t="s">
        <v>0</v>
      </c>
      <c r="K4308" s="9">
        <v>44862</v>
      </c>
      <c r="L4308" t="s">
        <v>29</v>
      </c>
      <c r="M4308"/>
      <c r="N4308" s="9">
        <v>44778</v>
      </c>
      <c r="O4308"/>
      <c r="P4308"/>
      <c r="Q4308" s="9">
        <v>44862</v>
      </c>
      <c r="R4308"/>
      <c r="S4308"/>
      <c r="T4308"/>
      <c r="U4308"/>
    </row>
    <row r="4309" spans="1:21" hidden="1">
      <c r="A4309" s="7" t="s">
        <v>8758</v>
      </c>
      <c r="B4309" s="7" t="s">
        <v>5405</v>
      </c>
      <c r="C4309" s="8" t="s">
        <v>5319</v>
      </c>
      <c r="D4309" t="s">
        <v>266</v>
      </c>
      <c r="E4309" t="s">
        <v>25</v>
      </c>
      <c r="F4309" t="s">
        <v>493</v>
      </c>
      <c r="G4309" t="s">
        <v>3858</v>
      </c>
      <c r="H4309" s="9">
        <v>44733</v>
      </c>
      <c r="I4309" t="s">
        <v>8634</v>
      </c>
      <c r="J4309" t="s">
        <v>0</v>
      </c>
      <c r="K4309" s="9">
        <v>44862</v>
      </c>
      <c r="L4309" t="s">
        <v>29</v>
      </c>
      <c r="M4309"/>
      <c r="N4309" s="9">
        <v>44778</v>
      </c>
      <c r="O4309"/>
      <c r="P4309"/>
      <c r="Q4309" s="9">
        <v>44862</v>
      </c>
      <c r="R4309"/>
      <c r="S4309"/>
      <c r="T4309"/>
      <c r="U4309"/>
    </row>
    <row r="4310" spans="1:21" hidden="1">
      <c r="A4310" s="7" t="s">
        <v>8758</v>
      </c>
      <c r="B4310" s="7" t="s">
        <v>5405</v>
      </c>
      <c r="C4310" s="8" t="s">
        <v>5319</v>
      </c>
      <c r="D4310" t="s">
        <v>266</v>
      </c>
      <c r="E4310" t="s">
        <v>25</v>
      </c>
      <c r="F4310" t="s">
        <v>493</v>
      </c>
      <c r="G4310" t="s">
        <v>3859</v>
      </c>
      <c r="H4310" s="9">
        <v>44733</v>
      </c>
      <c r="I4310" t="s">
        <v>8634</v>
      </c>
      <c r="J4310" t="s">
        <v>0</v>
      </c>
      <c r="K4310" s="9">
        <v>44862</v>
      </c>
      <c r="L4310" t="s">
        <v>29</v>
      </c>
      <c r="M4310"/>
      <c r="N4310" s="9">
        <v>44778</v>
      </c>
      <c r="O4310"/>
      <c r="P4310"/>
      <c r="Q4310" s="9">
        <v>44862</v>
      </c>
      <c r="R4310"/>
      <c r="S4310"/>
      <c r="T4310"/>
      <c r="U4310"/>
    </row>
    <row r="4311" spans="1:21" hidden="1">
      <c r="A4311" s="7" t="s">
        <v>8758</v>
      </c>
      <c r="B4311" s="7" t="s">
        <v>5405</v>
      </c>
      <c r="C4311" s="8" t="s">
        <v>5319</v>
      </c>
      <c r="D4311" t="s">
        <v>266</v>
      </c>
      <c r="E4311" t="s">
        <v>25</v>
      </c>
      <c r="F4311" t="s">
        <v>493</v>
      </c>
      <c r="G4311" t="s">
        <v>3860</v>
      </c>
      <c r="H4311" s="9">
        <v>44733</v>
      </c>
      <c r="I4311" t="s">
        <v>8634</v>
      </c>
      <c r="J4311" t="s">
        <v>0</v>
      </c>
      <c r="K4311" s="9">
        <v>44862</v>
      </c>
      <c r="L4311" t="s">
        <v>29</v>
      </c>
      <c r="M4311"/>
      <c r="N4311" s="9">
        <v>44778</v>
      </c>
      <c r="O4311"/>
      <c r="P4311"/>
      <c r="Q4311" s="9">
        <v>44862</v>
      </c>
      <c r="R4311"/>
      <c r="S4311"/>
      <c r="T4311"/>
      <c r="U4311"/>
    </row>
    <row r="4312" spans="1:21" hidden="1">
      <c r="A4312" s="7" t="s">
        <v>8758</v>
      </c>
      <c r="B4312" s="7" t="s">
        <v>5405</v>
      </c>
      <c r="C4312" s="8" t="s">
        <v>5319</v>
      </c>
      <c r="D4312" t="s">
        <v>266</v>
      </c>
      <c r="E4312" t="s">
        <v>25</v>
      </c>
      <c r="F4312" t="s">
        <v>493</v>
      </c>
      <c r="G4312" t="s">
        <v>3861</v>
      </c>
      <c r="H4312" s="9">
        <v>44733</v>
      </c>
      <c r="I4312" t="s">
        <v>8634</v>
      </c>
      <c r="J4312" t="s">
        <v>0</v>
      </c>
      <c r="K4312" s="9">
        <v>44862</v>
      </c>
      <c r="L4312" t="s">
        <v>29</v>
      </c>
      <c r="M4312"/>
      <c r="N4312" s="9">
        <v>44778</v>
      </c>
      <c r="O4312"/>
      <c r="P4312"/>
      <c r="Q4312" s="9">
        <v>44862</v>
      </c>
      <c r="R4312"/>
      <c r="S4312"/>
      <c r="T4312"/>
      <c r="U4312"/>
    </row>
    <row r="4313" spans="1:21" hidden="1">
      <c r="A4313" s="7" t="s">
        <v>8758</v>
      </c>
      <c r="B4313" s="7" t="s">
        <v>5405</v>
      </c>
      <c r="C4313" s="8" t="s">
        <v>5319</v>
      </c>
      <c r="D4313" t="s">
        <v>266</v>
      </c>
      <c r="E4313" t="s">
        <v>25</v>
      </c>
      <c r="F4313" t="s">
        <v>493</v>
      </c>
      <c r="G4313" t="s">
        <v>3862</v>
      </c>
      <c r="H4313" s="9">
        <v>44733</v>
      </c>
      <c r="I4313" t="s">
        <v>8634</v>
      </c>
      <c r="J4313" t="s">
        <v>0</v>
      </c>
      <c r="K4313" s="9">
        <v>44862</v>
      </c>
      <c r="L4313" t="s">
        <v>29</v>
      </c>
      <c r="M4313"/>
      <c r="N4313" s="9">
        <v>44778</v>
      </c>
      <c r="O4313"/>
      <c r="P4313"/>
      <c r="Q4313" s="9">
        <v>44862</v>
      </c>
      <c r="R4313"/>
      <c r="S4313"/>
      <c r="T4313"/>
      <c r="U4313"/>
    </row>
    <row r="4314" spans="1:21" hidden="1">
      <c r="A4314" s="7" t="s">
        <v>8758</v>
      </c>
      <c r="B4314" s="7" t="s">
        <v>5405</v>
      </c>
      <c r="C4314" s="8" t="s">
        <v>5319</v>
      </c>
      <c r="D4314" t="s">
        <v>266</v>
      </c>
      <c r="E4314" t="s">
        <v>25</v>
      </c>
      <c r="F4314" t="s">
        <v>493</v>
      </c>
      <c r="G4314" t="s">
        <v>3863</v>
      </c>
      <c r="H4314" s="9">
        <v>44733</v>
      </c>
      <c r="I4314" t="s">
        <v>8634</v>
      </c>
      <c r="J4314" t="s">
        <v>0</v>
      </c>
      <c r="K4314" s="9">
        <v>44862</v>
      </c>
      <c r="L4314" t="s">
        <v>29</v>
      </c>
      <c r="M4314"/>
      <c r="N4314" s="9">
        <v>44778</v>
      </c>
      <c r="O4314"/>
      <c r="P4314"/>
      <c r="Q4314" s="9">
        <v>44862</v>
      </c>
      <c r="R4314"/>
      <c r="S4314"/>
      <c r="T4314"/>
      <c r="U4314"/>
    </row>
    <row r="4315" spans="1:21" hidden="1">
      <c r="A4315" s="7" t="s">
        <v>8758</v>
      </c>
      <c r="B4315" s="7" t="s">
        <v>5405</v>
      </c>
      <c r="C4315" s="8" t="s">
        <v>5319</v>
      </c>
      <c r="D4315" t="s">
        <v>266</v>
      </c>
      <c r="E4315" t="s">
        <v>25</v>
      </c>
      <c r="F4315" t="s">
        <v>493</v>
      </c>
      <c r="G4315" t="s">
        <v>2917</v>
      </c>
      <c r="H4315" s="9">
        <v>44733</v>
      </c>
      <c r="I4315" t="s">
        <v>8634</v>
      </c>
      <c r="J4315" t="s">
        <v>0</v>
      </c>
      <c r="K4315" s="9">
        <v>44862</v>
      </c>
      <c r="L4315" t="s">
        <v>29</v>
      </c>
      <c r="M4315"/>
      <c r="N4315" s="9">
        <v>44778</v>
      </c>
      <c r="O4315"/>
      <c r="P4315"/>
      <c r="Q4315" s="9">
        <v>44862</v>
      </c>
      <c r="R4315"/>
      <c r="S4315"/>
      <c r="T4315"/>
      <c r="U4315"/>
    </row>
    <row r="4316" spans="1:21" hidden="1">
      <c r="A4316" s="7" t="s">
        <v>8758</v>
      </c>
      <c r="B4316" s="7" t="s">
        <v>5405</v>
      </c>
      <c r="C4316" s="8" t="s">
        <v>5319</v>
      </c>
      <c r="D4316" t="s">
        <v>266</v>
      </c>
      <c r="E4316" t="s">
        <v>25</v>
      </c>
      <c r="F4316" t="s">
        <v>493</v>
      </c>
      <c r="G4316" t="s">
        <v>2922</v>
      </c>
      <c r="H4316" s="9">
        <v>44733</v>
      </c>
      <c r="I4316" t="s">
        <v>8634</v>
      </c>
      <c r="J4316" t="s">
        <v>0</v>
      </c>
      <c r="K4316" s="9">
        <v>44862</v>
      </c>
      <c r="L4316" t="s">
        <v>29</v>
      </c>
      <c r="M4316"/>
      <c r="N4316" s="9">
        <v>44778</v>
      </c>
      <c r="O4316"/>
      <c r="P4316"/>
      <c r="Q4316" s="9">
        <v>44862</v>
      </c>
      <c r="R4316"/>
      <c r="S4316"/>
      <c r="T4316"/>
      <c r="U4316"/>
    </row>
    <row r="4317" spans="1:21" hidden="1">
      <c r="A4317" s="7" t="s">
        <v>8758</v>
      </c>
      <c r="B4317" s="7" t="s">
        <v>5405</v>
      </c>
      <c r="C4317" s="8" t="s">
        <v>5319</v>
      </c>
      <c r="D4317" t="s">
        <v>266</v>
      </c>
      <c r="E4317" t="s">
        <v>25</v>
      </c>
      <c r="F4317" t="s">
        <v>493</v>
      </c>
      <c r="G4317" t="s">
        <v>3864</v>
      </c>
      <c r="H4317" s="9">
        <v>44733</v>
      </c>
      <c r="I4317" t="s">
        <v>8634</v>
      </c>
      <c r="J4317" t="s">
        <v>0</v>
      </c>
      <c r="K4317" s="9">
        <v>44862</v>
      </c>
      <c r="L4317" t="s">
        <v>29</v>
      </c>
      <c r="M4317"/>
      <c r="N4317" s="9">
        <v>44778</v>
      </c>
      <c r="O4317"/>
      <c r="P4317"/>
      <c r="Q4317" s="9">
        <v>44862</v>
      </c>
      <c r="R4317"/>
      <c r="S4317"/>
      <c r="T4317"/>
      <c r="U4317"/>
    </row>
    <row r="4318" spans="1:21" hidden="1">
      <c r="A4318" s="7" t="s">
        <v>8758</v>
      </c>
      <c r="B4318" s="7" t="s">
        <v>5405</v>
      </c>
      <c r="C4318" s="8" t="s">
        <v>5319</v>
      </c>
      <c r="D4318" t="s">
        <v>266</v>
      </c>
      <c r="E4318" t="s">
        <v>25</v>
      </c>
      <c r="F4318" t="s">
        <v>493</v>
      </c>
      <c r="G4318" t="s">
        <v>3865</v>
      </c>
      <c r="H4318" s="9">
        <v>44733</v>
      </c>
      <c r="I4318" t="s">
        <v>8634</v>
      </c>
      <c r="J4318" t="s">
        <v>0</v>
      </c>
      <c r="K4318" s="9">
        <v>44862</v>
      </c>
      <c r="L4318" t="s">
        <v>29</v>
      </c>
      <c r="M4318"/>
      <c r="N4318" s="9">
        <v>44778</v>
      </c>
      <c r="O4318"/>
      <c r="P4318"/>
      <c r="Q4318" s="9">
        <v>44862</v>
      </c>
      <c r="R4318"/>
      <c r="S4318"/>
      <c r="T4318"/>
      <c r="U4318"/>
    </row>
    <row r="4319" spans="1:21" hidden="1">
      <c r="A4319" s="7" t="s">
        <v>8758</v>
      </c>
      <c r="B4319" s="7" t="s">
        <v>5405</v>
      </c>
      <c r="C4319" s="8" t="s">
        <v>5319</v>
      </c>
      <c r="D4319" t="s">
        <v>266</v>
      </c>
      <c r="E4319" t="s">
        <v>25</v>
      </c>
      <c r="F4319" t="s">
        <v>493</v>
      </c>
      <c r="G4319" t="s">
        <v>2923</v>
      </c>
      <c r="H4319" s="9">
        <v>44733</v>
      </c>
      <c r="I4319" t="s">
        <v>8634</v>
      </c>
      <c r="J4319" t="s">
        <v>0</v>
      </c>
      <c r="K4319" s="9">
        <v>44862</v>
      </c>
      <c r="L4319" t="s">
        <v>29</v>
      </c>
      <c r="M4319"/>
      <c r="N4319" s="9">
        <v>44778</v>
      </c>
      <c r="O4319"/>
      <c r="P4319"/>
      <c r="Q4319" s="9">
        <v>44862</v>
      </c>
      <c r="R4319"/>
      <c r="S4319"/>
      <c r="T4319"/>
      <c r="U4319"/>
    </row>
    <row r="4320" spans="1:21" hidden="1">
      <c r="A4320" s="7" t="s">
        <v>8758</v>
      </c>
      <c r="B4320" s="7" t="s">
        <v>5405</v>
      </c>
      <c r="C4320" s="8" t="s">
        <v>5319</v>
      </c>
      <c r="D4320" t="s">
        <v>266</v>
      </c>
      <c r="E4320" t="s">
        <v>25</v>
      </c>
      <c r="F4320" t="s">
        <v>493</v>
      </c>
      <c r="G4320" t="s">
        <v>3866</v>
      </c>
      <c r="H4320" s="9">
        <v>44733</v>
      </c>
      <c r="I4320" t="s">
        <v>8634</v>
      </c>
      <c r="J4320" t="s">
        <v>5330</v>
      </c>
      <c r="K4320" s="9">
        <v>44834</v>
      </c>
      <c r="L4320" t="s">
        <v>29</v>
      </c>
      <c r="M4320"/>
      <c r="N4320" s="9">
        <v>44778</v>
      </c>
      <c r="O4320" s="9">
        <v>44834</v>
      </c>
      <c r="P4320"/>
      <c r="Q4320"/>
      <c r="R4320"/>
      <c r="S4320"/>
      <c r="T4320"/>
      <c r="U4320"/>
    </row>
    <row r="4321" spans="1:21" hidden="1">
      <c r="A4321" s="7" t="s">
        <v>8758</v>
      </c>
      <c r="B4321" s="7" t="s">
        <v>5405</v>
      </c>
      <c r="C4321" s="8" t="s">
        <v>5319</v>
      </c>
      <c r="D4321" t="s">
        <v>266</v>
      </c>
      <c r="E4321" t="s">
        <v>25</v>
      </c>
      <c r="F4321" t="s">
        <v>493</v>
      </c>
      <c r="G4321" t="s">
        <v>3867</v>
      </c>
      <c r="H4321" s="9">
        <v>44733</v>
      </c>
      <c r="I4321" t="s">
        <v>8634</v>
      </c>
      <c r="J4321" t="s">
        <v>5330</v>
      </c>
      <c r="K4321" s="9">
        <v>44834</v>
      </c>
      <c r="L4321" t="s">
        <v>29</v>
      </c>
      <c r="M4321"/>
      <c r="N4321" s="9">
        <v>44778</v>
      </c>
      <c r="O4321" s="9">
        <v>44834</v>
      </c>
      <c r="P4321"/>
      <c r="Q4321"/>
      <c r="R4321"/>
      <c r="S4321"/>
      <c r="T4321"/>
      <c r="U4321"/>
    </row>
    <row r="4322" spans="1:21" hidden="1">
      <c r="A4322" s="7" t="s">
        <v>8758</v>
      </c>
      <c r="B4322" s="7" t="s">
        <v>5405</v>
      </c>
      <c r="C4322" s="8" t="s">
        <v>5319</v>
      </c>
      <c r="D4322" t="s">
        <v>266</v>
      </c>
      <c r="E4322" t="s">
        <v>25</v>
      </c>
      <c r="F4322" t="s">
        <v>493</v>
      </c>
      <c r="G4322" t="s">
        <v>3868</v>
      </c>
      <c r="H4322" s="9">
        <v>44733</v>
      </c>
      <c r="I4322" t="s">
        <v>8634</v>
      </c>
      <c r="J4322" t="s">
        <v>0</v>
      </c>
      <c r="K4322" s="9">
        <v>44862</v>
      </c>
      <c r="L4322" t="s">
        <v>29</v>
      </c>
      <c r="M4322"/>
      <c r="N4322" s="9">
        <v>44778</v>
      </c>
      <c r="O4322"/>
      <c r="P4322"/>
      <c r="Q4322" s="9">
        <v>44862</v>
      </c>
      <c r="R4322"/>
      <c r="S4322"/>
      <c r="T4322"/>
      <c r="U4322"/>
    </row>
    <row r="4323" spans="1:21" hidden="1">
      <c r="A4323" s="7" t="s">
        <v>8758</v>
      </c>
      <c r="B4323" s="7" t="s">
        <v>5405</v>
      </c>
      <c r="C4323" s="8" t="s">
        <v>5319</v>
      </c>
      <c r="D4323" t="s">
        <v>266</v>
      </c>
      <c r="E4323" t="s">
        <v>25</v>
      </c>
      <c r="F4323" t="s">
        <v>493</v>
      </c>
      <c r="G4323" t="s">
        <v>3869</v>
      </c>
      <c r="H4323" s="9">
        <v>44733</v>
      </c>
      <c r="I4323" t="s">
        <v>8634</v>
      </c>
      <c r="J4323" t="s">
        <v>0</v>
      </c>
      <c r="K4323" s="9">
        <v>44862</v>
      </c>
      <c r="L4323" t="s">
        <v>29</v>
      </c>
      <c r="M4323"/>
      <c r="N4323" s="9">
        <v>44778</v>
      </c>
      <c r="O4323"/>
      <c r="P4323"/>
      <c r="Q4323" s="9">
        <v>44862</v>
      </c>
      <c r="R4323"/>
      <c r="S4323"/>
      <c r="T4323"/>
      <c r="U4323"/>
    </row>
    <row r="4324" spans="1:21" hidden="1">
      <c r="A4324" s="7" t="s">
        <v>8758</v>
      </c>
      <c r="B4324" s="7" t="s">
        <v>5405</v>
      </c>
      <c r="C4324" s="8" t="s">
        <v>5319</v>
      </c>
      <c r="D4324" t="s">
        <v>266</v>
      </c>
      <c r="E4324" t="s">
        <v>25</v>
      </c>
      <c r="F4324" t="s">
        <v>493</v>
      </c>
      <c r="G4324" t="s">
        <v>3870</v>
      </c>
      <c r="H4324" s="9">
        <v>44733</v>
      </c>
      <c r="I4324" t="s">
        <v>8634</v>
      </c>
      <c r="J4324" t="s">
        <v>5330</v>
      </c>
      <c r="K4324" s="9">
        <v>44834</v>
      </c>
      <c r="L4324" t="s">
        <v>29</v>
      </c>
      <c r="M4324"/>
      <c r="N4324" s="9">
        <v>44778</v>
      </c>
      <c r="O4324" s="9">
        <v>44834</v>
      </c>
      <c r="P4324"/>
      <c r="Q4324"/>
      <c r="R4324"/>
      <c r="S4324"/>
      <c r="T4324"/>
      <c r="U4324"/>
    </row>
    <row r="4325" spans="1:21" hidden="1">
      <c r="A4325" s="7" t="s">
        <v>8758</v>
      </c>
      <c r="B4325" s="7" t="s">
        <v>5405</v>
      </c>
      <c r="C4325" s="8" t="s">
        <v>5319</v>
      </c>
      <c r="D4325" t="s">
        <v>266</v>
      </c>
      <c r="E4325" t="s">
        <v>25</v>
      </c>
      <c r="F4325" t="s">
        <v>493</v>
      </c>
      <c r="G4325" t="s">
        <v>3871</v>
      </c>
      <c r="H4325" s="9">
        <v>44733</v>
      </c>
      <c r="I4325" t="s">
        <v>8634</v>
      </c>
      <c r="J4325" t="s">
        <v>0</v>
      </c>
      <c r="K4325" s="9">
        <v>44862</v>
      </c>
      <c r="L4325" t="s">
        <v>29</v>
      </c>
      <c r="M4325"/>
      <c r="N4325"/>
      <c r="O4325"/>
      <c r="P4325"/>
      <c r="Q4325" s="9">
        <v>44862</v>
      </c>
      <c r="R4325"/>
      <c r="S4325"/>
      <c r="T4325"/>
      <c r="U4325"/>
    </row>
    <row r="4326" spans="1:21" hidden="1">
      <c r="A4326" s="7" t="s">
        <v>8758</v>
      </c>
      <c r="B4326" s="7" t="s">
        <v>5405</v>
      </c>
      <c r="C4326" s="8" t="s">
        <v>5319</v>
      </c>
      <c r="D4326" t="s">
        <v>266</v>
      </c>
      <c r="E4326" t="s">
        <v>25</v>
      </c>
      <c r="F4326" t="s">
        <v>493</v>
      </c>
      <c r="G4326" t="s">
        <v>2934</v>
      </c>
      <c r="H4326" s="9">
        <v>44733</v>
      </c>
      <c r="I4326" t="s">
        <v>8634</v>
      </c>
      <c r="J4326" t="s">
        <v>0</v>
      </c>
      <c r="K4326" s="9">
        <v>44862</v>
      </c>
      <c r="L4326" t="s">
        <v>29</v>
      </c>
      <c r="M4326"/>
      <c r="N4326"/>
      <c r="O4326"/>
      <c r="P4326"/>
      <c r="Q4326" s="9">
        <v>44862</v>
      </c>
      <c r="R4326"/>
      <c r="S4326"/>
      <c r="T4326"/>
      <c r="U4326"/>
    </row>
    <row r="4327" spans="1:21" hidden="1">
      <c r="A4327" s="7" t="s">
        <v>8758</v>
      </c>
      <c r="B4327" s="7" t="s">
        <v>5405</v>
      </c>
      <c r="C4327" s="8" t="s">
        <v>5319</v>
      </c>
      <c r="D4327" t="s">
        <v>266</v>
      </c>
      <c r="E4327" t="s">
        <v>25</v>
      </c>
      <c r="F4327" t="s">
        <v>493</v>
      </c>
      <c r="G4327" t="s">
        <v>3872</v>
      </c>
      <c r="H4327" s="9">
        <v>44733</v>
      </c>
      <c r="I4327" t="s">
        <v>8634</v>
      </c>
      <c r="J4327" t="s">
        <v>0</v>
      </c>
      <c r="K4327" s="9">
        <v>44862</v>
      </c>
      <c r="L4327" t="s">
        <v>29</v>
      </c>
      <c r="M4327"/>
      <c r="N4327"/>
      <c r="O4327"/>
      <c r="P4327"/>
      <c r="Q4327" s="9">
        <v>44862</v>
      </c>
      <c r="R4327"/>
      <c r="S4327"/>
      <c r="T4327"/>
      <c r="U4327"/>
    </row>
    <row r="4328" spans="1:21" hidden="1">
      <c r="A4328" s="7" t="s">
        <v>8758</v>
      </c>
      <c r="B4328" s="7" t="s">
        <v>5405</v>
      </c>
      <c r="C4328" s="8" t="s">
        <v>5319</v>
      </c>
      <c r="D4328" t="s">
        <v>266</v>
      </c>
      <c r="E4328" t="s">
        <v>25</v>
      </c>
      <c r="F4328" t="s">
        <v>493</v>
      </c>
      <c r="G4328" t="s">
        <v>3873</v>
      </c>
      <c r="H4328" s="9">
        <v>44733</v>
      </c>
      <c r="I4328" t="s">
        <v>8634</v>
      </c>
      <c r="J4328" t="s">
        <v>0</v>
      </c>
      <c r="K4328" s="9">
        <v>44862</v>
      </c>
      <c r="L4328" t="s">
        <v>29</v>
      </c>
      <c r="M4328"/>
      <c r="N4328"/>
      <c r="O4328"/>
      <c r="P4328"/>
      <c r="Q4328" s="9">
        <v>44862</v>
      </c>
      <c r="R4328"/>
      <c r="S4328"/>
      <c r="T4328"/>
      <c r="U4328"/>
    </row>
    <row r="4329" spans="1:21" hidden="1">
      <c r="A4329" s="7" t="s">
        <v>8758</v>
      </c>
      <c r="B4329" s="7" t="s">
        <v>5405</v>
      </c>
      <c r="C4329" s="8" t="s">
        <v>5319</v>
      </c>
      <c r="D4329" t="s">
        <v>266</v>
      </c>
      <c r="E4329" t="s">
        <v>25</v>
      </c>
      <c r="F4329" t="s">
        <v>493</v>
      </c>
      <c r="G4329" t="s">
        <v>3874</v>
      </c>
      <c r="H4329" s="9">
        <v>44733</v>
      </c>
      <c r="I4329" t="s">
        <v>8634</v>
      </c>
      <c r="J4329" t="s">
        <v>0</v>
      </c>
      <c r="K4329" s="9">
        <v>44862</v>
      </c>
      <c r="L4329" t="s">
        <v>29</v>
      </c>
      <c r="M4329"/>
      <c r="N4329"/>
      <c r="O4329"/>
      <c r="P4329"/>
      <c r="Q4329" s="9">
        <v>44862</v>
      </c>
      <c r="R4329"/>
      <c r="S4329"/>
      <c r="T4329"/>
      <c r="U4329"/>
    </row>
    <row r="4330" spans="1:21" hidden="1">
      <c r="A4330" s="7" t="s">
        <v>8758</v>
      </c>
      <c r="B4330" s="7" t="s">
        <v>5405</v>
      </c>
      <c r="C4330" s="8" t="s">
        <v>5319</v>
      </c>
      <c r="D4330" t="s">
        <v>266</v>
      </c>
      <c r="E4330" t="s">
        <v>25</v>
      </c>
      <c r="F4330" t="s">
        <v>493</v>
      </c>
      <c r="G4330" t="s">
        <v>3875</v>
      </c>
      <c r="H4330" s="9">
        <v>44733</v>
      </c>
      <c r="I4330" t="s">
        <v>8634</v>
      </c>
      <c r="J4330" t="s">
        <v>0</v>
      </c>
      <c r="K4330" s="9">
        <v>44862</v>
      </c>
      <c r="L4330" t="s">
        <v>29</v>
      </c>
      <c r="M4330"/>
      <c r="N4330"/>
      <c r="O4330"/>
      <c r="P4330"/>
      <c r="Q4330" s="9">
        <v>44862</v>
      </c>
      <c r="R4330"/>
      <c r="S4330"/>
      <c r="T4330"/>
      <c r="U4330"/>
    </row>
    <row r="4331" spans="1:21" hidden="1">
      <c r="A4331" s="7" t="s">
        <v>8758</v>
      </c>
      <c r="B4331" s="7" t="s">
        <v>5405</v>
      </c>
      <c r="C4331" s="8" t="s">
        <v>5319</v>
      </c>
      <c r="D4331" t="s">
        <v>266</v>
      </c>
      <c r="E4331" t="s">
        <v>25</v>
      </c>
      <c r="F4331" t="s">
        <v>493</v>
      </c>
      <c r="G4331" t="s">
        <v>2936</v>
      </c>
      <c r="H4331" s="9">
        <v>44733</v>
      </c>
      <c r="I4331" t="s">
        <v>8634</v>
      </c>
      <c r="J4331" t="s">
        <v>0</v>
      </c>
      <c r="K4331" s="9">
        <v>44862</v>
      </c>
      <c r="L4331" t="s">
        <v>29</v>
      </c>
      <c r="M4331"/>
      <c r="N4331"/>
      <c r="O4331"/>
      <c r="P4331"/>
      <c r="Q4331" s="9">
        <v>44862</v>
      </c>
      <c r="R4331"/>
      <c r="S4331"/>
      <c r="T4331"/>
      <c r="U4331"/>
    </row>
    <row r="4332" spans="1:21" hidden="1">
      <c r="A4332" s="7" t="s">
        <v>8758</v>
      </c>
      <c r="B4332" s="7" t="s">
        <v>5405</v>
      </c>
      <c r="C4332" s="8" t="s">
        <v>5319</v>
      </c>
      <c r="D4332" t="s">
        <v>266</v>
      </c>
      <c r="E4332" t="s">
        <v>25</v>
      </c>
      <c r="F4332" t="s">
        <v>493</v>
      </c>
      <c r="G4332" t="s">
        <v>2938</v>
      </c>
      <c r="H4332" s="9">
        <v>44733</v>
      </c>
      <c r="I4332" t="s">
        <v>8634</v>
      </c>
      <c r="J4332" t="s">
        <v>0</v>
      </c>
      <c r="K4332" s="9">
        <v>44862</v>
      </c>
      <c r="L4332" t="s">
        <v>29</v>
      </c>
      <c r="M4332"/>
      <c r="N4332"/>
      <c r="O4332"/>
      <c r="P4332"/>
      <c r="Q4332" s="9">
        <v>44862</v>
      </c>
      <c r="R4332"/>
      <c r="S4332"/>
      <c r="T4332"/>
      <c r="U4332"/>
    </row>
    <row r="4333" spans="1:21" hidden="1">
      <c r="A4333" s="7" t="s">
        <v>8758</v>
      </c>
      <c r="B4333" s="7" t="s">
        <v>5405</v>
      </c>
      <c r="C4333" s="8" t="s">
        <v>5319</v>
      </c>
      <c r="D4333" t="s">
        <v>266</v>
      </c>
      <c r="E4333" t="s">
        <v>25</v>
      </c>
      <c r="F4333" t="s">
        <v>493</v>
      </c>
      <c r="G4333" t="s">
        <v>3876</v>
      </c>
      <c r="H4333" s="9">
        <v>44733</v>
      </c>
      <c r="I4333" t="s">
        <v>8634</v>
      </c>
      <c r="J4333" t="s">
        <v>0</v>
      </c>
      <c r="K4333" s="9">
        <v>44862</v>
      </c>
      <c r="L4333" t="s">
        <v>29</v>
      </c>
      <c r="M4333"/>
      <c r="N4333"/>
      <c r="O4333"/>
      <c r="P4333"/>
      <c r="Q4333" s="9">
        <v>44862</v>
      </c>
      <c r="R4333"/>
      <c r="S4333"/>
      <c r="T4333"/>
      <c r="U4333"/>
    </row>
    <row r="4334" spans="1:21" hidden="1">
      <c r="A4334" s="7" t="s">
        <v>8758</v>
      </c>
      <c r="B4334" s="7" t="s">
        <v>5405</v>
      </c>
      <c r="C4334" s="8" t="s">
        <v>5319</v>
      </c>
      <c r="D4334" t="s">
        <v>266</v>
      </c>
      <c r="E4334" t="s">
        <v>25</v>
      </c>
      <c r="F4334" t="s">
        <v>493</v>
      </c>
      <c r="G4334" t="s">
        <v>3877</v>
      </c>
      <c r="H4334" s="9">
        <v>44733</v>
      </c>
      <c r="I4334" t="s">
        <v>8634</v>
      </c>
      <c r="J4334" t="s">
        <v>0</v>
      </c>
      <c r="K4334" s="9">
        <v>44862</v>
      </c>
      <c r="L4334" t="s">
        <v>29</v>
      </c>
      <c r="M4334"/>
      <c r="N4334"/>
      <c r="O4334"/>
      <c r="P4334"/>
      <c r="Q4334" s="9">
        <v>44862</v>
      </c>
      <c r="R4334"/>
      <c r="S4334"/>
      <c r="T4334"/>
      <c r="U4334"/>
    </row>
    <row r="4335" spans="1:21" hidden="1">
      <c r="A4335" s="7" t="s">
        <v>8758</v>
      </c>
      <c r="B4335" s="7" t="s">
        <v>5405</v>
      </c>
      <c r="C4335" s="8" t="s">
        <v>5319</v>
      </c>
      <c r="D4335" t="s">
        <v>266</v>
      </c>
      <c r="E4335" t="s">
        <v>25</v>
      </c>
      <c r="F4335" t="s">
        <v>493</v>
      </c>
      <c r="G4335" t="s">
        <v>3878</v>
      </c>
      <c r="H4335" s="9">
        <v>44733</v>
      </c>
      <c r="I4335" t="s">
        <v>8634</v>
      </c>
      <c r="J4335" t="s">
        <v>0</v>
      </c>
      <c r="K4335" s="9">
        <v>44862</v>
      </c>
      <c r="L4335" t="s">
        <v>29</v>
      </c>
      <c r="M4335"/>
      <c r="N4335"/>
      <c r="O4335"/>
      <c r="P4335"/>
      <c r="Q4335" s="9">
        <v>44862</v>
      </c>
      <c r="R4335"/>
      <c r="S4335"/>
      <c r="T4335"/>
      <c r="U4335"/>
    </row>
    <row r="4336" spans="1:21" hidden="1">
      <c r="A4336" s="7" t="s">
        <v>8758</v>
      </c>
      <c r="B4336" s="7" t="s">
        <v>5405</v>
      </c>
      <c r="C4336" s="8" t="s">
        <v>5319</v>
      </c>
      <c r="D4336" t="s">
        <v>266</v>
      </c>
      <c r="E4336" t="s">
        <v>25</v>
      </c>
      <c r="F4336" t="s">
        <v>493</v>
      </c>
      <c r="G4336" t="s">
        <v>3879</v>
      </c>
      <c r="H4336" s="9">
        <v>44733</v>
      </c>
      <c r="I4336" t="s">
        <v>8634</v>
      </c>
      <c r="J4336" t="s">
        <v>0</v>
      </c>
      <c r="K4336" s="9">
        <v>44862</v>
      </c>
      <c r="L4336" t="s">
        <v>29</v>
      </c>
      <c r="M4336"/>
      <c r="N4336"/>
      <c r="O4336"/>
      <c r="P4336"/>
      <c r="Q4336" s="9">
        <v>44862</v>
      </c>
      <c r="R4336"/>
      <c r="S4336"/>
      <c r="T4336"/>
      <c r="U4336"/>
    </row>
    <row r="4337" spans="1:21" hidden="1">
      <c r="A4337" s="7" t="s">
        <v>8758</v>
      </c>
      <c r="B4337" s="7" t="s">
        <v>5405</v>
      </c>
      <c r="C4337" s="8" t="s">
        <v>5319</v>
      </c>
      <c r="D4337" t="s">
        <v>266</v>
      </c>
      <c r="E4337" t="s">
        <v>25</v>
      </c>
      <c r="F4337" t="s">
        <v>493</v>
      </c>
      <c r="G4337" t="s">
        <v>3880</v>
      </c>
      <c r="H4337" s="9">
        <v>44733</v>
      </c>
      <c r="I4337" t="s">
        <v>8634</v>
      </c>
      <c r="J4337" t="s">
        <v>0</v>
      </c>
      <c r="K4337" s="9">
        <v>44862</v>
      </c>
      <c r="L4337" t="s">
        <v>29</v>
      </c>
      <c r="M4337"/>
      <c r="N4337"/>
      <c r="O4337"/>
      <c r="P4337"/>
      <c r="Q4337" s="9">
        <v>44862</v>
      </c>
      <c r="R4337"/>
      <c r="S4337"/>
      <c r="T4337"/>
      <c r="U4337"/>
    </row>
    <row r="4338" spans="1:21" hidden="1">
      <c r="A4338" s="7" t="s">
        <v>8758</v>
      </c>
      <c r="B4338" s="7" t="s">
        <v>5405</v>
      </c>
      <c r="C4338" s="8" t="s">
        <v>5319</v>
      </c>
      <c r="D4338" t="s">
        <v>266</v>
      </c>
      <c r="E4338" t="s">
        <v>25</v>
      </c>
      <c r="F4338" t="s">
        <v>493</v>
      </c>
      <c r="G4338" t="s">
        <v>3881</v>
      </c>
      <c r="H4338" s="9">
        <v>44733</v>
      </c>
      <c r="I4338" t="s">
        <v>8634</v>
      </c>
      <c r="J4338" t="s">
        <v>0</v>
      </c>
      <c r="K4338" s="9">
        <v>44862</v>
      </c>
      <c r="L4338" t="s">
        <v>29</v>
      </c>
      <c r="M4338"/>
      <c r="N4338"/>
      <c r="O4338"/>
      <c r="P4338"/>
      <c r="Q4338" s="9">
        <v>44862</v>
      </c>
      <c r="R4338"/>
      <c r="S4338"/>
      <c r="T4338"/>
      <c r="U4338"/>
    </row>
    <row r="4339" spans="1:21" hidden="1">
      <c r="A4339" s="7" t="s">
        <v>8758</v>
      </c>
      <c r="B4339" s="7" t="s">
        <v>5405</v>
      </c>
      <c r="C4339" s="8" t="s">
        <v>5319</v>
      </c>
      <c r="D4339" t="s">
        <v>266</v>
      </c>
      <c r="E4339" t="s">
        <v>25</v>
      </c>
      <c r="F4339" t="s">
        <v>493</v>
      </c>
      <c r="G4339" t="s">
        <v>2943</v>
      </c>
      <c r="H4339" s="9">
        <v>44733</v>
      </c>
      <c r="I4339" t="s">
        <v>8634</v>
      </c>
      <c r="J4339" t="s">
        <v>0</v>
      </c>
      <c r="K4339" s="9">
        <v>44862</v>
      </c>
      <c r="L4339" t="s">
        <v>29</v>
      </c>
      <c r="M4339"/>
      <c r="N4339"/>
      <c r="O4339"/>
      <c r="P4339"/>
      <c r="Q4339" s="9">
        <v>44862</v>
      </c>
      <c r="R4339"/>
      <c r="S4339"/>
      <c r="T4339"/>
      <c r="U4339"/>
    </row>
    <row r="4340" spans="1:21" hidden="1">
      <c r="A4340" s="7" t="s">
        <v>8758</v>
      </c>
      <c r="B4340" s="7" t="s">
        <v>5405</v>
      </c>
      <c r="C4340" s="8" t="s">
        <v>5319</v>
      </c>
      <c r="D4340" t="s">
        <v>266</v>
      </c>
      <c r="E4340" t="s">
        <v>25</v>
      </c>
      <c r="F4340" t="s">
        <v>493</v>
      </c>
      <c r="G4340" t="s">
        <v>3882</v>
      </c>
      <c r="H4340" s="9">
        <v>44733</v>
      </c>
      <c r="I4340" t="s">
        <v>8634</v>
      </c>
      <c r="J4340" t="s">
        <v>0</v>
      </c>
      <c r="K4340" s="9">
        <v>44862</v>
      </c>
      <c r="L4340" t="s">
        <v>29</v>
      </c>
      <c r="M4340"/>
      <c r="N4340"/>
      <c r="O4340"/>
      <c r="P4340"/>
      <c r="Q4340" s="9">
        <v>44862</v>
      </c>
      <c r="R4340"/>
      <c r="S4340"/>
      <c r="T4340"/>
      <c r="U4340"/>
    </row>
    <row r="4341" spans="1:21" hidden="1">
      <c r="A4341" s="7" t="s">
        <v>8893</v>
      </c>
      <c r="B4341" s="7" t="s">
        <v>5405</v>
      </c>
      <c r="C4341" s="8" t="s">
        <v>5319</v>
      </c>
      <c r="D4341" t="s">
        <v>266</v>
      </c>
      <c r="E4341" t="s">
        <v>25</v>
      </c>
      <c r="F4341" t="s">
        <v>209</v>
      </c>
      <c r="G4341" t="s">
        <v>2944</v>
      </c>
      <c r="H4341" s="9">
        <v>44733</v>
      </c>
      <c r="I4341" t="s">
        <v>8634</v>
      </c>
      <c r="J4341" t="s">
        <v>5330</v>
      </c>
      <c r="K4341" s="9">
        <v>44834</v>
      </c>
      <c r="L4341" t="s">
        <v>29</v>
      </c>
      <c r="M4341"/>
      <c r="N4341" s="9">
        <v>44778</v>
      </c>
      <c r="O4341" s="9">
        <v>44834</v>
      </c>
      <c r="P4341"/>
      <c r="Q4341"/>
      <c r="R4341"/>
      <c r="S4341"/>
      <c r="T4341"/>
      <c r="U4341"/>
    </row>
    <row r="4342" spans="1:21" hidden="1">
      <c r="A4342" s="7" t="s">
        <v>8758</v>
      </c>
      <c r="B4342" s="7" t="s">
        <v>5405</v>
      </c>
      <c r="C4342" s="8" t="s">
        <v>5319</v>
      </c>
      <c r="D4342" t="s">
        <v>266</v>
      </c>
      <c r="E4342" t="s">
        <v>25</v>
      </c>
      <c r="F4342" t="s">
        <v>493</v>
      </c>
      <c r="G4342" t="s">
        <v>2944</v>
      </c>
      <c r="H4342" s="9">
        <v>44733</v>
      </c>
      <c r="I4342" t="s">
        <v>8634</v>
      </c>
      <c r="J4342" t="s">
        <v>5330</v>
      </c>
      <c r="K4342" s="9">
        <v>44834</v>
      </c>
      <c r="L4342" t="s">
        <v>29</v>
      </c>
      <c r="M4342"/>
      <c r="N4342" s="9">
        <v>44778</v>
      </c>
      <c r="O4342" s="9">
        <v>44834</v>
      </c>
      <c r="P4342"/>
      <c r="Q4342"/>
      <c r="R4342"/>
      <c r="S4342"/>
      <c r="T4342"/>
      <c r="U4342"/>
    </row>
    <row r="4343" spans="1:21" hidden="1">
      <c r="A4343" s="7" t="s">
        <v>8758</v>
      </c>
      <c r="B4343" s="7" t="s">
        <v>5405</v>
      </c>
      <c r="C4343" s="8" t="s">
        <v>5319</v>
      </c>
      <c r="D4343" t="s">
        <v>266</v>
      </c>
      <c r="E4343" t="s">
        <v>25</v>
      </c>
      <c r="F4343" t="s">
        <v>493</v>
      </c>
      <c r="G4343" t="s">
        <v>2946</v>
      </c>
      <c r="H4343" s="9">
        <v>44733</v>
      </c>
      <c r="I4343" t="s">
        <v>8634</v>
      </c>
      <c r="J4343" t="s">
        <v>0</v>
      </c>
      <c r="K4343" s="9">
        <v>44862</v>
      </c>
      <c r="L4343" t="s">
        <v>29</v>
      </c>
      <c r="M4343"/>
      <c r="N4343"/>
      <c r="O4343"/>
      <c r="P4343"/>
      <c r="Q4343" s="9">
        <v>44862</v>
      </c>
      <c r="R4343"/>
      <c r="S4343"/>
      <c r="T4343"/>
      <c r="U4343"/>
    </row>
    <row r="4344" spans="1:21" hidden="1">
      <c r="A4344" s="7" t="s">
        <v>8758</v>
      </c>
      <c r="B4344" s="7" t="s">
        <v>5405</v>
      </c>
      <c r="C4344" s="8" t="s">
        <v>5319</v>
      </c>
      <c r="D4344" t="s">
        <v>266</v>
      </c>
      <c r="E4344" t="s">
        <v>25</v>
      </c>
      <c r="F4344" t="s">
        <v>493</v>
      </c>
      <c r="G4344" t="s">
        <v>3883</v>
      </c>
      <c r="H4344" s="9">
        <v>44733</v>
      </c>
      <c r="I4344" t="s">
        <v>8634</v>
      </c>
      <c r="J4344" t="s">
        <v>0</v>
      </c>
      <c r="K4344" s="9">
        <v>44862</v>
      </c>
      <c r="L4344" t="s">
        <v>29</v>
      </c>
      <c r="M4344"/>
      <c r="N4344"/>
      <c r="O4344"/>
      <c r="P4344"/>
      <c r="Q4344" s="9">
        <v>44862</v>
      </c>
      <c r="R4344"/>
      <c r="S4344"/>
      <c r="T4344"/>
      <c r="U4344"/>
    </row>
    <row r="4345" spans="1:21" hidden="1">
      <c r="A4345" s="7" t="s">
        <v>8893</v>
      </c>
      <c r="B4345" s="7" t="s">
        <v>5405</v>
      </c>
      <c r="C4345" s="8" t="s">
        <v>5319</v>
      </c>
      <c r="D4345" t="s">
        <v>266</v>
      </c>
      <c r="E4345" t="s">
        <v>25</v>
      </c>
      <c r="F4345" t="s">
        <v>209</v>
      </c>
      <c r="G4345" t="s">
        <v>3884</v>
      </c>
      <c r="H4345" s="9">
        <v>44733</v>
      </c>
      <c r="I4345" t="s">
        <v>8634</v>
      </c>
      <c r="J4345" t="s">
        <v>5330</v>
      </c>
      <c r="K4345" s="9">
        <v>44834</v>
      </c>
      <c r="L4345" t="s">
        <v>29</v>
      </c>
      <c r="M4345"/>
      <c r="N4345" s="9">
        <v>44778</v>
      </c>
      <c r="O4345" s="9">
        <v>44834</v>
      </c>
      <c r="P4345"/>
      <c r="Q4345"/>
      <c r="R4345"/>
      <c r="S4345"/>
      <c r="T4345"/>
      <c r="U4345"/>
    </row>
    <row r="4346" spans="1:21" hidden="1">
      <c r="A4346" s="7" t="s">
        <v>8758</v>
      </c>
      <c r="B4346" s="7" t="s">
        <v>5405</v>
      </c>
      <c r="C4346" s="8" t="s">
        <v>5319</v>
      </c>
      <c r="D4346" t="s">
        <v>266</v>
      </c>
      <c r="E4346" t="s">
        <v>25</v>
      </c>
      <c r="F4346" t="s">
        <v>493</v>
      </c>
      <c r="G4346" t="s">
        <v>3885</v>
      </c>
      <c r="H4346" s="9">
        <v>44733</v>
      </c>
      <c r="I4346" t="s">
        <v>8634</v>
      </c>
      <c r="J4346" t="s">
        <v>0</v>
      </c>
      <c r="K4346" s="9">
        <v>44862</v>
      </c>
      <c r="L4346" t="s">
        <v>29</v>
      </c>
      <c r="M4346"/>
      <c r="N4346"/>
      <c r="O4346"/>
      <c r="P4346"/>
      <c r="Q4346" s="9">
        <v>44862</v>
      </c>
      <c r="R4346"/>
      <c r="S4346"/>
      <c r="T4346"/>
      <c r="U4346"/>
    </row>
    <row r="4347" spans="1:21" hidden="1">
      <c r="A4347" s="7" t="s">
        <v>8758</v>
      </c>
      <c r="B4347" s="7" t="s">
        <v>5405</v>
      </c>
      <c r="C4347" s="8" t="s">
        <v>5319</v>
      </c>
      <c r="D4347" t="s">
        <v>266</v>
      </c>
      <c r="E4347" t="s">
        <v>25</v>
      </c>
      <c r="F4347" t="s">
        <v>493</v>
      </c>
      <c r="G4347" t="s">
        <v>3886</v>
      </c>
      <c r="H4347" s="9">
        <v>44733</v>
      </c>
      <c r="I4347" t="s">
        <v>8634</v>
      </c>
      <c r="J4347" t="s">
        <v>5330</v>
      </c>
      <c r="K4347" s="9">
        <v>44834</v>
      </c>
      <c r="L4347" t="s">
        <v>29</v>
      </c>
      <c r="M4347"/>
      <c r="N4347" s="9">
        <v>44778</v>
      </c>
      <c r="O4347" s="9">
        <v>44834</v>
      </c>
      <c r="P4347"/>
      <c r="Q4347"/>
      <c r="R4347"/>
      <c r="S4347"/>
      <c r="T4347"/>
      <c r="U4347"/>
    </row>
    <row r="4348" spans="1:21" hidden="1">
      <c r="A4348" s="7" t="s">
        <v>8758</v>
      </c>
      <c r="B4348" s="7" t="s">
        <v>5405</v>
      </c>
      <c r="C4348" s="8" t="s">
        <v>5319</v>
      </c>
      <c r="D4348" t="s">
        <v>266</v>
      </c>
      <c r="E4348" t="s">
        <v>25</v>
      </c>
      <c r="F4348" t="s">
        <v>493</v>
      </c>
      <c r="G4348" t="s">
        <v>2983</v>
      </c>
      <c r="H4348" s="9">
        <v>44733</v>
      </c>
      <c r="I4348" t="s">
        <v>8634</v>
      </c>
      <c r="J4348" t="s">
        <v>0</v>
      </c>
      <c r="K4348" s="9">
        <v>44862</v>
      </c>
      <c r="L4348" t="s">
        <v>29</v>
      </c>
      <c r="M4348"/>
      <c r="N4348"/>
      <c r="O4348"/>
      <c r="P4348"/>
      <c r="Q4348" s="9">
        <v>44862</v>
      </c>
      <c r="R4348"/>
      <c r="S4348"/>
      <c r="T4348"/>
      <c r="U4348"/>
    </row>
    <row r="4349" spans="1:21" hidden="1">
      <c r="A4349" s="7" t="s">
        <v>8758</v>
      </c>
      <c r="B4349" s="7" t="s">
        <v>5405</v>
      </c>
      <c r="C4349" s="8" t="s">
        <v>5319</v>
      </c>
      <c r="D4349" t="s">
        <v>266</v>
      </c>
      <c r="E4349" t="s">
        <v>25</v>
      </c>
      <c r="F4349" t="s">
        <v>493</v>
      </c>
      <c r="G4349" t="s">
        <v>3887</v>
      </c>
      <c r="H4349" s="9">
        <v>44733</v>
      </c>
      <c r="I4349" t="s">
        <v>8634</v>
      </c>
      <c r="J4349" t="s">
        <v>0</v>
      </c>
      <c r="K4349" s="9">
        <v>44862</v>
      </c>
      <c r="L4349" t="s">
        <v>29</v>
      </c>
      <c r="M4349"/>
      <c r="N4349"/>
      <c r="O4349"/>
      <c r="P4349"/>
      <c r="Q4349" s="9">
        <v>44862</v>
      </c>
      <c r="R4349"/>
      <c r="S4349"/>
      <c r="T4349"/>
      <c r="U4349"/>
    </row>
    <row r="4350" spans="1:21" hidden="1">
      <c r="A4350" s="7" t="s">
        <v>8893</v>
      </c>
      <c r="B4350" s="7" t="s">
        <v>5405</v>
      </c>
      <c r="C4350" s="8" t="s">
        <v>5319</v>
      </c>
      <c r="D4350" t="s">
        <v>266</v>
      </c>
      <c r="E4350" t="s">
        <v>25</v>
      </c>
      <c r="F4350" t="s">
        <v>209</v>
      </c>
      <c r="G4350" t="s">
        <v>3888</v>
      </c>
      <c r="H4350" s="9">
        <v>44733</v>
      </c>
      <c r="I4350" t="s">
        <v>8634</v>
      </c>
      <c r="J4350" t="s">
        <v>5330</v>
      </c>
      <c r="K4350" s="9">
        <v>44834</v>
      </c>
      <c r="L4350" t="s">
        <v>29</v>
      </c>
      <c r="M4350"/>
      <c r="N4350" s="9">
        <v>44778</v>
      </c>
      <c r="O4350" s="9">
        <v>44834</v>
      </c>
      <c r="P4350"/>
      <c r="Q4350"/>
      <c r="R4350"/>
      <c r="S4350"/>
      <c r="T4350"/>
      <c r="U4350"/>
    </row>
    <row r="4351" spans="1:21" hidden="1">
      <c r="A4351" s="7" t="s">
        <v>8758</v>
      </c>
      <c r="B4351" s="7" t="s">
        <v>5405</v>
      </c>
      <c r="C4351" s="8" t="s">
        <v>5319</v>
      </c>
      <c r="D4351" t="s">
        <v>266</v>
      </c>
      <c r="E4351" t="s">
        <v>25</v>
      </c>
      <c r="F4351" t="s">
        <v>493</v>
      </c>
      <c r="G4351" t="s">
        <v>3889</v>
      </c>
      <c r="H4351" s="9">
        <v>44733</v>
      </c>
      <c r="I4351" t="s">
        <v>8634</v>
      </c>
      <c r="J4351" t="s">
        <v>0</v>
      </c>
      <c r="K4351" s="9">
        <v>44862</v>
      </c>
      <c r="L4351" t="s">
        <v>29</v>
      </c>
      <c r="M4351"/>
      <c r="N4351" s="9">
        <v>44778</v>
      </c>
      <c r="O4351"/>
      <c r="P4351"/>
      <c r="Q4351" s="9">
        <v>44862</v>
      </c>
      <c r="R4351"/>
      <c r="S4351"/>
      <c r="T4351"/>
      <c r="U4351"/>
    </row>
    <row r="4352" spans="1:21" hidden="1">
      <c r="A4352" s="7" t="s">
        <v>8947</v>
      </c>
      <c r="B4352" s="7" t="s">
        <v>8360</v>
      </c>
      <c r="C4352" s="8" t="s">
        <v>5319</v>
      </c>
      <c r="D4352" t="s">
        <v>266</v>
      </c>
      <c r="E4352" t="s">
        <v>2609</v>
      </c>
      <c r="F4352" t="s">
        <v>83</v>
      </c>
      <c r="G4352" t="s">
        <v>3890</v>
      </c>
      <c r="H4352" s="9">
        <v>44733</v>
      </c>
      <c r="I4352" t="s">
        <v>195</v>
      </c>
      <c r="J4352" t="s">
        <v>5330</v>
      </c>
      <c r="K4352" s="9">
        <v>44834</v>
      </c>
      <c r="L4352" t="s">
        <v>29</v>
      </c>
      <c r="M4352"/>
      <c r="N4352" s="9">
        <v>44778</v>
      </c>
      <c r="O4352" s="9">
        <v>44834</v>
      </c>
      <c r="P4352"/>
      <c r="Q4352"/>
      <c r="R4352"/>
      <c r="S4352"/>
      <c r="T4352"/>
      <c r="U4352"/>
    </row>
    <row r="4353" spans="1:21" hidden="1">
      <c r="A4353" s="7" t="s">
        <v>8758</v>
      </c>
      <c r="B4353" s="7" t="s">
        <v>5405</v>
      </c>
      <c r="C4353" s="8" t="s">
        <v>5319</v>
      </c>
      <c r="D4353" t="s">
        <v>266</v>
      </c>
      <c r="E4353" t="s">
        <v>25</v>
      </c>
      <c r="F4353" t="s">
        <v>493</v>
      </c>
      <c r="G4353" t="s">
        <v>3891</v>
      </c>
      <c r="H4353" s="9">
        <v>44733</v>
      </c>
      <c r="I4353" t="s">
        <v>8634</v>
      </c>
      <c r="J4353" t="s">
        <v>0</v>
      </c>
      <c r="K4353" s="9">
        <v>44862</v>
      </c>
      <c r="L4353" t="s">
        <v>29</v>
      </c>
      <c r="M4353"/>
      <c r="N4353"/>
      <c r="O4353"/>
      <c r="P4353"/>
      <c r="Q4353" s="9">
        <v>44862</v>
      </c>
      <c r="R4353"/>
      <c r="S4353"/>
      <c r="T4353"/>
      <c r="U4353"/>
    </row>
    <row r="4354" spans="1:21" hidden="1">
      <c r="A4354" s="7" t="s">
        <v>8758</v>
      </c>
      <c r="B4354" s="7" t="s">
        <v>5405</v>
      </c>
      <c r="C4354" s="8" t="s">
        <v>5319</v>
      </c>
      <c r="D4354" t="s">
        <v>266</v>
      </c>
      <c r="E4354" t="s">
        <v>25</v>
      </c>
      <c r="F4354" t="s">
        <v>493</v>
      </c>
      <c r="G4354" t="s">
        <v>614</v>
      </c>
      <c r="H4354" s="9">
        <v>44733</v>
      </c>
      <c r="I4354" t="s">
        <v>8634</v>
      </c>
      <c r="J4354" t="s">
        <v>0</v>
      </c>
      <c r="K4354" s="9">
        <v>44862</v>
      </c>
      <c r="L4354" t="s">
        <v>29</v>
      </c>
      <c r="M4354"/>
      <c r="N4354"/>
      <c r="O4354"/>
      <c r="P4354"/>
      <c r="Q4354" s="9">
        <v>44862</v>
      </c>
      <c r="R4354"/>
      <c r="S4354"/>
      <c r="T4354"/>
      <c r="U4354"/>
    </row>
    <row r="4355" spans="1:21" hidden="1">
      <c r="A4355" s="7" t="s">
        <v>8893</v>
      </c>
      <c r="B4355" s="7" t="s">
        <v>5405</v>
      </c>
      <c r="C4355" s="8" t="s">
        <v>5319</v>
      </c>
      <c r="D4355" t="s">
        <v>266</v>
      </c>
      <c r="E4355" t="s">
        <v>25</v>
      </c>
      <c r="F4355" t="s">
        <v>209</v>
      </c>
      <c r="G4355" t="s">
        <v>3892</v>
      </c>
      <c r="H4355" s="9">
        <v>44733</v>
      </c>
      <c r="I4355" t="s">
        <v>8634</v>
      </c>
      <c r="J4355" t="s">
        <v>0</v>
      </c>
      <c r="K4355" s="9">
        <v>44858</v>
      </c>
      <c r="L4355" t="s">
        <v>29</v>
      </c>
      <c r="M4355"/>
      <c r="N4355"/>
      <c r="O4355"/>
      <c r="P4355"/>
      <c r="Q4355" s="9">
        <v>44858</v>
      </c>
      <c r="R4355"/>
      <c r="S4355"/>
      <c r="T4355"/>
      <c r="U4355"/>
    </row>
    <row r="4356" spans="1:21" hidden="1">
      <c r="A4356" s="7" t="s">
        <v>8758</v>
      </c>
      <c r="B4356" s="7" t="s">
        <v>5405</v>
      </c>
      <c r="C4356" s="8" t="s">
        <v>5319</v>
      </c>
      <c r="D4356" t="s">
        <v>266</v>
      </c>
      <c r="E4356" t="s">
        <v>25</v>
      </c>
      <c r="F4356" t="s">
        <v>493</v>
      </c>
      <c r="G4356" t="s">
        <v>3893</v>
      </c>
      <c r="H4356" s="9">
        <v>44733</v>
      </c>
      <c r="I4356" t="s">
        <v>8634</v>
      </c>
      <c r="J4356" t="s">
        <v>0</v>
      </c>
      <c r="K4356" s="9">
        <v>44862</v>
      </c>
      <c r="L4356" t="s">
        <v>29</v>
      </c>
      <c r="M4356"/>
      <c r="N4356"/>
      <c r="O4356"/>
      <c r="P4356"/>
      <c r="Q4356" s="9">
        <v>44862</v>
      </c>
      <c r="R4356"/>
      <c r="S4356"/>
      <c r="T4356"/>
      <c r="U4356"/>
    </row>
    <row r="4357" spans="1:21" hidden="1">
      <c r="A4357" s="7" t="s">
        <v>8758</v>
      </c>
      <c r="B4357" s="7" t="s">
        <v>5405</v>
      </c>
      <c r="C4357" s="8" t="s">
        <v>5319</v>
      </c>
      <c r="D4357" t="s">
        <v>266</v>
      </c>
      <c r="E4357" t="s">
        <v>25</v>
      </c>
      <c r="F4357" t="s">
        <v>493</v>
      </c>
      <c r="G4357" t="s">
        <v>2990</v>
      </c>
      <c r="H4357" s="9">
        <v>44733</v>
      </c>
      <c r="I4357" t="s">
        <v>8634</v>
      </c>
      <c r="J4357" t="s">
        <v>5330</v>
      </c>
      <c r="K4357" s="9">
        <v>44834</v>
      </c>
      <c r="L4357" t="s">
        <v>29</v>
      </c>
      <c r="M4357"/>
      <c r="N4357" s="9">
        <v>44778</v>
      </c>
      <c r="O4357" s="9">
        <v>44834</v>
      </c>
      <c r="P4357"/>
      <c r="Q4357"/>
      <c r="R4357"/>
      <c r="S4357"/>
      <c r="T4357"/>
      <c r="U4357"/>
    </row>
    <row r="4358" spans="1:21" hidden="1">
      <c r="A4358" s="7" t="s">
        <v>8758</v>
      </c>
      <c r="B4358" s="7" t="s">
        <v>5405</v>
      </c>
      <c r="C4358" s="8" t="s">
        <v>5319</v>
      </c>
      <c r="D4358" t="s">
        <v>266</v>
      </c>
      <c r="E4358" t="s">
        <v>25</v>
      </c>
      <c r="F4358" t="s">
        <v>493</v>
      </c>
      <c r="G4358" t="s">
        <v>2993</v>
      </c>
      <c r="H4358" s="9">
        <v>44733</v>
      </c>
      <c r="I4358" t="s">
        <v>8634</v>
      </c>
      <c r="J4358" t="s">
        <v>0</v>
      </c>
      <c r="K4358" s="9">
        <v>44862</v>
      </c>
      <c r="L4358" t="s">
        <v>29</v>
      </c>
      <c r="M4358"/>
      <c r="N4358"/>
      <c r="O4358"/>
      <c r="P4358"/>
      <c r="Q4358" s="9">
        <v>44862</v>
      </c>
      <c r="R4358"/>
      <c r="S4358"/>
      <c r="T4358"/>
      <c r="U4358"/>
    </row>
    <row r="4359" spans="1:21" hidden="1">
      <c r="A4359" s="7" t="s">
        <v>8825</v>
      </c>
      <c r="B4359" s="7" t="s">
        <v>5405</v>
      </c>
      <c r="C4359" s="8" t="s">
        <v>5319</v>
      </c>
      <c r="D4359" t="s">
        <v>266</v>
      </c>
      <c r="E4359" t="s">
        <v>25</v>
      </c>
      <c r="F4359" t="s">
        <v>111</v>
      </c>
      <c r="G4359" t="s">
        <v>3894</v>
      </c>
      <c r="H4359" s="9">
        <v>44733</v>
      </c>
      <c r="I4359" t="s">
        <v>8634</v>
      </c>
      <c r="J4359" t="s">
        <v>0</v>
      </c>
      <c r="K4359" s="9">
        <v>44881</v>
      </c>
      <c r="L4359" t="s">
        <v>29</v>
      </c>
      <c r="M4359"/>
      <c r="N4359"/>
      <c r="O4359"/>
      <c r="P4359"/>
      <c r="Q4359" s="9">
        <v>44881</v>
      </c>
      <c r="R4359"/>
      <c r="S4359"/>
      <c r="T4359"/>
      <c r="U4359"/>
    </row>
    <row r="4360" spans="1:21" hidden="1">
      <c r="A4360" s="7" t="s">
        <v>8825</v>
      </c>
      <c r="B4360" s="7" t="s">
        <v>5405</v>
      </c>
      <c r="C4360" s="8" t="s">
        <v>5319</v>
      </c>
      <c r="D4360" t="s">
        <v>266</v>
      </c>
      <c r="E4360" t="s">
        <v>25</v>
      </c>
      <c r="F4360" t="s">
        <v>111</v>
      </c>
      <c r="G4360" t="s">
        <v>3895</v>
      </c>
      <c r="H4360" s="9">
        <v>44733</v>
      </c>
      <c r="I4360" t="s">
        <v>8634</v>
      </c>
      <c r="J4360" t="s">
        <v>0</v>
      </c>
      <c r="K4360" s="9">
        <v>44881</v>
      </c>
      <c r="L4360" t="s">
        <v>29</v>
      </c>
      <c r="M4360"/>
      <c r="N4360"/>
      <c r="O4360"/>
      <c r="P4360"/>
      <c r="Q4360" s="9">
        <v>44881</v>
      </c>
      <c r="R4360"/>
      <c r="S4360"/>
      <c r="T4360"/>
      <c r="U4360"/>
    </row>
    <row r="4361" spans="1:21" hidden="1">
      <c r="A4361" s="7" t="s">
        <v>8758</v>
      </c>
      <c r="B4361" s="7" t="s">
        <v>5405</v>
      </c>
      <c r="C4361" s="8" t="s">
        <v>5319</v>
      </c>
      <c r="D4361" t="s">
        <v>266</v>
      </c>
      <c r="E4361" t="s">
        <v>25</v>
      </c>
      <c r="F4361" t="s">
        <v>493</v>
      </c>
      <c r="G4361" t="s">
        <v>3896</v>
      </c>
      <c r="H4361" s="9">
        <v>44733</v>
      </c>
      <c r="I4361" t="s">
        <v>8634</v>
      </c>
      <c r="J4361" t="s">
        <v>0</v>
      </c>
      <c r="K4361" s="9">
        <v>44862</v>
      </c>
      <c r="L4361" t="s">
        <v>29</v>
      </c>
      <c r="M4361"/>
      <c r="N4361"/>
      <c r="O4361"/>
      <c r="P4361"/>
      <c r="Q4361" s="9">
        <v>44862</v>
      </c>
      <c r="R4361"/>
      <c r="S4361"/>
      <c r="T4361"/>
      <c r="U4361"/>
    </row>
    <row r="4362" spans="1:21" hidden="1">
      <c r="A4362" s="7" t="s">
        <v>8758</v>
      </c>
      <c r="B4362" s="7" t="s">
        <v>5405</v>
      </c>
      <c r="C4362" s="8" t="s">
        <v>5319</v>
      </c>
      <c r="D4362" t="s">
        <v>266</v>
      </c>
      <c r="E4362" t="s">
        <v>25</v>
      </c>
      <c r="F4362" t="s">
        <v>493</v>
      </c>
      <c r="G4362" t="s">
        <v>3897</v>
      </c>
      <c r="H4362" s="9">
        <v>44733</v>
      </c>
      <c r="I4362" t="s">
        <v>8634</v>
      </c>
      <c r="J4362" t="s">
        <v>0</v>
      </c>
      <c r="K4362" s="9">
        <v>44862</v>
      </c>
      <c r="L4362" t="s">
        <v>29</v>
      </c>
      <c r="M4362"/>
      <c r="N4362"/>
      <c r="O4362"/>
      <c r="P4362"/>
      <c r="Q4362" s="9">
        <v>44862</v>
      </c>
      <c r="R4362"/>
      <c r="S4362"/>
      <c r="T4362"/>
      <c r="U4362"/>
    </row>
    <row r="4363" spans="1:21" hidden="1">
      <c r="A4363" s="7" t="s">
        <v>8758</v>
      </c>
      <c r="B4363" s="7" t="s">
        <v>5405</v>
      </c>
      <c r="C4363" s="8" t="s">
        <v>5319</v>
      </c>
      <c r="D4363" t="s">
        <v>266</v>
      </c>
      <c r="E4363" t="s">
        <v>25</v>
      </c>
      <c r="F4363" t="s">
        <v>493</v>
      </c>
      <c r="G4363" t="s">
        <v>3898</v>
      </c>
      <c r="H4363" s="9">
        <v>44733</v>
      </c>
      <c r="I4363" t="s">
        <v>8634</v>
      </c>
      <c r="J4363" t="s">
        <v>0</v>
      </c>
      <c r="K4363" s="9">
        <v>44862</v>
      </c>
      <c r="L4363" t="s">
        <v>29</v>
      </c>
      <c r="M4363"/>
      <c r="N4363"/>
      <c r="O4363"/>
      <c r="P4363"/>
      <c r="Q4363" s="9">
        <v>44862</v>
      </c>
      <c r="R4363"/>
      <c r="S4363"/>
      <c r="T4363"/>
      <c r="U4363"/>
    </row>
    <row r="4364" spans="1:21" hidden="1">
      <c r="A4364" s="7" t="s">
        <v>8758</v>
      </c>
      <c r="B4364" s="7" t="s">
        <v>5405</v>
      </c>
      <c r="C4364" s="8" t="s">
        <v>5319</v>
      </c>
      <c r="D4364" t="s">
        <v>266</v>
      </c>
      <c r="E4364" t="s">
        <v>25</v>
      </c>
      <c r="F4364" t="s">
        <v>493</v>
      </c>
      <c r="G4364" t="s">
        <v>3899</v>
      </c>
      <c r="H4364" s="9">
        <v>44733</v>
      </c>
      <c r="I4364" t="s">
        <v>8634</v>
      </c>
      <c r="J4364" t="s">
        <v>0</v>
      </c>
      <c r="K4364" s="9">
        <v>44862</v>
      </c>
      <c r="L4364" t="s">
        <v>29</v>
      </c>
      <c r="M4364"/>
      <c r="N4364"/>
      <c r="O4364"/>
      <c r="P4364"/>
      <c r="Q4364" s="9">
        <v>44862</v>
      </c>
      <c r="R4364"/>
      <c r="S4364"/>
      <c r="T4364"/>
      <c r="U4364"/>
    </row>
    <row r="4365" spans="1:21" hidden="1">
      <c r="A4365" s="7" t="s">
        <v>8893</v>
      </c>
      <c r="B4365" s="7" t="s">
        <v>5405</v>
      </c>
      <c r="C4365" s="8" t="s">
        <v>5319</v>
      </c>
      <c r="D4365" t="s">
        <v>266</v>
      </c>
      <c r="E4365" t="s">
        <v>25</v>
      </c>
      <c r="F4365" t="s">
        <v>209</v>
      </c>
      <c r="G4365" t="s">
        <v>3900</v>
      </c>
      <c r="H4365" s="9">
        <v>44733</v>
      </c>
      <c r="I4365" t="s">
        <v>8634</v>
      </c>
      <c r="J4365" t="s">
        <v>0</v>
      </c>
      <c r="K4365" s="9">
        <v>44858</v>
      </c>
      <c r="L4365" t="s">
        <v>29</v>
      </c>
      <c r="M4365"/>
      <c r="N4365"/>
      <c r="O4365"/>
      <c r="P4365"/>
      <c r="Q4365" s="9">
        <v>44858</v>
      </c>
      <c r="R4365"/>
      <c r="S4365"/>
      <c r="T4365"/>
      <c r="U4365"/>
    </row>
    <row r="4366" spans="1:21" hidden="1">
      <c r="A4366" s="7" t="s">
        <v>8758</v>
      </c>
      <c r="B4366" s="7" t="s">
        <v>5405</v>
      </c>
      <c r="C4366" s="8" t="s">
        <v>5319</v>
      </c>
      <c r="D4366" t="s">
        <v>266</v>
      </c>
      <c r="E4366" t="s">
        <v>25</v>
      </c>
      <c r="F4366" t="s">
        <v>493</v>
      </c>
      <c r="G4366" t="s">
        <v>3901</v>
      </c>
      <c r="H4366" s="9">
        <v>44733</v>
      </c>
      <c r="I4366" t="s">
        <v>8634</v>
      </c>
      <c r="J4366" t="s">
        <v>5330</v>
      </c>
      <c r="K4366" s="9">
        <v>44834</v>
      </c>
      <c r="L4366" t="s">
        <v>29</v>
      </c>
      <c r="M4366"/>
      <c r="N4366" s="9">
        <v>44778</v>
      </c>
      <c r="O4366" s="9">
        <v>44834</v>
      </c>
      <c r="P4366"/>
      <c r="Q4366"/>
      <c r="R4366"/>
      <c r="S4366"/>
      <c r="T4366"/>
      <c r="U4366"/>
    </row>
    <row r="4367" spans="1:21" hidden="1">
      <c r="A4367" s="7" t="s">
        <v>8758</v>
      </c>
      <c r="B4367" s="7" t="s">
        <v>5405</v>
      </c>
      <c r="C4367" s="8" t="s">
        <v>5319</v>
      </c>
      <c r="D4367" t="s">
        <v>266</v>
      </c>
      <c r="E4367" t="s">
        <v>25</v>
      </c>
      <c r="F4367" t="s">
        <v>493</v>
      </c>
      <c r="G4367" t="s">
        <v>3902</v>
      </c>
      <c r="H4367" s="9">
        <v>44733</v>
      </c>
      <c r="I4367" t="s">
        <v>8634</v>
      </c>
      <c r="J4367" t="s">
        <v>0</v>
      </c>
      <c r="K4367" s="9">
        <v>44862</v>
      </c>
      <c r="L4367" t="s">
        <v>29</v>
      </c>
      <c r="M4367"/>
      <c r="N4367"/>
      <c r="O4367"/>
      <c r="P4367"/>
      <c r="Q4367" s="9">
        <v>44862</v>
      </c>
      <c r="R4367"/>
      <c r="S4367"/>
      <c r="T4367"/>
      <c r="U4367"/>
    </row>
    <row r="4368" spans="1:21" hidden="1">
      <c r="A4368" s="7" t="s">
        <v>8758</v>
      </c>
      <c r="B4368" s="7" t="s">
        <v>5405</v>
      </c>
      <c r="C4368" s="8" t="s">
        <v>5319</v>
      </c>
      <c r="D4368" t="s">
        <v>266</v>
      </c>
      <c r="E4368" t="s">
        <v>25</v>
      </c>
      <c r="F4368" t="s">
        <v>493</v>
      </c>
      <c r="G4368" t="s">
        <v>3903</v>
      </c>
      <c r="H4368" s="9">
        <v>44733</v>
      </c>
      <c r="I4368" t="s">
        <v>8634</v>
      </c>
      <c r="J4368" t="s">
        <v>5330</v>
      </c>
      <c r="K4368" s="9">
        <v>44834</v>
      </c>
      <c r="L4368" t="s">
        <v>29</v>
      </c>
      <c r="M4368"/>
      <c r="N4368" s="9">
        <v>44778</v>
      </c>
      <c r="O4368" s="9">
        <v>44834</v>
      </c>
      <c r="P4368"/>
      <c r="Q4368"/>
      <c r="R4368"/>
      <c r="S4368"/>
      <c r="T4368"/>
      <c r="U4368"/>
    </row>
    <row r="4369" spans="1:21" hidden="1">
      <c r="A4369" s="7" t="s">
        <v>8758</v>
      </c>
      <c r="B4369" s="7" t="s">
        <v>5405</v>
      </c>
      <c r="C4369" s="8" t="s">
        <v>5319</v>
      </c>
      <c r="D4369" t="s">
        <v>266</v>
      </c>
      <c r="E4369" t="s">
        <v>25</v>
      </c>
      <c r="F4369" t="s">
        <v>493</v>
      </c>
      <c r="G4369" t="s">
        <v>3904</v>
      </c>
      <c r="H4369" s="9">
        <v>44733</v>
      </c>
      <c r="I4369" t="s">
        <v>8634</v>
      </c>
      <c r="J4369" t="s">
        <v>0</v>
      </c>
      <c r="K4369" s="9">
        <v>44862</v>
      </c>
      <c r="L4369" t="s">
        <v>29</v>
      </c>
      <c r="M4369"/>
      <c r="N4369"/>
      <c r="O4369"/>
      <c r="P4369"/>
      <c r="Q4369" s="9">
        <v>44862</v>
      </c>
      <c r="R4369"/>
      <c r="S4369"/>
      <c r="T4369"/>
      <c r="U4369"/>
    </row>
    <row r="4370" spans="1:21" hidden="1">
      <c r="A4370" s="7" t="s">
        <v>8758</v>
      </c>
      <c r="B4370" s="7" t="s">
        <v>5405</v>
      </c>
      <c r="C4370" s="8" t="s">
        <v>5319</v>
      </c>
      <c r="D4370" t="s">
        <v>266</v>
      </c>
      <c r="E4370" t="s">
        <v>25</v>
      </c>
      <c r="F4370" t="s">
        <v>493</v>
      </c>
      <c r="G4370" t="s">
        <v>3905</v>
      </c>
      <c r="H4370" s="9">
        <v>44733</v>
      </c>
      <c r="I4370" t="s">
        <v>8634</v>
      </c>
      <c r="J4370" t="s">
        <v>0</v>
      </c>
      <c r="K4370" s="9">
        <v>44862</v>
      </c>
      <c r="L4370" t="s">
        <v>29</v>
      </c>
      <c r="M4370"/>
      <c r="N4370"/>
      <c r="O4370"/>
      <c r="P4370"/>
      <c r="Q4370" s="9">
        <v>44862</v>
      </c>
      <c r="R4370"/>
      <c r="S4370"/>
      <c r="T4370"/>
      <c r="U4370"/>
    </row>
    <row r="4371" spans="1:21" hidden="1">
      <c r="A4371" s="7" t="s">
        <v>8758</v>
      </c>
      <c r="B4371" s="7" t="s">
        <v>5405</v>
      </c>
      <c r="C4371" s="8" t="s">
        <v>5319</v>
      </c>
      <c r="D4371" t="s">
        <v>266</v>
      </c>
      <c r="E4371" t="s">
        <v>25</v>
      </c>
      <c r="F4371" t="s">
        <v>493</v>
      </c>
      <c r="G4371" t="s">
        <v>3906</v>
      </c>
      <c r="H4371" s="9">
        <v>44733</v>
      </c>
      <c r="I4371" t="s">
        <v>8634</v>
      </c>
      <c r="J4371" t="s">
        <v>0</v>
      </c>
      <c r="K4371" s="9">
        <v>44862</v>
      </c>
      <c r="L4371" t="s">
        <v>29</v>
      </c>
      <c r="M4371"/>
      <c r="N4371"/>
      <c r="O4371"/>
      <c r="P4371"/>
      <c r="Q4371" s="9">
        <v>44862</v>
      </c>
      <c r="R4371"/>
      <c r="S4371"/>
      <c r="T4371"/>
      <c r="U4371"/>
    </row>
    <row r="4372" spans="1:21" hidden="1">
      <c r="A4372" s="7" t="s">
        <v>8758</v>
      </c>
      <c r="B4372" s="7" t="s">
        <v>5405</v>
      </c>
      <c r="C4372" s="8" t="s">
        <v>5319</v>
      </c>
      <c r="D4372" t="s">
        <v>266</v>
      </c>
      <c r="E4372" t="s">
        <v>25</v>
      </c>
      <c r="F4372" t="s">
        <v>493</v>
      </c>
      <c r="G4372" t="s">
        <v>3907</v>
      </c>
      <c r="H4372" s="9">
        <v>44733</v>
      </c>
      <c r="I4372" t="s">
        <v>8634</v>
      </c>
      <c r="J4372" t="s">
        <v>5330</v>
      </c>
      <c r="K4372" s="9">
        <v>44834</v>
      </c>
      <c r="L4372" t="s">
        <v>29</v>
      </c>
      <c r="M4372"/>
      <c r="N4372" s="9">
        <v>44778</v>
      </c>
      <c r="O4372" s="9">
        <v>44834</v>
      </c>
      <c r="P4372"/>
      <c r="Q4372"/>
      <c r="R4372"/>
      <c r="S4372"/>
      <c r="T4372"/>
      <c r="U4372"/>
    </row>
    <row r="4373" spans="1:21" hidden="1">
      <c r="A4373" s="7" t="s">
        <v>8758</v>
      </c>
      <c r="B4373" s="7" t="s">
        <v>5405</v>
      </c>
      <c r="C4373" s="8" t="s">
        <v>5319</v>
      </c>
      <c r="D4373" t="s">
        <v>266</v>
      </c>
      <c r="E4373" t="s">
        <v>25</v>
      </c>
      <c r="F4373" t="s">
        <v>493</v>
      </c>
      <c r="G4373" t="s">
        <v>3908</v>
      </c>
      <c r="H4373" s="9">
        <v>44733</v>
      </c>
      <c r="I4373" t="s">
        <v>8634</v>
      </c>
      <c r="J4373" t="s">
        <v>0</v>
      </c>
      <c r="K4373" s="9">
        <v>44862</v>
      </c>
      <c r="L4373" t="s">
        <v>29</v>
      </c>
      <c r="M4373"/>
      <c r="N4373"/>
      <c r="O4373"/>
      <c r="P4373"/>
      <c r="Q4373" s="9">
        <v>44862</v>
      </c>
      <c r="R4373"/>
      <c r="S4373"/>
      <c r="T4373"/>
      <c r="U4373"/>
    </row>
    <row r="4374" spans="1:21" hidden="1">
      <c r="A4374" s="7" t="s">
        <v>8758</v>
      </c>
      <c r="B4374" s="7" t="s">
        <v>5405</v>
      </c>
      <c r="C4374" s="8" t="s">
        <v>5319</v>
      </c>
      <c r="D4374" t="s">
        <v>266</v>
      </c>
      <c r="E4374" t="s">
        <v>25</v>
      </c>
      <c r="F4374" t="s">
        <v>493</v>
      </c>
      <c r="G4374" t="s">
        <v>3909</v>
      </c>
      <c r="H4374" s="9">
        <v>44733</v>
      </c>
      <c r="I4374" t="s">
        <v>8634</v>
      </c>
      <c r="J4374" t="s">
        <v>0</v>
      </c>
      <c r="K4374" s="9">
        <v>44862</v>
      </c>
      <c r="L4374" t="s">
        <v>29</v>
      </c>
      <c r="M4374"/>
      <c r="N4374"/>
      <c r="O4374"/>
      <c r="P4374"/>
      <c r="Q4374" s="9">
        <v>44862</v>
      </c>
      <c r="R4374"/>
      <c r="S4374"/>
      <c r="T4374"/>
      <c r="U4374"/>
    </row>
    <row r="4375" spans="1:21" hidden="1">
      <c r="A4375" s="7" t="s">
        <v>8758</v>
      </c>
      <c r="B4375" s="7" t="s">
        <v>5405</v>
      </c>
      <c r="C4375" s="8" t="s">
        <v>5319</v>
      </c>
      <c r="D4375" t="s">
        <v>266</v>
      </c>
      <c r="E4375" t="s">
        <v>25</v>
      </c>
      <c r="F4375" t="s">
        <v>493</v>
      </c>
      <c r="G4375" t="s">
        <v>622</v>
      </c>
      <c r="H4375" s="9">
        <v>44733</v>
      </c>
      <c r="I4375" t="s">
        <v>8634</v>
      </c>
      <c r="J4375" t="s">
        <v>0</v>
      </c>
      <c r="K4375" s="9">
        <v>44862</v>
      </c>
      <c r="L4375" t="s">
        <v>29</v>
      </c>
      <c r="M4375"/>
      <c r="N4375"/>
      <c r="O4375"/>
      <c r="P4375"/>
      <c r="Q4375" s="9">
        <v>44862</v>
      </c>
      <c r="R4375"/>
      <c r="S4375"/>
      <c r="T4375"/>
      <c r="U4375"/>
    </row>
    <row r="4376" spans="1:21" hidden="1">
      <c r="A4376" s="7" t="s">
        <v>8758</v>
      </c>
      <c r="B4376" s="7" t="s">
        <v>5405</v>
      </c>
      <c r="C4376" s="8" t="s">
        <v>5319</v>
      </c>
      <c r="D4376" t="s">
        <v>266</v>
      </c>
      <c r="E4376" t="s">
        <v>25</v>
      </c>
      <c r="F4376" t="s">
        <v>493</v>
      </c>
      <c r="G4376" t="s">
        <v>3910</v>
      </c>
      <c r="H4376" s="9">
        <v>44733</v>
      </c>
      <c r="I4376" t="s">
        <v>8634</v>
      </c>
      <c r="J4376" t="s">
        <v>5330</v>
      </c>
      <c r="K4376" s="9">
        <v>44834</v>
      </c>
      <c r="L4376" t="s">
        <v>29</v>
      </c>
      <c r="M4376"/>
      <c r="N4376" s="9">
        <v>44778</v>
      </c>
      <c r="O4376" s="9">
        <v>44834</v>
      </c>
      <c r="P4376"/>
      <c r="Q4376"/>
      <c r="R4376"/>
      <c r="S4376"/>
      <c r="T4376"/>
      <c r="U4376"/>
    </row>
    <row r="4377" spans="1:21" hidden="1">
      <c r="A4377" s="7" t="s">
        <v>8758</v>
      </c>
      <c r="B4377" s="7" t="s">
        <v>5405</v>
      </c>
      <c r="C4377" s="8" t="s">
        <v>5319</v>
      </c>
      <c r="D4377" t="s">
        <v>266</v>
      </c>
      <c r="E4377" t="s">
        <v>25</v>
      </c>
      <c r="F4377" t="s">
        <v>493</v>
      </c>
      <c r="G4377" t="s">
        <v>3911</v>
      </c>
      <c r="H4377" s="9">
        <v>44733</v>
      </c>
      <c r="I4377" t="s">
        <v>8634</v>
      </c>
      <c r="J4377" t="s">
        <v>0</v>
      </c>
      <c r="K4377" s="9">
        <v>44862</v>
      </c>
      <c r="L4377" t="s">
        <v>29</v>
      </c>
      <c r="M4377"/>
      <c r="N4377"/>
      <c r="O4377"/>
      <c r="P4377"/>
      <c r="Q4377" s="9">
        <v>44862</v>
      </c>
      <c r="R4377"/>
      <c r="S4377"/>
      <c r="T4377"/>
      <c r="U4377"/>
    </row>
    <row r="4378" spans="1:21" hidden="1">
      <c r="A4378" s="7" t="s">
        <v>8758</v>
      </c>
      <c r="B4378" s="7" t="s">
        <v>5405</v>
      </c>
      <c r="C4378" s="8" t="s">
        <v>5319</v>
      </c>
      <c r="D4378" t="s">
        <v>266</v>
      </c>
      <c r="E4378" t="s">
        <v>25</v>
      </c>
      <c r="F4378" t="s">
        <v>493</v>
      </c>
      <c r="G4378" t="s">
        <v>3912</v>
      </c>
      <c r="H4378" s="9">
        <v>44733</v>
      </c>
      <c r="I4378" t="s">
        <v>8634</v>
      </c>
      <c r="J4378" t="s">
        <v>0</v>
      </c>
      <c r="K4378" s="9">
        <v>44862</v>
      </c>
      <c r="L4378" t="s">
        <v>29</v>
      </c>
      <c r="M4378"/>
      <c r="N4378"/>
      <c r="O4378"/>
      <c r="P4378"/>
      <c r="Q4378" s="9">
        <v>44862</v>
      </c>
      <c r="R4378"/>
      <c r="S4378"/>
      <c r="T4378"/>
      <c r="U4378"/>
    </row>
    <row r="4379" spans="1:21" hidden="1">
      <c r="A4379" s="7" t="s">
        <v>8893</v>
      </c>
      <c r="B4379" s="7" t="s">
        <v>5405</v>
      </c>
      <c r="C4379" s="8" t="s">
        <v>5319</v>
      </c>
      <c r="D4379" t="s">
        <v>266</v>
      </c>
      <c r="E4379" t="s">
        <v>25</v>
      </c>
      <c r="F4379" t="s">
        <v>209</v>
      </c>
      <c r="G4379" t="s">
        <v>3913</v>
      </c>
      <c r="H4379" s="9">
        <v>44733</v>
      </c>
      <c r="I4379" t="s">
        <v>8634</v>
      </c>
      <c r="J4379" t="s">
        <v>0</v>
      </c>
      <c r="K4379" s="9">
        <v>44858</v>
      </c>
      <c r="L4379" t="s">
        <v>29</v>
      </c>
      <c r="M4379"/>
      <c r="N4379"/>
      <c r="O4379"/>
      <c r="P4379"/>
      <c r="Q4379" s="9">
        <v>44858</v>
      </c>
      <c r="R4379"/>
      <c r="S4379"/>
      <c r="T4379"/>
      <c r="U4379"/>
    </row>
    <row r="4380" spans="1:21" hidden="1">
      <c r="A4380" s="7" t="s">
        <v>8758</v>
      </c>
      <c r="B4380" s="7" t="s">
        <v>5405</v>
      </c>
      <c r="C4380" s="8" t="s">
        <v>5319</v>
      </c>
      <c r="D4380" t="s">
        <v>266</v>
      </c>
      <c r="E4380" t="s">
        <v>25</v>
      </c>
      <c r="F4380" t="s">
        <v>493</v>
      </c>
      <c r="G4380" t="s">
        <v>3914</v>
      </c>
      <c r="H4380" s="9">
        <v>44733</v>
      </c>
      <c r="I4380" t="s">
        <v>8634</v>
      </c>
      <c r="J4380" t="s">
        <v>0</v>
      </c>
      <c r="K4380" s="9">
        <v>44862</v>
      </c>
      <c r="L4380" t="s">
        <v>29</v>
      </c>
      <c r="M4380"/>
      <c r="N4380"/>
      <c r="O4380"/>
      <c r="P4380"/>
      <c r="Q4380" s="9">
        <v>44862</v>
      </c>
      <c r="R4380"/>
      <c r="S4380"/>
      <c r="T4380"/>
      <c r="U4380"/>
    </row>
    <row r="4381" spans="1:21" hidden="1">
      <c r="A4381" s="7" t="s">
        <v>8758</v>
      </c>
      <c r="B4381" s="7" t="s">
        <v>5405</v>
      </c>
      <c r="C4381" s="8" t="s">
        <v>5319</v>
      </c>
      <c r="D4381" t="s">
        <v>266</v>
      </c>
      <c r="E4381" t="s">
        <v>25</v>
      </c>
      <c r="F4381" t="s">
        <v>493</v>
      </c>
      <c r="G4381" t="s">
        <v>3915</v>
      </c>
      <c r="H4381" s="9">
        <v>44733</v>
      </c>
      <c r="I4381" t="s">
        <v>8634</v>
      </c>
      <c r="J4381" t="s">
        <v>5330</v>
      </c>
      <c r="K4381" s="9">
        <v>44834</v>
      </c>
      <c r="L4381" t="s">
        <v>29</v>
      </c>
      <c r="M4381"/>
      <c r="N4381" s="9">
        <v>44778</v>
      </c>
      <c r="O4381" s="9">
        <v>44834</v>
      </c>
      <c r="P4381"/>
      <c r="Q4381"/>
      <c r="R4381"/>
      <c r="S4381"/>
      <c r="T4381"/>
      <c r="U4381"/>
    </row>
    <row r="4382" spans="1:21" hidden="1">
      <c r="A4382" s="7" t="s">
        <v>8758</v>
      </c>
      <c r="B4382" s="7" t="s">
        <v>5405</v>
      </c>
      <c r="C4382" s="8" t="s">
        <v>5319</v>
      </c>
      <c r="D4382" t="s">
        <v>266</v>
      </c>
      <c r="E4382" t="s">
        <v>25</v>
      </c>
      <c r="F4382" t="s">
        <v>493</v>
      </c>
      <c r="G4382" t="s">
        <v>3916</v>
      </c>
      <c r="H4382" s="9">
        <v>44733</v>
      </c>
      <c r="I4382" t="s">
        <v>8634</v>
      </c>
      <c r="J4382" t="s">
        <v>5330</v>
      </c>
      <c r="K4382" s="9">
        <v>44834</v>
      </c>
      <c r="L4382" t="s">
        <v>29</v>
      </c>
      <c r="M4382"/>
      <c r="N4382" s="9">
        <v>44778</v>
      </c>
      <c r="O4382" s="9">
        <v>44834</v>
      </c>
      <c r="P4382"/>
      <c r="Q4382"/>
      <c r="R4382"/>
      <c r="S4382"/>
      <c r="T4382"/>
      <c r="U4382"/>
    </row>
    <row r="4383" spans="1:21" hidden="1">
      <c r="A4383" s="7" t="s">
        <v>8758</v>
      </c>
      <c r="B4383" s="7" t="s">
        <v>5405</v>
      </c>
      <c r="C4383" s="8" t="s">
        <v>5319</v>
      </c>
      <c r="D4383" t="s">
        <v>266</v>
      </c>
      <c r="E4383" t="s">
        <v>25</v>
      </c>
      <c r="F4383" t="s">
        <v>493</v>
      </c>
      <c r="G4383" t="s">
        <v>3917</v>
      </c>
      <c r="H4383" s="9">
        <v>44733</v>
      </c>
      <c r="I4383" t="s">
        <v>8634</v>
      </c>
      <c r="J4383" t="s">
        <v>5330</v>
      </c>
      <c r="K4383" s="9">
        <v>44834</v>
      </c>
      <c r="L4383" t="s">
        <v>29</v>
      </c>
      <c r="M4383"/>
      <c r="N4383" s="9">
        <v>44778</v>
      </c>
      <c r="O4383" s="9">
        <v>44834</v>
      </c>
      <c r="P4383"/>
      <c r="Q4383"/>
      <c r="R4383"/>
      <c r="S4383"/>
      <c r="T4383"/>
      <c r="U4383"/>
    </row>
    <row r="4384" spans="1:21" hidden="1">
      <c r="A4384" s="7" t="s">
        <v>8758</v>
      </c>
      <c r="B4384" s="7" t="s">
        <v>5405</v>
      </c>
      <c r="C4384" s="8" t="s">
        <v>5319</v>
      </c>
      <c r="D4384" t="s">
        <v>266</v>
      </c>
      <c r="E4384" t="s">
        <v>25</v>
      </c>
      <c r="F4384" t="s">
        <v>493</v>
      </c>
      <c r="G4384" t="s">
        <v>3918</v>
      </c>
      <c r="H4384" s="9">
        <v>44733</v>
      </c>
      <c r="I4384" t="s">
        <v>8634</v>
      </c>
      <c r="J4384" t="s">
        <v>0</v>
      </c>
      <c r="K4384" s="9">
        <v>44862</v>
      </c>
      <c r="L4384" t="s">
        <v>29</v>
      </c>
      <c r="M4384"/>
      <c r="N4384"/>
      <c r="O4384"/>
      <c r="P4384"/>
      <c r="Q4384" s="9">
        <v>44862</v>
      </c>
      <c r="R4384"/>
      <c r="S4384"/>
      <c r="T4384"/>
      <c r="U4384"/>
    </row>
    <row r="4385" spans="1:21" hidden="1">
      <c r="A4385" s="7" t="s">
        <v>8758</v>
      </c>
      <c r="B4385" s="7" t="s">
        <v>5405</v>
      </c>
      <c r="C4385" s="8" t="s">
        <v>5319</v>
      </c>
      <c r="D4385" t="s">
        <v>266</v>
      </c>
      <c r="E4385" t="s">
        <v>25</v>
      </c>
      <c r="F4385" t="s">
        <v>493</v>
      </c>
      <c r="G4385" t="s">
        <v>3919</v>
      </c>
      <c r="H4385" s="9">
        <v>44733</v>
      </c>
      <c r="I4385" t="s">
        <v>8634</v>
      </c>
      <c r="J4385" t="s">
        <v>0</v>
      </c>
      <c r="K4385" s="9">
        <v>44862</v>
      </c>
      <c r="L4385" t="s">
        <v>29</v>
      </c>
      <c r="M4385"/>
      <c r="N4385"/>
      <c r="O4385"/>
      <c r="P4385"/>
      <c r="Q4385" s="9">
        <v>44862</v>
      </c>
      <c r="R4385"/>
      <c r="S4385"/>
      <c r="T4385"/>
      <c r="U4385"/>
    </row>
    <row r="4386" spans="1:21" hidden="1">
      <c r="A4386" s="7" t="s">
        <v>8758</v>
      </c>
      <c r="B4386" s="7" t="s">
        <v>5405</v>
      </c>
      <c r="C4386" s="8" t="s">
        <v>5319</v>
      </c>
      <c r="D4386" t="s">
        <v>266</v>
      </c>
      <c r="E4386" t="s">
        <v>25</v>
      </c>
      <c r="F4386" t="s">
        <v>493</v>
      </c>
      <c r="G4386" t="s">
        <v>3005</v>
      </c>
      <c r="H4386" s="9">
        <v>44733</v>
      </c>
      <c r="I4386" t="s">
        <v>8634</v>
      </c>
      <c r="J4386" t="s">
        <v>0</v>
      </c>
      <c r="K4386" s="9">
        <v>44862</v>
      </c>
      <c r="L4386" t="s">
        <v>29</v>
      </c>
      <c r="M4386"/>
      <c r="N4386"/>
      <c r="O4386"/>
      <c r="P4386"/>
      <c r="Q4386" s="9">
        <v>44862</v>
      </c>
      <c r="R4386"/>
      <c r="S4386"/>
      <c r="T4386"/>
      <c r="U4386"/>
    </row>
    <row r="4387" spans="1:21" hidden="1">
      <c r="A4387" s="7" t="s">
        <v>8758</v>
      </c>
      <c r="B4387" s="7" t="s">
        <v>5405</v>
      </c>
      <c r="C4387" s="8" t="s">
        <v>5319</v>
      </c>
      <c r="D4387" t="s">
        <v>266</v>
      </c>
      <c r="E4387" t="s">
        <v>25</v>
      </c>
      <c r="F4387" t="s">
        <v>493</v>
      </c>
      <c r="G4387" t="s">
        <v>3920</v>
      </c>
      <c r="H4387" s="9">
        <v>44733</v>
      </c>
      <c r="I4387" t="s">
        <v>8634</v>
      </c>
      <c r="J4387" t="s">
        <v>0</v>
      </c>
      <c r="K4387" s="9">
        <v>44862</v>
      </c>
      <c r="L4387" t="s">
        <v>29</v>
      </c>
      <c r="M4387"/>
      <c r="N4387"/>
      <c r="O4387"/>
      <c r="P4387"/>
      <c r="Q4387" s="9">
        <v>44862</v>
      </c>
      <c r="R4387"/>
      <c r="S4387"/>
      <c r="T4387"/>
      <c r="U4387"/>
    </row>
    <row r="4388" spans="1:21" hidden="1">
      <c r="A4388" s="7" t="s">
        <v>8758</v>
      </c>
      <c r="B4388" s="7" t="s">
        <v>5405</v>
      </c>
      <c r="C4388" s="8" t="s">
        <v>5319</v>
      </c>
      <c r="D4388" t="s">
        <v>266</v>
      </c>
      <c r="E4388" t="s">
        <v>25</v>
      </c>
      <c r="F4388" t="s">
        <v>493</v>
      </c>
      <c r="G4388" t="s">
        <v>3921</v>
      </c>
      <c r="H4388" s="9">
        <v>44733</v>
      </c>
      <c r="I4388" t="s">
        <v>8634</v>
      </c>
      <c r="J4388" t="s">
        <v>0</v>
      </c>
      <c r="K4388" s="9">
        <v>44862</v>
      </c>
      <c r="L4388" t="s">
        <v>29</v>
      </c>
      <c r="M4388"/>
      <c r="N4388"/>
      <c r="O4388"/>
      <c r="P4388"/>
      <c r="Q4388" s="9">
        <v>44862</v>
      </c>
      <c r="R4388"/>
      <c r="S4388"/>
      <c r="T4388"/>
      <c r="U4388"/>
    </row>
    <row r="4389" spans="1:21" hidden="1">
      <c r="A4389" s="7" t="s">
        <v>8758</v>
      </c>
      <c r="B4389" s="7" t="s">
        <v>5405</v>
      </c>
      <c r="C4389" s="8" t="s">
        <v>5319</v>
      </c>
      <c r="D4389" t="s">
        <v>266</v>
      </c>
      <c r="E4389" t="s">
        <v>25</v>
      </c>
      <c r="F4389" t="s">
        <v>493</v>
      </c>
      <c r="G4389" t="s">
        <v>3007</v>
      </c>
      <c r="H4389" s="9">
        <v>44733</v>
      </c>
      <c r="I4389" t="s">
        <v>8634</v>
      </c>
      <c r="J4389" t="s">
        <v>0</v>
      </c>
      <c r="K4389" s="9">
        <v>44862</v>
      </c>
      <c r="L4389" t="s">
        <v>29</v>
      </c>
      <c r="M4389"/>
      <c r="N4389"/>
      <c r="O4389"/>
      <c r="P4389"/>
      <c r="Q4389" s="9">
        <v>44862</v>
      </c>
      <c r="R4389"/>
      <c r="S4389"/>
      <c r="T4389"/>
      <c r="U4389"/>
    </row>
    <row r="4390" spans="1:21" hidden="1">
      <c r="A4390" s="7" t="s">
        <v>8758</v>
      </c>
      <c r="B4390" s="7" t="s">
        <v>5405</v>
      </c>
      <c r="C4390" s="8" t="s">
        <v>5319</v>
      </c>
      <c r="D4390" t="s">
        <v>266</v>
      </c>
      <c r="E4390" t="s">
        <v>25</v>
      </c>
      <c r="F4390" t="s">
        <v>493</v>
      </c>
      <c r="G4390" t="s">
        <v>1639</v>
      </c>
      <c r="H4390" s="9">
        <v>44733</v>
      </c>
      <c r="I4390" t="s">
        <v>8634</v>
      </c>
      <c r="J4390" t="s">
        <v>0</v>
      </c>
      <c r="K4390" s="9">
        <v>44862</v>
      </c>
      <c r="L4390" t="s">
        <v>29</v>
      </c>
      <c r="M4390"/>
      <c r="N4390"/>
      <c r="O4390"/>
      <c r="P4390"/>
      <c r="Q4390" s="9">
        <v>44862</v>
      </c>
      <c r="R4390"/>
      <c r="S4390"/>
      <c r="T4390"/>
      <c r="U4390"/>
    </row>
    <row r="4391" spans="1:21" hidden="1">
      <c r="A4391" s="7" t="s">
        <v>8893</v>
      </c>
      <c r="B4391" s="7" t="s">
        <v>5405</v>
      </c>
      <c r="C4391" s="8" t="s">
        <v>5319</v>
      </c>
      <c r="D4391" t="s">
        <v>266</v>
      </c>
      <c r="E4391" t="s">
        <v>25</v>
      </c>
      <c r="F4391" t="s">
        <v>209</v>
      </c>
      <c r="G4391" t="s">
        <v>3922</v>
      </c>
      <c r="H4391" s="9">
        <v>44733</v>
      </c>
      <c r="I4391" t="s">
        <v>8634</v>
      </c>
      <c r="J4391" t="s">
        <v>0</v>
      </c>
      <c r="K4391" s="9">
        <v>44858</v>
      </c>
      <c r="L4391" t="s">
        <v>29</v>
      </c>
      <c r="M4391"/>
      <c r="N4391"/>
      <c r="O4391"/>
      <c r="P4391"/>
      <c r="Q4391" s="9">
        <v>44858</v>
      </c>
      <c r="R4391"/>
      <c r="S4391"/>
      <c r="T4391"/>
      <c r="U4391"/>
    </row>
    <row r="4392" spans="1:21" hidden="1">
      <c r="A4392" s="7" t="s">
        <v>8893</v>
      </c>
      <c r="B4392" s="7" t="s">
        <v>5405</v>
      </c>
      <c r="C4392" s="8" t="s">
        <v>5319</v>
      </c>
      <c r="D4392" t="s">
        <v>266</v>
      </c>
      <c r="E4392" t="s">
        <v>25</v>
      </c>
      <c r="F4392" t="s">
        <v>209</v>
      </c>
      <c r="G4392" t="s">
        <v>3923</v>
      </c>
      <c r="H4392" s="9">
        <v>44733</v>
      </c>
      <c r="I4392" t="s">
        <v>8634</v>
      </c>
      <c r="J4392" t="s">
        <v>5330</v>
      </c>
      <c r="K4392" s="9">
        <v>44834</v>
      </c>
      <c r="L4392" t="s">
        <v>29</v>
      </c>
      <c r="M4392"/>
      <c r="N4392" s="9">
        <v>44778</v>
      </c>
      <c r="O4392" s="9">
        <v>44834</v>
      </c>
      <c r="P4392"/>
      <c r="Q4392"/>
      <c r="R4392"/>
      <c r="S4392"/>
      <c r="T4392"/>
      <c r="U4392"/>
    </row>
    <row r="4393" spans="1:21" hidden="1">
      <c r="A4393" s="7" t="s">
        <v>8758</v>
      </c>
      <c r="B4393" s="7" t="s">
        <v>5405</v>
      </c>
      <c r="C4393" s="8" t="s">
        <v>5319</v>
      </c>
      <c r="D4393" t="s">
        <v>266</v>
      </c>
      <c r="E4393" t="s">
        <v>25</v>
      </c>
      <c r="F4393" t="s">
        <v>493</v>
      </c>
      <c r="G4393" t="s">
        <v>3923</v>
      </c>
      <c r="H4393" s="9">
        <v>44733</v>
      </c>
      <c r="I4393" t="s">
        <v>8634</v>
      </c>
      <c r="J4393" t="s">
        <v>5330</v>
      </c>
      <c r="K4393" s="9">
        <v>44834</v>
      </c>
      <c r="L4393" t="s">
        <v>29</v>
      </c>
      <c r="M4393"/>
      <c r="N4393" s="9">
        <v>44778</v>
      </c>
      <c r="O4393" s="9">
        <v>44834</v>
      </c>
      <c r="P4393"/>
      <c r="Q4393"/>
      <c r="R4393"/>
      <c r="S4393"/>
      <c r="T4393"/>
      <c r="U4393"/>
    </row>
    <row r="4394" spans="1:21" hidden="1">
      <c r="A4394" s="7" t="s">
        <v>8893</v>
      </c>
      <c r="B4394" s="7" t="s">
        <v>5405</v>
      </c>
      <c r="C4394" s="8" t="s">
        <v>5319</v>
      </c>
      <c r="D4394" t="s">
        <v>266</v>
      </c>
      <c r="E4394" t="s">
        <v>25</v>
      </c>
      <c r="F4394" t="s">
        <v>209</v>
      </c>
      <c r="G4394" t="s">
        <v>3009</v>
      </c>
      <c r="H4394" s="9">
        <v>44733</v>
      </c>
      <c r="I4394" t="s">
        <v>8634</v>
      </c>
      <c r="J4394" t="s">
        <v>5330</v>
      </c>
      <c r="K4394" s="9">
        <v>44834</v>
      </c>
      <c r="L4394" t="s">
        <v>29</v>
      </c>
      <c r="M4394"/>
      <c r="N4394" s="9">
        <v>44778</v>
      </c>
      <c r="O4394" s="9">
        <v>44834</v>
      </c>
      <c r="P4394"/>
      <c r="Q4394"/>
      <c r="R4394"/>
      <c r="S4394"/>
      <c r="T4394"/>
      <c r="U4394"/>
    </row>
    <row r="4395" spans="1:21" hidden="1">
      <c r="A4395" s="7" t="s">
        <v>8758</v>
      </c>
      <c r="B4395" s="7" t="s">
        <v>5405</v>
      </c>
      <c r="C4395" s="8" t="s">
        <v>5319</v>
      </c>
      <c r="D4395" t="s">
        <v>266</v>
      </c>
      <c r="E4395" t="s">
        <v>25</v>
      </c>
      <c r="F4395" t="s">
        <v>493</v>
      </c>
      <c r="G4395" t="s">
        <v>3924</v>
      </c>
      <c r="H4395" s="9">
        <v>44733</v>
      </c>
      <c r="I4395" t="s">
        <v>8634</v>
      </c>
      <c r="J4395" t="s">
        <v>5330</v>
      </c>
      <c r="K4395" s="9">
        <v>44834</v>
      </c>
      <c r="L4395" t="s">
        <v>29</v>
      </c>
      <c r="M4395"/>
      <c r="N4395" s="9">
        <v>44778</v>
      </c>
      <c r="O4395" s="9">
        <v>44834</v>
      </c>
      <c r="P4395"/>
      <c r="Q4395"/>
      <c r="R4395"/>
      <c r="S4395"/>
      <c r="T4395"/>
      <c r="U4395"/>
    </row>
    <row r="4396" spans="1:21" hidden="1">
      <c r="A4396" s="7" t="s">
        <v>8758</v>
      </c>
      <c r="B4396" s="7" t="s">
        <v>5405</v>
      </c>
      <c r="C4396" s="8" t="s">
        <v>5319</v>
      </c>
      <c r="D4396" t="s">
        <v>266</v>
      </c>
      <c r="E4396" t="s">
        <v>25</v>
      </c>
      <c r="F4396" t="s">
        <v>493</v>
      </c>
      <c r="G4396" t="s">
        <v>631</v>
      </c>
      <c r="H4396" s="9">
        <v>44733</v>
      </c>
      <c r="I4396" t="s">
        <v>8634</v>
      </c>
      <c r="J4396" t="s">
        <v>0</v>
      </c>
      <c r="K4396" s="9">
        <v>44862</v>
      </c>
      <c r="L4396" t="s">
        <v>29</v>
      </c>
      <c r="M4396"/>
      <c r="N4396"/>
      <c r="O4396"/>
      <c r="P4396"/>
      <c r="Q4396" s="9">
        <v>44862</v>
      </c>
      <c r="R4396"/>
      <c r="S4396"/>
      <c r="T4396"/>
      <c r="U4396"/>
    </row>
    <row r="4397" spans="1:21" hidden="1">
      <c r="A4397" s="7" t="s">
        <v>8758</v>
      </c>
      <c r="B4397" s="7" t="s">
        <v>5405</v>
      </c>
      <c r="C4397" s="8" t="s">
        <v>5319</v>
      </c>
      <c r="D4397" t="s">
        <v>266</v>
      </c>
      <c r="E4397" t="s">
        <v>25</v>
      </c>
      <c r="F4397" t="s">
        <v>493</v>
      </c>
      <c r="G4397" t="s">
        <v>3925</v>
      </c>
      <c r="H4397" s="9">
        <v>44733</v>
      </c>
      <c r="I4397" t="s">
        <v>8634</v>
      </c>
      <c r="J4397" t="s">
        <v>0</v>
      </c>
      <c r="K4397" s="9">
        <v>44862</v>
      </c>
      <c r="L4397" t="s">
        <v>29</v>
      </c>
      <c r="M4397"/>
      <c r="N4397"/>
      <c r="O4397"/>
      <c r="P4397"/>
      <c r="Q4397" s="9">
        <v>44862</v>
      </c>
      <c r="R4397"/>
      <c r="S4397"/>
      <c r="T4397"/>
      <c r="U4397"/>
    </row>
    <row r="4398" spans="1:21" hidden="1">
      <c r="A4398" s="7" t="s">
        <v>8758</v>
      </c>
      <c r="B4398" s="7" t="s">
        <v>5405</v>
      </c>
      <c r="C4398" s="8" t="s">
        <v>5319</v>
      </c>
      <c r="D4398" t="s">
        <v>266</v>
      </c>
      <c r="E4398" t="s">
        <v>25</v>
      </c>
      <c r="F4398" t="s">
        <v>493</v>
      </c>
      <c r="G4398" t="s">
        <v>3926</v>
      </c>
      <c r="H4398" s="9">
        <v>44733</v>
      </c>
      <c r="I4398" t="s">
        <v>8634</v>
      </c>
      <c r="J4398" t="s">
        <v>0</v>
      </c>
      <c r="K4398" s="9">
        <v>44862</v>
      </c>
      <c r="L4398" t="s">
        <v>29</v>
      </c>
      <c r="M4398"/>
      <c r="N4398"/>
      <c r="O4398"/>
      <c r="P4398"/>
      <c r="Q4398" s="9">
        <v>44862</v>
      </c>
      <c r="R4398"/>
      <c r="S4398"/>
      <c r="T4398"/>
      <c r="U4398"/>
    </row>
    <row r="4399" spans="1:21" hidden="1">
      <c r="A4399" s="7" t="s">
        <v>8758</v>
      </c>
      <c r="B4399" s="7" t="s">
        <v>5405</v>
      </c>
      <c r="C4399" s="8" t="s">
        <v>5319</v>
      </c>
      <c r="D4399" t="s">
        <v>266</v>
      </c>
      <c r="E4399" t="s">
        <v>25</v>
      </c>
      <c r="F4399" t="s">
        <v>493</v>
      </c>
      <c r="G4399" t="s">
        <v>3927</v>
      </c>
      <c r="H4399" s="9">
        <v>44733</v>
      </c>
      <c r="I4399" t="s">
        <v>8634</v>
      </c>
      <c r="J4399" t="s">
        <v>0</v>
      </c>
      <c r="K4399" s="9">
        <v>44862</v>
      </c>
      <c r="L4399" t="s">
        <v>29</v>
      </c>
      <c r="M4399"/>
      <c r="N4399"/>
      <c r="O4399"/>
      <c r="P4399"/>
      <c r="Q4399" s="9">
        <v>44862</v>
      </c>
      <c r="R4399"/>
      <c r="S4399"/>
      <c r="T4399"/>
      <c r="U4399"/>
    </row>
    <row r="4400" spans="1:21" hidden="1">
      <c r="A4400" s="7" t="s">
        <v>8758</v>
      </c>
      <c r="B4400" s="7" t="s">
        <v>5405</v>
      </c>
      <c r="C4400" s="8" t="s">
        <v>5319</v>
      </c>
      <c r="D4400" t="s">
        <v>266</v>
      </c>
      <c r="E4400" t="s">
        <v>25</v>
      </c>
      <c r="F4400" t="s">
        <v>493</v>
      </c>
      <c r="G4400" t="s">
        <v>3928</v>
      </c>
      <c r="H4400" s="9">
        <v>44733</v>
      </c>
      <c r="I4400" t="s">
        <v>8634</v>
      </c>
      <c r="J4400" t="s">
        <v>0</v>
      </c>
      <c r="K4400" s="9">
        <v>44862</v>
      </c>
      <c r="L4400" t="s">
        <v>29</v>
      </c>
      <c r="M4400"/>
      <c r="N4400"/>
      <c r="O4400"/>
      <c r="P4400"/>
      <c r="Q4400" s="9">
        <v>44862</v>
      </c>
      <c r="R4400"/>
      <c r="S4400"/>
      <c r="T4400"/>
      <c r="U4400"/>
    </row>
    <row r="4401" spans="1:21" hidden="1">
      <c r="A4401" s="7" t="s">
        <v>8758</v>
      </c>
      <c r="B4401" s="7" t="s">
        <v>5405</v>
      </c>
      <c r="C4401" s="8" t="s">
        <v>5319</v>
      </c>
      <c r="D4401" t="s">
        <v>266</v>
      </c>
      <c r="E4401" t="s">
        <v>25</v>
      </c>
      <c r="F4401" t="s">
        <v>493</v>
      </c>
      <c r="G4401" t="s">
        <v>3929</v>
      </c>
      <c r="H4401" s="9">
        <v>44733</v>
      </c>
      <c r="I4401" t="s">
        <v>8634</v>
      </c>
      <c r="J4401" t="s">
        <v>0</v>
      </c>
      <c r="K4401" s="9">
        <v>44862</v>
      </c>
      <c r="L4401" t="s">
        <v>29</v>
      </c>
      <c r="M4401"/>
      <c r="N4401"/>
      <c r="O4401"/>
      <c r="P4401"/>
      <c r="Q4401" s="9">
        <v>44862</v>
      </c>
      <c r="R4401"/>
      <c r="S4401"/>
      <c r="T4401"/>
      <c r="U4401"/>
    </row>
    <row r="4402" spans="1:21" hidden="1">
      <c r="A4402" s="7" t="s">
        <v>8758</v>
      </c>
      <c r="B4402" s="7" t="s">
        <v>5405</v>
      </c>
      <c r="C4402" s="8" t="s">
        <v>5319</v>
      </c>
      <c r="D4402" t="s">
        <v>266</v>
      </c>
      <c r="E4402" t="s">
        <v>25</v>
      </c>
      <c r="F4402" t="s">
        <v>493</v>
      </c>
      <c r="G4402" t="s">
        <v>3930</v>
      </c>
      <c r="H4402" s="9">
        <v>44733</v>
      </c>
      <c r="I4402" t="s">
        <v>8634</v>
      </c>
      <c r="J4402" t="s">
        <v>5330</v>
      </c>
      <c r="K4402" s="9">
        <v>44834</v>
      </c>
      <c r="L4402" t="s">
        <v>29</v>
      </c>
      <c r="M4402"/>
      <c r="N4402" s="9">
        <v>44778</v>
      </c>
      <c r="O4402" s="9">
        <v>44834</v>
      </c>
      <c r="P4402"/>
      <c r="Q4402"/>
      <c r="R4402"/>
      <c r="S4402"/>
      <c r="T4402"/>
      <c r="U4402"/>
    </row>
    <row r="4403" spans="1:21" hidden="1">
      <c r="A4403" s="7" t="s">
        <v>8758</v>
      </c>
      <c r="B4403" s="7" t="s">
        <v>5405</v>
      </c>
      <c r="C4403" s="8" t="s">
        <v>5319</v>
      </c>
      <c r="D4403" t="s">
        <v>266</v>
      </c>
      <c r="E4403" t="s">
        <v>25</v>
      </c>
      <c r="F4403" t="s">
        <v>493</v>
      </c>
      <c r="G4403" t="s">
        <v>3931</v>
      </c>
      <c r="H4403" s="9">
        <v>44733</v>
      </c>
      <c r="I4403" t="s">
        <v>8634</v>
      </c>
      <c r="J4403" t="s">
        <v>5330</v>
      </c>
      <c r="K4403" s="9">
        <v>44834</v>
      </c>
      <c r="L4403" t="s">
        <v>29</v>
      </c>
      <c r="M4403"/>
      <c r="N4403" s="9">
        <v>44778</v>
      </c>
      <c r="O4403" s="9">
        <v>44834</v>
      </c>
      <c r="P4403"/>
      <c r="Q4403"/>
      <c r="R4403"/>
      <c r="S4403"/>
      <c r="T4403"/>
      <c r="U4403"/>
    </row>
    <row r="4404" spans="1:21" hidden="1">
      <c r="A4404" s="7" t="s">
        <v>8758</v>
      </c>
      <c r="B4404" s="7" t="s">
        <v>5405</v>
      </c>
      <c r="C4404" s="8" t="s">
        <v>5319</v>
      </c>
      <c r="D4404" t="s">
        <v>266</v>
      </c>
      <c r="E4404" t="s">
        <v>25</v>
      </c>
      <c r="F4404" t="s">
        <v>493</v>
      </c>
      <c r="G4404" t="s">
        <v>3011</v>
      </c>
      <c r="H4404" s="9">
        <v>44733</v>
      </c>
      <c r="I4404" t="s">
        <v>8634</v>
      </c>
      <c r="J4404" t="s">
        <v>0</v>
      </c>
      <c r="K4404" s="9">
        <v>44862</v>
      </c>
      <c r="L4404" t="s">
        <v>29</v>
      </c>
      <c r="M4404"/>
      <c r="N4404"/>
      <c r="O4404"/>
      <c r="P4404"/>
      <c r="Q4404" s="9">
        <v>44862</v>
      </c>
      <c r="R4404"/>
      <c r="S4404"/>
      <c r="T4404"/>
      <c r="U4404"/>
    </row>
    <row r="4405" spans="1:21" hidden="1">
      <c r="A4405" s="7" t="s">
        <v>8758</v>
      </c>
      <c r="B4405" s="7" t="s">
        <v>5405</v>
      </c>
      <c r="C4405" s="8" t="s">
        <v>5319</v>
      </c>
      <c r="D4405" t="s">
        <v>266</v>
      </c>
      <c r="E4405" t="s">
        <v>25</v>
      </c>
      <c r="F4405" t="s">
        <v>493</v>
      </c>
      <c r="G4405" t="s">
        <v>3932</v>
      </c>
      <c r="H4405" s="9">
        <v>44733</v>
      </c>
      <c r="I4405" t="s">
        <v>8634</v>
      </c>
      <c r="J4405" t="s">
        <v>5330</v>
      </c>
      <c r="K4405" s="9">
        <v>44834</v>
      </c>
      <c r="L4405" t="s">
        <v>29</v>
      </c>
      <c r="M4405"/>
      <c r="N4405" s="9">
        <v>44778</v>
      </c>
      <c r="O4405" s="9">
        <v>44834</v>
      </c>
      <c r="P4405"/>
      <c r="Q4405"/>
      <c r="R4405"/>
      <c r="S4405"/>
      <c r="T4405"/>
      <c r="U4405"/>
    </row>
    <row r="4406" spans="1:21" hidden="1">
      <c r="A4406" s="7" t="s">
        <v>8758</v>
      </c>
      <c r="B4406" s="7" t="s">
        <v>5405</v>
      </c>
      <c r="C4406" s="8" t="s">
        <v>5319</v>
      </c>
      <c r="D4406" t="s">
        <v>266</v>
      </c>
      <c r="E4406" t="s">
        <v>25</v>
      </c>
      <c r="F4406" t="s">
        <v>493</v>
      </c>
      <c r="G4406" t="s">
        <v>3933</v>
      </c>
      <c r="H4406" s="9">
        <v>44733</v>
      </c>
      <c r="I4406" t="s">
        <v>8634</v>
      </c>
      <c r="J4406" t="s">
        <v>0</v>
      </c>
      <c r="K4406" s="9">
        <v>44862</v>
      </c>
      <c r="L4406" t="s">
        <v>29</v>
      </c>
      <c r="M4406"/>
      <c r="N4406"/>
      <c r="O4406"/>
      <c r="P4406"/>
      <c r="Q4406" s="9">
        <v>44862</v>
      </c>
      <c r="R4406"/>
      <c r="S4406"/>
      <c r="T4406"/>
      <c r="U4406"/>
    </row>
    <row r="4407" spans="1:21" hidden="1">
      <c r="A4407" s="7" t="s">
        <v>8893</v>
      </c>
      <c r="B4407" s="7" t="s">
        <v>5405</v>
      </c>
      <c r="C4407" s="8" t="s">
        <v>5319</v>
      </c>
      <c r="D4407" t="s">
        <v>266</v>
      </c>
      <c r="E4407" t="s">
        <v>25</v>
      </c>
      <c r="F4407" t="s">
        <v>209</v>
      </c>
      <c r="G4407" t="s">
        <v>3934</v>
      </c>
      <c r="H4407" s="9">
        <v>44733</v>
      </c>
      <c r="I4407" t="s">
        <v>8634</v>
      </c>
      <c r="J4407" t="s">
        <v>0</v>
      </c>
      <c r="K4407" s="9">
        <v>44858</v>
      </c>
      <c r="L4407" t="s">
        <v>29</v>
      </c>
      <c r="M4407"/>
      <c r="N4407"/>
      <c r="O4407"/>
      <c r="P4407"/>
      <c r="Q4407" s="9">
        <v>44858</v>
      </c>
      <c r="R4407"/>
      <c r="S4407"/>
      <c r="T4407"/>
      <c r="U4407"/>
    </row>
    <row r="4408" spans="1:21" hidden="1">
      <c r="A4408" s="7" t="s">
        <v>8758</v>
      </c>
      <c r="B4408" s="7" t="s">
        <v>5405</v>
      </c>
      <c r="C4408" s="8" t="s">
        <v>5319</v>
      </c>
      <c r="D4408" t="s">
        <v>266</v>
      </c>
      <c r="E4408" t="s">
        <v>25</v>
      </c>
      <c r="F4408" t="s">
        <v>493</v>
      </c>
      <c r="G4408" t="s">
        <v>3014</v>
      </c>
      <c r="H4408" s="9">
        <v>44733</v>
      </c>
      <c r="I4408" t="s">
        <v>8634</v>
      </c>
      <c r="J4408" t="s">
        <v>0</v>
      </c>
      <c r="K4408" s="9">
        <v>44862</v>
      </c>
      <c r="L4408" t="s">
        <v>29</v>
      </c>
      <c r="M4408"/>
      <c r="N4408"/>
      <c r="O4408"/>
      <c r="P4408"/>
      <c r="Q4408" s="9">
        <v>44862</v>
      </c>
      <c r="R4408"/>
      <c r="S4408"/>
      <c r="T4408"/>
      <c r="U4408"/>
    </row>
    <row r="4409" spans="1:21" hidden="1">
      <c r="A4409" s="7" t="s">
        <v>8758</v>
      </c>
      <c r="B4409" s="7" t="s">
        <v>5405</v>
      </c>
      <c r="C4409" s="8" t="s">
        <v>5319</v>
      </c>
      <c r="D4409" t="s">
        <v>266</v>
      </c>
      <c r="E4409" t="s">
        <v>25</v>
      </c>
      <c r="F4409" t="s">
        <v>493</v>
      </c>
      <c r="G4409" t="s">
        <v>3935</v>
      </c>
      <c r="H4409" s="9">
        <v>44733</v>
      </c>
      <c r="I4409" t="s">
        <v>8634</v>
      </c>
      <c r="J4409" t="s">
        <v>0</v>
      </c>
      <c r="K4409" s="9">
        <v>44862</v>
      </c>
      <c r="L4409" t="s">
        <v>29</v>
      </c>
      <c r="M4409"/>
      <c r="N4409"/>
      <c r="O4409"/>
      <c r="P4409"/>
      <c r="Q4409" s="9">
        <v>44862</v>
      </c>
      <c r="R4409"/>
      <c r="S4409"/>
      <c r="T4409"/>
      <c r="U4409"/>
    </row>
    <row r="4410" spans="1:21" hidden="1">
      <c r="A4410" s="7" t="s">
        <v>8758</v>
      </c>
      <c r="B4410" s="7" t="s">
        <v>5405</v>
      </c>
      <c r="C4410" s="8" t="s">
        <v>5319</v>
      </c>
      <c r="D4410" t="s">
        <v>266</v>
      </c>
      <c r="E4410" t="s">
        <v>25</v>
      </c>
      <c r="F4410" t="s">
        <v>493</v>
      </c>
      <c r="G4410" t="s">
        <v>3936</v>
      </c>
      <c r="H4410" s="9">
        <v>44733</v>
      </c>
      <c r="I4410" t="s">
        <v>8634</v>
      </c>
      <c r="J4410" t="s">
        <v>0</v>
      </c>
      <c r="K4410" s="9">
        <v>44862</v>
      </c>
      <c r="L4410" t="s">
        <v>29</v>
      </c>
      <c r="M4410"/>
      <c r="N4410"/>
      <c r="O4410"/>
      <c r="P4410"/>
      <c r="Q4410" s="9">
        <v>44862</v>
      </c>
      <c r="R4410"/>
      <c r="S4410"/>
      <c r="T4410"/>
      <c r="U4410"/>
    </row>
    <row r="4411" spans="1:21" hidden="1">
      <c r="A4411" s="7" t="s">
        <v>8758</v>
      </c>
      <c r="B4411" s="7" t="s">
        <v>5405</v>
      </c>
      <c r="C4411" s="8" t="s">
        <v>5319</v>
      </c>
      <c r="D4411" t="s">
        <v>266</v>
      </c>
      <c r="E4411" t="s">
        <v>25</v>
      </c>
      <c r="F4411" t="s">
        <v>493</v>
      </c>
      <c r="G4411" t="s">
        <v>3937</v>
      </c>
      <c r="H4411" s="9">
        <v>44733</v>
      </c>
      <c r="I4411" t="s">
        <v>8634</v>
      </c>
      <c r="J4411" t="s">
        <v>0</v>
      </c>
      <c r="K4411" s="9">
        <v>44862</v>
      </c>
      <c r="L4411" t="s">
        <v>29</v>
      </c>
      <c r="M4411"/>
      <c r="N4411"/>
      <c r="O4411"/>
      <c r="P4411"/>
      <c r="Q4411" s="9">
        <v>44862</v>
      </c>
      <c r="R4411"/>
      <c r="S4411"/>
      <c r="T4411"/>
      <c r="U4411"/>
    </row>
    <row r="4412" spans="1:21" hidden="1">
      <c r="A4412" s="7" t="s">
        <v>8825</v>
      </c>
      <c r="B4412" s="7" t="s">
        <v>5405</v>
      </c>
      <c r="C4412" s="8" t="s">
        <v>5319</v>
      </c>
      <c r="D4412" t="s">
        <v>266</v>
      </c>
      <c r="E4412" t="s">
        <v>25</v>
      </c>
      <c r="F4412" t="s">
        <v>111</v>
      </c>
      <c r="G4412" t="s">
        <v>3938</v>
      </c>
      <c r="H4412" s="9">
        <v>44733</v>
      </c>
      <c r="I4412" t="s">
        <v>8634</v>
      </c>
      <c r="J4412" t="s">
        <v>0</v>
      </c>
      <c r="K4412" s="9">
        <v>44881</v>
      </c>
      <c r="L4412" t="s">
        <v>29</v>
      </c>
      <c r="M4412"/>
      <c r="N4412"/>
      <c r="O4412"/>
      <c r="P4412"/>
      <c r="Q4412" s="9">
        <v>44881</v>
      </c>
      <c r="R4412"/>
      <c r="S4412"/>
      <c r="T4412"/>
      <c r="U4412"/>
    </row>
    <row r="4413" spans="1:21" hidden="1">
      <c r="A4413" s="7" t="s">
        <v>8758</v>
      </c>
      <c r="B4413" s="7" t="s">
        <v>5405</v>
      </c>
      <c r="C4413" s="8" t="s">
        <v>5319</v>
      </c>
      <c r="D4413" t="s">
        <v>266</v>
      </c>
      <c r="E4413" t="s">
        <v>25</v>
      </c>
      <c r="F4413" t="s">
        <v>493</v>
      </c>
      <c r="G4413" t="s">
        <v>3939</v>
      </c>
      <c r="H4413" s="9">
        <v>44733</v>
      </c>
      <c r="I4413" t="s">
        <v>8634</v>
      </c>
      <c r="J4413" t="s">
        <v>5330</v>
      </c>
      <c r="K4413" s="9">
        <v>44834</v>
      </c>
      <c r="L4413" t="s">
        <v>29</v>
      </c>
      <c r="M4413"/>
      <c r="N4413" s="9">
        <v>44778</v>
      </c>
      <c r="O4413" s="9">
        <v>44834</v>
      </c>
      <c r="P4413"/>
      <c r="Q4413"/>
      <c r="R4413"/>
      <c r="S4413"/>
      <c r="T4413"/>
      <c r="U4413"/>
    </row>
    <row r="4414" spans="1:21" hidden="1">
      <c r="A4414" s="7" t="s">
        <v>8758</v>
      </c>
      <c r="B4414" s="7" t="s">
        <v>5405</v>
      </c>
      <c r="C4414" s="8" t="s">
        <v>5319</v>
      </c>
      <c r="D4414" t="s">
        <v>266</v>
      </c>
      <c r="E4414" t="s">
        <v>25</v>
      </c>
      <c r="F4414" t="s">
        <v>493</v>
      </c>
      <c r="G4414" t="s">
        <v>3016</v>
      </c>
      <c r="H4414" s="9">
        <v>44733</v>
      </c>
      <c r="I4414" t="s">
        <v>8634</v>
      </c>
      <c r="J4414" t="s">
        <v>0</v>
      </c>
      <c r="K4414" s="9">
        <v>44862</v>
      </c>
      <c r="L4414" t="s">
        <v>29</v>
      </c>
      <c r="M4414"/>
      <c r="N4414"/>
      <c r="O4414"/>
      <c r="P4414"/>
      <c r="Q4414" s="9">
        <v>44862</v>
      </c>
      <c r="R4414"/>
      <c r="S4414"/>
      <c r="T4414"/>
      <c r="U4414"/>
    </row>
    <row r="4415" spans="1:21" hidden="1">
      <c r="A4415" s="7" t="s">
        <v>8758</v>
      </c>
      <c r="B4415" s="7" t="s">
        <v>5405</v>
      </c>
      <c r="C4415" s="8" t="s">
        <v>5319</v>
      </c>
      <c r="D4415" t="s">
        <v>266</v>
      </c>
      <c r="E4415" t="s">
        <v>25</v>
      </c>
      <c r="F4415" t="s">
        <v>493</v>
      </c>
      <c r="G4415" t="s">
        <v>3017</v>
      </c>
      <c r="H4415" s="9">
        <v>44733</v>
      </c>
      <c r="I4415" t="s">
        <v>8634</v>
      </c>
      <c r="J4415" t="s">
        <v>0</v>
      </c>
      <c r="K4415" s="9">
        <v>44862</v>
      </c>
      <c r="L4415" t="s">
        <v>29</v>
      </c>
      <c r="M4415"/>
      <c r="N4415"/>
      <c r="O4415"/>
      <c r="P4415"/>
      <c r="Q4415" s="9">
        <v>44862</v>
      </c>
      <c r="R4415"/>
      <c r="S4415"/>
      <c r="T4415"/>
      <c r="U4415"/>
    </row>
    <row r="4416" spans="1:21" hidden="1">
      <c r="A4416" s="7" t="s">
        <v>8825</v>
      </c>
      <c r="B4416" s="7" t="s">
        <v>5405</v>
      </c>
      <c r="C4416" s="8" t="s">
        <v>5319</v>
      </c>
      <c r="D4416" t="s">
        <v>266</v>
      </c>
      <c r="E4416" t="s">
        <v>25</v>
      </c>
      <c r="F4416" t="s">
        <v>111</v>
      </c>
      <c r="G4416" t="s">
        <v>3018</v>
      </c>
      <c r="H4416" s="9">
        <v>44733</v>
      </c>
      <c r="I4416" t="s">
        <v>8634</v>
      </c>
      <c r="J4416" t="s">
        <v>0</v>
      </c>
      <c r="K4416" s="9">
        <v>44881</v>
      </c>
      <c r="L4416" t="s">
        <v>29</v>
      </c>
      <c r="M4416"/>
      <c r="N4416"/>
      <c r="O4416"/>
      <c r="P4416"/>
      <c r="Q4416" s="9">
        <v>44881</v>
      </c>
      <c r="R4416"/>
      <c r="S4416"/>
      <c r="T4416"/>
      <c r="U4416"/>
    </row>
    <row r="4417" spans="1:21" hidden="1">
      <c r="A4417" s="7" t="s">
        <v>8893</v>
      </c>
      <c r="B4417" s="7" t="s">
        <v>5405</v>
      </c>
      <c r="C4417" s="8" t="s">
        <v>5319</v>
      </c>
      <c r="D4417" t="s">
        <v>266</v>
      </c>
      <c r="E4417" t="s">
        <v>25</v>
      </c>
      <c r="F4417" t="s">
        <v>209</v>
      </c>
      <c r="G4417" t="s">
        <v>3940</v>
      </c>
      <c r="H4417" s="9">
        <v>44733</v>
      </c>
      <c r="I4417" t="s">
        <v>8634</v>
      </c>
      <c r="J4417" t="s">
        <v>0</v>
      </c>
      <c r="K4417" s="9">
        <v>44858</v>
      </c>
      <c r="L4417" t="s">
        <v>29</v>
      </c>
      <c r="M4417"/>
      <c r="N4417"/>
      <c r="O4417"/>
      <c r="P4417"/>
      <c r="Q4417" s="9">
        <v>44858</v>
      </c>
      <c r="R4417"/>
      <c r="S4417"/>
      <c r="T4417"/>
      <c r="U4417"/>
    </row>
    <row r="4418" spans="1:21" hidden="1">
      <c r="A4418" s="7" t="s">
        <v>8758</v>
      </c>
      <c r="B4418" s="7" t="s">
        <v>5405</v>
      </c>
      <c r="C4418" s="8" t="s">
        <v>5319</v>
      </c>
      <c r="D4418" t="s">
        <v>266</v>
      </c>
      <c r="E4418" t="s">
        <v>25</v>
      </c>
      <c r="F4418" t="s">
        <v>493</v>
      </c>
      <c r="G4418" t="s">
        <v>3941</v>
      </c>
      <c r="H4418" s="9">
        <v>44733</v>
      </c>
      <c r="I4418" t="s">
        <v>8634</v>
      </c>
      <c r="J4418" t="s">
        <v>0</v>
      </c>
      <c r="K4418" s="9">
        <v>44862</v>
      </c>
      <c r="L4418" t="s">
        <v>29</v>
      </c>
      <c r="M4418"/>
      <c r="N4418"/>
      <c r="O4418"/>
      <c r="P4418"/>
      <c r="Q4418" s="9">
        <v>44862</v>
      </c>
      <c r="R4418"/>
      <c r="S4418"/>
      <c r="T4418"/>
      <c r="U4418"/>
    </row>
    <row r="4419" spans="1:21" hidden="1">
      <c r="A4419" s="7" t="s">
        <v>8754</v>
      </c>
      <c r="B4419" s="7" t="s">
        <v>8066</v>
      </c>
      <c r="C4419" s="8" t="s">
        <v>5319</v>
      </c>
      <c r="D4419" t="s">
        <v>266</v>
      </c>
      <c r="E4419" t="s">
        <v>472</v>
      </c>
      <c r="F4419" t="s">
        <v>117</v>
      </c>
      <c r="G4419" t="s">
        <v>673</v>
      </c>
      <c r="H4419" s="9">
        <v>44733</v>
      </c>
      <c r="I4419" t="s">
        <v>171</v>
      </c>
      <c r="J4419" t="s">
        <v>0</v>
      </c>
      <c r="K4419" s="9">
        <v>44860</v>
      </c>
      <c r="L4419" t="s">
        <v>29</v>
      </c>
      <c r="M4419"/>
      <c r="N4419" s="9">
        <v>44778</v>
      </c>
      <c r="O4419" s="9">
        <v>44834</v>
      </c>
      <c r="P4419"/>
      <c r="Q4419" s="9">
        <v>44860</v>
      </c>
      <c r="R4419"/>
      <c r="S4419"/>
      <c r="T4419"/>
      <c r="U4419"/>
    </row>
    <row r="4420" spans="1:21" hidden="1">
      <c r="A4420" s="7" t="s">
        <v>8754</v>
      </c>
      <c r="B4420" s="7" t="s">
        <v>8066</v>
      </c>
      <c r="C4420" s="8" t="s">
        <v>5319</v>
      </c>
      <c r="D4420" t="s">
        <v>266</v>
      </c>
      <c r="E4420" t="s">
        <v>472</v>
      </c>
      <c r="F4420" t="s">
        <v>117</v>
      </c>
      <c r="G4420" t="s">
        <v>675</v>
      </c>
      <c r="H4420" s="9">
        <v>44733</v>
      </c>
      <c r="I4420" t="s">
        <v>171</v>
      </c>
      <c r="J4420" t="s">
        <v>0</v>
      </c>
      <c r="K4420" s="9">
        <v>44860</v>
      </c>
      <c r="L4420" t="s">
        <v>29</v>
      </c>
      <c r="M4420"/>
      <c r="N4420" s="9">
        <v>44778</v>
      </c>
      <c r="O4420" s="9">
        <v>44834</v>
      </c>
      <c r="P4420"/>
      <c r="Q4420" s="9">
        <v>44860</v>
      </c>
      <c r="R4420"/>
      <c r="S4420"/>
      <c r="T4420"/>
      <c r="U4420"/>
    </row>
    <row r="4421" spans="1:21" hidden="1">
      <c r="A4421" s="7" t="s">
        <v>8754</v>
      </c>
      <c r="B4421" s="7" t="s">
        <v>8066</v>
      </c>
      <c r="C4421" s="8" t="s">
        <v>5319</v>
      </c>
      <c r="D4421" t="s">
        <v>266</v>
      </c>
      <c r="E4421" t="s">
        <v>472</v>
      </c>
      <c r="F4421" t="s">
        <v>117</v>
      </c>
      <c r="G4421" t="s">
        <v>676</v>
      </c>
      <c r="H4421" s="9">
        <v>44733</v>
      </c>
      <c r="I4421" t="s">
        <v>171</v>
      </c>
      <c r="J4421" t="s">
        <v>0</v>
      </c>
      <c r="K4421" s="9">
        <v>44860</v>
      </c>
      <c r="L4421" t="s">
        <v>29</v>
      </c>
      <c r="M4421"/>
      <c r="N4421" s="9">
        <v>44778</v>
      </c>
      <c r="O4421" s="9">
        <v>44834</v>
      </c>
      <c r="P4421"/>
      <c r="Q4421" s="9">
        <v>44860</v>
      </c>
      <c r="R4421"/>
      <c r="S4421"/>
      <c r="T4421"/>
      <c r="U4421"/>
    </row>
    <row r="4422" spans="1:21" hidden="1">
      <c r="A4422" s="7" t="s">
        <v>8754</v>
      </c>
      <c r="B4422" s="7" t="s">
        <v>8066</v>
      </c>
      <c r="C4422" s="8" t="s">
        <v>5319</v>
      </c>
      <c r="D4422" t="s">
        <v>266</v>
      </c>
      <c r="E4422" t="s">
        <v>472</v>
      </c>
      <c r="F4422" t="s">
        <v>117</v>
      </c>
      <c r="G4422" t="s">
        <v>677</v>
      </c>
      <c r="H4422" s="9">
        <v>44733</v>
      </c>
      <c r="I4422" t="s">
        <v>171</v>
      </c>
      <c r="J4422" t="s">
        <v>0</v>
      </c>
      <c r="K4422" s="9">
        <v>44860</v>
      </c>
      <c r="L4422" t="s">
        <v>29</v>
      </c>
      <c r="M4422"/>
      <c r="N4422" s="9">
        <v>44778</v>
      </c>
      <c r="O4422" s="9">
        <v>44834</v>
      </c>
      <c r="P4422"/>
      <c r="Q4422" s="9">
        <v>44860</v>
      </c>
      <c r="R4422"/>
      <c r="S4422"/>
      <c r="T4422"/>
      <c r="U4422"/>
    </row>
    <row r="4423" spans="1:21" hidden="1">
      <c r="A4423" s="7" t="s">
        <v>8758</v>
      </c>
      <c r="B4423" s="7" t="s">
        <v>5405</v>
      </c>
      <c r="C4423" s="8" t="s">
        <v>5319</v>
      </c>
      <c r="D4423" t="s">
        <v>266</v>
      </c>
      <c r="E4423" t="s">
        <v>25</v>
      </c>
      <c r="F4423" t="s">
        <v>493</v>
      </c>
      <c r="G4423" t="s">
        <v>3039</v>
      </c>
      <c r="H4423" s="9">
        <v>44733</v>
      </c>
      <c r="I4423" t="s">
        <v>8634</v>
      </c>
      <c r="J4423" t="s">
        <v>0</v>
      </c>
      <c r="K4423" s="9">
        <v>44862</v>
      </c>
      <c r="L4423" t="s">
        <v>29</v>
      </c>
      <c r="M4423"/>
      <c r="N4423"/>
      <c r="O4423"/>
      <c r="P4423"/>
      <c r="Q4423" s="9">
        <v>44862</v>
      </c>
      <c r="R4423"/>
      <c r="S4423"/>
      <c r="T4423"/>
      <c r="U4423"/>
    </row>
    <row r="4424" spans="1:21" hidden="1">
      <c r="A4424" s="7" t="s">
        <v>8758</v>
      </c>
      <c r="B4424" s="7" t="s">
        <v>5405</v>
      </c>
      <c r="C4424" s="8" t="s">
        <v>5319</v>
      </c>
      <c r="D4424" t="s">
        <v>266</v>
      </c>
      <c r="E4424" t="s">
        <v>25</v>
      </c>
      <c r="F4424" t="s">
        <v>493</v>
      </c>
      <c r="G4424" t="s">
        <v>3043</v>
      </c>
      <c r="H4424" s="9">
        <v>44733</v>
      </c>
      <c r="I4424" t="s">
        <v>8634</v>
      </c>
      <c r="J4424" t="s">
        <v>5330</v>
      </c>
      <c r="K4424" s="9">
        <v>44834</v>
      </c>
      <c r="L4424" t="s">
        <v>29</v>
      </c>
      <c r="M4424"/>
      <c r="N4424" s="9">
        <v>44778</v>
      </c>
      <c r="O4424" s="9">
        <v>44834</v>
      </c>
      <c r="P4424"/>
      <c r="Q4424"/>
      <c r="R4424"/>
      <c r="S4424"/>
      <c r="T4424"/>
      <c r="U4424"/>
    </row>
    <row r="4425" spans="1:21" hidden="1">
      <c r="A4425" s="7" t="s">
        <v>8758</v>
      </c>
      <c r="B4425" s="7" t="s">
        <v>5405</v>
      </c>
      <c r="C4425" s="8" t="s">
        <v>5319</v>
      </c>
      <c r="D4425" t="s">
        <v>266</v>
      </c>
      <c r="E4425" t="s">
        <v>25</v>
      </c>
      <c r="F4425" t="s">
        <v>493</v>
      </c>
      <c r="G4425" t="s">
        <v>3044</v>
      </c>
      <c r="H4425" s="9">
        <v>44733</v>
      </c>
      <c r="I4425" t="s">
        <v>8634</v>
      </c>
      <c r="J4425" t="s">
        <v>0</v>
      </c>
      <c r="K4425" s="9">
        <v>44862</v>
      </c>
      <c r="L4425" t="s">
        <v>29</v>
      </c>
      <c r="M4425"/>
      <c r="N4425"/>
      <c r="O4425"/>
      <c r="P4425"/>
      <c r="Q4425" s="9">
        <v>44862</v>
      </c>
      <c r="R4425"/>
      <c r="S4425"/>
      <c r="T4425"/>
      <c r="U4425"/>
    </row>
    <row r="4426" spans="1:21" hidden="1">
      <c r="A4426" s="7" t="s">
        <v>8758</v>
      </c>
      <c r="B4426" s="7" t="s">
        <v>5405</v>
      </c>
      <c r="C4426" s="8" t="s">
        <v>5319</v>
      </c>
      <c r="D4426" t="s">
        <v>266</v>
      </c>
      <c r="E4426" t="s">
        <v>25</v>
      </c>
      <c r="F4426" t="s">
        <v>493</v>
      </c>
      <c r="G4426" t="s">
        <v>3045</v>
      </c>
      <c r="H4426" s="9">
        <v>44733</v>
      </c>
      <c r="I4426" t="s">
        <v>8634</v>
      </c>
      <c r="J4426" t="s">
        <v>0</v>
      </c>
      <c r="K4426" s="9">
        <v>44862</v>
      </c>
      <c r="L4426" t="s">
        <v>29</v>
      </c>
      <c r="M4426"/>
      <c r="N4426"/>
      <c r="O4426"/>
      <c r="P4426"/>
      <c r="Q4426" s="9">
        <v>44862</v>
      </c>
      <c r="R4426"/>
      <c r="S4426"/>
      <c r="T4426"/>
      <c r="U4426"/>
    </row>
    <row r="4427" spans="1:21" hidden="1">
      <c r="A4427" s="7" t="s">
        <v>8758</v>
      </c>
      <c r="B4427" s="7" t="s">
        <v>5405</v>
      </c>
      <c r="C4427" s="8" t="s">
        <v>5319</v>
      </c>
      <c r="D4427" t="s">
        <v>266</v>
      </c>
      <c r="E4427" t="s">
        <v>25</v>
      </c>
      <c r="F4427" t="s">
        <v>493</v>
      </c>
      <c r="G4427" t="s">
        <v>3046</v>
      </c>
      <c r="H4427" s="9">
        <v>44733</v>
      </c>
      <c r="I4427" t="s">
        <v>8634</v>
      </c>
      <c r="J4427" t="s">
        <v>0</v>
      </c>
      <c r="K4427" s="9">
        <v>44862</v>
      </c>
      <c r="L4427" t="s">
        <v>29</v>
      </c>
      <c r="M4427"/>
      <c r="N4427"/>
      <c r="O4427"/>
      <c r="P4427"/>
      <c r="Q4427" s="9">
        <v>44862</v>
      </c>
      <c r="R4427"/>
      <c r="S4427"/>
      <c r="T4427"/>
      <c r="U4427"/>
    </row>
    <row r="4428" spans="1:21" hidden="1">
      <c r="A4428" s="7" t="s">
        <v>8758</v>
      </c>
      <c r="B4428" s="7" t="s">
        <v>5405</v>
      </c>
      <c r="C4428" s="8" t="s">
        <v>5319</v>
      </c>
      <c r="D4428" t="s">
        <v>266</v>
      </c>
      <c r="E4428" t="s">
        <v>25</v>
      </c>
      <c r="F4428" t="s">
        <v>493</v>
      </c>
      <c r="G4428" t="s">
        <v>3047</v>
      </c>
      <c r="H4428" s="9">
        <v>44733</v>
      </c>
      <c r="I4428" t="s">
        <v>8634</v>
      </c>
      <c r="J4428" t="s">
        <v>0</v>
      </c>
      <c r="K4428" s="9">
        <v>44862</v>
      </c>
      <c r="L4428" t="s">
        <v>29</v>
      </c>
      <c r="M4428"/>
      <c r="N4428"/>
      <c r="O4428"/>
      <c r="P4428"/>
      <c r="Q4428" s="9">
        <v>44862</v>
      </c>
      <c r="R4428"/>
      <c r="S4428"/>
      <c r="T4428"/>
      <c r="U4428"/>
    </row>
    <row r="4429" spans="1:21" hidden="1">
      <c r="A4429" s="7" t="s">
        <v>8758</v>
      </c>
      <c r="B4429" s="7" t="s">
        <v>5405</v>
      </c>
      <c r="C4429" s="8" t="s">
        <v>5319</v>
      </c>
      <c r="D4429" t="s">
        <v>266</v>
      </c>
      <c r="E4429" t="s">
        <v>25</v>
      </c>
      <c r="F4429" t="s">
        <v>493</v>
      </c>
      <c r="G4429" t="s">
        <v>3942</v>
      </c>
      <c r="H4429" s="9">
        <v>44733</v>
      </c>
      <c r="I4429" t="s">
        <v>8634</v>
      </c>
      <c r="J4429" t="s">
        <v>0</v>
      </c>
      <c r="K4429" s="9">
        <v>44862</v>
      </c>
      <c r="L4429" t="s">
        <v>29</v>
      </c>
      <c r="M4429"/>
      <c r="N4429"/>
      <c r="O4429"/>
      <c r="P4429"/>
      <c r="Q4429" s="9">
        <v>44862</v>
      </c>
      <c r="R4429"/>
      <c r="S4429"/>
      <c r="T4429"/>
      <c r="U4429"/>
    </row>
    <row r="4430" spans="1:21" hidden="1">
      <c r="A4430" s="7" t="s">
        <v>8758</v>
      </c>
      <c r="B4430" s="7" t="s">
        <v>5405</v>
      </c>
      <c r="C4430" s="8" t="s">
        <v>5319</v>
      </c>
      <c r="D4430" t="s">
        <v>266</v>
      </c>
      <c r="E4430" t="s">
        <v>25</v>
      </c>
      <c r="F4430" t="s">
        <v>493</v>
      </c>
      <c r="G4430" t="s">
        <v>3943</v>
      </c>
      <c r="H4430" s="9">
        <v>44733</v>
      </c>
      <c r="I4430" t="s">
        <v>8634</v>
      </c>
      <c r="J4430" t="s">
        <v>0</v>
      </c>
      <c r="K4430" s="9">
        <v>44862</v>
      </c>
      <c r="L4430" t="s">
        <v>29</v>
      </c>
      <c r="M4430"/>
      <c r="N4430"/>
      <c r="O4430"/>
      <c r="P4430"/>
      <c r="Q4430" s="9">
        <v>44862</v>
      </c>
      <c r="R4430"/>
      <c r="S4430"/>
      <c r="T4430"/>
      <c r="U4430"/>
    </row>
    <row r="4431" spans="1:21" hidden="1">
      <c r="A4431" s="7" t="s">
        <v>8758</v>
      </c>
      <c r="B4431" s="7" t="s">
        <v>5405</v>
      </c>
      <c r="C4431" s="8" t="s">
        <v>5319</v>
      </c>
      <c r="D4431" t="s">
        <v>266</v>
      </c>
      <c r="E4431" t="s">
        <v>25</v>
      </c>
      <c r="F4431" t="s">
        <v>493</v>
      </c>
      <c r="G4431" t="s">
        <v>3944</v>
      </c>
      <c r="H4431" s="9">
        <v>44733</v>
      </c>
      <c r="I4431" t="s">
        <v>8634</v>
      </c>
      <c r="J4431" t="s">
        <v>0</v>
      </c>
      <c r="K4431" s="9">
        <v>44862</v>
      </c>
      <c r="L4431" t="s">
        <v>29</v>
      </c>
      <c r="M4431"/>
      <c r="N4431"/>
      <c r="O4431"/>
      <c r="P4431"/>
      <c r="Q4431" s="9">
        <v>44862</v>
      </c>
      <c r="R4431"/>
      <c r="S4431"/>
      <c r="T4431"/>
      <c r="U4431"/>
    </row>
    <row r="4432" spans="1:21" hidden="1">
      <c r="A4432" s="7" t="s">
        <v>8825</v>
      </c>
      <c r="B4432" s="7" t="s">
        <v>5405</v>
      </c>
      <c r="C4432" s="8" t="s">
        <v>5319</v>
      </c>
      <c r="D4432" t="s">
        <v>266</v>
      </c>
      <c r="E4432" t="s">
        <v>25</v>
      </c>
      <c r="F4432" t="s">
        <v>111</v>
      </c>
      <c r="G4432" t="s">
        <v>3945</v>
      </c>
      <c r="H4432" s="9">
        <v>44733</v>
      </c>
      <c r="I4432" t="s">
        <v>8634</v>
      </c>
      <c r="J4432" t="s">
        <v>0</v>
      </c>
      <c r="K4432" s="9">
        <v>44881</v>
      </c>
      <c r="L4432" t="s">
        <v>29</v>
      </c>
      <c r="M4432"/>
      <c r="N4432" s="9">
        <v>44778</v>
      </c>
      <c r="O4432"/>
      <c r="P4432"/>
      <c r="Q4432" s="9">
        <v>44881</v>
      </c>
      <c r="R4432"/>
      <c r="S4432"/>
      <c r="T4432"/>
      <c r="U4432"/>
    </row>
    <row r="4433" spans="1:21" hidden="1">
      <c r="A4433" s="7" t="s">
        <v>8825</v>
      </c>
      <c r="B4433" s="7" t="s">
        <v>5405</v>
      </c>
      <c r="C4433" s="8" t="s">
        <v>5319</v>
      </c>
      <c r="D4433" t="s">
        <v>216</v>
      </c>
      <c r="E4433" t="s">
        <v>25</v>
      </c>
      <c r="F4433" t="s">
        <v>111</v>
      </c>
      <c r="G4433" t="s">
        <v>2340</v>
      </c>
      <c r="H4433" s="9">
        <v>44733</v>
      </c>
      <c r="I4433" t="s">
        <v>8634</v>
      </c>
      <c r="J4433" t="s">
        <v>5330</v>
      </c>
      <c r="K4433" s="9">
        <v>44834</v>
      </c>
      <c r="L4433" t="s">
        <v>29</v>
      </c>
      <c r="M4433"/>
      <c r="N4433" s="9">
        <v>44778</v>
      </c>
      <c r="O4433" s="9">
        <v>44834</v>
      </c>
      <c r="P4433"/>
      <c r="Q4433"/>
      <c r="R4433"/>
      <c r="S4433"/>
      <c r="T4433"/>
      <c r="U4433"/>
    </row>
    <row r="4434" spans="1:21" hidden="1">
      <c r="A4434" s="7" t="s">
        <v>8948</v>
      </c>
      <c r="B4434" s="7" t="s">
        <v>6775</v>
      </c>
      <c r="C4434" s="8" t="s">
        <v>5319</v>
      </c>
      <c r="D4434" t="s">
        <v>216</v>
      </c>
      <c r="E4434" t="s">
        <v>240</v>
      </c>
      <c r="F4434" t="s">
        <v>231</v>
      </c>
      <c r="G4434" t="s">
        <v>3946</v>
      </c>
      <c r="H4434" s="9">
        <v>44733</v>
      </c>
      <c r="I4434" t="s">
        <v>85</v>
      </c>
      <c r="J4434" t="s">
        <v>0</v>
      </c>
      <c r="K4434" s="9">
        <v>44839</v>
      </c>
      <c r="L4434" t="s">
        <v>29</v>
      </c>
      <c r="M4434"/>
      <c r="N4434" s="9">
        <v>44778</v>
      </c>
      <c r="O4434" s="9">
        <v>44834</v>
      </c>
      <c r="P4434"/>
      <c r="Q4434" s="9">
        <v>44839</v>
      </c>
      <c r="R4434"/>
      <c r="S4434"/>
      <c r="T4434"/>
      <c r="U4434"/>
    </row>
    <row r="4435" spans="1:21" hidden="1">
      <c r="A4435" s="7" t="s">
        <v>8732</v>
      </c>
      <c r="B4435" s="7" t="s">
        <v>6619</v>
      </c>
      <c r="C4435" s="8" t="s">
        <v>5319</v>
      </c>
      <c r="D4435" t="s">
        <v>216</v>
      </c>
      <c r="E4435" t="s">
        <v>226</v>
      </c>
      <c r="F4435" t="s">
        <v>227</v>
      </c>
      <c r="G4435" t="s">
        <v>3947</v>
      </c>
      <c r="H4435" s="9">
        <v>44733</v>
      </c>
      <c r="I4435" t="s">
        <v>229</v>
      </c>
      <c r="J4435" t="s">
        <v>276</v>
      </c>
      <c r="K4435" s="9">
        <v>44748.355254629598</v>
      </c>
      <c r="L4435" t="s">
        <v>29</v>
      </c>
      <c r="M4435"/>
      <c r="N4435"/>
      <c r="O4435"/>
      <c r="P4435"/>
      <c r="Q4435"/>
      <c r="R4435" s="9">
        <v>44748.352858796301</v>
      </c>
      <c r="S4435"/>
      <c r="T4435"/>
      <c r="U4435"/>
    </row>
    <row r="4436" spans="1:21" hidden="1">
      <c r="A4436" s="7" t="s">
        <v>8744</v>
      </c>
      <c r="B4436" s="7" t="s">
        <v>7386</v>
      </c>
      <c r="C4436" s="8" t="s">
        <v>5319</v>
      </c>
      <c r="D4436" t="s">
        <v>216</v>
      </c>
      <c r="E4436" t="s">
        <v>352</v>
      </c>
      <c r="F4436" t="s">
        <v>117</v>
      </c>
      <c r="G4436" t="s">
        <v>3948</v>
      </c>
      <c r="H4436" s="9">
        <v>44733</v>
      </c>
      <c r="I4436" t="s">
        <v>282</v>
      </c>
      <c r="J4436" t="s">
        <v>0</v>
      </c>
      <c r="K4436" s="9">
        <v>44874</v>
      </c>
      <c r="L4436" t="s">
        <v>29</v>
      </c>
      <c r="M4436"/>
      <c r="N4436" s="9">
        <v>44778</v>
      </c>
      <c r="O4436" s="9">
        <v>44834</v>
      </c>
      <c r="P4436"/>
      <c r="Q4436" s="9">
        <v>44874</v>
      </c>
      <c r="R4436" s="9">
        <v>44873.538692129601</v>
      </c>
      <c r="S4436"/>
      <c r="T4436"/>
      <c r="U4436"/>
    </row>
    <row r="4437" spans="1:21" hidden="1">
      <c r="A4437" s="7" t="s">
        <v>8744</v>
      </c>
      <c r="B4437" s="7" t="s">
        <v>7386</v>
      </c>
      <c r="C4437" s="8" t="s">
        <v>5319</v>
      </c>
      <c r="D4437" t="s">
        <v>216</v>
      </c>
      <c r="E4437" t="s">
        <v>352</v>
      </c>
      <c r="F4437" t="s">
        <v>117</v>
      </c>
      <c r="G4437" t="s">
        <v>3949</v>
      </c>
      <c r="H4437" s="9">
        <v>44733</v>
      </c>
      <c r="I4437" t="s">
        <v>282</v>
      </c>
      <c r="J4437" t="s">
        <v>0</v>
      </c>
      <c r="K4437" s="9">
        <v>44874</v>
      </c>
      <c r="L4437" t="s">
        <v>29</v>
      </c>
      <c r="M4437"/>
      <c r="N4437" s="9">
        <v>44778</v>
      </c>
      <c r="O4437" s="9">
        <v>44834</v>
      </c>
      <c r="P4437"/>
      <c r="Q4437" s="9">
        <v>44874</v>
      </c>
      <c r="R4437" s="9">
        <v>44873.538692129601</v>
      </c>
      <c r="S4437"/>
      <c r="T4437"/>
      <c r="U4437"/>
    </row>
    <row r="4438" spans="1:21" hidden="1">
      <c r="A4438" s="7" t="s">
        <v>8825</v>
      </c>
      <c r="B4438" s="7" t="s">
        <v>5405</v>
      </c>
      <c r="C4438" s="8" t="s">
        <v>5319</v>
      </c>
      <c r="D4438" t="s">
        <v>216</v>
      </c>
      <c r="E4438" t="s">
        <v>25</v>
      </c>
      <c r="F4438" t="s">
        <v>111</v>
      </c>
      <c r="G4438" t="s">
        <v>2883</v>
      </c>
      <c r="H4438" s="9">
        <v>44733</v>
      </c>
      <c r="I4438" t="s">
        <v>8634</v>
      </c>
      <c r="J4438" t="s">
        <v>5330</v>
      </c>
      <c r="K4438" s="9">
        <v>44834</v>
      </c>
      <c r="L4438" t="s">
        <v>29</v>
      </c>
      <c r="M4438"/>
      <c r="N4438" s="9">
        <v>44778</v>
      </c>
      <c r="O4438" s="9">
        <v>44834</v>
      </c>
      <c r="P4438"/>
      <c r="Q4438"/>
      <c r="R4438"/>
      <c r="S4438"/>
      <c r="T4438"/>
      <c r="U4438"/>
    </row>
    <row r="4439" spans="1:21" hidden="1">
      <c r="A4439" s="7" t="s">
        <v>8825</v>
      </c>
      <c r="B4439" s="7" t="s">
        <v>5405</v>
      </c>
      <c r="C4439" s="8" t="s">
        <v>5319</v>
      </c>
      <c r="D4439" t="s">
        <v>216</v>
      </c>
      <c r="E4439" t="s">
        <v>25</v>
      </c>
      <c r="F4439" t="s">
        <v>111</v>
      </c>
      <c r="G4439" t="s">
        <v>2884</v>
      </c>
      <c r="H4439" s="9">
        <v>44733</v>
      </c>
      <c r="I4439" t="s">
        <v>8634</v>
      </c>
      <c r="J4439" t="s">
        <v>5330</v>
      </c>
      <c r="K4439" s="9">
        <v>44834</v>
      </c>
      <c r="L4439" t="s">
        <v>29</v>
      </c>
      <c r="M4439"/>
      <c r="N4439" s="9">
        <v>44778</v>
      </c>
      <c r="O4439" s="9">
        <v>44834</v>
      </c>
      <c r="P4439"/>
      <c r="Q4439"/>
      <c r="R4439"/>
      <c r="S4439"/>
      <c r="T4439"/>
      <c r="U4439"/>
    </row>
    <row r="4440" spans="1:21" hidden="1">
      <c r="A4440" s="7" t="s">
        <v>8758</v>
      </c>
      <c r="B4440" s="7" t="s">
        <v>5405</v>
      </c>
      <c r="C4440" s="8" t="s">
        <v>5319</v>
      </c>
      <c r="D4440" t="s">
        <v>216</v>
      </c>
      <c r="E4440" t="s">
        <v>25</v>
      </c>
      <c r="F4440" t="s">
        <v>493</v>
      </c>
      <c r="G4440" t="s">
        <v>3950</v>
      </c>
      <c r="H4440" s="9">
        <v>44733</v>
      </c>
      <c r="I4440" t="s">
        <v>8634</v>
      </c>
      <c r="J4440" t="s">
        <v>0</v>
      </c>
      <c r="K4440" s="9">
        <v>44862</v>
      </c>
      <c r="L4440" t="s">
        <v>29</v>
      </c>
      <c r="M4440"/>
      <c r="N4440"/>
      <c r="O4440"/>
      <c r="P4440"/>
      <c r="Q4440" s="9">
        <v>44862</v>
      </c>
      <c r="R4440" s="9">
        <v>44769.506967592599</v>
      </c>
      <c r="S4440"/>
      <c r="T4440"/>
      <c r="U4440"/>
    </row>
    <row r="4441" spans="1:21" hidden="1">
      <c r="A4441" s="7" t="s">
        <v>8758</v>
      </c>
      <c r="B4441" s="7" t="s">
        <v>5405</v>
      </c>
      <c r="C4441" s="8" t="s">
        <v>5319</v>
      </c>
      <c r="D4441" t="s">
        <v>216</v>
      </c>
      <c r="E4441" t="s">
        <v>25</v>
      </c>
      <c r="F4441" t="s">
        <v>493</v>
      </c>
      <c r="G4441" t="s">
        <v>3049</v>
      </c>
      <c r="H4441" s="9">
        <v>44733</v>
      </c>
      <c r="I4441" t="s">
        <v>8634</v>
      </c>
      <c r="J4441" t="s">
        <v>0</v>
      </c>
      <c r="K4441" s="9">
        <v>44862</v>
      </c>
      <c r="L4441" t="s">
        <v>29</v>
      </c>
      <c r="M4441"/>
      <c r="N4441"/>
      <c r="O4441"/>
      <c r="P4441"/>
      <c r="Q4441" s="9">
        <v>44862</v>
      </c>
      <c r="R4441" s="9">
        <v>44769.506967592599</v>
      </c>
      <c r="S4441"/>
      <c r="T4441"/>
      <c r="U4441"/>
    </row>
    <row r="4442" spans="1:21" hidden="1">
      <c r="A4442" s="7" t="s">
        <v>8751</v>
      </c>
      <c r="B4442" s="7" t="s">
        <v>5405</v>
      </c>
      <c r="C4442" s="8" t="s">
        <v>5319</v>
      </c>
      <c r="D4442" t="s">
        <v>1655</v>
      </c>
      <c r="E4442" t="s">
        <v>25</v>
      </c>
      <c r="F4442" t="s">
        <v>435</v>
      </c>
      <c r="G4442" t="s">
        <v>3951</v>
      </c>
      <c r="H4442" s="9">
        <v>44735</v>
      </c>
      <c r="I4442" t="s">
        <v>8634</v>
      </c>
      <c r="J4442" t="s">
        <v>5330</v>
      </c>
      <c r="K4442" s="9">
        <v>44834</v>
      </c>
      <c r="L4442" t="s">
        <v>29</v>
      </c>
      <c r="M4442"/>
      <c r="N4442" s="9">
        <v>44778</v>
      </c>
      <c r="O4442" s="9">
        <v>44834</v>
      </c>
      <c r="P4442"/>
      <c r="Q4442"/>
      <c r="R4442"/>
      <c r="S4442"/>
      <c r="T4442"/>
      <c r="U4442"/>
    </row>
    <row r="4443" spans="1:21" hidden="1">
      <c r="A4443" s="7" t="s">
        <v>8751</v>
      </c>
      <c r="B4443" s="7" t="s">
        <v>5405</v>
      </c>
      <c r="C4443" s="8" t="s">
        <v>5319</v>
      </c>
      <c r="D4443" t="s">
        <v>1655</v>
      </c>
      <c r="E4443" t="s">
        <v>25</v>
      </c>
      <c r="F4443" t="s">
        <v>435</v>
      </c>
      <c r="G4443" t="s">
        <v>3952</v>
      </c>
      <c r="H4443" s="9">
        <v>44735</v>
      </c>
      <c r="I4443" t="s">
        <v>8634</v>
      </c>
      <c r="J4443" t="s">
        <v>0</v>
      </c>
      <c r="K4443" s="9">
        <v>44881</v>
      </c>
      <c r="L4443" t="s">
        <v>29</v>
      </c>
      <c r="M4443"/>
      <c r="N4443" s="9">
        <v>44778</v>
      </c>
      <c r="O4443"/>
      <c r="P4443"/>
      <c r="Q4443" s="9">
        <v>44881</v>
      </c>
      <c r="R4443"/>
      <c r="S4443"/>
      <c r="T4443"/>
      <c r="U4443"/>
    </row>
    <row r="4444" spans="1:21" hidden="1">
      <c r="A4444" s="7" t="s">
        <v>8826</v>
      </c>
      <c r="B4444" s="7" t="s">
        <v>5405</v>
      </c>
      <c r="C4444" s="8" t="s">
        <v>5319</v>
      </c>
      <c r="D4444" t="s">
        <v>1655</v>
      </c>
      <c r="E4444" t="s">
        <v>25</v>
      </c>
      <c r="F4444" t="s">
        <v>117</v>
      </c>
      <c r="G4444" t="s">
        <v>3953</v>
      </c>
      <c r="H4444" s="9">
        <v>44733</v>
      </c>
      <c r="I4444" t="s">
        <v>8634</v>
      </c>
      <c r="J4444" t="s">
        <v>5330</v>
      </c>
      <c r="K4444" s="9">
        <v>44834</v>
      </c>
      <c r="L4444" t="s">
        <v>29</v>
      </c>
      <c r="M4444"/>
      <c r="N4444" s="9">
        <v>44778</v>
      </c>
      <c r="O4444" s="9">
        <v>44834</v>
      </c>
      <c r="P4444"/>
      <c r="Q4444"/>
      <c r="R4444"/>
      <c r="S4444"/>
      <c r="T4444"/>
      <c r="U4444"/>
    </row>
    <row r="4445" spans="1:21" hidden="1">
      <c r="A4445" s="7" t="s">
        <v>8826</v>
      </c>
      <c r="B4445" s="7" t="s">
        <v>5405</v>
      </c>
      <c r="C4445" s="8" t="s">
        <v>5319</v>
      </c>
      <c r="D4445" t="s">
        <v>1655</v>
      </c>
      <c r="E4445" t="s">
        <v>25</v>
      </c>
      <c r="F4445" t="s">
        <v>117</v>
      </c>
      <c r="G4445" t="s">
        <v>3954</v>
      </c>
      <c r="H4445" s="9">
        <v>44733</v>
      </c>
      <c r="I4445" t="s">
        <v>8634</v>
      </c>
      <c r="J4445" t="s">
        <v>5330</v>
      </c>
      <c r="K4445" s="9">
        <v>44834</v>
      </c>
      <c r="L4445" t="s">
        <v>29</v>
      </c>
      <c r="M4445"/>
      <c r="N4445" s="9">
        <v>44778</v>
      </c>
      <c r="O4445" s="9">
        <v>44834</v>
      </c>
      <c r="P4445"/>
      <c r="Q4445"/>
      <c r="R4445"/>
      <c r="S4445"/>
      <c r="T4445"/>
      <c r="U4445"/>
    </row>
    <row r="4446" spans="1:21" hidden="1">
      <c r="A4446" s="7" t="s">
        <v>8826</v>
      </c>
      <c r="B4446" s="7" t="s">
        <v>5405</v>
      </c>
      <c r="C4446" s="8" t="s">
        <v>5319</v>
      </c>
      <c r="D4446" t="s">
        <v>1655</v>
      </c>
      <c r="E4446" t="s">
        <v>25</v>
      </c>
      <c r="F4446" t="s">
        <v>117</v>
      </c>
      <c r="G4446" t="s">
        <v>3955</v>
      </c>
      <c r="H4446" s="9">
        <v>44733</v>
      </c>
      <c r="I4446" t="s">
        <v>8634</v>
      </c>
      <c r="J4446" t="s">
        <v>5330</v>
      </c>
      <c r="K4446" s="9">
        <v>44834</v>
      </c>
      <c r="L4446" t="s">
        <v>29</v>
      </c>
      <c r="M4446"/>
      <c r="N4446" s="9">
        <v>44778</v>
      </c>
      <c r="O4446" s="9">
        <v>44834</v>
      </c>
      <c r="P4446"/>
      <c r="Q4446"/>
      <c r="R4446"/>
      <c r="S4446"/>
      <c r="T4446"/>
      <c r="U4446"/>
    </row>
    <row r="4447" spans="1:21" hidden="1">
      <c r="A4447" s="7" t="s">
        <v>8893</v>
      </c>
      <c r="B4447" s="7" t="s">
        <v>5405</v>
      </c>
      <c r="C4447" s="8" t="s">
        <v>5319</v>
      </c>
      <c r="D4447" t="s">
        <v>1655</v>
      </c>
      <c r="E4447" t="s">
        <v>25</v>
      </c>
      <c r="F4447" t="s">
        <v>209</v>
      </c>
      <c r="G4447" t="s">
        <v>3956</v>
      </c>
      <c r="H4447" s="9">
        <v>44733</v>
      </c>
      <c r="I4447" t="s">
        <v>8634</v>
      </c>
      <c r="J4447" t="s">
        <v>5330</v>
      </c>
      <c r="K4447" s="9">
        <v>44834</v>
      </c>
      <c r="L4447" t="s">
        <v>29</v>
      </c>
      <c r="M4447"/>
      <c r="N4447" s="9">
        <v>44778</v>
      </c>
      <c r="O4447" s="9">
        <v>44834</v>
      </c>
      <c r="P4447"/>
      <c r="Q4447"/>
      <c r="R4447"/>
      <c r="S4447"/>
      <c r="T4447"/>
      <c r="U4447"/>
    </row>
    <row r="4448" spans="1:21" hidden="1">
      <c r="A4448" s="7" t="s">
        <v>8893</v>
      </c>
      <c r="B4448" s="7" t="s">
        <v>5405</v>
      </c>
      <c r="C4448" s="8" t="s">
        <v>5319</v>
      </c>
      <c r="D4448" t="s">
        <v>1655</v>
      </c>
      <c r="E4448" t="s">
        <v>25</v>
      </c>
      <c r="F4448" t="s">
        <v>209</v>
      </c>
      <c r="G4448" t="s">
        <v>3957</v>
      </c>
      <c r="H4448" s="9">
        <v>44733</v>
      </c>
      <c r="I4448" t="s">
        <v>8634</v>
      </c>
      <c r="J4448" t="s">
        <v>5330</v>
      </c>
      <c r="K4448" s="9">
        <v>44834</v>
      </c>
      <c r="L4448" t="s">
        <v>29</v>
      </c>
      <c r="M4448"/>
      <c r="N4448" s="9">
        <v>44778</v>
      </c>
      <c r="O4448" s="9">
        <v>44834</v>
      </c>
      <c r="P4448"/>
      <c r="Q4448"/>
      <c r="R4448"/>
      <c r="S4448"/>
      <c r="T4448"/>
      <c r="U4448"/>
    </row>
    <row r="4449" spans="1:21" hidden="1">
      <c r="A4449" s="7" t="s">
        <v>8826</v>
      </c>
      <c r="B4449" s="7" t="s">
        <v>5405</v>
      </c>
      <c r="C4449" s="8" t="s">
        <v>5319</v>
      </c>
      <c r="D4449" t="s">
        <v>1655</v>
      </c>
      <c r="E4449" t="s">
        <v>25</v>
      </c>
      <c r="F4449" t="s">
        <v>117</v>
      </c>
      <c r="G4449" t="s">
        <v>3958</v>
      </c>
      <c r="H4449" s="9">
        <v>44733</v>
      </c>
      <c r="I4449" t="s">
        <v>8634</v>
      </c>
      <c r="J4449" t="s">
        <v>5330</v>
      </c>
      <c r="K4449" s="9">
        <v>44834</v>
      </c>
      <c r="L4449" t="s">
        <v>29</v>
      </c>
      <c r="M4449"/>
      <c r="N4449" s="9">
        <v>44778</v>
      </c>
      <c r="O4449" s="9">
        <v>44834</v>
      </c>
      <c r="P4449"/>
      <c r="Q4449"/>
      <c r="R4449"/>
      <c r="S4449"/>
      <c r="T4449"/>
      <c r="U4449"/>
    </row>
    <row r="4450" spans="1:21" hidden="1">
      <c r="A4450" s="7" t="s">
        <v>8826</v>
      </c>
      <c r="B4450" s="7" t="s">
        <v>5405</v>
      </c>
      <c r="C4450" s="8" t="s">
        <v>5319</v>
      </c>
      <c r="D4450" t="s">
        <v>1655</v>
      </c>
      <c r="E4450" t="s">
        <v>25</v>
      </c>
      <c r="F4450" t="s">
        <v>117</v>
      </c>
      <c r="G4450" t="s">
        <v>3959</v>
      </c>
      <c r="H4450" s="9">
        <v>44733</v>
      </c>
      <c r="I4450" t="s">
        <v>8634</v>
      </c>
      <c r="J4450" t="s">
        <v>5330</v>
      </c>
      <c r="K4450" s="9">
        <v>44834</v>
      </c>
      <c r="L4450" t="s">
        <v>29</v>
      </c>
      <c r="M4450"/>
      <c r="N4450" s="9">
        <v>44778</v>
      </c>
      <c r="O4450" s="9">
        <v>44834</v>
      </c>
      <c r="P4450"/>
      <c r="Q4450"/>
      <c r="R4450"/>
      <c r="S4450"/>
      <c r="T4450"/>
      <c r="U4450"/>
    </row>
    <row r="4451" spans="1:21" hidden="1">
      <c r="A4451" s="7" t="s">
        <v>8949</v>
      </c>
      <c r="B4451" s="7" t="s">
        <v>8373</v>
      </c>
      <c r="C4451" s="8" t="s">
        <v>5319</v>
      </c>
      <c r="D4451" t="s">
        <v>1655</v>
      </c>
      <c r="E4451" t="s">
        <v>3960</v>
      </c>
      <c r="F4451" t="s">
        <v>117</v>
      </c>
      <c r="G4451" t="s">
        <v>3961</v>
      </c>
      <c r="H4451" s="9">
        <v>44733</v>
      </c>
      <c r="I4451" t="s">
        <v>3962</v>
      </c>
      <c r="J4451" t="s">
        <v>5330</v>
      </c>
      <c r="K4451" s="9">
        <v>44834</v>
      </c>
      <c r="L4451" t="s">
        <v>29</v>
      </c>
      <c r="M4451"/>
      <c r="N4451" s="9">
        <v>44778</v>
      </c>
      <c r="O4451" s="9">
        <v>44834</v>
      </c>
      <c r="P4451"/>
      <c r="Q4451"/>
      <c r="R4451"/>
      <c r="S4451"/>
      <c r="T4451"/>
      <c r="U4451"/>
    </row>
    <row r="4452" spans="1:21" hidden="1">
      <c r="A4452" s="7" t="s">
        <v>8949</v>
      </c>
      <c r="B4452" s="7" t="s">
        <v>8373</v>
      </c>
      <c r="C4452" s="8" t="s">
        <v>5319</v>
      </c>
      <c r="D4452" t="s">
        <v>1655</v>
      </c>
      <c r="E4452" t="s">
        <v>3960</v>
      </c>
      <c r="F4452" t="s">
        <v>117</v>
      </c>
      <c r="G4452" t="s">
        <v>3963</v>
      </c>
      <c r="H4452" s="9">
        <v>44733</v>
      </c>
      <c r="I4452" t="s">
        <v>3962</v>
      </c>
      <c r="J4452" t="s">
        <v>5330</v>
      </c>
      <c r="K4452" s="9">
        <v>44834</v>
      </c>
      <c r="L4452" t="s">
        <v>29</v>
      </c>
      <c r="M4452"/>
      <c r="N4452" s="9">
        <v>44778</v>
      </c>
      <c r="O4452" s="9">
        <v>44834</v>
      </c>
      <c r="P4452"/>
      <c r="Q4452"/>
      <c r="R4452"/>
      <c r="S4452"/>
      <c r="T4452"/>
      <c r="U4452"/>
    </row>
    <row r="4453" spans="1:21" hidden="1">
      <c r="A4453" s="7" t="s">
        <v>8949</v>
      </c>
      <c r="B4453" s="7" t="s">
        <v>8373</v>
      </c>
      <c r="C4453" s="8" t="s">
        <v>5319</v>
      </c>
      <c r="D4453" t="s">
        <v>1655</v>
      </c>
      <c r="E4453" t="s">
        <v>3960</v>
      </c>
      <c r="F4453" t="s">
        <v>117</v>
      </c>
      <c r="G4453" t="s">
        <v>3964</v>
      </c>
      <c r="H4453" s="9">
        <v>44733</v>
      </c>
      <c r="I4453" t="s">
        <v>3962</v>
      </c>
      <c r="J4453" t="s">
        <v>5330</v>
      </c>
      <c r="K4453" s="9">
        <v>44834</v>
      </c>
      <c r="L4453" t="s">
        <v>29</v>
      </c>
      <c r="M4453"/>
      <c r="N4453" s="9">
        <v>44778</v>
      </c>
      <c r="O4453" s="9">
        <v>44834</v>
      </c>
      <c r="P4453"/>
      <c r="Q4453"/>
      <c r="R4453"/>
      <c r="S4453"/>
      <c r="T4453"/>
      <c r="U4453"/>
    </row>
    <row r="4454" spans="1:21" hidden="1">
      <c r="A4454" s="7" t="s">
        <v>8949</v>
      </c>
      <c r="B4454" s="7" t="s">
        <v>8373</v>
      </c>
      <c r="C4454" s="8" t="s">
        <v>5319</v>
      </c>
      <c r="D4454" t="s">
        <v>1655</v>
      </c>
      <c r="E4454" t="s">
        <v>3960</v>
      </c>
      <c r="F4454" t="s">
        <v>117</v>
      </c>
      <c r="G4454" t="s">
        <v>3965</v>
      </c>
      <c r="H4454" s="9">
        <v>44733</v>
      </c>
      <c r="I4454" t="s">
        <v>3962</v>
      </c>
      <c r="J4454" t="s">
        <v>5330</v>
      </c>
      <c r="K4454" s="9">
        <v>44834</v>
      </c>
      <c r="L4454" t="s">
        <v>29</v>
      </c>
      <c r="M4454"/>
      <c r="N4454" s="9">
        <v>44778</v>
      </c>
      <c r="O4454" s="9">
        <v>44834</v>
      </c>
      <c r="P4454"/>
      <c r="Q4454"/>
      <c r="R4454"/>
      <c r="S4454"/>
      <c r="T4454"/>
      <c r="U4454"/>
    </row>
    <row r="4455" spans="1:21" hidden="1">
      <c r="A4455" s="7" t="s">
        <v>8949</v>
      </c>
      <c r="B4455" s="7" t="s">
        <v>8373</v>
      </c>
      <c r="C4455" s="8" t="s">
        <v>5319</v>
      </c>
      <c r="D4455" t="s">
        <v>1655</v>
      </c>
      <c r="E4455" t="s">
        <v>3960</v>
      </c>
      <c r="F4455" t="s">
        <v>117</v>
      </c>
      <c r="G4455" t="s">
        <v>3966</v>
      </c>
      <c r="H4455" s="9">
        <v>44733</v>
      </c>
      <c r="I4455" t="s">
        <v>3962</v>
      </c>
      <c r="J4455" t="s">
        <v>5330</v>
      </c>
      <c r="K4455" s="9">
        <v>44834</v>
      </c>
      <c r="L4455" t="s">
        <v>29</v>
      </c>
      <c r="M4455"/>
      <c r="N4455" s="9">
        <v>44778</v>
      </c>
      <c r="O4455" s="9">
        <v>44834</v>
      </c>
      <c r="P4455"/>
      <c r="Q4455"/>
      <c r="R4455"/>
      <c r="S4455"/>
      <c r="T4455"/>
      <c r="U4455"/>
    </row>
    <row r="4456" spans="1:21" hidden="1">
      <c r="A4456" s="7" t="s">
        <v>8949</v>
      </c>
      <c r="B4456" s="7" t="s">
        <v>8373</v>
      </c>
      <c r="C4456" s="8" t="s">
        <v>5319</v>
      </c>
      <c r="D4456" t="s">
        <v>1655</v>
      </c>
      <c r="E4456" t="s">
        <v>3960</v>
      </c>
      <c r="F4456" t="s">
        <v>117</v>
      </c>
      <c r="G4456" t="s">
        <v>3967</v>
      </c>
      <c r="H4456" s="9">
        <v>44733</v>
      </c>
      <c r="I4456" t="s">
        <v>3962</v>
      </c>
      <c r="J4456" t="s">
        <v>5330</v>
      </c>
      <c r="K4456" s="9">
        <v>44834</v>
      </c>
      <c r="L4456" t="s">
        <v>29</v>
      </c>
      <c r="M4456"/>
      <c r="N4456" s="9">
        <v>44778</v>
      </c>
      <c r="O4456" s="9">
        <v>44834</v>
      </c>
      <c r="P4456"/>
      <c r="Q4456"/>
      <c r="R4456"/>
      <c r="S4456"/>
      <c r="T4456"/>
      <c r="U4456"/>
    </row>
    <row r="4457" spans="1:21" hidden="1">
      <c r="A4457" s="7" t="s">
        <v>8949</v>
      </c>
      <c r="B4457" s="7" t="s">
        <v>8373</v>
      </c>
      <c r="C4457" s="8" t="s">
        <v>5319</v>
      </c>
      <c r="D4457" t="s">
        <v>1655</v>
      </c>
      <c r="E4457" t="s">
        <v>3960</v>
      </c>
      <c r="F4457" t="s">
        <v>117</v>
      </c>
      <c r="G4457" t="s">
        <v>3968</v>
      </c>
      <c r="H4457" s="9">
        <v>44733</v>
      </c>
      <c r="I4457" t="s">
        <v>3962</v>
      </c>
      <c r="J4457" t="s">
        <v>5330</v>
      </c>
      <c r="K4457" s="9">
        <v>44834</v>
      </c>
      <c r="L4457" t="s">
        <v>29</v>
      </c>
      <c r="M4457"/>
      <c r="N4457" s="9">
        <v>44778</v>
      </c>
      <c r="O4457" s="9">
        <v>44834</v>
      </c>
      <c r="P4457"/>
      <c r="Q4457"/>
      <c r="R4457"/>
      <c r="S4457"/>
      <c r="T4457"/>
      <c r="U4457"/>
    </row>
    <row r="4458" spans="1:21" hidden="1">
      <c r="A4458" s="7" t="s">
        <v>8949</v>
      </c>
      <c r="B4458" s="7" t="s">
        <v>8373</v>
      </c>
      <c r="C4458" s="8" t="s">
        <v>5319</v>
      </c>
      <c r="D4458" t="s">
        <v>1655</v>
      </c>
      <c r="E4458" t="s">
        <v>3960</v>
      </c>
      <c r="F4458" t="s">
        <v>117</v>
      </c>
      <c r="G4458" t="s">
        <v>3969</v>
      </c>
      <c r="H4458" s="9">
        <v>44733</v>
      </c>
      <c r="I4458" t="s">
        <v>3962</v>
      </c>
      <c r="J4458" t="s">
        <v>5330</v>
      </c>
      <c r="K4458" s="9">
        <v>44834</v>
      </c>
      <c r="L4458" t="s">
        <v>29</v>
      </c>
      <c r="M4458"/>
      <c r="N4458" s="9">
        <v>44778</v>
      </c>
      <c r="O4458" s="9">
        <v>44834</v>
      </c>
      <c r="P4458"/>
      <c r="Q4458"/>
      <c r="R4458"/>
      <c r="S4458"/>
      <c r="T4458"/>
      <c r="U4458"/>
    </row>
    <row r="4459" spans="1:21" hidden="1">
      <c r="A4459" s="7" t="s">
        <v>8949</v>
      </c>
      <c r="B4459" s="7" t="s">
        <v>8373</v>
      </c>
      <c r="C4459" s="8" t="s">
        <v>5319</v>
      </c>
      <c r="D4459" t="s">
        <v>1655</v>
      </c>
      <c r="E4459" t="s">
        <v>3960</v>
      </c>
      <c r="F4459" t="s">
        <v>117</v>
      </c>
      <c r="G4459" t="s">
        <v>3970</v>
      </c>
      <c r="H4459" s="9">
        <v>44733</v>
      </c>
      <c r="I4459" t="s">
        <v>3962</v>
      </c>
      <c r="J4459" t="s">
        <v>5330</v>
      </c>
      <c r="K4459" s="9">
        <v>44834</v>
      </c>
      <c r="L4459" t="s">
        <v>29</v>
      </c>
      <c r="M4459"/>
      <c r="N4459" s="9">
        <v>44778</v>
      </c>
      <c r="O4459" s="9">
        <v>44834</v>
      </c>
      <c r="P4459"/>
      <c r="Q4459"/>
      <c r="R4459"/>
      <c r="S4459"/>
      <c r="T4459"/>
      <c r="U4459"/>
    </row>
    <row r="4460" spans="1:21" hidden="1">
      <c r="A4460" s="7" t="s">
        <v>8949</v>
      </c>
      <c r="B4460" s="7" t="s">
        <v>8373</v>
      </c>
      <c r="C4460" s="8" t="s">
        <v>5319</v>
      </c>
      <c r="D4460" t="s">
        <v>1655</v>
      </c>
      <c r="E4460" t="s">
        <v>3960</v>
      </c>
      <c r="F4460" t="s">
        <v>117</v>
      </c>
      <c r="G4460" t="s">
        <v>3971</v>
      </c>
      <c r="H4460" s="9">
        <v>44733</v>
      </c>
      <c r="I4460" t="s">
        <v>3962</v>
      </c>
      <c r="J4460" t="s">
        <v>5330</v>
      </c>
      <c r="K4460" s="9">
        <v>44834</v>
      </c>
      <c r="L4460" t="s">
        <v>29</v>
      </c>
      <c r="M4460"/>
      <c r="N4460" s="9">
        <v>44778</v>
      </c>
      <c r="O4460" s="9">
        <v>44834</v>
      </c>
      <c r="P4460"/>
      <c r="Q4460"/>
      <c r="R4460"/>
      <c r="S4460"/>
      <c r="T4460"/>
      <c r="U4460"/>
    </row>
    <row r="4461" spans="1:21" hidden="1">
      <c r="A4461" s="7" t="s">
        <v>8949</v>
      </c>
      <c r="B4461" s="7" t="s">
        <v>8373</v>
      </c>
      <c r="C4461" s="8" t="s">
        <v>5319</v>
      </c>
      <c r="D4461" t="s">
        <v>1655</v>
      </c>
      <c r="E4461" t="s">
        <v>3960</v>
      </c>
      <c r="F4461" t="s">
        <v>117</v>
      </c>
      <c r="G4461" t="s">
        <v>3972</v>
      </c>
      <c r="H4461" s="9">
        <v>44733</v>
      </c>
      <c r="I4461" t="s">
        <v>3962</v>
      </c>
      <c r="J4461" t="s">
        <v>5330</v>
      </c>
      <c r="K4461" s="9">
        <v>44834</v>
      </c>
      <c r="L4461" t="s">
        <v>29</v>
      </c>
      <c r="M4461"/>
      <c r="N4461" s="9">
        <v>44778</v>
      </c>
      <c r="O4461" s="9">
        <v>44834</v>
      </c>
      <c r="P4461"/>
      <c r="Q4461"/>
      <c r="R4461"/>
      <c r="S4461"/>
      <c r="T4461"/>
      <c r="U4461"/>
    </row>
    <row r="4462" spans="1:21" hidden="1">
      <c r="A4462" s="7" t="s">
        <v>8949</v>
      </c>
      <c r="B4462" s="7" t="s">
        <v>8373</v>
      </c>
      <c r="C4462" s="8" t="s">
        <v>5319</v>
      </c>
      <c r="D4462" t="s">
        <v>1655</v>
      </c>
      <c r="E4462" t="s">
        <v>3960</v>
      </c>
      <c r="F4462" t="s">
        <v>117</v>
      </c>
      <c r="G4462" t="s">
        <v>3973</v>
      </c>
      <c r="H4462" s="9">
        <v>44733</v>
      </c>
      <c r="I4462" t="s">
        <v>3962</v>
      </c>
      <c r="J4462" t="s">
        <v>5330</v>
      </c>
      <c r="K4462" s="9">
        <v>44834</v>
      </c>
      <c r="L4462" t="s">
        <v>29</v>
      </c>
      <c r="M4462"/>
      <c r="N4462" s="9">
        <v>44778</v>
      </c>
      <c r="O4462" s="9">
        <v>44834</v>
      </c>
      <c r="P4462"/>
      <c r="Q4462"/>
      <c r="R4462"/>
      <c r="S4462"/>
      <c r="T4462"/>
      <c r="U4462"/>
    </row>
    <row r="4463" spans="1:21" hidden="1">
      <c r="A4463" s="7" t="s">
        <v>8949</v>
      </c>
      <c r="B4463" s="7" t="s">
        <v>8373</v>
      </c>
      <c r="C4463" s="8" t="s">
        <v>5319</v>
      </c>
      <c r="D4463" t="s">
        <v>1655</v>
      </c>
      <c r="E4463" t="s">
        <v>3960</v>
      </c>
      <c r="F4463" t="s">
        <v>117</v>
      </c>
      <c r="G4463" t="s">
        <v>3974</v>
      </c>
      <c r="H4463" s="9">
        <v>44733</v>
      </c>
      <c r="I4463" t="s">
        <v>3962</v>
      </c>
      <c r="J4463" t="s">
        <v>5330</v>
      </c>
      <c r="K4463" s="9">
        <v>44834</v>
      </c>
      <c r="L4463" t="s">
        <v>29</v>
      </c>
      <c r="M4463"/>
      <c r="N4463" s="9">
        <v>44778</v>
      </c>
      <c r="O4463" s="9">
        <v>44834</v>
      </c>
      <c r="P4463"/>
      <c r="Q4463"/>
      <c r="R4463"/>
      <c r="S4463"/>
      <c r="T4463"/>
      <c r="U4463"/>
    </row>
    <row r="4464" spans="1:21" hidden="1">
      <c r="A4464" s="7" t="s">
        <v>8949</v>
      </c>
      <c r="B4464" s="7" t="s">
        <v>8373</v>
      </c>
      <c r="C4464" s="8" t="s">
        <v>5319</v>
      </c>
      <c r="D4464" t="s">
        <v>1655</v>
      </c>
      <c r="E4464" t="s">
        <v>3960</v>
      </c>
      <c r="F4464" t="s">
        <v>117</v>
      </c>
      <c r="G4464" t="s">
        <v>3975</v>
      </c>
      <c r="H4464" s="9">
        <v>44733</v>
      </c>
      <c r="I4464" t="s">
        <v>3962</v>
      </c>
      <c r="J4464" t="s">
        <v>5330</v>
      </c>
      <c r="K4464" s="9">
        <v>44834</v>
      </c>
      <c r="L4464" t="s">
        <v>29</v>
      </c>
      <c r="M4464"/>
      <c r="N4464" s="9">
        <v>44778</v>
      </c>
      <c r="O4464" s="9">
        <v>44834</v>
      </c>
      <c r="P4464"/>
      <c r="Q4464"/>
      <c r="R4464"/>
      <c r="S4464"/>
      <c r="T4464"/>
      <c r="U4464"/>
    </row>
    <row r="4465" spans="1:21" hidden="1">
      <c r="A4465" s="7" t="s">
        <v>8950</v>
      </c>
      <c r="B4465" s="7" t="s">
        <v>8374</v>
      </c>
      <c r="C4465" s="8" t="s">
        <v>5319</v>
      </c>
      <c r="D4465" t="s">
        <v>1655</v>
      </c>
      <c r="E4465" t="s">
        <v>3976</v>
      </c>
      <c r="F4465" t="s">
        <v>231</v>
      </c>
      <c r="G4465" t="s">
        <v>3977</v>
      </c>
      <c r="H4465" s="9">
        <v>44733</v>
      </c>
      <c r="I4465" t="s">
        <v>3978</v>
      </c>
      <c r="J4465" t="s">
        <v>0</v>
      </c>
      <c r="K4465" s="9">
        <v>44803</v>
      </c>
      <c r="L4465" t="s">
        <v>29</v>
      </c>
      <c r="M4465"/>
      <c r="N4465"/>
      <c r="O4465"/>
      <c r="P4465"/>
      <c r="Q4465" s="9">
        <v>44803</v>
      </c>
      <c r="R4465" s="9">
        <v>44791.526296296302</v>
      </c>
      <c r="S4465"/>
      <c r="T4465"/>
      <c r="U4465"/>
    </row>
    <row r="4466" spans="1:21" hidden="1">
      <c r="A4466" s="7" t="s">
        <v>8950</v>
      </c>
      <c r="B4466" s="7" t="s">
        <v>8374</v>
      </c>
      <c r="C4466" s="8" t="s">
        <v>5319</v>
      </c>
      <c r="D4466" t="s">
        <v>1655</v>
      </c>
      <c r="E4466" t="s">
        <v>3976</v>
      </c>
      <c r="F4466" t="s">
        <v>231</v>
      </c>
      <c r="G4466" t="s">
        <v>3979</v>
      </c>
      <c r="H4466" s="9">
        <v>44733</v>
      </c>
      <c r="I4466" t="s">
        <v>3978</v>
      </c>
      <c r="J4466" t="s">
        <v>0</v>
      </c>
      <c r="K4466" s="9">
        <v>44803</v>
      </c>
      <c r="L4466" t="s">
        <v>29</v>
      </c>
      <c r="M4466"/>
      <c r="N4466"/>
      <c r="O4466"/>
      <c r="P4466"/>
      <c r="Q4466" s="9">
        <v>44803</v>
      </c>
      <c r="R4466" s="9">
        <v>44776.737060185202</v>
      </c>
      <c r="S4466"/>
      <c r="T4466"/>
      <c r="U4466"/>
    </row>
    <row r="4467" spans="1:21" hidden="1">
      <c r="A4467" s="7" t="s">
        <v>8949</v>
      </c>
      <c r="B4467" s="7" t="s">
        <v>8373</v>
      </c>
      <c r="C4467" s="8" t="s">
        <v>5319</v>
      </c>
      <c r="D4467" t="s">
        <v>1655</v>
      </c>
      <c r="E4467" t="s">
        <v>3960</v>
      </c>
      <c r="F4467" t="s">
        <v>117</v>
      </c>
      <c r="G4467" t="s">
        <v>3980</v>
      </c>
      <c r="H4467" s="9">
        <v>44733</v>
      </c>
      <c r="I4467" t="s">
        <v>3962</v>
      </c>
      <c r="J4467" t="s">
        <v>5330</v>
      </c>
      <c r="K4467" s="9">
        <v>44834</v>
      </c>
      <c r="L4467" t="s">
        <v>29</v>
      </c>
      <c r="M4467"/>
      <c r="N4467" s="9">
        <v>44778</v>
      </c>
      <c r="O4467" s="9">
        <v>44834</v>
      </c>
      <c r="P4467"/>
      <c r="Q4467"/>
      <c r="R4467"/>
      <c r="S4467"/>
      <c r="T4467"/>
      <c r="U4467"/>
    </row>
    <row r="4468" spans="1:21" hidden="1">
      <c r="A4468" s="7" t="s">
        <v>8949</v>
      </c>
      <c r="B4468" s="7" t="s">
        <v>8373</v>
      </c>
      <c r="C4468" s="8" t="s">
        <v>5319</v>
      </c>
      <c r="D4468" t="s">
        <v>1655</v>
      </c>
      <c r="E4468" t="s">
        <v>3960</v>
      </c>
      <c r="F4468" t="s">
        <v>117</v>
      </c>
      <c r="G4468" t="s">
        <v>3981</v>
      </c>
      <c r="H4468" s="9">
        <v>44733</v>
      </c>
      <c r="I4468" t="s">
        <v>3962</v>
      </c>
      <c r="J4468" t="s">
        <v>5330</v>
      </c>
      <c r="K4468" s="9">
        <v>44834</v>
      </c>
      <c r="L4468" t="s">
        <v>29</v>
      </c>
      <c r="M4468"/>
      <c r="N4468" s="9">
        <v>44778</v>
      </c>
      <c r="O4468" s="9">
        <v>44834</v>
      </c>
      <c r="P4468"/>
      <c r="Q4468"/>
      <c r="R4468"/>
      <c r="S4468"/>
      <c r="T4468"/>
      <c r="U4468"/>
    </row>
    <row r="4469" spans="1:21" hidden="1">
      <c r="A4469" s="7" t="s">
        <v>8949</v>
      </c>
      <c r="B4469" s="7" t="s">
        <v>8373</v>
      </c>
      <c r="C4469" s="8" t="s">
        <v>5319</v>
      </c>
      <c r="D4469" t="s">
        <v>1655</v>
      </c>
      <c r="E4469" t="s">
        <v>3960</v>
      </c>
      <c r="F4469" t="s">
        <v>117</v>
      </c>
      <c r="G4469" t="s">
        <v>3982</v>
      </c>
      <c r="H4469" s="9">
        <v>44733</v>
      </c>
      <c r="I4469" t="s">
        <v>3962</v>
      </c>
      <c r="J4469" t="s">
        <v>5330</v>
      </c>
      <c r="K4469" s="9">
        <v>44834</v>
      </c>
      <c r="L4469" t="s">
        <v>29</v>
      </c>
      <c r="M4469"/>
      <c r="N4469" s="9">
        <v>44778</v>
      </c>
      <c r="O4469" s="9">
        <v>44834</v>
      </c>
      <c r="P4469"/>
      <c r="Q4469"/>
      <c r="R4469"/>
      <c r="S4469"/>
      <c r="T4469"/>
      <c r="U4469"/>
    </row>
    <row r="4470" spans="1:21" hidden="1">
      <c r="A4470" s="7" t="s">
        <v>8951</v>
      </c>
      <c r="B4470" s="7" t="s">
        <v>8375</v>
      </c>
      <c r="C4470" s="8" t="s">
        <v>5319</v>
      </c>
      <c r="D4470" t="s">
        <v>1655</v>
      </c>
      <c r="E4470" t="s">
        <v>3983</v>
      </c>
      <c r="F4470" t="s">
        <v>231</v>
      </c>
      <c r="G4470" t="s">
        <v>3984</v>
      </c>
      <c r="H4470" s="9">
        <v>44733</v>
      </c>
      <c r="I4470" t="s">
        <v>1660</v>
      </c>
      <c r="J4470" t="s">
        <v>5330</v>
      </c>
      <c r="K4470" s="9">
        <v>44834</v>
      </c>
      <c r="L4470" t="s">
        <v>29</v>
      </c>
      <c r="M4470"/>
      <c r="N4470" s="9">
        <v>44778</v>
      </c>
      <c r="O4470" s="9">
        <v>44834</v>
      </c>
      <c r="P4470"/>
      <c r="Q4470"/>
      <c r="R4470"/>
      <c r="S4470"/>
      <c r="T4470"/>
      <c r="U4470"/>
    </row>
    <row r="4471" spans="1:21" hidden="1">
      <c r="A4471" s="7" t="s">
        <v>8951</v>
      </c>
      <c r="B4471" s="7" t="s">
        <v>8375</v>
      </c>
      <c r="C4471" s="8" t="s">
        <v>5319</v>
      </c>
      <c r="D4471" t="s">
        <v>1655</v>
      </c>
      <c r="E4471" t="s">
        <v>3983</v>
      </c>
      <c r="F4471" t="s">
        <v>231</v>
      </c>
      <c r="G4471" t="s">
        <v>3985</v>
      </c>
      <c r="H4471" s="9">
        <v>44733</v>
      </c>
      <c r="I4471" t="s">
        <v>1660</v>
      </c>
      <c r="J4471" t="s">
        <v>5330</v>
      </c>
      <c r="K4471" s="9">
        <v>44834</v>
      </c>
      <c r="L4471" t="s">
        <v>29</v>
      </c>
      <c r="M4471"/>
      <c r="N4471" s="9">
        <v>44778</v>
      </c>
      <c r="O4471" s="9">
        <v>44834</v>
      </c>
      <c r="P4471"/>
      <c r="Q4471"/>
      <c r="R4471"/>
      <c r="S4471"/>
      <c r="T4471"/>
      <c r="U4471"/>
    </row>
    <row r="4472" spans="1:21" hidden="1">
      <c r="A4472" s="7" t="s">
        <v>8951</v>
      </c>
      <c r="B4472" s="7" t="s">
        <v>8375</v>
      </c>
      <c r="C4472" s="8" t="s">
        <v>5319</v>
      </c>
      <c r="D4472" t="s">
        <v>1655</v>
      </c>
      <c r="E4472" t="s">
        <v>3983</v>
      </c>
      <c r="F4472" t="s">
        <v>231</v>
      </c>
      <c r="G4472" t="s">
        <v>3986</v>
      </c>
      <c r="H4472" s="9">
        <v>44733</v>
      </c>
      <c r="I4472" t="s">
        <v>1660</v>
      </c>
      <c r="J4472" t="s">
        <v>5330</v>
      </c>
      <c r="K4472" s="9">
        <v>44834</v>
      </c>
      <c r="L4472" t="s">
        <v>29</v>
      </c>
      <c r="M4472"/>
      <c r="N4472" s="9">
        <v>44778</v>
      </c>
      <c r="O4472" s="9">
        <v>44834</v>
      </c>
      <c r="P4472"/>
      <c r="Q4472"/>
      <c r="R4472"/>
      <c r="S4472"/>
      <c r="T4472"/>
      <c r="U4472"/>
    </row>
    <row r="4473" spans="1:21" hidden="1">
      <c r="A4473" s="7" t="s">
        <v>8951</v>
      </c>
      <c r="B4473" s="7" t="s">
        <v>8375</v>
      </c>
      <c r="C4473" s="8" t="s">
        <v>5319</v>
      </c>
      <c r="D4473" t="s">
        <v>1655</v>
      </c>
      <c r="E4473" t="s">
        <v>3983</v>
      </c>
      <c r="F4473" t="s">
        <v>231</v>
      </c>
      <c r="G4473" t="s">
        <v>3987</v>
      </c>
      <c r="H4473" s="9">
        <v>44733</v>
      </c>
      <c r="I4473" t="s">
        <v>1660</v>
      </c>
      <c r="J4473" t="s">
        <v>5330</v>
      </c>
      <c r="K4473" s="9">
        <v>44834</v>
      </c>
      <c r="L4473" t="s">
        <v>29</v>
      </c>
      <c r="M4473"/>
      <c r="N4473" s="9">
        <v>44778</v>
      </c>
      <c r="O4473" s="9">
        <v>44834</v>
      </c>
      <c r="P4473"/>
      <c r="Q4473"/>
      <c r="R4473"/>
      <c r="S4473"/>
      <c r="T4473"/>
      <c r="U4473"/>
    </row>
    <row r="4474" spans="1:21" hidden="1">
      <c r="A4474" s="7" t="s">
        <v>8951</v>
      </c>
      <c r="B4474" s="7" t="s">
        <v>8375</v>
      </c>
      <c r="C4474" s="8" t="s">
        <v>5319</v>
      </c>
      <c r="D4474" t="s">
        <v>1655</v>
      </c>
      <c r="E4474" t="s">
        <v>3983</v>
      </c>
      <c r="F4474" t="s">
        <v>231</v>
      </c>
      <c r="G4474" t="s">
        <v>3988</v>
      </c>
      <c r="H4474" s="9">
        <v>44733</v>
      </c>
      <c r="I4474" t="s">
        <v>1660</v>
      </c>
      <c r="J4474" t="s">
        <v>5330</v>
      </c>
      <c r="K4474" s="9">
        <v>44834</v>
      </c>
      <c r="L4474" t="s">
        <v>29</v>
      </c>
      <c r="M4474"/>
      <c r="N4474" s="9">
        <v>44778</v>
      </c>
      <c r="O4474" s="9">
        <v>44834</v>
      </c>
      <c r="P4474"/>
      <c r="Q4474"/>
      <c r="R4474"/>
      <c r="S4474"/>
      <c r="T4474"/>
      <c r="U4474"/>
    </row>
    <row r="4475" spans="1:21" hidden="1">
      <c r="A4475" s="7" t="s">
        <v>8951</v>
      </c>
      <c r="B4475" s="7" t="s">
        <v>8375</v>
      </c>
      <c r="C4475" s="8" t="s">
        <v>5319</v>
      </c>
      <c r="D4475" t="s">
        <v>1655</v>
      </c>
      <c r="E4475" t="s">
        <v>3983</v>
      </c>
      <c r="F4475" t="s">
        <v>231</v>
      </c>
      <c r="G4475" t="s">
        <v>3989</v>
      </c>
      <c r="H4475" s="9">
        <v>44733</v>
      </c>
      <c r="I4475" t="s">
        <v>1660</v>
      </c>
      <c r="J4475" t="s">
        <v>5330</v>
      </c>
      <c r="K4475" s="9">
        <v>44834</v>
      </c>
      <c r="L4475" t="s">
        <v>29</v>
      </c>
      <c r="M4475"/>
      <c r="N4475" s="9">
        <v>44778</v>
      </c>
      <c r="O4475" s="9">
        <v>44834</v>
      </c>
      <c r="P4475"/>
      <c r="Q4475"/>
      <c r="R4475"/>
      <c r="S4475"/>
      <c r="T4475"/>
      <c r="U4475"/>
    </row>
    <row r="4476" spans="1:21" hidden="1">
      <c r="A4476" s="7" t="s">
        <v>8951</v>
      </c>
      <c r="B4476" s="7" t="s">
        <v>8375</v>
      </c>
      <c r="C4476" s="8" t="s">
        <v>5319</v>
      </c>
      <c r="D4476" t="s">
        <v>1655</v>
      </c>
      <c r="E4476" t="s">
        <v>3983</v>
      </c>
      <c r="F4476" t="s">
        <v>231</v>
      </c>
      <c r="G4476" t="s">
        <v>3990</v>
      </c>
      <c r="H4476" s="9">
        <v>44733</v>
      </c>
      <c r="I4476" t="s">
        <v>1660</v>
      </c>
      <c r="J4476" t="s">
        <v>5330</v>
      </c>
      <c r="K4476" s="9">
        <v>44834</v>
      </c>
      <c r="L4476" t="s">
        <v>29</v>
      </c>
      <c r="M4476"/>
      <c r="N4476" s="9">
        <v>44778</v>
      </c>
      <c r="O4476" s="9">
        <v>44834</v>
      </c>
      <c r="P4476"/>
      <c r="Q4476"/>
      <c r="R4476"/>
      <c r="S4476"/>
      <c r="T4476"/>
      <c r="U4476"/>
    </row>
    <row r="4477" spans="1:21" hidden="1">
      <c r="A4477" s="7" t="s">
        <v>8951</v>
      </c>
      <c r="B4477" s="7" t="s">
        <v>8375</v>
      </c>
      <c r="C4477" s="8" t="s">
        <v>5319</v>
      </c>
      <c r="D4477" t="s">
        <v>1655</v>
      </c>
      <c r="E4477" t="s">
        <v>3983</v>
      </c>
      <c r="F4477" t="s">
        <v>231</v>
      </c>
      <c r="G4477" t="s">
        <v>3991</v>
      </c>
      <c r="H4477" s="9">
        <v>44733</v>
      </c>
      <c r="I4477" t="s">
        <v>1660</v>
      </c>
      <c r="J4477" t="s">
        <v>5330</v>
      </c>
      <c r="K4477" s="9">
        <v>44834</v>
      </c>
      <c r="L4477" t="s">
        <v>29</v>
      </c>
      <c r="M4477"/>
      <c r="N4477" s="9">
        <v>44778</v>
      </c>
      <c r="O4477" s="9">
        <v>44834</v>
      </c>
      <c r="P4477"/>
      <c r="Q4477"/>
      <c r="R4477"/>
      <c r="S4477"/>
      <c r="T4477"/>
      <c r="U4477"/>
    </row>
    <row r="4478" spans="1:21" hidden="1">
      <c r="A4478" s="7" t="s">
        <v>8952</v>
      </c>
      <c r="B4478" s="7" t="s">
        <v>7112</v>
      </c>
      <c r="C4478" s="8" t="s">
        <v>5319</v>
      </c>
      <c r="D4478" t="s">
        <v>1655</v>
      </c>
      <c r="E4478" t="s">
        <v>3992</v>
      </c>
      <c r="F4478" t="s">
        <v>117</v>
      </c>
      <c r="G4478" t="s">
        <v>3993</v>
      </c>
      <c r="H4478" s="9">
        <v>44733</v>
      </c>
      <c r="I4478" t="s">
        <v>3962</v>
      </c>
      <c r="J4478" t="s">
        <v>5330</v>
      </c>
      <c r="K4478" s="9">
        <v>44834</v>
      </c>
      <c r="L4478" t="s">
        <v>29</v>
      </c>
      <c r="M4478"/>
      <c r="N4478" s="9">
        <v>44778</v>
      </c>
      <c r="O4478" s="9">
        <v>44834</v>
      </c>
      <c r="P4478"/>
      <c r="Q4478"/>
      <c r="R4478"/>
      <c r="S4478"/>
      <c r="T4478"/>
      <c r="U4478"/>
    </row>
    <row r="4479" spans="1:21" hidden="1">
      <c r="A4479" s="7" t="s">
        <v>8952</v>
      </c>
      <c r="B4479" s="7" t="s">
        <v>7112</v>
      </c>
      <c r="C4479" s="8" t="s">
        <v>5319</v>
      </c>
      <c r="D4479" t="s">
        <v>1655</v>
      </c>
      <c r="E4479" t="s">
        <v>3992</v>
      </c>
      <c r="F4479" t="s">
        <v>117</v>
      </c>
      <c r="G4479" t="s">
        <v>3994</v>
      </c>
      <c r="H4479" s="9">
        <v>44733</v>
      </c>
      <c r="I4479" t="s">
        <v>3962</v>
      </c>
      <c r="J4479" t="s">
        <v>5330</v>
      </c>
      <c r="K4479" s="9">
        <v>44834</v>
      </c>
      <c r="L4479" t="s">
        <v>29</v>
      </c>
      <c r="M4479"/>
      <c r="N4479" s="9">
        <v>44778</v>
      </c>
      <c r="O4479" s="9">
        <v>44834</v>
      </c>
      <c r="P4479"/>
      <c r="Q4479"/>
      <c r="R4479"/>
      <c r="S4479"/>
      <c r="T4479"/>
      <c r="U4479"/>
    </row>
    <row r="4480" spans="1:21" hidden="1">
      <c r="A4480" s="7" t="s">
        <v>8952</v>
      </c>
      <c r="B4480" s="7" t="s">
        <v>7112</v>
      </c>
      <c r="C4480" s="8" t="s">
        <v>5319</v>
      </c>
      <c r="D4480" t="s">
        <v>1655</v>
      </c>
      <c r="E4480" t="s">
        <v>3992</v>
      </c>
      <c r="F4480" t="s">
        <v>117</v>
      </c>
      <c r="G4480" t="s">
        <v>3995</v>
      </c>
      <c r="H4480" s="9">
        <v>44733</v>
      </c>
      <c r="I4480" t="s">
        <v>3962</v>
      </c>
      <c r="J4480" t="s">
        <v>5330</v>
      </c>
      <c r="K4480" s="9">
        <v>44834</v>
      </c>
      <c r="L4480" t="s">
        <v>29</v>
      </c>
      <c r="M4480"/>
      <c r="N4480" s="9">
        <v>44778</v>
      </c>
      <c r="O4480" s="9">
        <v>44834</v>
      </c>
      <c r="P4480"/>
      <c r="Q4480"/>
      <c r="R4480"/>
      <c r="S4480"/>
      <c r="T4480"/>
      <c r="U4480"/>
    </row>
    <row r="4481" spans="1:21" hidden="1">
      <c r="A4481" s="7" t="s">
        <v>8952</v>
      </c>
      <c r="B4481" s="7" t="s">
        <v>7112</v>
      </c>
      <c r="C4481" s="8" t="s">
        <v>5319</v>
      </c>
      <c r="D4481" t="s">
        <v>1655</v>
      </c>
      <c r="E4481" t="s">
        <v>3992</v>
      </c>
      <c r="F4481" t="s">
        <v>117</v>
      </c>
      <c r="G4481" t="s">
        <v>3996</v>
      </c>
      <c r="H4481" s="9">
        <v>44733</v>
      </c>
      <c r="I4481" t="s">
        <v>3962</v>
      </c>
      <c r="J4481" t="s">
        <v>5330</v>
      </c>
      <c r="K4481" s="9">
        <v>44834</v>
      </c>
      <c r="L4481" t="s">
        <v>29</v>
      </c>
      <c r="M4481"/>
      <c r="N4481" s="9">
        <v>44778</v>
      </c>
      <c r="O4481" s="9">
        <v>44834</v>
      </c>
      <c r="P4481"/>
      <c r="Q4481"/>
      <c r="R4481"/>
      <c r="S4481"/>
      <c r="T4481"/>
      <c r="U4481"/>
    </row>
    <row r="4482" spans="1:21" hidden="1">
      <c r="A4482" s="7" t="s">
        <v>8952</v>
      </c>
      <c r="B4482" s="7" t="s">
        <v>7112</v>
      </c>
      <c r="C4482" s="8" t="s">
        <v>5319</v>
      </c>
      <c r="D4482" t="s">
        <v>1655</v>
      </c>
      <c r="E4482" t="s">
        <v>3992</v>
      </c>
      <c r="F4482" t="s">
        <v>117</v>
      </c>
      <c r="G4482" t="s">
        <v>3997</v>
      </c>
      <c r="H4482" s="9">
        <v>44733</v>
      </c>
      <c r="I4482" t="s">
        <v>3962</v>
      </c>
      <c r="J4482" t="s">
        <v>5330</v>
      </c>
      <c r="K4482" s="9">
        <v>44834</v>
      </c>
      <c r="L4482" t="s">
        <v>29</v>
      </c>
      <c r="M4482"/>
      <c r="N4482" s="9">
        <v>44778</v>
      </c>
      <c r="O4482" s="9">
        <v>44834</v>
      </c>
      <c r="P4482"/>
      <c r="Q4482"/>
      <c r="R4482"/>
      <c r="S4482"/>
      <c r="T4482"/>
      <c r="U4482"/>
    </row>
    <row r="4483" spans="1:21" hidden="1">
      <c r="A4483" s="7" t="s">
        <v>8952</v>
      </c>
      <c r="B4483" s="7" t="s">
        <v>7112</v>
      </c>
      <c r="C4483" s="8" t="s">
        <v>5319</v>
      </c>
      <c r="D4483" t="s">
        <v>1655</v>
      </c>
      <c r="E4483" t="s">
        <v>3992</v>
      </c>
      <c r="F4483" t="s">
        <v>117</v>
      </c>
      <c r="G4483" t="s">
        <v>3998</v>
      </c>
      <c r="H4483" s="9">
        <v>44733</v>
      </c>
      <c r="I4483" t="s">
        <v>3962</v>
      </c>
      <c r="J4483" t="s">
        <v>5330</v>
      </c>
      <c r="K4483" s="9">
        <v>44834</v>
      </c>
      <c r="L4483" t="s">
        <v>29</v>
      </c>
      <c r="M4483"/>
      <c r="N4483" s="9">
        <v>44778</v>
      </c>
      <c r="O4483" s="9">
        <v>44834</v>
      </c>
      <c r="P4483"/>
      <c r="Q4483"/>
      <c r="R4483"/>
      <c r="S4483"/>
      <c r="T4483"/>
      <c r="U4483"/>
    </row>
    <row r="4484" spans="1:21" hidden="1">
      <c r="A4484" s="7" t="s">
        <v>8952</v>
      </c>
      <c r="B4484" s="7" t="s">
        <v>7112</v>
      </c>
      <c r="C4484" s="8" t="s">
        <v>5319</v>
      </c>
      <c r="D4484" t="s">
        <v>1655</v>
      </c>
      <c r="E4484" t="s">
        <v>3992</v>
      </c>
      <c r="F4484" t="s">
        <v>117</v>
      </c>
      <c r="G4484" t="s">
        <v>3999</v>
      </c>
      <c r="H4484" s="9">
        <v>44733</v>
      </c>
      <c r="I4484" t="s">
        <v>3962</v>
      </c>
      <c r="J4484" t="s">
        <v>5330</v>
      </c>
      <c r="K4484" s="9">
        <v>44834</v>
      </c>
      <c r="L4484" t="s">
        <v>29</v>
      </c>
      <c r="M4484"/>
      <c r="N4484" s="9">
        <v>44778</v>
      </c>
      <c r="O4484" s="9">
        <v>44834</v>
      </c>
      <c r="P4484"/>
      <c r="Q4484"/>
      <c r="R4484"/>
      <c r="S4484"/>
      <c r="T4484"/>
      <c r="U4484"/>
    </row>
    <row r="4485" spans="1:21" hidden="1">
      <c r="A4485" s="7" t="s">
        <v>8952</v>
      </c>
      <c r="B4485" s="7" t="s">
        <v>7112</v>
      </c>
      <c r="C4485" s="8" t="s">
        <v>5319</v>
      </c>
      <c r="D4485" t="s">
        <v>1655</v>
      </c>
      <c r="E4485" t="s">
        <v>3992</v>
      </c>
      <c r="F4485" t="s">
        <v>117</v>
      </c>
      <c r="G4485" t="s">
        <v>4000</v>
      </c>
      <c r="H4485" s="9">
        <v>44733</v>
      </c>
      <c r="I4485" t="s">
        <v>3962</v>
      </c>
      <c r="J4485" t="s">
        <v>5330</v>
      </c>
      <c r="K4485" s="9">
        <v>44834</v>
      </c>
      <c r="L4485" t="s">
        <v>29</v>
      </c>
      <c r="M4485"/>
      <c r="N4485" s="9">
        <v>44778</v>
      </c>
      <c r="O4485" s="9">
        <v>44834</v>
      </c>
      <c r="P4485"/>
      <c r="Q4485"/>
      <c r="R4485"/>
      <c r="S4485"/>
      <c r="T4485"/>
      <c r="U4485"/>
    </row>
    <row r="4486" spans="1:21" hidden="1">
      <c r="A4486" s="7" t="s">
        <v>8952</v>
      </c>
      <c r="B4486" s="7" t="s">
        <v>7112</v>
      </c>
      <c r="C4486" s="8" t="s">
        <v>5319</v>
      </c>
      <c r="D4486" t="s">
        <v>1655</v>
      </c>
      <c r="E4486" t="s">
        <v>3992</v>
      </c>
      <c r="F4486" t="s">
        <v>117</v>
      </c>
      <c r="G4486" t="s">
        <v>4001</v>
      </c>
      <c r="H4486" s="9">
        <v>44733</v>
      </c>
      <c r="I4486" t="s">
        <v>3962</v>
      </c>
      <c r="J4486" t="s">
        <v>5330</v>
      </c>
      <c r="K4486" s="9">
        <v>44834</v>
      </c>
      <c r="L4486" t="s">
        <v>29</v>
      </c>
      <c r="M4486"/>
      <c r="N4486" s="9">
        <v>44778</v>
      </c>
      <c r="O4486" s="9">
        <v>44834</v>
      </c>
      <c r="P4486"/>
      <c r="Q4486"/>
      <c r="R4486"/>
      <c r="S4486"/>
      <c r="T4486"/>
      <c r="U4486"/>
    </row>
    <row r="4487" spans="1:21" hidden="1">
      <c r="A4487" s="7" t="s">
        <v>8952</v>
      </c>
      <c r="B4487" s="7" t="s">
        <v>7112</v>
      </c>
      <c r="C4487" s="8" t="s">
        <v>5319</v>
      </c>
      <c r="D4487" t="s">
        <v>1655</v>
      </c>
      <c r="E4487" t="s">
        <v>3992</v>
      </c>
      <c r="F4487" t="s">
        <v>117</v>
      </c>
      <c r="G4487" t="s">
        <v>4002</v>
      </c>
      <c r="H4487" s="9">
        <v>44733</v>
      </c>
      <c r="I4487" t="s">
        <v>3962</v>
      </c>
      <c r="J4487" t="s">
        <v>5330</v>
      </c>
      <c r="K4487" s="9">
        <v>44834</v>
      </c>
      <c r="L4487" t="s">
        <v>29</v>
      </c>
      <c r="M4487"/>
      <c r="N4487" s="9">
        <v>44778</v>
      </c>
      <c r="O4487" s="9">
        <v>44834</v>
      </c>
      <c r="P4487"/>
      <c r="Q4487"/>
      <c r="R4487"/>
      <c r="S4487"/>
      <c r="T4487"/>
      <c r="U4487"/>
    </row>
    <row r="4488" spans="1:21" hidden="1">
      <c r="A4488" s="7" t="s">
        <v>8952</v>
      </c>
      <c r="B4488" s="7" t="s">
        <v>7112</v>
      </c>
      <c r="C4488" s="8" t="s">
        <v>5319</v>
      </c>
      <c r="D4488" t="s">
        <v>1655</v>
      </c>
      <c r="E4488" t="s">
        <v>3992</v>
      </c>
      <c r="F4488" t="s">
        <v>117</v>
      </c>
      <c r="G4488" t="s">
        <v>4003</v>
      </c>
      <c r="H4488" s="9">
        <v>44733</v>
      </c>
      <c r="I4488" t="s">
        <v>3962</v>
      </c>
      <c r="J4488" t="s">
        <v>5330</v>
      </c>
      <c r="K4488" s="9">
        <v>44834</v>
      </c>
      <c r="L4488" t="s">
        <v>29</v>
      </c>
      <c r="M4488"/>
      <c r="N4488" s="9">
        <v>44778</v>
      </c>
      <c r="O4488" s="9">
        <v>44834</v>
      </c>
      <c r="P4488"/>
      <c r="Q4488"/>
      <c r="R4488"/>
      <c r="S4488"/>
      <c r="T4488"/>
      <c r="U4488"/>
    </row>
    <row r="4489" spans="1:21" hidden="1">
      <c r="A4489" s="7" t="s">
        <v>8952</v>
      </c>
      <c r="B4489" s="7" t="s">
        <v>7112</v>
      </c>
      <c r="C4489" s="8" t="s">
        <v>5319</v>
      </c>
      <c r="D4489" t="s">
        <v>1655</v>
      </c>
      <c r="E4489" t="s">
        <v>3992</v>
      </c>
      <c r="F4489" t="s">
        <v>117</v>
      </c>
      <c r="G4489" t="s">
        <v>4004</v>
      </c>
      <c r="H4489" s="9">
        <v>44733</v>
      </c>
      <c r="I4489" t="s">
        <v>3962</v>
      </c>
      <c r="J4489" t="s">
        <v>5330</v>
      </c>
      <c r="K4489" s="9">
        <v>44834</v>
      </c>
      <c r="L4489" t="s">
        <v>29</v>
      </c>
      <c r="M4489"/>
      <c r="N4489" s="9">
        <v>44778</v>
      </c>
      <c r="O4489" s="9">
        <v>44834</v>
      </c>
      <c r="P4489"/>
      <c r="Q4489"/>
      <c r="R4489"/>
      <c r="S4489"/>
      <c r="T4489"/>
      <c r="U4489"/>
    </row>
    <row r="4490" spans="1:21" hidden="1">
      <c r="A4490" s="7" t="s">
        <v>8952</v>
      </c>
      <c r="B4490" s="7" t="s">
        <v>7112</v>
      </c>
      <c r="C4490" s="8" t="s">
        <v>5319</v>
      </c>
      <c r="D4490" t="s">
        <v>1655</v>
      </c>
      <c r="E4490" t="s">
        <v>3992</v>
      </c>
      <c r="F4490" t="s">
        <v>117</v>
      </c>
      <c r="G4490" t="s">
        <v>4005</v>
      </c>
      <c r="H4490" s="9">
        <v>44733</v>
      </c>
      <c r="I4490" t="s">
        <v>3962</v>
      </c>
      <c r="J4490" t="s">
        <v>5330</v>
      </c>
      <c r="K4490" s="9">
        <v>44834</v>
      </c>
      <c r="L4490" t="s">
        <v>29</v>
      </c>
      <c r="M4490"/>
      <c r="N4490" s="9">
        <v>44778</v>
      </c>
      <c r="O4490" s="9">
        <v>44834</v>
      </c>
      <c r="P4490"/>
      <c r="Q4490"/>
      <c r="R4490"/>
      <c r="S4490"/>
      <c r="T4490"/>
      <c r="U4490"/>
    </row>
    <row r="4491" spans="1:21" hidden="1">
      <c r="A4491" s="7" t="s">
        <v>8952</v>
      </c>
      <c r="B4491" s="7" t="s">
        <v>7112</v>
      </c>
      <c r="C4491" s="8" t="s">
        <v>5319</v>
      </c>
      <c r="D4491" t="s">
        <v>1655</v>
      </c>
      <c r="E4491" t="s">
        <v>3992</v>
      </c>
      <c r="F4491" t="s">
        <v>117</v>
      </c>
      <c r="G4491" t="s">
        <v>4006</v>
      </c>
      <c r="H4491" s="9">
        <v>44733</v>
      </c>
      <c r="I4491" t="s">
        <v>3962</v>
      </c>
      <c r="J4491" t="s">
        <v>5330</v>
      </c>
      <c r="K4491" s="9">
        <v>44834</v>
      </c>
      <c r="L4491" t="s">
        <v>29</v>
      </c>
      <c r="M4491"/>
      <c r="N4491" s="9">
        <v>44778</v>
      </c>
      <c r="O4491" s="9">
        <v>44834</v>
      </c>
      <c r="P4491"/>
      <c r="Q4491"/>
      <c r="R4491"/>
      <c r="S4491"/>
      <c r="T4491"/>
      <c r="U4491"/>
    </row>
    <row r="4492" spans="1:21" hidden="1">
      <c r="A4492" s="7" t="s">
        <v>8952</v>
      </c>
      <c r="B4492" s="7" t="s">
        <v>7112</v>
      </c>
      <c r="C4492" s="8" t="s">
        <v>5319</v>
      </c>
      <c r="D4492" t="s">
        <v>1655</v>
      </c>
      <c r="E4492" t="s">
        <v>3992</v>
      </c>
      <c r="F4492" t="s">
        <v>117</v>
      </c>
      <c r="G4492" t="s">
        <v>4007</v>
      </c>
      <c r="H4492" s="9">
        <v>44733</v>
      </c>
      <c r="I4492" t="s">
        <v>3962</v>
      </c>
      <c r="J4492" t="s">
        <v>5330</v>
      </c>
      <c r="K4492" s="9">
        <v>44834</v>
      </c>
      <c r="L4492" t="s">
        <v>29</v>
      </c>
      <c r="M4492"/>
      <c r="N4492" s="9">
        <v>44778</v>
      </c>
      <c r="O4492" s="9">
        <v>44834</v>
      </c>
      <c r="P4492"/>
      <c r="Q4492"/>
      <c r="R4492"/>
      <c r="S4492"/>
      <c r="T4492"/>
      <c r="U4492"/>
    </row>
    <row r="4493" spans="1:21" hidden="1">
      <c r="A4493" s="7" t="s">
        <v>8952</v>
      </c>
      <c r="B4493" s="7" t="s">
        <v>7112</v>
      </c>
      <c r="C4493" s="8" t="s">
        <v>5319</v>
      </c>
      <c r="D4493" t="s">
        <v>1655</v>
      </c>
      <c r="E4493" t="s">
        <v>3992</v>
      </c>
      <c r="F4493" t="s">
        <v>117</v>
      </c>
      <c r="G4493" t="s">
        <v>4008</v>
      </c>
      <c r="H4493" s="9">
        <v>44733</v>
      </c>
      <c r="I4493" t="s">
        <v>3962</v>
      </c>
      <c r="J4493" t="s">
        <v>5330</v>
      </c>
      <c r="K4493" s="9">
        <v>44834</v>
      </c>
      <c r="L4493" t="s">
        <v>29</v>
      </c>
      <c r="M4493"/>
      <c r="N4493" s="9">
        <v>44778</v>
      </c>
      <c r="O4493" s="9">
        <v>44834</v>
      </c>
      <c r="P4493"/>
      <c r="Q4493"/>
      <c r="R4493"/>
      <c r="S4493"/>
      <c r="T4493"/>
      <c r="U4493"/>
    </row>
    <row r="4494" spans="1:21" hidden="1">
      <c r="A4494" s="7" t="s">
        <v>8953</v>
      </c>
      <c r="B4494" s="7" t="s">
        <v>8376</v>
      </c>
      <c r="C4494" s="8" t="s">
        <v>5319</v>
      </c>
      <c r="D4494" t="s">
        <v>1655</v>
      </c>
      <c r="E4494" t="s">
        <v>4009</v>
      </c>
      <c r="F4494" t="s">
        <v>117</v>
      </c>
      <c r="G4494" t="s">
        <v>4010</v>
      </c>
      <c r="H4494" s="9">
        <v>44733</v>
      </c>
      <c r="I4494" t="s">
        <v>4011</v>
      </c>
      <c r="J4494" t="s">
        <v>5330</v>
      </c>
      <c r="K4494" s="9">
        <v>44834</v>
      </c>
      <c r="L4494" t="s">
        <v>29</v>
      </c>
      <c r="M4494"/>
      <c r="N4494" s="9">
        <v>44778</v>
      </c>
      <c r="O4494" s="9">
        <v>44834</v>
      </c>
      <c r="P4494"/>
      <c r="Q4494"/>
      <c r="R4494"/>
      <c r="S4494"/>
      <c r="T4494"/>
      <c r="U4494"/>
    </row>
    <row r="4495" spans="1:21" hidden="1">
      <c r="A4495" s="7" t="s">
        <v>8953</v>
      </c>
      <c r="B4495" s="7" t="s">
        <v>8376</v>
      </c>
      <c r="C4495" s="8" t="s">
        <v>5319</v>
      </c>
      <c r="D4495" t="s">
        <v>1655</v>
      </c>
      <c r="E4495" t="s">
        <v>4009</v>
      </c>
      <c r="F4495" t="s">
        <v>117</v>
      </c>
      <c r="G4495" t="s">
        <v>4012</v>
      </c>
      <c r="H4495" s="9">
        <v>44733</v>
      </c>
      <c r="I4495" t="s">
        <v>4011</v>
      </c>
      <c r="J4495" t="s">
        <v>5330</v>
      </c>
      <c r="K4495" s="9">
        <v>44834</v>
      </c>
      <c r="L4495" t="s">
        <v>29</v>
      </c>
      <c r="M4495"/>
      <c r="N4495" s="9">
        <v>44778</v>
      </c>
      <c r="O4495" s="9">
        <v>44834</v>
      </c>
      <c r="P4495"/>
      <c r="Q4495"/>
      <c r="R4495"/>
      <c r="S4495"/>
      <c r="T4495"/>
      <c r="U4495"/>
    </row>
    <row r="4496" spans="1:21" hidden="1">
      <c r="A4496" s="7" t="s">
        <v>8953</v>
      </c>
      <c r="B4496" s="7" t="s">
        <v>8376</v>
      </c>
      <c r="C4496" s="8" t="s">
        <v>5319</v>
      </c>
      <c r="D4496" t="s">
        <v>1655</v>
      </c>
      <c r="E4496" t="s">
        <v>4009</v>
      </c>
      <c r="F4496" t="s">
        <v>117</v>
      </c>
      <c r="G4496" t="s">
        <v>4013</v>
      </c>
      <c r="H4496" s="9">
        <v>44733</v>
      </c>
      <c r="I4496" t="s">
        <v>4011</v>
      </c>
      <c r="J4496" t="s">
        <v>5330</v>
      </c>
      <c r="K4496" s="9">
        <v>44834</v>
      </c>
      <c r="L4496" t="s">
        <v>29</v>
      </c>
      <c r="M4496"/>
      <c r="N4496" s="9">
        <v>44778</v>
      </c>
      <c r="O4496" s="9">
        <v>44834</v>
      </c>
      <c r="P4496"/>
      <c r="Q4496"/>
      <c r="R4496"/>
      <c r="S4496"/>
      <c r="T4496"/>
      <c r="U4496"/>
    </row>
    <row r="4497" spans="1:21" hidden="1">
      <c r="A4497" s="7" t="s">
        <v>8953</v>
      </c>
      <c r="B4497" s="7" t="s">
        <v>8376</v>
      </c>
      <c r="C4497" s="8" t="s">
        <v>5319</v>
      </c>
      <c r="D4497" t="s">
        <v>1655</v>
      </c>
      <c r="E4497" t="s">
        <v>4009</v>
      </c>
      <c r="F4497" t="s">
        <v>117</v>
      </c>
      <c r="G4497" t="s">
        <v>4014</v>
      </c>
      <c r="H4497" s="9">
        <v>44733</v>
      </c>
      <c r="I4497" t="s">
        <v>4011</v>
      </c>
      <c r="J4497" t="s">
        <v>5330</v>
      </c>
      <c r="K4497" s="9">
        <v>44834</v>
      </c>
      <c r="L4497" t="s">
        <v>29</v>
      </c>
      <c r="M4497"/>
      <c r="N4497" s="9">
        <v>44778</v>
      </c>
      <c r="O4497" s="9">
        <v>44834</v>
      </c>
      <c r="P4497"/>
      <c r="Q4497"/>
      <c r="R4497"/>
      <c r="S4497"/>
      <c r="T4497"/>
      <c r="U4497"/>
    </row>
    <row r="4498" spans="1:21" hidden="1">
      <c r="A4498" s="7" t="s">
        <v>8826</v>
      </c>
      <c r="B4498" s="7" t="s">
        <v>5405</v>
      </c>
      <c r="C4498" s="8" t="s">
        <v>5319</v>
      </c>
      <c r="D4498" t="s">
        <v>1655</v>
      </c>
      <c r="E4498" t="s">
        <v>25</v>
      </c>
      <c r="F4498" t="s">
        <v>117</v>
      </c>
      <c r="G4498" t="s">
        <v>4015</v>
      </c>
      <c r="H4498" s="9">
        <v>44733</v>
      </c>
      <c r="I4498" t="s">
        <v>8634</v>
      </c>
      <c r="J4498" t="s">
        <v>5330</v>
      </c>
      <c r="K4498" s="9">
        <v>44834</v>
      </c>
      <c r="L4498" t="s">
        <v>29</v>
      </c>
      <c r="M4498"/>
      <c r="N4498" s="9">
        <v>44778</v>
      </c>
      <c r="O4498" s="9">
        <v>44834</v>
      </c>
      <c r="P4498"/>
      <c r="Q4498"/>
      <c r="R4498"/>
      <c r="S4498"/>
      <c r="T4498"/>
      <c r="U4498"/>
    </row>
    <row r="4499" spans="1:21" hidden="1">
      <c r="A4499" s="7" t="s">
        <v>8826</v>
      </c>
      <c r="B4499" s="7" t="s">
        <v>5405</v>
      </c>
      <c r="C4499" s="8" t="s">
        <v>5319</v>
      </c>
      <c r="D4499" t="s">
        <v>1655</v>
      </c>
      <c r="E4499" t="s">
        <v>25</v>
      </c>
      <c r="F4499" t="s">
        <v>117</v>
      </c>
      <c r="G4499" t="s">
        <v>4016</v>
      </c>
      <c r="H4499" s="9">
        <v>44733</v>
      </c>
      <c r="I4499" t="s">
        <v>8634</v>
      </c>
      <c r="J4499" t="s">
        <v>0</v>
      </c>
      <c r="K4499" s="9">
        <v>44827</v>
      </c>
      <c r="L4499" t="s">
        <v>29</v>
      </c>
      <c r="M4499"/>
      <c r="N4499"/>
      <c r="O4499"/>
      <c r="P4499"/>
      <c r="Q4499" s="9">
        <v>44827</v>
      </c>
      <c r="R4499" s="9">
        <v>44810.576874999999</v>
      </c>
      <c r="S4499"/>
      <c r="T4499"/>
      <c r="U4499"/>
    </row>
    <row r="4500" spans="1:21" hidden="1">
      <c r="A4500" s="7" t="s">
        <v>8826</v>
      </c>
      <c r="B4500" s="7" t="s">
        <v>5405</v>
      </c>
      <c r="C4500" s="8" t="s">
        <v>5319</v>
      </c>
      <c r="D4500" t="s">
        <v>1655</v>
      </c>
      <c r="E4500" t="s">
        <v>25</v>
      </c>
      <c r="F4500" t="s">
        <v>117</v>
      </c>
      <c r="G4500" t="s">
        <v>4017</v>
      </c>
      <c r="H4500" s="9">
        <v>44733</v>
      </c>
      <c r="I4500" t="s">
        <v>8634</v>
      </c>
      <c r="J4500" t="s">
        <v>5330</v>
      </c>
      <c r="K4500" s="9">
        <v>44834</v>
      </c>
      <c r="L4500" t="s">
        <v>29</v>
      </c>
      <c r="M4500"/>
      <c r="N4500" s="9">
        <v>44778</v>
      </c>
      <c r="O4500" s="9">
        <v>44834</v>
      </c>
      <c r="P4500"/>
      <c r="Q4500"/>
      <c r="R4500"/>
      <c r="S4500"/>
      <c r="T4500"/>
      <c r="U4500"/>
    </row>
    <row r="4501" spans="1:21" hidden="1">
      <c r="A4501" s="7" t="s">
        <v>8826</v>
      </c>
      <c r="B4501" s="7" t="s">
        <v>5405</v>
      </c>
      <c r="C4501" s="8" t="s">
        <v>5319</v>
      </c>
      <c r="D4501" t="s">
        <v>1655</v>
      </c>
      <c r="E4501" t="s">
        <v>25</v>
      </c>
      <c r="F4501" t="s">
        <v>117</v>
      </c>
      <c r="G4501" t="s">
        <v>4018</v>
      </c>
      <c r="H4501" s="9">
        <v>44733</v>
      </c>
      <c r="I4501" t="s">
        <v>8634</v>
      </c>
      <c r="J4501" t="s">
        <v>5330</v>
      </c>
      <c r="K4501" s="9">
        <v>44834</v>
      </c>
      <c r="L4501" t="s">
        <v>29</v>
      </c>
      <c r="M4501"/>
      <c r="N4501" s="9">
        <v>44778</v>
      </c>
      <c r="O4501" s="9">
        <v>44834</v>
      </c>
      <c r="P4501"/>
      <c r="Q4501"/>
      <c r="R4501"/>
      <c r="S4501"/>
      <c r="T4501"/>
      <c r="U4501"/>
    </row>
    <row r="4502" spans="1:21" hidden="1">
      <c r="A4502" s="7" t="s">
        <v>8826</v>
      </c>
      <c r="B4502" s="7" t="s">
        <v>5405</v>
      </c>
      <c r="C4502" s="8" t="s">
        <v>5319</v>
      </c>
      <c r="D4502" t="s">
        <v>1655</v>
      </c>
      <c r="E4502" t="s">
        <v>25</v>
      </c>
      <c r="F4502" t="s">
        <v>117</v>
      </c>
      <c r="G4502" t="s">
        <v>4019</v>
      </c>
      <c r="H4502" s="9">
        <v>44733</v>
      </c>
      <c r="I4502" t="s">
        <v>8634</v>
      </c>
      <c r="J4502" t="s">
        <v>5330</v>
      </c>
      <c r="K4502" s="9">
        <v>44834</v>
      </c>
      <c r="L4502" t="s">
        <v>29</v>
      </c>
      <c r="M4502"/>
      <c r="N4502" s="9">
        <v>44778</v>
      </c>
      <c r="O4502" s="9">
        <v>44834</v>
      </c>
      <c r="P4502"/>
      <c r="Q4502"/>
      <c r="R4502"/>
      <c r="S4502"/>
      <c r="T4502"/>
      <c r="U4502"/>
    </row>
    <row r="4503" spans="1:21" hidden="1">
      <c r="A4503" s="7" t="s">
        <v>8751</v>
      </c>
      <c r="B4503" s="7" t="s">
        <v>5405</v>
      </c>
      <c r="C4503" s="8" t="s">
        <v>5319</v>
      </c>
      <c r="D4503" t="s">
        <v>1655</v>
      </c>
      <c r="E4503" t="s">
        <v>25</v>
      </c>
      <c r="F4503" t="s">
        <v>435</v>
      </c>
      <c r="G4503" t="s">
        <v>4020</v>
      </c>
      <c r="H4503" s="9">
        <v>44735</v>
      </c>
      <c r="I4503" t="s">
        <v>8634</v>
      </c>
      <c r="J4503" t="s">
        <v>5330</v>
      </c>
      <c r="K4503" s="9">
        <v>44834</v>
      </c>
      <c r="L4503" t="s">
        <v>29</v>
      </c>
      <c r="M4503"/>
      <c r="N4503" s="9">
        <v>44778</v>
      </c>
      <c r="O4503" s="9">
        <v>44834</v>
      </c>
      <c r="P4503"/>
      <c r="Q4503"/>
      <c r="R4503"/>
      <c r="S4503"/>
      <c r="T4503"/>
      <c r="U4503"/>
    </row>
    <row r="4504" spans="1:21" hidden="1">
      <c r="A4504" s="7" t="s">
        <v>8751</v>
      </c>
      <c r="B4504" s="7" t="s">
        <v>5405</v>
      </c>
      <c r="C4504" s="8" t="s">
        <v>5319</v>
      </c>
      <c r="D4504" t="s">
        <v>1655</v>
      </c>
      <c r="E4504" t="s">
        <v>25</v>
      </c>
      <c r="F4504" t="s">
        <v>435</v>
      </c>
      <c r="G4504" t="s">
        <v>4021</v>
      </c>
      <c r="H4504" s="9">
        <v>44735</v>
      </c>
      <c r="I4504" t="s">
        <v>8634</v>
      </c>
      <c r="J4504" t="s">
        <v>5330</v>
      </c>
      <c r="K4504" s="9">
        <v>44834</v>
      </c>
      <c r="L4504" t="s">
        <v>29</v>
      </c>
      <c r="M4504"/>
      <c r="N4504" s="9">
        <v>44778</v>
      </c>
      <c r="O4504" s="9">
        <v>44834</v>
      </c>
      <c r="P4504"/>
      <c r="Q4504"/>
      <c r="R4504"/>
      <c r="S4504"/>
      <c r="T4504"/>
      <c r="U4504"/>
    </row>
    <row r="4505" spans="1:21" hidden="1">
      <c r="A4505" s="7" t="s">
        <v>8826</v>
      </c>
      <c r="B4505" s="7" t="s">
        <v>5405</v>
      </c>
      <c r="C4505" s="8" t="s">
        <v>5319</v>
      </c>
      <c r="D4505" t="s">
        <v>1655</v>
      </c>
      <c r="E4505" t="s">
        <v>25</v>
      </c>
      <c r="F4505" t="s">
        <v>117</v>
      </c>
      <c r="G4505" t="s">
        <v>4022</v>
      </c>
      <c r="H4505" s="9">
        <v>44733</v>
      </c>
      <c r="I4505" t="s">
        <v>8634</v>
      </c>
      <c r="J4505" t="s">
        <v>0</v>
      </c>
      <c r="K4505" s="9">
        <v>44827</v>
      </c>
      <c r="L4505" t="s">
        <v>29</v>
      </c>
      <c r="M4505"/>
      <c r="N4505" s="9">
        <v>44778</v>
      </c>
      <c r="O4505"/>
      <c r="P4505"/>
      <c r="Q4505" s="9">
        <v>44827</v>
      </c>
      <c r="R4505" s="9">
        <v>44810.576874999999</v>
      </c>
      <c r="S4505"/>
      <c r="T4505"/>
      <c r="U4505"/>
    </row>
    <row r="4506" spans="1:21" hidden="1">
      <c r="A4506" s="7" t="s">
        <v>8826</v>
      </c>
      <c r="B4506" s="7" t="s">
        <v>5405</v>
      </c>
      <c r="C4506" s="8" t="s">
        <v>5319</v>
      </c>
      <c r="D4506" t="s">
        <v>1655</v>
      </c>
      <c r="E4506" t="s">
        <v>25</v>
      </c>
      <c r="F4506" t="s">
        <v>117</v>
      </c>
      <c r="G4506" t="s">
        <v>4023</v>
      </c>
      <c r="H4506" s="9">
        <v>44733</v>
      </c>
      <c r="I4506" t="s">
        <v>8634</v>
      </c>
      <c r="J4506" t="s">
        <v>0</v>
      </c>
      <c r="K4506" s="9">
        <v>44827</v>
      </c>
      <c r="L4506" t="s">
        <v>29</v>
      </c>
      <c r="M4506"/>
      <c r="N4506" s="9">
        <v>44778</v>
      </c>
      <c r="O4506"/>
      <c r="P4506"/>
      <c r="Q4506" s="9">
        <v>44827</v>
      </c>
      <c r="R4506" s="9">
        <v>44810.576874999999</v>
      </c>
      <c r="S4506"/>
      <c r="T4506"/>
      <c r="U4506"/>
    </row>
    <row r="4507" spans="1:21" hidden="1">
      <c r="A4507" s="7" t="s">
        <v>8826</v>
      </c>
      <c r="B4507" s="7" t="s">
        <v>5405</v>
      </c>
      <c r="C4507" s="8" t="s">
        <v>5319</v>
      </c>
      <c r="D4507" t="s">
        <v>1655</v>
      </c>
      <c r="E4507" t="s">
        <v>25</v>
      </c>
      <c r="F4507" t="s">
        <v>117</v>
      </c>
      <c r="G4507" t="s">
        <v>4024</v>
      </c>
      <c r="H4507" s="9">
        <v>44733</v>
      </c>
      <c r="I4507" t="s">
        <v>8634</v>
      </c>
      <c r="J4507" t="s">
        <v>0</v>
      </c>
      <c r="K4507" s="9">
        <v>44827</v>
      </c>
      <c r="L4507" t="s">
        <v>29</v>
      </c>
      <c r="M4507"/>
      <c r="N4507" s="9">
        <v>44778</v>
      </c>
      <c r="O4507"/>
      <c r="P4507"/>
      <c r="Q4507" s="9">
        <v>44827</v>
      </c>
      <c r="R4507" s="9">
        <v>44810.576874999999</v>
      </c>
      <c r="S4507"/>
      <c r="T4507"/>
      <c r="U4507"/>
    </row>
    <row r="4508" spans="1:21" hidden="1">
      <c r="A4508" s="7" t="s">
        <v>8751</v>
      </c>
      <c r="B4508" s="7" t="s">
        <v>5405</v>
      </c>
      <c r="C4508" s="8" t="s">
        <v>5319</v>
      </c>
      <c r="D4508" t="s">
        <v>1655</v>
      </c>
      <c r="E4508" t="s">
        <v>25</v>
      </c>
      <c r="F4508" t="s">
        <v>435</v>
      </c>
      <c r="G4508" t="s">
        <v>4025</v>
      </c>
      <c r="H4508" s="9">
        <v>44735</v>
      </c>
      <c r="I4508" t="s">
        <v>8634</v>
      </c>
      <c r="J4508" t="s">
        <v>5330</v>
      </c>
      <c r="K4508" s="9">
        <v>44834</v>
      </c>
      <c r="L4508" t="s">
        <v>29</v>
      </c>
      <c r="M4508"/>
      <c r="N4508" s="9">
        <v>44778</v>
      </c>
      <c r="O4508" s="9">
        <v>44834</v>
      </c>
      <c r="P4508"/>
      <c r="Q4508"/>
      <c r="R4508"/>
      <c r="S4508"/>
      <c r="T4508"/>
      <c r="U4508"/>
    </row>
    <row r="4509" spans="1:21" hidden="1">
      <c r="A4509" s="7" t="s">
        <v>8826</v>
      </c>
      <c r="B4509" s="7" t="s">
        <v>5405</v>
      </c>
      <c r="C4509" s="8" t="s">
        <v>5319</v>
      </c>
      <c r="D4509" t="s">
        <v>1655</v>
      </c>
      <c r="E4509" t="s">
        <v>25</v>
      </c>
      <c r="F4509" t="s">
        <v>117</v>
      </c>
      <c r="G4509" t="s">
        <v>4026</v>
      </c>
      <c r="H4509" s="9">
        <v>44733</v>
      </c>
      <c r="I4509" t="s">
        <v>8634</v>
      </c>
      <c r="J4509" t="s">
        <v>0</v>
      </c>
      <c r="K4509" s="9">
        <v>44827</v>
      </c>
      <c r="L4509" t="s">
        <v>29</v>
      </c>
      <c r="M4509"/>
      <c r="N4509" s="9">
        <v>44778</v>
      </c>
      <c r="O4509"/>
      <c r="P4509"/>
      <c r="Q4509" s="9">
        <v>44827</v>
      </c>
      <c r="R4509" s="9">
        <v>44810.576874999999</v>
      </c>
      <c r="S4509"/>
      <c r="T4509"/>
      <c r="U4509"/>
    </row>
    <row r="4510" spans="1:21" hidden="1">
      <c r="A4510" s="7" t="s">
        <v>8826</v>
      </c>
      <c r="B4510" s="7" t="s">
        <v>5405</v>
      </c>
      <c r="C4510" s="8" t="s">
        <v>5319</v>
      </c>
      <c r="D4510" t="s">
        <v>1655</v>
      </c>
      <c r="E4510" t="s">
        <v>25</v>
      </c>
      <c r="F4510" t="s">
        <v>117</v>
      </c>
      <c r="G4510" t="s">
        <v>4027</v>
      </c>
      <c r="H4510" s="9">
        <v>44733</v>
      </c>
      <c r="I4510" t="s">
        <v>8634</v>
      </c>
      <c r="J4510" t="s">
        <v>5330</v>
      </c>
      <c r="K4510" s="9">
        <v>44834</v>
      </c>
      <c r="L4510" t="s">
        <v>29</v>
      </c>
      <c r="M4510"/>
      <c r="N4510" s="9">
        <v>44778</v>
      </c>
      <c r="O4510" s="9">
        <v>44834</v>
      </c>
      <c r="P4510"/>
      <c r="Q4510"/>
      <c r="R4510"/>
      <c r="S4510"/>
      <c r="T4510"/>
      <c r="U4510"/>
    </row>
    <row r="4511" spans="1:21" hidden="1">
      <c r="A4511" s="7" t="s">
        <v>8826</v>
      </c>
      <c r="B4511" s="7" t="s">
        <v>5405</v>
      </c>
      <c r="C4511" s="8" t="s">
        <v>5319</v>
      </c>
      <c r="D4511" t="s">
        <v>1655</v>
      </c>
      <c r="E4511" t="s">
        <v>25</v>
      </c>
      <c r="F4511" t="s">
        <v>117</v>
      </c>
      <c r="G4511" t="s">
        <v>4028</v>
      </c>
      <c r="H4511" s="9">
        <v>44733</v>
      </c>
      <c r="I4511" t="s">
        <v>8634</v>
      </c>
      <c r="J4511" t="s">
        <v>5330</v>
      </c>
      <c r="K4511" s="9">
        <v>44834</v>
      </c>
      <c r="L4511" t="s">
        <v>29</v>
      </c>
      <c r="M4511"/>
      <c r="N4511" s="9">
        <v>44778</v>
      </c>
      <c r="O4511" s="9">
        <v>44834</v>
      </c>
      <c r="P4511"/>
      <c r="Q4511"/>
      <c r="R4511"/>
      <c r="S4511"/>
      <c r="T4511"/>
      <c r="U4511"/>
    </row>
    <row r="4512" spans="1:21" hidden="1">
      <c r="A4512" s="7" t="s">
        <v>8751</v>
      </c>
      <c r="B4512" s="7" t="s">
        <v>5405</v>
      </c>
      <c r="C4512" s="8" t="s">
        <v>5319</v>
      </c>
      <c r="D4512" t="s">
        <v>1655</v>
      </c>
      <c r="E4512" t="s">
        <v>25</v>
      </c>
      <c r="F4512" t="s">
        <v>435</v>
      </c>
      <c r="G4512" t="s">
        <v>4029</v>
      </c>
      <c r="H4512" s="9">
        <v>44735</v>
      </c>
      <c r="I4512" t="s">
        <v>8634</v>
      </c>
      <c r="J4512" t="s">
        <v>0</v>
      </c>
      <c r="K4512" s="9">
        <v>44881</v>
      </c>
      <c r="L4512" t="s">
        <v>29</v>
      </c>
      <c r="M4512"/>
      <c r="N4512" s="9">
        <v>44778</v>
      </c>
      <c r="O4512"/>
      <c r="P4512"/>
      <c r="Q4512" s="9">
        <v>44881</v>
      </c>
      <c r="R4512"/>
      <c r="S4512"/>
      <c r="T4512"/>
      <c r="U4512"/>
    </row>
    <row r="4513" spans="1:21" hidden="1">
      <c r="A4513" s="7" t="s">
        <v>8751</v>
      </c>
      <c r="B4513" s="7" t="s">
        <v>5405</v>
      </c>
      <c r="C4513" s="8" t="s">
        <v>5319</v>
      </c>
      <c r="D4513" t="s">
        <v>1655</v>
      </c>
      <c r="E4513" t="s">
        <v>25</v>
      </c>
      <c r="F4513" t="s">
        <v>435</v>
      </c>
      <c r="G4513" t="s">
        <v>4030</v>
      </c>
      <c r="H4513" s="9">
        <v>44735</v>
      </c>
      <c r="I4513" t="s">
        <v>8634</v>
      </c>
      <c r="J4513" t="s">
        <v>0</v>
      </c>
      <c r="K4513" s="9">
        <v>44881</v>
      </c>
      <c r="L4513" t="s">
        <v>29</v>
      </c>
      <c r="M4513"/>
      <c r="N4513" s="9">
        <v>44778</v>
      </c>
      <c r="O4513"/>
      <c r="P4513"/>
      <c r="Q4513" s="9">
        <v>44881</v>
      </c>
      <c r="R4513"/>
      <c r="S4513"/>
      <c r="T4513"/>
      <c r="U4513"/>
    </row>
    <row r="4514" spans="1:21" hidden="1">
      <c r="A4514" s="7" t="s">
        <v>8826</v>
      </c>
      <c r="B4514" s="7" t="s">
        <v>5405</v>
      </c>
      <c r="C4514" s="8" t="s">
        <v>5319</v>
      </c>
      <c r="D4514" t="s">
        <v>1655</v>
      </c>
      <c r="E4514" t="s">
        <v>25</v>
      </c>
      <c r="F4514" t="s">
        <v>117</v>
      </c>
      <c r="G4514" t="s">
        <v>4031</v>
      </c>
      <c r="H4514" s="9">
        <v>44733</v>
      </c>
      <c r="I4514" t="s">
        <v>8634</v>
      </c>
      <c r="J4514" t="s">
        <v>5330</v>
      </c>
      <c r="K4514" s="9">
        <v>44834</v>
      </c>
      <c r="L4514" t="s">
        <v>29</v>
      </c>
      <c r="M4514"/>
      <c r="N4514" s="9">
        <v>44778</v>
      </c>
      <c r="O4514" s="9">
        <v>44834</v>
      </c>
      <c r="P4514"/>
      <c r="Q4514"/>
      <c r="R4514"/>
      <c r="S4514"/>
      <c r="T4514"/>
      <c r="U4514"/>
    </row>
    <row r="4515" spans="1:21" hidden="1">
      <c r="A4515" s="7" t="s">
        <v>8751</v>
      </c>
      <c r="B4515" s="7" t="s">
        <v>5405</v>
      </c>
      <c r="C4515" s="8" t="s">
        <v>5319</v>
      </c>
      <c r="D4515" t="s">
        <v>1655</v>
      </c>
      <c r="E4515" t="s">
        <v>25</v>
      </c>
      <c r="F4515" t="s">
        <v>435</v>
      </c>
      <c r="G4515" t="s">
        <v>4032</v>
      </c>
      <c r="H4515" s="9">
        <v>44735</v>
      </c>
      <c r="I4515" t="s">
        <v>8634</v>
      </c>
      <c r="J4515" t="s">
        <v>5330</v>
      </c>
      <c r="K4515" s="9">
        <v>44834</v>
      </c>
      <c r="L4515" t="s">
        <v>29</v>
      </c>
      <c r="M4515"/>
      <c r="N4515" s="9">
        <v>44778</v>
      </c>
      <c r="O4515" s="9">
        <v>44834</v>
      </c>
      <c r="P4515"/>
      <c r="Q4515"/>
      <c r="R4515"/>
      <c r="S4515"/>
      <c r="T4515"/>
      <c r="U4515"/>
    </row>
    <row r="4516" spans="1:21" hidden="1">
      <c r="A4516" s="7" t="s">
        <v>8751</v>
      </c>
      <c r="B4516" s="7" t="s">
        <v>5405</v>
      </c>
      <c r="C4516" s="8" t="s">
        <v>5319</v>
      </c>
      <c r="D4516" t="s">
        <v>1655</v>
      </c>
      <c r="E4516" t="s">
        <v>25</v>
      </c>
      <c r="F4516" t="s">
        <v>435</v>
      </c>
      <c r="G4516" t="s">
        <v>4033</v>
      </c>
      <c r="H4516" s="9">
        <v>44735</v>
      </c>
      <c r="I4516" t="s">
        <v>8634</v>
      </c>
      <c r="J4516" t="s">
        <v>5330</v>
      </c>
      <c r="K4516" s="9">
        <v>44834</v>
      </c>
      <c r="L4516" t="s">
        <v>29</v>
      </c>
      <c r="M4516"/>
      <c r="N4516" s="9">
        <v>44778</v>
      </c>
      <c r="O4516" s="9">
        <v>44834</v>
      </c>
      <c r="P4516"/>
      <c r="Q4516"/>
      <c r="R4516"/>
      <c r="S4516"/>
      <c r="T4516"/>
      <c r="U4516"/>
    </row>
    <row r="4517" spans="1:21" hidden="1">
      <c r="A4517" s="7" t="s">
        <v>8751</v>
      </c>
      <c r="B4517" s="7" t="s">
        <v>5405</v>
      </c>
      <c r="C4517" s="8" t="s">
        <v>5319</v>
      </c>
      <c r="D4517" t="s">
        <v>1655</v>
      </c>
      <c r="E4517" t="s">
        <v>25</v>
      </c>
      <c r="F4517" t="s">
        <v>435</v>
      </c>
      <c r="G4517" t="s">
        <v>4034</v>
      </c>
      <c r="H4517" s="9">
        <v>44735</v>
      </c>
      <c r="I4517" t="s">
        <v>8634</v>
      </c>
      <c r="J4517" t="s">
        <v>5330</v>
      </c>
      <c r="K4517" s="9">
        <v>44834</v>
      </c>
      <c r="L4517" t="s">
        <v>29</v>
      </c>
      <c r="M4517"/>
      <c r="N4517" s="9">
        <v>44778</v>
      </c>
      <c r="O4517" s="9">
        <v>44834</v>
      </c>
      <c r="P4517"/>
      <c r="Q4517"/>
      <c r="R4517"/>
      <c r="S4517"/>
      <c r="T4517"/>
      <c r="U4517"/>
    </row>
    <row r="4518" spans="1:21" hidden="1">
      <c r="A4518" s="7" t="s">
        <v>8751</v>
      </c>
      <c r="B4518" s="7" t="s">
        <v>5405</v>
      </c>
      <c r="C4518" s="8" t="s">
        <v>5319</v>
      </c>
      <c r="D4518" t="s">
        <v>1655</v>
      </c>
      <c r="E4518" t="s">
        <v>25</v>
      </c>
      <c r="F4518" t="s">
        <v>435</v>
      </c>
      <c r="G4518" t="s">
        <v>4035</v>
      </c>
      <c r="H4518" s="9">
        <v>44735</v>
      </c>
      <c r="I4518" t="s">
        <v>8634</v>
      </c>
      <c r="J4518" t="s">
        <v>5330</v>
      </c>
      <c r="K4518" s="9">
        <v>44834</v>
      </c>
      <c r="L4518" t="s">
        <v>29</v>
      </c>
      <c r="M4518"/>
      <c r="N4518" s="9">
        <v>44778</v>
      </c>
      <c r="O4518" s="9">
        <v>44834</v>
      </c>
      <c r="P4518"/>
      <c r="Q4518"/>
      <c r="R4518"/>
      <c r="S4518"/>
      <c r="T4518"/>
      <c r="U4518"/>
    </row>
    <row r="4519" spans="1:21" hidden="1">
      <c r="A4519" s="7" t="s">
        <v>8751</v>
      </c>
      <c r="B4519" s="7" t="s">
        <v>5405</v>
      </c>
      <c r="C4519" s="8" t="s">
        <v>5319</v>
      </c>
      <c r="D4519" t="s">
        <v>1655</v>
      </c>
      <c r="E4519" t="s">
        <v>25</v>
      </c>
      <c r="F4519" t="s">
        <v>435</v>
      </c>
      <c r="G4519" t="s">
        <v>4036</v>
      </c>
      <c r="H4519" s="9">
        <v>44735</v>
      </c>
      <c r="I4519" t="s">
        <v>8634</v>
      </c>
      <c r="J4519" t="s">
        <v>5330</v>
      </c>
      <c r="K4519" s="9">
        <v>44834</v>
      </c>
      <c r="L4519" t="s">
        <v>29</v>
      </c>
      <c r="M4519"/>
      <c r="N4519" s="9">
        <v>44778</v>
      </c>
      <c r="O4519" s="9">
        <v>44834</v>
      </c>
      <c r="P4519"/>
      <c r="Q4519"/>
      <c r="R4519"/>
      <c r="S4519"/>
      <c r="T4519"/>
      <c r="U4519"/>
    </row>
    <row r="4520" spans="1:21" hidden="1">
      <c r="A4520" s="7" t="s">
        <v>8751</v>
      </c>
      <c r="B4520" s="7" t="s">
        <v>5405</v>
      </c>
      <c r="C4520" s="8" t="s">
        <v>5319</v>
      </c>
      <c r="D4520" t="s">
        <v>1655</v>
      </c>
      <c r="E4520" t="s">
        <v>25</v>
      </c>
      <c r="F4520" t="s">
        <v>435</v>
      </c>
      <c r="G4520" t="s">
        <v>4037</v>
      </c>
      <c r="H4520" s="9">
        <v>44735</v>
      </c>
      <c r="I4520" t="s">
        <v>8634</v>
      </c>
      <c r="J4520" t="s">
        <v>5330</v>
      </c>
      <c r="K4520" s="9">
        <v>44834</v>
      </c>
      <c r="L4520" t="s">
        <v>29</v>
      </c>
      <c r="M4520"/>
      <c r="N4520" s="9">
        <v>44778</v>
      </c>
      <c r="O4520" s="9">
        <v>44834</v>
      </c>
      <c r="P4520"/>
      <c r="Q4520"/>
      <c r="R4520"/>
      <c r="S4520"/>
      <c r="T4520"/>
      <c r="U4520"/>
    </row>
    <row r="4521" spans="1:21" hidden="1">
      <c r="A4521" s="7" t="s">
        <v>8751</v>
      </c>
      <c r="B4521" s="7" t="s">
        <v>5405</v>
      </c>
      <c r="C4521" s="8" t="s">
        <v>5319</v>
      </c>
      <c r="D4521" t="s">
        <v>1655</v>
      </c>
      <c r="E4521" t="s">
        <v>25</v>
      </c>
      <c r="F4521" t="s">
        <v>435</v>
      </c>
      <c r="G4521" t="s">
        <v>4038</v>
      </c>
      <c r="H4521" s="9">
        <v>44735</v>
      </c>
      <c r="I4521" t="s">
        <v>8634</v>
      </c>
      <c r="J4521" t="s">
        <v>5330</v>
      </c>
      <c r="K4521" s="9">
        <v>44834</v>
      </c>
      <c r="L4521" t="s">
        <v>29</v>
      </c>
      <c r="M4521"/>
      <c r="N4521" s="9">
        <v>44778</v>
      </c>
      <c r="O4521" s="9">
        <v>44834</v>
      </c>
      <c r="P4521"/>
      <c r="Q4521"/>
      <c r="R4521"/>
      <c r="S4521"/>
      <c r="T4521"/>
      <c r="U4521"/>
    </row>
    <row r="4522" spans="1:21" hidden="1">
      <c r="A4522" s="7" t="s">
        <v>8763</v>
      </c>
      <c r="B4522" s="7" t="s">
        <v>5405</v>
      </c>
      <c r="C4522" s="8" t="s">
        <v>5319</v>
      </c>
      <c r="D4522" t="s">
        <v>164</v>
      </c>
      <c r="E4522" t="s">
        <v>25</v>
      </c>
      <c r="F4522" t="s">
        <v>280</v>
      </c>
      <c r="G4522" t="s">
        <v>4039</v>
      </c>
      <c r="H4522" s="9">
        <v>44733</v>
      </c>
      <c r="I4522" t="s">
        <v>8634</v>
      </c>
      <c r="J4522" t="s">
        <v>5330</v>
      </c>
      <c r="K4522" s="9">
        <v>44834</v>
      </c>
      <c r="L4522" t="s">
        <v>29</v>
      </c>
      <c r="M4522"/>
      <c r="N4522" s="9">
        <v>44778</v>
      </c>
      <c r="O4522" s="9">
        <v>44834</v>
      </c>
      <c r="P4522"/>
      <c r="Q4522"/>
      <c r="R4522"/>
      <c r="S4522"/>
      <c r="T4522"/>
      <c r="U4522"/>
    </row>
    <row r="4523" spans="1:21" hidden="1">
      <c r="A4523" s="7" t="s">
        <v>8724</v>
      </c>
      <c r="B4523" s="7" t="s">
        <v>7240</v>
      </c>
      <c r="C4523" s="8" t="s">
        <v>5319</v>
      </c>
      <c r="D4523" t="s">
        <v>272</v>
      </c>
      <c r="E4523" t="s">
        <v>165</v>
      </c>
      <c r="F4523" t="s">
        <v>117</v>
      </c>
      <c r="G4523" t="s">
        <v>1954</v>
      </c>
      <c r="H4523" s="9">
        <v>44733</v>
      </c>
      <c r="I4523" t="s">
        <v>167</v>
      </c>
      <c r="J4523" t="s">
        <v>2</v>
      </c>
      <c r="K4523" s="9">
        <v>44834</v>
      </c>
      <c r="L4523" t="s">
        <v>29</v>
      </c>
      <c r="M4523" t="s">
        <v>5331</v>
      </c>
      <c r="N4523" s="9">
        <v>44778</v>
      </c>
      <c r="O4523" s="9">
        <v>44834</v>
      </c>
      <c r="P4523"/>
      <c r="Q4523"/>
      <c r="R4523"/>
      <c r="S4523"/>
      <c r="T4523"/>
      <c r="U4523"/>
    </row>
    <row r="4524" spans="1:21" hidden="1">
      <c r="A4524" s="7" t="s">
        <v>8724</v>
      </c>
      <c r="B4524" s="7" t="s">
        <v>7240</v>
      </c>
      <c r="C4524" s="8" t="s">
        <v>5319</v>
      </c>
      <c r="D4524" t="s">
        <v>272</v>
      </c>
      <c r="E4524" t="s">
        <v>165</v>
      </c>
      <c r="F4524" t="s">
        <v>117</v>
      </c>
      <c r="G4524" t="s">
        <v>1956</v>
      </c>
      <c r="H4524" s="9">
        <v>44733</v>
      </c>
      <c r="I4524" t="s">
        <v>167</v>
      </c>
      <c r="J4524" t="s">
        <v>2</v>
      </c>
      <c r="K4524" s="9">
        <v>44834</v>
      </c>
      <c r="L4524" t="s">
        <v>29</v>
      </c>
      <c r="M4524" t="s">
        <v>5331</v>
      </c>
      <c r="N4524" s="9">
        <v>44778</v>
      </c>
      <c r="O4524" s="9">
        <v>44834</v>
      </c>
      <c r="P4524"/>
      <c r="Q4524"/>
      <c r="R4524"/>
      <c r="S4524"/>
      <c r="T4524"/>
      <c r="U4524"/>
    </row>
    <row r="4525" spans="1:21" hidden="1">
      <c r="A4525" s="7" t="s">
        <v>8840</v>
      </c>
      <c r="B4525" s="7" t="s">
        <v>7494</v>
      </c>
      <c r="C4525" s="8" t="s">
        <v>5319</v>
      </c>
      <c r="D4525" t="s">
        <v>272</v>
      </c>
      <c r="E4525" t="s">
        <v>1957</v>
      </c>
      <c r="F4525" t="s">
        <v>75</v>
      </c>
      <c r="G4525" t="s">
        <v>1958</v>
      </c>
      <c r="H4525" s="9">
        <v>44733</v>
      </c>
      <c r="I4525" t="s">
        <v>509</v>
      </c>
      <c r="J4525" t="s">
        <v>0</v>
      </c>
      <c r="K4525" s="9">
        <v>44844</v>
      </c>
      <c r="L4525" t="s">
        <v>29</v>
      </c>
      <c r="M4525"/>
      <c r="N4525" s="9">
        <v>44778</v>
      </c>
      <c r="O4525" s="9">
        <v>44834</v>
      </c>
      <c r="P4525"/>
      <c r="Q4525" s="9">
        <v>44844</v>
      </c>
      <c r="R4525"/>
      <c r="S4525"/>
      <c r="T4525"/>
      <c r="U4525"/>
    </row>
    <row r="4526" spans="1:21" hidden="1">
      <c r="A4526" s="7" t="s">
        <v>8840</v>
      </c>
      <c r="B4526" s="7" t="s">
        <v>7494</v>
      </c>
      <c r="C4526" s="8" t="s">
        <v>5319</v>
      </c>
      <c r="D4526" t="s">
        <v>272</v>
      </c>
      <c r="E4526" t="s">
        <v>1957</v>
      </c>
      <c r="F4526" t="s">
        <v>75</v>
      </c>
      <c r="G4526" t="s">
        <v>1959</v>
      </c>
      <c r="H4526" s="9">
        <v>44733</v>
      </c>
      <c r="I4526" t="s">
        <v>509</v>
      </c>
      <c r="J4526" t="s">
        <v>0</v>
      </c>
      <c r="K4526" s="9">
        <v>44844</v>
      </c>
      <c r="L4526" t="s">
        <v>29</v>
      </c>
      <c r="M4526"/>
      <c r="N4526" s="9">
        <v>44778</v>
      </c>
      <c r="O4526" s="9">
        <v>44834</v>
      </c>
      <c r="P4526"/>
      <c r="Q4526" s="9">
        <v>44844</v>
      </c>
      <c r="R4526"/>
      <c r="S4526"/>
      <c r="T4526"/>
      <c r="U4526"/>
    </row>
    <row r="4527" spans="1:21" hidden="1">
      <c r="A4527" s="7" t="s">
        <v>8840</v>
      </c>
      <c r="B4527" s="7" t="s">
        <v>7494</v>
      </c>
      <c r="C4527" s="8" t="s">
        <v>5319</v>
      </c>
      <c r="D4527" t="s">
        <v>272</v>
      </c>
      <c r="E4527" t="s">
        <v>1957</v>
      </c>
      <c r="F4527" t="s">
        <v>75</v>
      </c>
      <c r="G4527" t="s">
        <v>1960</v>
      </c>
      <c r="H4527" s="9">
        <v>44733</v>
      </c>
      <c r="I4527" t="s">
        <v>509</v>
      </c>
      <c r="J4527" t="s">
        <v>0</v>
      </c>
      <c r="K4527" s="9">
        <v>44844</v>
      </c>
      <c r="L4527" t="s">
        <v>29</v>
      </c>
      <c r="M4527"/>
      <c r="N4527" s="9">
        <v>44778</v>
      </c>
      <c r="O4527" s="9">
        <v>44834</v>
      </c>
      <c r="P4527"/>
      <c r="Q4527" s="9">
        <v>44844</v>
      </c>
      <c r="R4527"/>
      <c r="S4527"/>
      <c r="T4527"/>
      <c r="U4527"/>
    </row>
    <row r="4528" spans="1:21" hidden="1">
      <c r="A4528" s="7" t="s">
        <v>8840</v>
      </c>
      <c r="B4528" s="7" t="s">
        <v>7494</v>
      </c>
      <c r="C4528" s="8" t="s">
        <v>5319</v>
      </c>
      <c r="D4528" t="s">
        <v>272</v>
      </c>
      <c r="E4528" t="s">
        <v>1957</v>
      </c>
      <c r="F4528" t="s">
        <v>75</v>
      </c>
      <c r="G4528" t="s">
        <v>1961</v>
      </c>
      <c r="H4528" s="9">
        <v>44733</v>
      </c>
      <c r="I4528" t="s">
        <v>509</v>
      </c>
      <c r="J4528" t="s">
        <v>0</v>
      </c>
      <c r="K4528" s="9">
        <v>44844</v>
      </c>
      <c r="L4528" t="s">
        <v>29</v>
      </c>
      <c r="M4528"/>
      <c r="N4528" s="9">
        <v>44778</v>
      </c>
      <c r="O4528" s="9">
        <v>44834</v>
      </c>
      <c r="P4528"/>
      <c r="Q4528" s="9">
        <v>44844</v>
      </c>
      <c r="R4528"/>
      <c r="S4528"/>
      <c r="T4528"/>
      <c r="U4528"/>
    </row>
    <row r="4529" spans="1:21" hidden="1">
      <c r="A4529" s="7" t="s">
        <v>8816</v>
      </c>
      <c r="B4529" s="7" t="s">
        <v>7729</v>
      </c>
      <c r="C4529" s="8" t="s">
        <v>5319</v>
      </c>
      <c r="D4529" t="s">
        <v>272</v>
      </c>
      <c r="E4529" t="s">
        <v>1072</v>
      </c>
      <c r="F4529" t="s">
        <v>117</v>
      </c>
      <c r="G4529" t="s">
        <v>1962</v>
      </c>
      <c r="H4529" s="9">
        <v>44733</v>
      </c>
      <c r="I4529" t="s">
        <v>1070</v>
      </c>
      <c r="J4529" t="s">
        <v>2</v>
      </c>
      <c r="K4529" s="9">
        <v>44834</v>
      </c>
      <c r="L4529" t="s">
        <v>29</v>
      </c>
      <c r="M4529" t="s">
        <v>5331</v>
      </c>
      <c r="N4529" s="9">
        <v>44778</v>
      </c>
      <c r="O4529" s="9">
        <v>44834</v>
      </c>
      <c r="P4529"/>
      <c r="Q4529"/>
      <c r="R4529"/>
      <c r="S4529"/>
      <c r="T4529"/>
      <c r="U4529"/>
    </row>
    <row r="4530" spans="1:21" hidden="1">
      <c r="A4530" s="7" t="s">
        <v>8816</v>
      </c>
      <c r="B4530" s="7" t="s">
        <v>7729</v>
      </c>
      <c r="C4530" s="8" t="s">
        <v>5319</v>
      </c>
      <c r="D4530" t="s">
        <v>272</v>
      </c>
      <c r="E4530" t="s">
        <v>1072</v>
      </c>
      <c r="F4530" t="s">
        <v>117</v>
      </c>
      <c r="G4530" t="s">
        <v>1963</v>
      </c>
      <c r="H4530" s="9">
        <v>44733</v>
      </c>
      <c r="I4530" t="s">
        <v>1070</v>
      </c>
      <c r="J4530" t="s">
        <v>2</v>
      </c>
      <c r="K4530" s="9">
        <v>44834</v>
      </c>
      <c r="L4530" t="s">
        <v>29</v>
      </c>
      <c r="M4530" t="s">
        <v>5331</v>
      </c>
      <c r="N4530" s="9">
        <v>44778</v>
      </c>
      <c r="O4530" s="9">
        <v>44834</v>
      </c>
      <c r="P4530"/>
      <c r="Q4530"/>
      <c r="R4530"/>
      <c r="S4530"/>
      <c r="T4530"/>
      <c r="U4530"/>
    </row>
    <row r="4531" spans="1:21" hidden="1">
      <c r="A4531" s="7" t="s">
        <v>8816</v>
      </c>
      <c r="B4531" s="7" t="s">
        <v>7729</v>
      </c>
      <c r="C4531" s="8" t="s">
        <v>5319</v>
      </c>
      <c r="D4531" t="s">
        <v>272</v>
      </c>
      <c r="E4531" t="s">
        <v>1072</v>
      </c>
      <c r="F4531" t="s">
        <v>117</v>
      </c>
      <c r="G4531" t="s">
        <v>1964</v>
      </c>
      <c r="H4531" s="9">
        <v>44733</v>
      </c>
      <c r="I4531" t="s">
        <v>1070</v>
      </c>
      <c r="J4531" t="s">
        <v>2</v>
      </c>
      <c r="K4531" s="9">
        <v>44834</v>
      </c>
      <c r="L4531" t="s">
        <v>29</v>
      </c>
      <c r="M4531" t="s">
        <v>5331</v>
      </c>
      <c r="N4531" s="9">
        <v>44778</v>
      </c>
      <c r="O4531" s="9">
        <v>44834</v>
      </c>
      <c r="P4531"/>
      <c r="Q4531"/>
      <c r="R4531"/>
      <c r="S4531"/>
      <c r="T4531"/>
      <c r="U4531"/>
    </row>
    <row r="4532" spans="1:21" hidden="1">
      <c r="A4532" s="7" t="s">
        <v>8816</v>
      </c>
      <c r="B4532" s="7" t="s">
        <v>7729</v>
      </c>
      <c r="C4532" s="8" t="s">
        <v>5319</v>
      </c>
      <c r="D4532" t="s">
        <v>272</v>
      </c>
      <c r="E4532" t="s">
        <v>1072</v>
      </c>
      <c r="F4532" t="s">
        <v>117</v>
      </c>
      <c r="G4532" t="s">
        <v>1965</v>
      </c>
      <c r="H4532" s="9">
        <v>44733</v>
      </c>
      <c r="I4532" t="s">
        <v>1070</v>
      </c>
      <c r="J4532" t="s">
        <v>2</v>
      </c>
      <c r="K4532" s="9">
        <v>44834</v>
      </c>
      <c r="L4532" t="s">
        <v>29</v>
      </c>
      <c r="M4532" t="s">
        <v>5331</v>
      </c>
      <c r="N4532" s="9">
        <v>44778</v>
      </c>
      <c r="O4532" s="9">
        <v>44834</v>
      </c>
      <c r="P4532"/>
      <c r="Q4532"/>
      <c r="R4532"/>
      <c r="S4532"/>
      <c r="T4532"/>
      <c r="U4532"/>
    </row>
    <row r="4533" spans="1:21" hidden="1">
      <c r="A4533" s="7" t="s">
        <v>8816</v>
      </c>
      <c r="B4533" s="7" t="s">
        <v>7729</v>
      </c>
      <c r="C4533" s="8" t="s">
        <v>5319</v>
      </c>
      <c r="D4533" t="s">
        <v>272</v>
      </c>
      <c r="E4533" t="s">
        <v>1072</v>
      </c>
      <c r="F4533" t="s">
        <v>117</v>
      </c>
      <c r="G4533" t="s">
        <v>1966</v>
      </c>
      <c r="H4533" s="9">
        <v>44733</v>
      </c>
      <c r="I4533" t="s">
        <v>1070</v>
      </c>
      <c r="J4533" t="s">
        <v>2</v>
      </c>
      <c r="K4533" s="9">
        <v>44834</v>
      </c>
      <c r="L4533" t="s">
        <v>29</v>
      </c>
      <c r="M4533" t="s">
        <v>5331</v>
      </c>
      <c r="N4533" s="9">
        <v>44778</v>
      </c>
      <c r="O4533" s="9">
        <v>44834</v>
      </c>
      <c r="P4533"/>
      <c r="Q4533"/>
      <c r="R4533"/>
      <c r="S4533"/>
      <c r="T4533"/>
      <c r="U4533"/>
    </row>
    <row r="4534" spans="1:21" hidden="1">
      <c r="A4534" s="7" t="s">
        <v>8816</v>
      </c>
      <c r="B4534" s="7" t="s">
        <v>7729</v>
      </c>
      <c r="C4534" s="8" t="s">
        <v>5319</v>
      </c>
      <c r="D4534" t="s">
        <v>272</v>
      </c>
      <c r="E4534" t="s">
        <v>1072</v>
      </c>
      <c r="F4534" t="s">
        <v>117</v>
      </c>
      <c r="G4534" t="s">
        <v>1967</v>
      </c>
      <c r="H4534" s="9">
        <v>44733</v>
      </c>
      <c r="I4534" t="s">
        <v>1070</v>
      </c>
      <c r="J4534" t="s">
        <v>2</v>
      </c>
      <c r="K4534" s="9">
        <v>44834</v>
      </c>
      <c r="L4534" t="s">
        <v>29</v>
      </c>
      <c r="M4534" t="s">
        <v>5331</v>
      </c>
      <c r="N4534" s="9">
        <v>44778</v>
      </c>
      <c r="O4534" s="9">
        <v>44834</v>
      </c>
      <c r="P4534"/>
      <c r="Q4534"/>
      <c r="R4534"/>
      <c r="S4534"/>
      <c r="T4534"/>
      <c r="U4534"/>
    </row>
    <row r="4535" spans="1:21" hidden="1">
      <c r="A4535" s="7" t="s">
        <v>8816</v>
      </c>
      <c r="B4535" s="7" t="s">
        <v>7729</v>
      </c>
      <c r="C4535" s="8" t="s">
        <v>5319</v>
      </c>
      <c r="D4535" t="s">
        <v>272</v>
      </c>
      <c r="E4535" t="s">
        <v>1072</v>
      </c>
      <c r="F4535" t="s">
        <v>117</v>
      </c>
      <c r="G4535" t="s">
        <v>1968</v>
      </c>
      <c r="H4535" s="9">
        <v>44733</v>
      </c>
      <c r="I4535" t="s">
        <v>1070</v>
      </c>
      <c r="J4535" t="s">
        <v>2</v>
      </c>
      <c r="K4535" s="9">
        <v>44834</v>
      </c>
      <c r="L4535" t="s">
        <v>29</v>
      </c>
      <c r="M4535" t="s">
        <v>5331</v>
      </c>
      <c r="N4535" s="9">
        <v>44778</v>
      </c>
      <c r="O4535" s="9">
        <v>44834</v>
      </c>
      <c r="P4535"/>
      <c r="Q4535"/>
      <c r="R4535"/>
      <c r="S4535"/>
      <c r="T4535"/>
      <c r="U4535"/>
    </row>
    <row r="4536" spans="1:21" hidden="1">
      <c r="A4536" s="7" t="s">
        <v>8816</v>
      </c>
      <c r="B4536" s="7" t="s">
        <v>7729</v>
      </c>
      <c r="C4536" s="8" t="s">
        <v>5319</v>
      </c>
      <c r="D4536" t="s">
        <v>272</v>
      </c>
      <c r="E4536" t="s">
        <v>1072</v>
      </c>
      <c r="F4536" t="s">
        <v>117</v>
      </c>
      <c r="G4536" t="s">
        <v>1969</v>
      </c>
      <c r="H4536" s="9">
        <v>44733</v>
      </c>
      <c r="I4536" t="s">
        <v>1070</v>
      </c>
      <c r="J4536" t="s">
        <v>2</v>
      </c>
      <c r="K4536" s="9">
        <v>44834</v>
      </c>
      <c r="L4536" t="s">
        <v>29</v>
      </c>
      <c r="M4536" t="s">
        <v>5331</v>
      </c>
      <c r="N4536" s="9">
        <v>44778</v>
      </c>
      <c r="O4536" s="9">
        <v>44834</v>
      </c>
      <c r="P4536"/>
      <c r="Q4536"/>
      <c r="R4536"/>
      <c r="S4536"/>
      <c r="T4536"/>
      <c r="U4536"/>
    </row>
    <row r="4537" spans="1:21" hidden="1">
      <c r="A4537" s="7" t="s">
        <v>8816</v>
      </c>
      <c r="B4537" s="7" t="s">
        <v>7729</v>
      </c>
      <c r="C4537" s="8" t="s">
        <v>5319</v>
      </c>
      <c r="D4537" t="s">
        <v>272</v>
      </c>
      <c r="E4537" t="s">
        <v>1072</v>
      </c>
      <c r="F4537" t="s">
        <v>117</v>
      </c>
      <c r="G4537" t="s">
        <v>1970</v>
      </c>
      <c r="H4537" s="9">
        <v>44733</v>
      </c>
      <c r="I4537" t="s">
        <v>1070</v>
      </c>
      <c r="J4537" t="s">
        <v>2</v>
      </c>
      <c r="K4537" s="9">
        <v>44834</v>
      </c>
      <c r="L4537" t="s">
        <v>29</v>
      </c>
      <c r="M4537" t="s">
        <v>5331</v>
      </c>
      <c r="N4537" s="9">
        <v>44778</v>
      </c>
      <c r="O4537" s="9">
        <v>44834</v>
      </c>
      <c r="P4537"/>
      <c r="Q4537"/>
      <c r="R4537"/>
      <c r="S4537"/>
      <c r="T4537"/>
      <c r="U4537"/>
    </row>
    <row r="4538" spans="1:21" hidden="1">
      <c r="A4538" s="7" t="s">
        <v>8816</v>
      </c>
      <c r="B4538" s="7" t="s">
        <v>7729</v>
      </c>
      <c r="C4538" s="8" t="s">
        <v>5319</v>
      </c>
      <c r="D4538" t="s">
        <v>272</v>
      </c>
      <c r="E4538" t="s">
        <v>1072</v>
      </c>
      <c r="F4538" t="s">
        <v>117</v>
      </c>
      <c r="G4538" t="s">
        <v>1971</v>
      </c>
      <c r="H4538" s="9">
        <v>44733</v>
      </c>
      <c r="I4538" t="s">
        <v>1070</v>
      </c>
      <c r="J4538" t="s">
        <v>2</v>
      </c>
      <c r="K4538" s="9">
        <v>44834</v>
      </c>
      <c r="L4538" t="s">
        <v>29</v>
      </c>
      <c r="M4538" t="s">
        <v>5331</v>
      </c>
      <c r="N4538" s="9">
        <v>44778</v>
      </c>
      <c r="O4538" s="9">
        <v>44834</v>
      </c>
      <c r="P4538"/>
      <c r="Q4538"/>
      <c r="R4538"/>
      <c r="S4538"/>
      <c r="T4538"/>
      <c r="U4538"/>
    </row>
    <row r="4539" spans="1:21" hidden="1">
      <c r="A4539" s="7" t="s">
        <v>8816</v>
      </c>
      <c r="B4539" s="7" t="s">
        <v>7729</v>
      </c>
      <c r="C4539" s="8" t="s">
        <v>5319</v>
      </c>
      <c r="D4539" t="s">
        <v>272</v>
      </c>
      <c r="E4539" t="s">
        <v>1072</v>
      </c>
      <c r="F4539" t="s">
        <v>117</v>
      </c>
      <c r="G4539" t="s">
        <v>1972</v>
      </c>
      <c r="H4539" s="9">
        <v>44733</v>
      </c>
      <c r="I4539" t="s">
        <v>1070</v>
      </c>
      <c r="J4539" t="s">
        <v>2</v>
      </c>
      <c r="K4539" s="9">
        <v>44834</v>
      </c>
      <c r="L4539" t="s">
        <v>29</v>
      </c>
      <c r="M4539" t="s">
        <v>5331</v>
      </c>
      <c r="N4539" s="9">
        <v>44778</v>
      </c>
      <c r="O4539" s="9">
        <v>44834</v>
      </c>
      <c r="P4539"/>
      <c r="Q4539"/>
      <c r="R4539"/>
      <c r="S4539"/>
      <c r="T4539"/>
      <c r="U4539"/>
    </row>
    <row r="4540" spans="1:21" hidden="1">
      <c r="A4540" s="7" t="s">
        <v>8816</v>
      </c>
      <c r="B4540" s="7" t="s">
        <v>7729</v>
      </c>
      <c r="C4540" s="8" t="s">
        <v>5319</v>
      </c>
      <c r="D4540" t="s">
        <v>272</v>
      </c>
      <c r="E4540" t="s">
        <v>1072</v>
      </c>
      <c r="F4540" t="s">
        <v>117</v>
      </c>
      <c r="G4540" t="s">
        <v>1973</v>
      </c>
      <c r="H4540" s="9">
        <v>44733</v>
      </c>
      <c r="I4540" t="s">
        <v>1070</v>
      </c>
      <c r="J4540" t="s">
        <v>2</v>
      </c>
      <c r="K4540" s="9">
        <v>44834</v>
      </c>
      <c r="L4540" t="s">
        <v>29</v>
      </c>
      <c r="M4540" t="s">
        <v>5331</v>
      </c>
      <c r="N4540" s="9">
        <v>44778</v>
      </c>
      <c r="O4540" s="9">
        <v>44834</v>
      </c>
      <c r="P4540"/>
      <c r="Q4540"/>
      <c r="R4540"/>
      <c r="S4540"/>
      <c r="T4540"/>
      <c r="U4540"/>
    </row>
    <row r="4541" spans="1:21" hidden="1">
      <c r="A4541" s="7" t="s">
        <v>8816</v>
      </c>
      <c r="B4541" s="7" t="s">
        <v>7729</v>
      </c>
      <c r="C4541" s="8" t="s">
        <v>5319</v>
      </c>
      <c r="D4541" t="s">
        <v>272</v>
      </c>
      <c r="E4541" t="s">
        <v>1072</v>
      </c>
      <c r="F4541" t="s">
        <v>117</v>
      </c>
      <c r="G4541" t="s">
        <v>1974</v>
      </c>
      <c r="H4541" s="9">
        <v>44733</v>
      </c>
      <c r="I4541" t="s">
        <v>1070</v>
      </c>
      <c r="J4541" t="s">
        <v>2</v>
      </c>
      <c r="K4541" s="9">
        <v>44834</v>
      </c>
      <c r="L4541" t="s">
        <v>29</v>
      </c>
      <c r="M4541" t="s">
        <v>5331</v>
      </c>
      <c r="N4541" s="9">
        <v>44778</v>
      </c>
      <c r="O4541" s="9">
        <v>44834</v>
      </c>
      <c r="P4541"/>
      <c r="Q4541"/>
      <c r="R4541"/>
      <c r="S4541"/>
      <c r="T4541"/>
      <c r="U4541"/>
    </row>
    <row r="4542" spans="1:21" hidden="1">
      <c r="A4542" s="7" t="s">
        <v>8816</v>
      </c>
      <c r="B4542" s="7" t="s">
        <v>7729</v>
      </c>
      <c r="C4542" s="8" t="s">
        <v>5319</v>
      </c>
      <c r="D4542" t="s">
        <v>272</v>
      </c>
      <c r="E4542" t="s">
        <v>1072</v>
      </c>
      <c r="F4542" t="s">
        <v>117</v>
      </c>
      <c r="G4542" t="s">
        <v>1975</v>
      </c>
      <c r="H4542" s="9">
        <v>44733</v>
      </c>
      <c r="I4542" t="s">
        <v>1070</v>
      </c>
      <c r="J4542" t="s">
        <v>2</v>
      </c>
      <c r="K4542" s="9">
        <v>44834</v>
      </c>
      <c r="L4542" t="s">
        <v>29</v>
      </c>
      <c r="M4542" t="s">
        <v>5331</v>
      </c>
      <c r="N4542" s="9">
        <v>44778</v>
      </c>
      <c r="O4542" s="9">
        <v>44834</v>
      </c>
      <c r="P4542"/>
      <c r="Q4542"/>
      <c r="R4542"/>
      <c r="S4542"/>
      <c r="T4542"/>
      <c r="U4542"/>
    </row>
    <row r="4543" spans="1:21" hidden="1">
      <c r="A4543" s="7" t="s">
        <v>8816</v>
      </c>
      <c r="B4543" s="7" t="s">
        <v>7729</v>
      </c>
      <c r="C4543" s="8" t="s">
        <v>5319</v>
      </c>
      <c r="D4543" t="s">
        <v>272</v>
      </c>
      <c r="E4543" t="s">
        <v>1072</v>
      </c>
      <c r="F4543" t="s">
        <v>117</v>
      </c>
      <c r="G4543" t="s">
        <v>1976</v>
      </c>
      <c r="H4543" s="9">
        <v>44733</v>
      </c>
      <c r="I4543" t="s">
        <v>1070</v>
      </c>
      <c r="J4543" t="s">
        <v>2</v>
      </c>
      <c r="K4543" s="9">
        <v>44834</v>
      </c>
      <c r="L4543" t="s">
        <v>29</v>
      </c>
      <c r="M4543" t="s">
        <v>5331</v>
      </c>
      <c r="N4543" s="9">
        <v>44778</v>
      </c>
      <c r="O4543" s="9">
        <v>44834</v>
      </c>
      <c r="P4543"/>
      <c r="Q4543"/>
      <c r="R4543"/>
      <c r="S4543"/>
      <c r="T4543"/>
      <c r="U4543"/>
    </row>
    <row r="4544" spans="1:21" hidden="1">
      <c r="A4544" s="7" t="s">
        <v>8816</v>
      </c>
      <c r="B4544" s="7" t="s">
        <v>7729</v>
      </c>
      <c r="C4544" s="8" t="s">
        <v>5319</v>
      </c>
      <c r="D4544" t="s">
        <v>272</v>
      </c>
      <c r="E4544" t="s">
        <v>1072</v>
      </c>
      <c r="F4544" t="s">
        <v>117</v>
      </c>
      <c r="G4544" t="s">
        <v>1977</v>
      </c>
      <c r="H4544" s="9">
        <v>44733</v>
      </c>
      <c r="I4544" t="s">
        <v>1070</v>
      </c>
      <c r="J4544" t="s">
        <v>2</v>
      </c>
      <c r="K4544" s="9">
        <v>44834</v>
      </c>
      <c r="L4544" t="s">
        <v>29</v>
      </c>
      <c r="M4544" t="s">
        <v>5331</v>
      </c>
      <c r="N4544" s="9">
        <v>44778</v>
      </c>
      <c r="O4544" s="9">
        <v>44834</v>
      </c>
      <c r="P4544"/>
      <c r="Q4544"/>
      <c r="R4544"/>
      <c r="S4544"/>
      <c r="T4544"/>
      <c r="U4544"/>
    </row>
    <row r="4545" spans="1:21" hidden="1">
      <c r="A4545" s="7" t="s">
        <v>8816</v>
      </c>
      <c r="B4545" s="7" t="s">
        <v>7729</v>
      </c>
      <c r="C4545" s="8" t="s">
        <v>5319</v>
      </c>
      <c r="D4545" t="s">
        <v>272</v>
      </c>
      <c r="E4545" t="s">
        <v>1072</v>
      </c>
      <c r="F4545" t="s">
        <v>117</v>
      </c>
      <c r="G4545" t="s">
        <v>1978</v>
      </c>
      <c r="H4545" s="9">
        <v>44733</v>
      </c>
      <c r="I4545" t="s">
        <v>1070</v>
      </c>
      <c r="J4545" t="s">
        <v>2</v>
      </c>
      <c r="K4545" s="9">
        <v>44834</v>
      </c>
      <c r="L4545" t="s">
        <v>29</v>
      </c>
      <c r="M4545" t="s">
        <v>5331</v>
      </c>
      <c r="N4545" s="9">
        <v>44778</v>
      </c>
      <c r="O4545" s="9">
        <v>44834</v>
      </c>
      <c r="P4545"/>
      <c r="Q4545"/>
      <c r="R4545"/>
      <c r="S4545"/>
      <c r="T4545"/>
      <c r="U4545"/>
    </row>
    <row r="4546" spans="1:21" hidden="1">
      <c r="A4546" s="7" t="s">
        <v>8816</v>
      </c>
      <c r="B4546" s="7" t="s">
        <v>7729</v>
      </c>
      <c r="C4546" s="8" t="s">
        <v>5319</v>
      </c>
      <c r="D4546" t="s">
        <v>272</v>
      </c>
      <c r="E4546" t="s">
        <v>1072</v>
      </c>
      <c r="F4546" t="s">
        <v>117</v>
      </c>
      <c r="G4546" t="s">
        <v>1979</v>
      </c>
      <c r="H4546" s="9">
        <v>44733</v>
      </c>
      <c r="I4546" t="s">
        <v>1070</v>
      </c>
      <c r="J4546" t="s">
        <v>2</v>
      </c>
      <c r="K4546" s="9">
        <v>44834</v>
      </c>
      <c r="L4546" t="s">
        <v>29</v>
      </c>
      <c r="M4546" t="s">
        <v>5331</v>
      </c>
      <c r="N4546" s="9">
        <v>44778</v>
      </c>
      <c r="O4546" s="9">
        <v>44834</v>
      </c>
      <c r="P4546"/>
      <c r="Q4546"/>
      <c r="R4546"/>
      <c r="S4546"/>
      <c r="T4546"/>
      <c r="U4546"/>
    </row>
    <row r="4547" spans="1:21" hidden="1">
      <c r="A4547" s="7" t="s">
        <v>8816</v>
      </c>
      <c r="B4547" s="7" t="s">
        <v>7729</v>
      </c>
      <c r="C4547" s="8" t="s">
        <v>5319</v>
      </c>
      <c r="D4547" t="s">
        <v>272</v>
      </c>
      <c r="E4547" t="s">
        <v>1072</v>
      </c>
      <c r="F4547" t="s">
        <v>117</v>
      </c>
      <c r="G4547" t="s">
        <v>1980</v>
      </c>
      <c r="H4547" s="9">
        <v>44733</v>
      </c>
      <c r="I4547" t="s">
        <v>1070</v>
      </c>
      <c r="J4547" t="s">
        <v>2</v>
      </c>
      <c r="K4547" s="9">
        <v>44834</v>
      </c>
      <c r="L4547" t="s">
        <v>29</v>
      </c>
      <c r="M4547" t="s">
        <v>5331</v>
      </c>
      <c r="N4547" s="9">
        <v>44778</v>
      </c>
      <c r="O4547" s="9">
        <v>44834</v>
      </c>
      <c r="P4547"/>
      <c r="Q4547"/>
      <c r="R4547"/>
      <c r="S4547"/>
      <c r="T4547"/>
      <c r="U4547"/>
    </row>
    <row r="4548" spans="1:21" hidden="1">
      <c r="A4548" s="7" t="s">
        <v>8816</v>
      </c>
      <c r="B4548" s="7" t="s">
        <v>7729</v>
      </c>
      <c r="C4548" s="8" t="s">
        <v>5319</v>
      </c>
      <c r="D4548" t="s">
        <v>272</v>
      </c>
      <c r="E4548" t="s">
        <v>1072</v>
      </c>
      <c r="F4548" t="s">
        <v>117</v>
      </c>
      <c r="G4548" t="s">
        <v>1981</v>
      </c>
      <c r="H4548" s="9">
        <v>44733</v>
      </c>
      <c r="I4548" t="s">
        <v>1070</v>
      </c>
      <c r="J4548" t="s">
        <v>2</v>
      </c>
      <c r="K4548" s="9">
        <v>44834</v>
      </c>
      <c r="L4548" t="s">
        <v>29</v>
      </c>
      <c r="M4548" t="s">
        <v>5331</v>
      </c>
      <c r="N4548" s="9">
        <v>44778</v>
      </c>
      <c r="O4548" s="9">
        <v>44834</v>
      </c>
      <c r="P4548"/>
      <c r="Q4548"/>
      <c r="R4548"/>
      <c r="S4548"/>
      <c r="T4548"/>
      <c r="U4548"/>
    </row>
    <row r="4549" spans="1:21" hidden="1">
      <c r="A4549" s="7" t="s">
        <v>8816</v>
      </c>
      <c r="B4549" s="7" t="s">
        <v>7729</v>
      </c>
      <c r="C4549" s="8" t="s">
        <v>5319</v>
      </c>
      <c r="D4549" t="s">
        <v>272</v>
      </c>
      <c r="E4549" t="s">
        <v>1072</v>
      </c>
      <c r="F4549" t="s">
        <v>117</v>
      </c>
      <c r="G4549" t="s">
        <v>1982</v>
      </c>
      <c r="H4549" s="9">
        <v>44733</v>
      </c>
      <c r="I4549" t="s">
        <v>1070</v>
      </c>
      <c r="J4549" t="s">
        <v>2</v>
      </c>
      <c r="K4549" s="9">
        <v>44834</v>
      </c>
      <c r="L4549" t="s">
        <v>29</v>
      </c>
      <c r="M4549" t="s">
        <v>5331</v>
      </c>
      <c r="N4549" s="9">
        <v>44778</v>
      </c>
      <c r="O4549" s="9">
        <v>44834</v>
      </c>
      <c r="P4549"/>
      <c r="Q4549"/>
      <c r="R4549"/>
      <c r="S4549"/>
      <c r="T4549"/>
      <c r="U4549"/>
    </row>
    <row r="4550" spans="1:21" hidden="1">
      <c r="A4550" s="7" t="s">
        <v>8816</v>
      </c>
      <c r="B4550" s="7" t="s">
        <v>7729</v>
      </c>
      <c r="C4550" s="8" t="s">
        <v>5319</v>
      </c>
      <c r="D4550" t="s">
        <v>272</v>
      </c>
      <c r="E4550" t="s">
        <v>1072</v>
      </c>
      <c r="F4550" t="s">
        <v>117</v>
      </c>
      <c r="G4550" t="s">
        <v>1983</v>
      </c>
      <c r="H4550" s="9">
        <v>44733</v>
      </c>
      <c r="I4550" t="s">
        <v>1070</v>
      </c>
      <c r="J4550" t="s">
        <v>2</v>
      </c>
      <c r="K4550" s="9">
        <v>44834</v>
      </c>
      <c r="L4550" t="s">
        <v>29</v>
      </c>
      <c r="M4550" t="s">
        <v>5331</v>
      </c>
      <c r="N4550" s="9">
        <v>44778</v>
      </c>
      <c r="O4550" s="9">
        <v>44834</v>
      </c>
      <c r="P4550"/>
      <c r="Q4550"/>
      <c r="R4550"/>
      <c r="S4550"/>
      <c r="T4550"/>
      <c r="U4550"/>
    </row>
    <row r="4551" spans="1:21" hidden="1">
      <c r="A4551" s="7" t="s">
        <v>8816</v>
      </c>
      <c r="B4551" s="7" t="s">
        <v>7729</v>
      </c>
      <c r="C4551" s="8" t="s">
        <v>5319</v>
      </c>
      <c r="D4551" t="s">
        <v>272</v>
      </c>
      <c r="E4551" t="s">
        <v>1072</v>
      </c>
      <c r="F4551" t="s">
        <v>117</v>
      </c>
      <c r="G4551" t="s">
        <v>1984</v>
      </c>
      <c r="H4551" s="9">
        <v>44733</v>
      </c>
      <c r="I4551" t="s">
        <v>1070</v>
      </c>
      <c r="J4551" t="s">
        <v>2</v>
      </c>
      <c r="K4551" s="9">
        <v>44834</v>
      </c>
      <c r="L4551" t="s">
        <v>29</v>
      </c>
      <c r="M4551" t="s">
        <v>5331</v>
      </c>
      <c r="N4551" s="9">
        <v>44778</v>
      </c>
      <c r="O4551" s="9">
        <v>44834</v>
      </c>
      <c r="P4551"/>
      <c r="Q4551"/>
      <c r="R4551"/>
      <c r="S4551"/>
      <c r="T4551"/>
      <c r="U4551"/>
    </row>
    <row r="4552" spans="1:21" hidden="1">
      <c r="A4552" s="7" t="s">
        <v>8816</v>
      </c>
      <c r="B4552" s="7" t="s">
        <v>7729</v>
      </c>
      <c r="C4552" s="8" t="s">
        <v>5319</v>
      </c>
      <c r="D4552" t="s">
        <v>272</v>
      </c>
      <c r="E4552" t="s">
        <v>1072</v>
      </c>
      <c r="F4552" t="s">
        <v>117</v>
      </c>
      <c r="G4552" t="s">
        <v>1985</v>
      </c>
      <c r="H4552" s="9">
        <v>44733</v>
      </c>
      <c r="I4552" t="s">
        <v>1070</v>
      </c>
      <c r="J4552" t="s">
        <v>2</v>
      </c>
      <c r="K4552" s="9">
        <v>44834</v>
      </c>
      <c r="L4552" t="s">
        <v>29</v>
      </c>
      <c r="M4552" t="s">
        <v>5331</v>
      </c>
      <c r="N4552" s="9">
        <v>44778</v>
      </c>
      <c r="O4552" s="9">
        <v>44834</v>
      </c>
      <c r="P4552"/>
      <c r="Q4552"/>
      <c r="R4552"/>
      <c r="S4552"/>
      <c r="T4552"/>
      <c r="U4552"/>
    </row>
    <row r="4553" spans="1:21" hidden="1">
      <c r="A4553" s="7" t="s">
        <v>8816</v>
      </c>
      <c r="B4553" s="7" t="s">
        <v>7729</v>
      </c>
      <c r="C4553" s="8" t="s">
        <v>5319</v>
      </c>
      <c r="D4553" t="s">
        <v>272</v>
      </c>
      <c r="E4553" t="s">
        <v>1072</v>
      </c>
      <c r="F4553" t="s">
        <v>117</v>
      </c>
      <c r="G4553" t="s">
        <v>1986</v>
      </c>
      <c r="H4553" s="9">
        <v>44733</v>
      </c>
      <c r="I4553" t="s">
        <v>1070</v>
      </c>
      <c r="J4553" t="s">
        <v>2</v>
      </c>
      <c r="K4553" s="9">
        <v>44834</v>
      </c>
      <c r="L4553" t="s">
        <v>29</v>
      </c>
      <c r="M4553" t="s">
        <v>5331</v>
      </c>
      <c r="N4553" s="9">
        <v>44778</v>
      </c>
      <c r="O4553" s="9">
        <v>44834</v>
      </c>
      <c r="P4553"/>
      <c r="Q4553"/>
      <c r="R4553"/>
      <c r="S4553"/>
      <c r="T4553"/>
      <c r="U4553"/>
    </row>
    <row r="4554" spans="1:21" hidden="1">
      <c r="A4554" s="7" t="s">
        <v>8816</v>
      </c>
      <c r="B4554" s="7" t="s">
        <v>7729</v>
      </c>
      <c r="C4554" s="8" t="s">
        <v>5319</v>
      </c>
      <c r="D4554" t="s">
        <v>272</v>
      </c>
      <c r="E4554" t="s">
        <v>1072</v>
      </c>
      <c r="F4554" t="s">
        <v>117</v>
      </c>
      <c r="G4554" t="s">
        <v>1987</v>
      </c>
      <c r="H4554" s="9">
        <v>44733</v>
      </c>
      <c r="I4554" t="s">
        <v>1070</v>
      </c>
      <c r="J4554" t="s">
        <v>2</v>
      </c>
      <c r="K4554" s="9">
        <v>44834</v>
      </c>
      <c r="L4554" t="s">
        <v>29</v>
      </c>
      <c r="M4554" t="s">
        <v>5331</v>
      </c>
      <c r="N4554" s="9">
        <v>44778</v>
      </c>
      <c r="O4554" s="9">
        <v>44834</v>
      </c>
      <c r="P4554"/>
      <c r="Q4554"/>
      <c r="R4554"/>
      <c r="S4554"/>
      <c r="T4554"/>
      <c r="U4554"/>
    </row>
    <row r="4555" spans="1:21" hidden="1">
      <c r="A4555" s="7" t="s">
        <v>8816</v>
      </c>
      <c r="B4555" s="7" t="s">
        <v>7729</v>
      </c>
      <c r="C4555" s="8" t="s">
        <v>5319</v>
      </c>
      <c r="D4555" t="s">
        <v>272</v>
      </c>
      <c r="E4555" t="s">
        <v>1072</v>
      </c>
      <c r="F4555" t="s">
        <v>117</v>
      </c>
      <c r="G4555" t="s">
        <v>1988</v>
      </c>
      <c r="H4555" s="9">
        <v>44733</v>
      </c>
      <c r="I4555" t="s">
        <v>1070</v>
      </c>
      <c r="J4555" t="s">
        <v>2</v>
      </c>
      <c r="K4555" s="9">
        <v>44834</v>
      </c>
      <c r="L4555" t="s">
        <v>29</v>
      </c>
      <c r="M4555" t="s">
        <v>5331</v>
      </c>
      <c r="N4555" s="9">
        <v>44778</v>
      </c>
      <c r="O4555" s="9">
        <v>44834</v>
      </c>
      <c r="P4555"/>
      <c r="Q4555"/>
      <c r="R4555"/>
      <c r="S4555"/>
      <c r="T4555"/>
      <c r="U4555"/>
    </row>
    <row r="4556" spans="1:21" hidden="1">
      <c r="A4556" s="7" t="s">
        <v>8816</v>
      </c>
      <c r="B4556" s="7" t="s">
        <v>7729</v>
      </c>
      <c r="C4556" s="8" t="s">
        <v>5319</v>
      </c>
      <c r="D4556" t="s">
        <v>272</v>
      </c>
      <c r="E4556" t="s">
        <v>1072</v>
      </c>
      <c r="F4556" t="s">
        <v>117</v>
      </c>
      <c r="G4556" t="s">
        <v>1989</v>
      </c>
      <c r="H4556" s="9">
        <v>44733</v>
      </c>
      <c r="I4556" t="s">
        <v>1070</v>
      </c>
      <c r="J4556" t="s">
        <v>2</v>
      </c>
      <c r="K4556" s="9">
        <v>44834</v>
      </c>
      <c r="L4556" t="s">
        <v>29</v>
      </c>
      <c r="M4556" t="s">
        <v>5331</v>
      </c>
      <c r="N4556" s="9">
        <v>44778</v>
      </c>
      <c r="O4556" s="9">
        <v>44834</v>
      </c>
      <c r="P4556"/>
      <c r="Q4556"/>
      <c r="R4556"/>
      <c r="S4556"/>
      <c r="T4556"/>
      <c r="U4556"/>
    </row>
    <row r="4557" spans="1:21" hidden="1">
      <c r="A4557" s="7" t="s">
        <v>8816</v>
      </c>
      <c r="B4557" s="7" t="s">
        <v>7729</v>
      </c>
      <c r="C4557" s="8" t="s">
        <v>5319</v>
      </c>
      <c r="D4557" t="s">
        <v>272</v>
      </c>
      <c r="E4557" t="s">
        <v>1072</v>
      </c>
      <c r="F4557" t="s">
        <v>117</v>
      </c>
      <c r="G4557" t="s">
        <v>1990</v>
      </c>
      <c r="H4557" s="9">
        <v>44733</v>
      </c>
      <c r="I4557" t="s">
        <v>1070</v>
      </c>
      <c r="J4557" t="s">
        <v>2</v>
      </c>
      <c r="K4557" s="9">
        <v>44834</v>
      </c>
      <c r="L4557" t="s">
        <v>29</v>
      </c>
      <c r="M4557" t="s">
        <v>5331</v>
      </c>
      <c r="N4557" s="9">
        <v>44778</v>
      </c>
      <c r="O4557" s="9">
        <v>44834</v>
      </c>
      <c r="P4557"/>
      <c r="Q4557"/>
      <c r="R4557"/>
      <c r="S4557"/>
      <c r="T4557"/>
      <c r="U4557"/>
    </row>
    <row r="4558" spans="1:21" hidden="1">
      <c r="A4558" s="7" t="s">
        <v>8816</v>
      </c>
      <c r="B4558" s="7" t="s">
        <v>7729</v>
      </c>
      <c r="C4558" s="8" t="s">
        <v>5319</v>
      </c>
      <c r="D4558" t="s">
        <v>272</v>
      </c>
      <c r="E4558" t="s">
        <v>1072</v>
      </c>
      <c r="F4558" t="s">
        <v>117</v>
      </c>
      <c r="G4558" t="s">
        <v>1991</v>
      </c>
      <c r="H4558" s="9">
        <v>44733</v>
      </c>
      <c r="I4558" t="s">
        <v>1070</v>
      </c>
      <c r="J4558" t="s">
        <v>2</v>
      </c>
      <c r="K4558" s="9">
        <v>44834</v>
      </c>
      <c r="L4558" t="s">
        <v>29</v>
      </c>
      <c r="M4558" t="s">
        <v>5331</v>
      </c>
      <c r="N4558" s="9">
        <v>44778</v>
      </c>
      <c r="O4558" s="9">
        <v>44834</v>
      </c>
      <c r="P4558"/>
      <c r="Q4558"/>
      <c r="R4558"/>
      <c r="S4558"/>
      <c r="T4558"/>
      <c r="U4558"/>
    </row>
    <row r="4559" spans="1:21" hidden="1">
      <c r="A4559" s="7" t="s">
        <v>8816</v>
      </c>
      <c r="B4559" s="7" t="s">
        <v>7729</v>
      </c>
      <c r="C4559" s="8" t="s">
        <v>5319</v>
      </c>
      <c r="D4559" t="s">
        <v>272</v>
      </c>
      <c r="E4559" t="s">
        <v>1072</v>
      </c>
      <c r="F4559" t="s">
        <v>117</v>
      </c>
      <c r="G4559" t="s">
        <v>1992</v>
      </c>
      <c r="H4559" s="9">
        <v>44733</v>
      </c>
      <c r="I4559" t="s">
        <v>1070</v>
      </c>
      <c r="J4559" t="s">
        <v>2</v>
      </c>
      <c r="K4559" s="9">
        <v>44834</v>
      </c>
      <c r="L4559" t="s">
        <v>29</v>
      </c>
      <c r="M4559" t="s">
        <v>5331</v>
      </c>
      <c r="N4559" s="9">
        <v>44778</v>
      </c>
      <c r="O4559" s="9">
        <v>44834</v>
      </c>
      <c r="P4559"/>
      <c r="Q4559"/>
      <c r="R4559"/>
      <c r="S4559"/>
      <c r="T4559"/>
      <c r="U4559"/>
    </row>
    <row r="4560" spans="1:21" hidden="1">
      <c r="A4560" s="7" t="s">
        <v>8816</v>
      </c>
      <c r="B4560" s="7" t="s">
        <v>7729</v>
      </c>
      <c r="C4560" s="8" t="s">
        <v>5319</v>
      </c>
      <c r="D4560" t="s">
        <v>272</v>
      </c>
      <c r="E4560" t="s">
        <v>1072</v>
      </c>
      <c r="F4560" t="s">
        <v>117</v>
      </c>
      <c r="G4560" t="s">
        <v>1993</v>
      </c>
      <c r="H4560" s="9">
        <v>44733</v>
      </c>
      <c r="I4560" t="s">
        <v>1070</v>
      </c>
      <c r="J4560" t="s">
        <v>2</v>
      </c>
      <c r="K4560" s="9">
        <v>44834</v>
      </c>
      <c r="L4560" t="s">
        <v>29</v>
      </c>
      <c r="M4560" t="s">
        <v>5331</v>
      </c>
      <c r="N4560" s="9">
        <v>44778</v>
      </c>
      <c r="O4560" s="9">
        <v>44834</v>
      </c>
      <c r="P4560"/>
      <c r="Q4560"/>
      <c r="R4560"/>
      <c r="S4560"/>
      <c r="T4560"/>
      <c r="U4560"/>
    </row>
    <row r="4561" spans="1:21" hidden="1">
      <c r="A4561" s="7" t="s">
        <v>8816</v>
      </c>
      <c r="B4561" s="7" t="s">
        <v>7729</v>
      </c>
      <c r="C4561" s="8" t="s">
        <v>5319</v>
      </c>
      <c r="D4561" t="s">
        <v>272</v>
      </c>
      <c r="E4561" t="s">
        <v>1072</v>
      </c>
      <c r="F4561" t="s">
        <v>117</v>
      </c>
      <c r="G4561" t="s">
        <v>1994</v>
      </c>
      <c r="H4561" s="9">
        <v>44733</v>
      </c>
      <c r="I4561" t="s">
        <v>1070</v>
      </c>
      <c r="J4561" t="s">
        <v>2</v>
      </c>
      <c r="K4561" s="9">
        <v>44834</v>
      </c>
      <c r="L4561" t="s">
        <v>29</v>
      </c>
      <c r="M4561" t="s">
        <v>5331</v>
      </c>
      <c r="N4561" s="9">
        <v>44778</v>
      </c>
      <c r="O4561" s="9">
        <v>44834</v>
      </c>
      <c r="P4561"/>
      <c r="Q4561"/>
      <c r="R4561"/>
      <c r="S4561"/>
      <c r="T4561"/>
      <c r="U4561"/>
    </row>
    <row r="4562" spans="1:21" hidden="1">
      <c r="A4562" s="7" t="s">
        <v>8816</v>
      </c>
      <c r="B4562" s="7" t="s">
        <v>7729</v>
      </c>
      <c r="C4562" s="8" t="s">
        <v>5319</v>
      </c>
      <c r="D4562" t="s">
        <v>272</v>
      </c>
      <c r="E4562" t="s">
        <v>1072</v>
      </c>
      <c r="F4562" t="s">
        <v>117</v>
      </c>
      <c r="G4562" t="s">
        <v>1995</v>
      </c>
      <c r="H4562" s="9">
        <v>44733</v>
      </c>
      <c r="I4562" t="s">
        <v>1070</v>
      </c>
      <c r="J4562" t="s">
        <v>2</v>
      </c>
      <c r="K4562" s="9">
        <v>44834</v>
      </c>
      <c r="L4562" t="s">
        <v>29</v>
      </c>
      <c r="M4562" t="s">
        <v>5331</v>
      </c>
      <c r="N4562" s="9">
        <v>44778</v>
      </c>
      <c r="O4562" s="9">
        <v>44834</v>
      </c>
      <c r="P4562"/>
      <c r="Q4562"/>
      <c r="R4562"/>
      <c r="S4562"/>
      <c r="T4562"/>
      <c r="U4562"/>
    </row>
    <row r="4563" spans="1:21" hidden="1">
      <c r="A4563" s="7" t="s">
        <v>8816</v>
      </c>
      <c r="B4563" s="7" t="s">
        <v>7729</v>
      </c>
      <c r="C4563" s="8" t="s">
        <v>5319</v>
      </c>
      <c r="D4563" t="s">
        <v>272</v>
      </c>
      <c r="E4563" t="s">
        <v>1072</v>
      </c>
      <c r="F4563" t="s">
        <v>117</v>
      </c>
      <c r="G4563" t="s">
        <v>1996</v>
      </c>
      <c r="H4563" s="9">
        <v>44733</v>
      </c>
      <c r="I4563" t="s">
        <v>1070</v>
      </c>
      <c r="J4563" t="s">
        <v>2</v>
      </c>
      <c r="K4563" s="9">
        <v>44834</v>
      </c>
      <c r="L4563" t="s">
        <v>29</v>
      </c>
      <c r="M4563" t="s">
        <v>5331</v>
      </c>
      <c r="N4563" s="9">
        <v>44778</v>
      </c>
      <c r="O4563" s="9">
        <v>44834</v>
      </c>
      <c r="P4563"/>
      <c r="Q4563"/>
      <c r="R4563"/>
      <c r="S4563"/>
      <c r="T4563"/>
      <c r="U4563"/>
    </row>
    <row r="4564" spans="1:21" hidden="1">
      <c r="A4564" s="7" t="s">
        <v>8816</v>
      </c>
      <c r="B4564" s="7" t="s">
        <v>7729</v>
      </c>
      <c r="C4564" s="8" t="s">
        <v>5319</v>
      </c>
      <c r="D4564" t="s">
        <v>272</v>
      </c>
      <c r="E4564" t="s">
        <v>1072</v>
      </c>
      <c r="F4564" t="s">
        <v>117</v>
      </c>
      <c r="G4564" t="s">
        <v>1997</v>
      </c>
      <c r="H4564" s="9">
        <v>44733</v>
      </c>
      <c r="I4564" t="s">
        <v>1070</v>
      </c>
      <c r="J4564" t="s">
        <v>2</v>
      </c>
      <c r="K4564" s="9">
        <v>44834</v>
      </c>
      <c r="L4564" t="s">
        <v>29</v>
      </c>
      <c r="M4564" t="s">
        <v>5331</v>
      </c>
      <c r="N4564" s="9">
        <v>44778</v>
      </c>
      <c r="O4564" s="9">
        <v>44834</v>
      </c>
      <c r="P4564"/>
      <c r="Q4564"/>
      <c r="R4564"/>
      <c r="S4564"/>
      <c r="T4564"/>
      <c r="U4564"/>
    </row>
    <row r="4565" spans="1:21" hidden="1">
      <c r="A4565" s="7" t="s">
        <v>8816</v>
      </c>
      <c r="B4565" s="7" t="s">
        <v>7729</v>
      </c>
      <c r="C4565" s="8" t="s">
        <v>5319</v>
      </c>
      <c r="D4565" t="s">
        <v>272</v>
      </c>
      <c r="E4565" t="s">
        <v>1072</v>
      </c>
      <c r="F4565" t="s">
        <v>117</v>
      </c>
      <c r="G4565" t="s">
        <v>1998</v>
      </c>
      <c r="H4565" s="9">
        <v>44733</v>
      </c>
      <c r="I4565" t="s">
        <v>1070</v>
      </c>
      <c r="J4565" t="s">
        <v>2</v>
      </c>
      <c r="K4565" s="9">
        <v>44834</v>
      </c>
      <c r="L4565" t="s">
        <v>29</v>
      </c>
      <c r="M4565" t="s">
        <v>5331</v>
      </c>
      <c r="N4565" s="9">
        <v>44778</v>
      </c>
      <c r="O4565" s="9">
        <v>44834</v>
      </c>
      <c r="P4565"/>
      <c r="Q4565"/>
      <c r="R4565"/>
      <c r="S4565"/>
      <c r="T4565"/>
      <c r="U4565"/>
    </row>
    <row r="4566" spans="1:21" hidden="1">
      <c r="A4566" s="7" t="s">
        <v>8816</v>
      </c>
      <c r="B4566" s="7" t="s">
        <v>7729</v>
      </c>
      <c r="C4566" s="8" t="s">
        <v>5319</v>
      </c>
      <c r="D4566" t="s">
        <v>272</v>
      </c>
      <c r="E4566" t="s">
        <v>1072</v>
      </c>
      <c r="F4566" t="s">
        <v>117</v>
      </c>
      <c r="G4566" t="s">
        <v>1999</v>
      </c>
      <c r="H4566" s="9">
        <v>44733</v>
      </c>
      <c r="I4566" t="s">
        <v>1070</v>
      </c>
      <c r="J4566" t="s">
        <v>2</v>
      </c>
      <c r="K4566" s="9">
        <v>44834</v>
      </c>
      <c r="L4566" t="s">
        <v>29</v>
      </c>
      <c r="M4566" t="s">
        <v>5331</v>
      </c>
      <c r="N4566" s="9">
        <v>44778</v>
      </c>
      <c r="O4566" s="9">
        <v>44834</v>
      </c>
      <c r="P4566"/>
      <c r="Q4566"/>
      <c r="R4566"/>
      <c r="S4566"/>
      <c r="T4566"/>
      <c r="U4566"/>
    </row>
    <row r="4567" spans="1:21" hidden="1">
      <c r="A4567" s="7" t="s">
        <v>8816</v>
      </c>
      <c r="B4567" s="7" t="s">
        <v>7729</v>
      </c>
      <c r="C4567" s="8" t="s">
        <v>5319</v>
      </c>
      <c r="D4567" t="s">
        <v>272</v>
      </c>
      <c r="E4567" t="s">
        <v>1072</v>
      </c>
      <c r="F4567" t="s">
        <v>117</v>
      </c>
      <c r="G4567" t="s">
        <v>2000</v>
      </c>
      <c r="H4567" s="9">
        <v>44733</v>
      </c>
      <c r="I4567" t="s">
        <v>1070</v>
      </c>
      <c r="J4567" t="s">
        <v>2</v>
      </c>
      <c r="K4567" s="9">
        <v>44834</v>
      </c>
      <c r="L4567" t="s">
        <v>29</v>
      </c>
      <c r="M4567" t="s">
        <v>5331</v>
      </c>
      <c r="N4567" s="9">
        <v>44778</v>
      </c>
      <c r="O4567" s="9">
        <v>44834</v>
      </c>
      <c r="P4567"/>
      <c r="Q4567"/>
      <c r="R4567"/>
      <c r="S4567"/>
      <c r="T4567"/>
      <c r="U4567"/>
    </row>
    <row r="4568" spans="1:21" hidden="1">
      <c r="A4568" s="7" t="s">
        <v>8816</v>
      </c>
      <c r="B4568" s="7" t="s">
        <v>7729</v>
      </c>
      <c r="C4568" s="8" t="s">
        <v>5319</v>
      </c>
      <c r="D4568" t="s">
        <v>272</v>
      </c>
      <c r="E4568" t="s">
        <v>1072</v>
      </c>
      <c r="F4568" t="s">
        <v>117</v>
      </c>
      <c r="G4568" t="s">
        <v>2001</v>
      </c>
      <c r="H4568" s="9">
        <v>44733</v>
      </c>
      <c r="I4568" t="s">
        <v>1070</v>
      </c>
      <c r="J4568" t="s">
        <v>2</v>
      </c>
      <c r="K4568" s="9">
        <v>44834</v>
      </c>
      <c r="L4568" t="s">
        <v>29</v>
      </c>
      <c r="M4568" t="s">
        <v>5331</v>
      </c>
      <c r="N4568" s="9">
        <v>44778</v>
      </c>
      <c r="O4568" s="9">
        <v>44834</v>
      </c>
      <c r="P4568"/>
      <c r="Q4568"/>
      <c r="R4568"/>
      <c r="S4568"/>
      <c r="T4568"/>
      <c r="U4568"/>
    </row>
    <row r="4569" spans="1:21" hidden="1">
      <c r="A4569" s="7" t="s">
        <v>8816</v>
      </c>
      <c r="B4569" s="7" t="s">
        <v>7729</v>
      </c>
      <c r="C4569" s="8" t="s">
        <v>5319</v>
      </c>
      <c r="D4569" t="s">
        <v>272</v>
      </c>
      <c r="E4569" t="s">
        <v>1072</v>
      </c>
      <c r="F4569" t="s">
        <v>117</v>
      </c>
      <c r="G4569" t="s">
        <v>2002</v>
      </c>
      <c r="H4569" s="9">
        <v>44733</v>
      </c>
      <c r="I4569" t="s">
        <v>1070</v>
      </c>
      <c r="J4569" t="s">
        <v>2</v>
      </c>
      <c r="K4569" s="9">
        <v>44834</v>
      </c>
      <c r="L4569" t="s">
        <v>29</v>
      </c>
      <c r="M4569" t="s">
        <v>5331</v>
      </c>
      <c r="N4569" s="9">
        <v>44778</v>
      </c>
      <c r="O4569" s="9">
        <v>44834</v>
      </c>
      <c r="P4569"/>
      <c r="Q4569"/>
      <c r="R4569"/>
      <c r="S4569"/>
      <c r="T4569"/>
      <c r="U4569"/>
    </row>
    <row r="4570" spans="1:21" hidden="1">
      <c r="A4570" s="7" t="s">
        <v>8816</v>
      </c>
      <c r="B4570" s="7" t="s">
        <v>7729</v>
      </c>
      <c r="C4570" s="8" t="s">
        <v>5319</v>
      </c>
      <c r="D4570" t="s">
        <v>272</v>
      </c>
      <c r="E4570" t="s">
        <v>1072</v>
      </c>
      <c r="F4570" t="s">
        <v>117</v>
      </c>
      <c r="G4570" t="s">
        <v>2003</v>
      </c>
      <c r="H4570" s="9">
        <v>44733</v>
      </c>
      <c r="I4570" t="s">
        <v>1070</v>
      </c>
      <c r="J4570" t="s">
        <v>2</v>
      </c>
      <c r="K4570" s="9">
        <v>44834</v>
      </c>
      <c r="L4570" t="s">
        <v>29</v>
      </c>
      <c r="M4570" t="s">
        <v>5331</v>
      </c>
      <c r="N4570" s="9">
        <v>44778</v>
      </c>
      <c r="O4570" s="9">
        <v>44834</v>
      </c>
      <c r="P4570"/>
      <c r="Q4570"/>
      <c r="R4570"/>
      <c r="S4570"/>
      <c r="T4570"/>
      <c r="U4570"/>
    </row>
    <row r="4571" spans="1:21" hidden="1">
      <c r="A4571" s="7" t="s">
        <v>8816</v>
      </c>
      <c r="B4571" s="7" t="s">
        <v>7729</v>
      </c>
      <c r="C4571" s="8" t="s">
        <v>5319</v>
      </c>
      <c r="D4571" t="s">
        <v>272</v>
      </c>
      <c r="E4571" t="s">
        <v>1072</v>
      </c>
      <c r="F4571" t="s">
        <v>117</v>
      </c>
      <c r="G4571" t="s">
        <v>2004</v>
      </c>
      <c r="H4571" s="9">
        <v>44733</v>
      </c>
      <c r="I4571" t="s">
        <v>1070</v>
      </c>
      <c r="J4571" t="s">
        <v>2</v>
      </c>
      <c r="K4571" s="9">
        <v>44834</v>
      </c>
      <c r="L4571" t="s">
        <v>29</v>
      </c>
      <c r="M4571" t="s">
        <v>5331</v>
      </c>
      <c r="N4571" s="9">
        <v>44778</v>
      </c>
      <c r="O4571" s="9">
        <v>44834</v>
      </c>
      <c r="P4571"/>
      <c r="Q4571"/>
      <c r="R4571"/>
      <c r="S4571"/>
      <c r="T4571"/>
      <c r="U4571"/>
    </row>
    <row r="4572" spans="1:21" hidden="1">
      <c r="A4572" s="7" t="s">
        <v>8816</v>
      </c>
      <c r="B4572" s="7" t="s">
        <v>7729</v>
      </c>
      <c r="C4572" s="8" t="s">
        <v>5319</v>
      </c>
      <c r="D4572" t="s">
        <v>272</v>
      </c>
      <c r="E4572" t="s">
        <v>1072</v>
      </c>
      <c r="F4572" t="s">
        <v>117</v>
      </c>
      <c r="G4572" t="s">
        <v>2005</v>
      </c>
      <c r="H4572" s="9">
        <v>44733</v>
      </c>
      <c r="I4572" t="s">
        <v>1070</v>
      </c>
      <c r="J4572" t="s">
        <v>2</v>
      </c>
      <c r="K4572" s="9">
        <v>44834</v>
      </c>
      <c r="L4572" t="s">
        <v>29</v>
      </c>
      <c r="M4572" t="s">
        <v>5331</v>
      </c>
      <c r="N4572" s="9">
        <v>44778</v>
      </c>
      <c r="O4572" s="9">
        <v>44834</v>
      </c>
      <c r="P4572"/>
      <c r="Q4572"/>
      <c r="R4572"/>
      <c r="S4572"/>
      <c r="T4572"/>
      <c r="U4572"/>
    </row>
    <row r="4573" spans="1:21" hidden="1">
      <c r="A4573" s="7" t="s">
        <v>8816</v>
      </c>
      <c r="B4573" s="7" t="s">
        <v>7729</v>
      </c>
      <c r="C4573" s="8" t="s">
        <v>5319</v>
      </c>
      <c r="D4573" t="s">
        <v>272</v>
      </c>
      <c r="E4573" t="s">
        <v>1072</v>
      </c>
      <c r="F4573" t="s">
        <v>117</v>
      </c>
      <c r="G4573" t="s">
        <v>2006</v>
      </c>
      <c r="H4573" s="9">
        <v>44733</v>
      </c>
      <c r="I4573" t="s">
        <v>1070</v>
      </c>
      <c r="J4573" t="s">
        <v>2</v>
      </c>
      <c r="K4573" s="9">
        <v>44834</v>
      </c>
      <c r="L4573" t="s">
        <v>29</v>
      </c>
      <c r="M4573" t="s">
        <v>5331</v>
      </c>
      <c r="N4573" s="9">
        <v>44778</v>
      </c>
      <c r="O4573" s="9">
        <v>44834</v>
      </c>
      <c r="P4573"/>
      <c r="Q4573"/>
      <c r="R4573"/>
      <c r="S4573"/>
      <c r="T4573"/>
      <c r="U4573"/>
    </row>
    <row r="4574" spans="1:21" hidden="1">
      <c r="A4574" s="7" t="s">
        <v>8816</v>
      </c>
      <c r="B4574" s="7" t="s">
        <v>7729</v>
      </c>
      <c r="C4574" s="8" t="s">
        <v>5319</v>
      </c>
      <c r="D4574" t="s">
        <v>272</v>
      </c>
      <c r="E4574" t="s">
        <v>1072</v>
      </c>
      <c r="F4574" t="s">
        <v>117</v>
      </c>
      <c r="G4574" t="s">
        <v>2007</v>
      </c>
      <c r="H4574" s="9">
        <v>44733</v>
      </c>
      <c r="I4574" t="s">
        <v>1070</v>
      </c>
      <c r="J4574" t="s">
        <v>2</v>
      </c>
      <c r="K4574" s="9">
        <v>44834</v>
      </c>
      <c r="L4574" t="s">
        <v>29</v>
      </c>
      <c r="M4574" t="s">
        <v>5331</v>
      </c>
      <c r="N4574" s="9">
        <v>44778</v>
      </c>
      <c r="O4574" s="9">
        <v>44834</v>
      </c>
      <c r="P4574"/>
      <c r="Q4574"/>
      <c r="R4574"/>
      <c r="S4574"/>
      <c r="T4574"/>
      <c r="U4574"/>
    </row>
    <row r="4575" spans="1:21" hidden="1">
      <c r="A4575" s="7" t="s">
        <v>8816</v>
      </c>
      <c r="B4575" s="7" t="s">
        <v>7729</v>
      </c>
      <c r="C4575" s="8" t="s">
        <v>5319</v>
      </c>
      <c r="D4575" t="s">
        <v>272</v>
      </c>
      <c r="E4575" t="s">
        <v>1072</v>
      </c>
      <c r="F4575" t="s">
        <v>117</v>
      </c>
      <c r="G4575" t="s">
        <v>2008</v>
      </c>
      <c r="H4575" s="9">
        <v>44733</v>
      </c>
      <c r="I4575" t="s">
        <v>1070</v>
      </c>
      <c r="J4575" t="s">
        <v>2</v>
      </c>
      <c r="K4575" s="9">
        <v>44834</v>
      </c>
      <c r="L4575" t="s">
        <v>29</v>
      </c>
      <c r="M4575" t="s">
        <v>5331</v>
      </c>
      <c r="N4575" s="9">
        <v>44778</v>
      </c>
      <c r="O4575" s="9">
        <v>44834</v>
      </c>
      <c r="P4575"/>
      <c r="Q4575"/>
      <c r="R4575"/>
      <c r="S4575"/>
      <c r="T4575"/>
      <c r="U4575"/>
    </row>
    <row r="4576" spans="1:21" hidden="1">
      <c r="A4576" s="7" t="s">
        <v>8816</v>
      </c>
      <c r="B4576" s="7" t="s">
        <v>7729</v>
      </c>
      <c r="C4576" s="8" t="s">
        <v>5319</v>
      </c>
      <c r="D4576" t="s">
        <v>272</v>
      </c>
      <c r="E4576" t="s">
        <v>1072</v>
      </c>
      <c r="F4576" t="s">
        <v>117</v>
      </c>
      <c r="G4576" t="s">
        <v>2009</v>
      </c>
      <c r="H4576" s="9">
        <v>44733</v>
      </c>
      <c r="I4576" t="s">
        <v>1070</v>
      </c>
      <c r="J4576" t="s">
        <v>2</v>
      </c>
      <c r="K4576" s="9">
        <v>44834</v>
      </c>
      <c r="L4576" t="s">
        <v>29</v>
      </c>
      <c r="M4576" t="s">
        <v>5331</v>
      </c>
      <c r="N4576" s="9">
        <v>44778</v>
      </c>
      <c r="O4576" s="9">
        <v>44834</v>
      </c>
      <c r="P4576"/>
      <c r="Q4576"/>
      <c r="R4576"/>
      <c r="S4576"/>
      <c r="T4576"/>
      <c r="U4576"/>
    </row>
    <row r="4577" spans="1:21" hidden="1">
      <c r="A4577" s="7" t="s">
        <v>8816</v>
      </c>
      <c r="B4577" s="7" t="s">
        <v>7729</v>
      </c>
      <c r="C4577" s="8" t="s">
        <v>5319</v>
      </c>
      <c r="D4577" t="s">
        <v>272</v>
      </c>
      <c r="E4577" t="s">
        <v>1072</v>
      </c>
      <c r="F4577" t="s">
        <v>117</v>
      </c>
      <c r="G4577" t="s">
        <v>2010</v>
      </c>
      <c r="H4577" s="9">
        <v>44733</v>
      </c>
      <c r="I4577" t="s">
        <v>1070</v>
      </c>
      <c r="J4577" t="s">
        <v>2</v>
      </c>
      <c r="K4577" s="9">
        <v>44834</v>
      </c>
      <c r="L4577" t="s">
        <v>29</v>
      </c>
      <c r="M4577" t="s">
        <v>5331</v>
      </c>
      <c r="N4577" s="9">
        <v>44778</v>
      </c>
      <c r="O4577" s="9">
        <v>44834</v>
      </c>
      <c r="P4577"/>
      <c r="Q4577"/>
      <c r="R4577"/>
      <c r="S4577"/>
      <c r="T4577"/>
      <c r="U4577"/>
    </row>
    <row r="4578" spans="1:21" hidden="1">
      <c r="A4578" s="7" t="s">
        <v>8816</v>
      </c>
      <c r="B4578" s="7" t="s">
        <v>7729</v>
      </c>
      <c r="C4578" s="8" t="s">
        <v>5319</v>
      </c>
      <c r="D4578" t="s">
        <v>272</v>
      </c>
      <c r="E4578" t="s">
        <v>1072</v>
      </c>
      <c r="F4578" t="s">
        <v>117</v>
      </c>
      <c r="G4578" t="s">
        <v>2011</v>
      </c>
      <c r="H4578" s="9">
        <v>44733</v>
      </c>
      <c r="I4578" t="s">
        <v>1070</v>
      </c>
      <c r="J4578" t="s">
        <v>2</v>
      </c>
      <c r="K4578" s="9">
        <v>44834</v>
      </c>
      <c r="L4578" t="s">
        <v>29</v>
      </c>
      <c r="M4578" t="s">
        <v>5331</v>
      </c>
      <c r="N4578" s="9">
        <v>44778</v>
      </c>
      <c r="O4578" s="9">
        <v>44834</v>
      </c>
      <c r="P4578"/>
      <c r="Q4578"/>
      <c r="R4578"/>
      <c r="S4578"/>
      <c r="T4578"/>
      <c r="U4578"/>
    </row>
    <row r="4579" spans="1:21" hidden="1">
      <c r="A4579" s="7" t="s">
        <v>8816</v>
      </c>
      <c r="B4579" s="7" t="s">
        <v>7729</v>
      </c>
      <c r="C4579" s="8" t="s">
        <v>5319</v>
      </c>
      <c r="D4579" t="s">
        <v>272</v>
      </c>
      <c r="E4579" t="s">
        <v>1072</v>
      </c>
      <c r="F4579" t="s">
        <v>117</v>
      </c>
      <c r="G4579" t="s">
        <v>2012</v>
      </c>
      <c r="H4579" s="9">
        <v>44733</v>
      </c>
      <c r="I4579" t="s">
        <v>1070</v>
      </c>
      <c r="J4579" t="s">
        <v>2</v>
      </c>
      <c r="K4579" s="9">
        <v>44834</v>
      </c>
      <c r="L4579" t="s">
        <v>29</v>
      </c>
      <c r="M4579" t="s">
        <v>5331</v>
      </c>
      <c r="N4579" s="9">
        <v>44778</v>
      </c>
      <c r="O4579" s="9">
        <v>44834</v>
      </c>
      <c r="P4579"/>
      <c r="Q4579"/>
      <c r="R4579"/>
      <c r="S4579"/>
      <c r="T4579"/>
      <c r="U4579"/>
    </row>
    <row r="4580" spans="1:21" hidden="1">
      <c r="A4580" s="7" t="s">
        <v>8816</v>
      </c>
      <c r="B4580" s="7" t="s">
        <v>7729</v>
      </c>
      <c r="C4580" s="8" t="s">
        <v>5319</v>
      </c>
      <c r="D4580" t="s">
        <v>272</v>
      </c>
      <c r="E4580" t="s">
        <v>1072</v>
      </c>
      <c r="F4580" t="s">
        <v>117</v>
      </c>
      <c r="G4580" t="s">
        <v>2013</v>
      </c>
      <c r="H4580" s="9">
        <v>44733</v>
      </c>
      <c r="I4580" t="s">
        <v>1070</v>
      </c>
      <c r="J4580" t="s">
        <v>2</v>
      </c>
      <c r="K4580" s="9">
        <v>44834</v>
      </c>
      <c r="L4580" t="s">
        <v>29</v>
      </c>
      <c r="M4580" t="s">
        <v>5331</v>
      </c>
      <c r="N4580" s="9">
        <v>44778</v>
      </c>
      <c r="O4580" s="9">
        <v>44834</v>
      </c>
      <c r="P4580"/>
      <c r="Q4580"/>
      <c r="R4580"/>
      <c r="S4580"/>
      <c r="T4580"/>
      <c r="U4580"/>
    </row>
    <row r="4581" spans="1:21" hidden="1">
      <c r="A4581" s="7" t="s">
        <v>8816</v>
      </c>
      <c r="B4581" s="7" t="s">
        <v>7729</v>
      </c>
      <c r="C4581" s="8" t="s">
        <v>5319</v>
      </c>
      <c r="D4581" t="s">
        <v>272</v>
      </c>
      <c r="E4581" t="s">
        <v>1072</v>
      </c>
      <c r="F4581" t="s">
        <v>117</v>
      </c>
      <c r="G4581" t="s">
        <v>2014</v>
      </c>
      <c r="H4581" s="9">
        <v>44733</v>
      </c>
      <c r="I4581" t="s">
        <v>1070</v>
      </c>
      <c r="J4581" t="s">
        <v>2</v>
      </c>
      <c r="K4581" s="9">
        <v>44834</v>
      </c>
      <c r="L4581" t="s">
        <v>29</v>
      </c>
      <c r="M4581" t="s">
        <v>5331</v>
      </c>
      <c r="N4581" s="9">
        <v>44778</v>
      </c>
      <c r="O4581" s="9">
        <v>44834</v>
      </c>
      <c r="P4581"/>
      <c r="Q4581"/>
      <c r="R4581"/>
      <c r="S4581"/>
      <c r="T4581"/>
      <c r="U4581"/>
    </row>
    <row r="4582" spans="1:21" hidden="1">
      <c r="A4582" s="7" t="s">
        <v>8816</v>
      </c>
      <c r="B4582" s="7" t="s">
        <v>7729</v>
      </c>
      <c r="C4582" s="8" t="s">
        <v>5319</v>
      </c>
      <c r="D4582" t="s">
        <v>272</v>
      </c>
      <c r="E4582" t="s">
        <v>1072</v>
      </c>
      <c r="F4582" t="s">
        <v>117</v>
      </c>
      <c r="G4582" t="s">
        <v>2015</v>
      </c>
      <c r="H4582" s="9">
        <v>44733</v>
      </c>
      <c r="I4582" t="s">
        <v>1070</v>
      </c>
      <c r="J4582" t="s">
        <v>2</v>
      </c>
      <c r="K4582" s="9">
        <v>44834</v>
      </c>
      <c r="L4582" t="s">
        <v>29</v>
      </c>
      <c r="M4582" t="s">
        <v>5331</v>
      </c>
      <c r="N4582" s="9">
        <v>44778</v>
      </c>
      <c r="O4582" s="9">
        <v>44834</v>
      </c>
      <c r="P4582"/>
      <c r="Q4582"/>
      <c r="R4582"/>
      <c r="S4582"/>
      <c r="T4582"/>
      <c r="U4582"/>
    </row>
    <row r="4583" spans="1:21" hidden="1">
      <c r="A4583" s="7" t="s">
        <v>8816</v>
      </c>
      <c r="B4583" s="7" t="s">
        <v>7729</v>
      </c>
      <c r="C4583" s="8" t="s">
        <v>5319</v>
      </c>
      <c r="D4583" t="s">
        <v>272</v>
      </c>
      <c r="E4583" t="s">
        <v>1072</v>
      </c>
      <c r="F4583" t="s">
        <v>117</v>
      </c>
      <c r="G4583" t="s">
        <v>2016</v>
      </c>
      <c r="H4583" s="9">
        <v>44733</v>
      </c>
      <c r="I4583" t="s">
        <v>1070</v>
      </c>
      <c r="J4583" t="s">
        <v>2</v>
      </c>
      <c r="K4583" s="9">
        <v>44834</v>
      </c>
      <c r="L4583" t="s">
        <v>29</v>
      </c>
      <c r="M4583" t="s">
        <v>5331</v>
      </c>
      <c r="N4583" s="9">
        <v>44778</v>
      </c>
      <c r="O4583" s="9">
        <v>44834</v>
      </c>
      <c r="P4583"/>
      <c r="Q4583"/>
      <c r="R4583"/>
      <c r="S4583"/>
      <c r="T4583"/>
      <c r="U4583"/>
    </row>
    <row r="4584" spans="1:21" hidden="1">
      <c r="A4584" s="7" t="s">
        <v>8816</v>
      </c>
      <c r="B4584" s="7" t="s">
        <v>7729</v>
      </c>
      <c r="C4584" s="8" t="s">
        <v>5319</v>
      </c>
      <c r="D4584" t="s">
        <v>272</v>
      </c>
      <c r="E4584" t="s">
        <v>1072</v>
      </c>
      <c r="F4584" t="s">
        <v>117</v>
      </c>
      <c r="G4584" t="s">
        <v>2017</v>
      </c>
      <c r="H4584" s="9">
        <v>44733</v>
      </c>
      <c r="I4584" t="s">
        <v>1070</v>
      </c>
      <c r="J4584" t="s">
        <v>2</v>
      </c>
      <c r="K4584" s="9">
        <v>44834</v>
      </c>
      <c r="L4584" t="s">
        <v>29</v>
      </c>
      <c r="M4584" t="s">
        <v>5331</v>
      </c>
      <c r="N4584" s="9">
        <v>44778</v>
      </c>
      <c r="O4584" s="9">
        <v>44834</v>
      </c>
      <c r="P4584"/>
      <c r="Q4584"/>
      <c r="R4584"/>
      <c r="S4584"/>
      <c r="T4584"/>
      <c r="U4584"/>
    </row>
    <row r="4585" spans="1:21" hidden="1">
      <c r="A4585" s="7" t="s">
        <v>8816</v>
      </c>
      <c r="B4585" s="7" t="s">
        <v>7729</v>
      </c>
      <c r="C4585" s="8" t="s">
        <v>5319</v>
      </c>
      <c r="D4585" t="s">
        <v>272</v>
      </c>
      <c r="E4585" t="s">
        <v>1072</v>
      </c>
      <c r="F4585" t="s">
        <v>117</v>
      </c>
      <c r="G4585" t="s">
        <v>2018</v>
      </c>
      <c r="H4585" s="9">
        <v>44733</v>
      </c>
      <c r="I4585" t="s">
        <v>1070</v>
      </c>
      <c r="J4585" t="s">
        <v>2</v>
      </c>
      <c r="K4585" s="9">
        <v>44834</v>
      </c>
      <c r="L4585" t="s">
        <v>29</v>
      </c>
      <c r="M4585" t="s">
        <v>5331</v>
      </c>
      <c r="N4585" s="9">
        <v>44778</v>
      </c>
      <c r="O4585" s="9">
        <v>44834</v>
      </c>
      <c r="P4585"/>
      <c r="Q4585"/>
      <c r="R4585"/>
      <c r="S4585"/>
      <c r="T4585"/>
      <c r="U4585"/>
    </row>
    <row r="4586" spans="1:21" hidden="1">
      <c r="A4586" s="7" t="s">
        <v>8816</v>
      </c>
      <c r="B4586" s="7" t="s">
        <v>7729</v>
      </c>
      <c r="C4586" s="8" t="s">
        <v>5319</v>
      </c>
      <c r="D4586" t="s">
        <v>272</v>
      </c>
      <c r="E4586" t="s">
        <v>1072</v>
      </c>
      <c r="F4586" t="s">
        <v>117</v>
      </c>
      <c r="G4586" t="s">
        <v>2019</v>
      </c>
      <c r="H4586" s="9">
        <v>44733</v>
      </c>
      <c r="I4586" t="s">
        <v>1070</v>
      </c>
      <c r="J4586" t="s">
        <v>2</v>
      </c>
      <c r="K4586" s="9">
        <v>44834</v>
      </c>
      <c r="L4586" t="s">
        <v>29</v>
      </c>
      <c r="M4586" t="s">
        <v>5331</v>
      </c>
      <c r="N4586" s="9">
        <v>44778</v>
      </c>
      <c r="O4586" s="9">
        <v>44834</v>
      </c>
      <c r="P4586"/>
      <c r="Q4586"/>
      <c r="R4586"/>
      <c r="S4586"/>
      <c r="T4586"/>
      <c r="U4586"/>
    </row>
    <row r="4587" spans="1:21" hidden="1">
      <c r="A4587" s="7" t="s">
        <v>8816</v>
      </c>
      <c r="B4587" s="7" t="s">
        <v>7729</v>
      </c>
      <c r="C4587" s="8" t="s">
        <v>5319</v>
      </c>
      <c r="D4587" t="s">
        <v>272</v>
      </c>
      <c r="E4587" t="s">
        <v>1072</v>
      </c>
      <c r="F4587" t="s">
        <v>117</v>
      </c>
      <c r="G4587" t="s">
        <v>2020</v>
      </c>
      <c r="H4587" s="9">
        <v>44733</v>
      </c>
      <c r="I4587" t="s">
        <v>1070</v>
      </c>
      <c r="J4587" t="s">
        <v>2</v>
      </c>
      <c r="K4587" s="9">
        <v>44834</v>
      </c>
      <c r="L4587" t="s">
        <v>29</v>
      </c>
      <c r="M4587" t="s">
        <v>5331</v>
      </c>
      <c r="N4587" s="9">
        <v>44778</v>
      </c>
      <c r="O4587" s="9">
        <v>44834</v>
      </c>
      <c r="P4587"/>
      <c r="Q4587"/>
      <c r="R4587"/>
      <c r="S4587"/>
      <c r="T4587"/>
      <c r="U4587"/>
    </row>
    <row r="4588" spans="1:21" hidden="1">
      <c r="A4588" s="7" t="s">
        <v>8816</v>
      </c>
      <c r="B4588" s="7" t="s">
        <v>7729</v>
      </c>
      <c r="C4588" s="8" t="s">
        <v>5319</v>
      </c>
      <c r="D4588" t="s">
        <v>272</v>
      </c>
      <c r="E4588" t="s">
        <v>1072</v>
      </c>
      <c r="F4588" t="s">
        <v>117</v>
      </c>
      <c r="G4588" t="s">
        <v>2021</v>
      </c>
      <c r="H4588" s="9">
        <v>44733</v>
      </c>
      <c r="I4588" t="s">
        <v>1070</v>
      </c>
      <c r="J4588" t="s">
        <v>2</v>
      </c>
      <c r="K4588" s="9">
        <v>44834</v>
      </c>
      <c r="L4588" t="s">
        <v>29</v>
      </c>
      <c r="M4588" t="s">
        <v>5331</v>
      </c>
      <c r="N4588" s="9">
        <v>44778</v>
      </c>
      <c r="O4588" s="9">
        <v>44834</v>
      </c>
      <c r="P4588"/>
      <c r="Q4588"/>
      <c r="R4588"/>
      <c r="S4588"/>
      <c r="T4588"/>
      <c r="U4588"/>
    </row>
    <row r="4589" spans="1:21" hidden="1">
      <c r="A4589" s="7" t="s">
        <v>8816</v>
      </c>
      <c r="B4589" s="7" t="s">
        <v>7729</v>
      </c>
      <c r="C4589" s="8" t="s">
        <v>5319</v>
      </c>
      <c r="D4589" t="s">
        <v>272</v>
      </c>
      <c r="E4589" t="s">
        <v>1072</v>
      </c>
      <c r="F4589" t="s">
        <v>117</v>
      </c>
      <c r="G4589" t="s">
        <v>2022</v>
      </c>
      <c r="H4589" s="9">
        <v>44733</v>
      </c>
      <c r="I4589" t="s">
        <v>1070</v>
      </c>
      <c r="J4589" t="s">
        <v>2</v>
      </c>
      <c r="K4589" s="9">
        <v>44834</v>
      </c>
      <c r="L4589" t="s">
        <v>29</v>
      </c>
      <c r="M4589" t="s">
        <v>5331</v>
      </c>
      <c r="N4589" s="9">
        <v>44778</v>
      </c>
      <c r="O4589" s="9">
        <v>44834</v>
      </c>
      <c r="P4589"/>
      <c r="Q4589"/>
      <c r="R4589"/>
      <c r="S4589"/>
      <c r="T4589"/>
      <c r="U4589"/>
    </row>
    <row r="4590" spans="1:21" hidden="1">
      <c r="A4590" s="7" t="s">
        <v>8816</v>
      </c>
      <c r="B4590" s="7" t="s">
        <v>7729</v>
      </c>
      <c r="C4590" s="8" t="s">
        <v>5319</v>
      </c>
      <c r="D4590" t="s">
        <v>272</v>
      </c>
      <c r="E4590" t="s">
        <v>1072</v>
      </c>
      <c r="F4590" t="s">
        <v>117</v>
      </c>
      <c r="G4590" t="s">
        <v>2023</v>
      </c>
      <c r="H4590" s="9">
        <v>44733</v>
      </c>
      <c r="I4590" t="s">
        <v>1070</v>
      </c>
      <c r="J4590" t="s">
        <v>2</v>
      </c>
      <c r="K4590" s="9">
        <v>44834</v>
      </c>
      <c r="L4590" t="s">
        <v>29</v>
      </c>
      <c r="M4590" t="s">
        <v>5331</v>
      </c>
      <c r="N4590" s="9">
        <v>44778</v>
      </c>
      <c r="O4590" s="9">
        <v>44834</v>
      </c>
      <c r="P4590"/>
      <c r="Q4590"/>
      <c r="R4590"/>
      <c r="S4590"/>
      <c r="T4590"/>
      <c r="U4590"/>
    </row>
    <row r="4591" spans="1:21" hidden="1">
      <c r="A4591" s="7" t="s">
        <v>8816</v>
      </c>
      <c r="B4591" s="7" t="s">
        <v>7729</v>
      </c>
      <c r="C4591" s="8" t="s">
        <v>5319</v>
      </c>
      <c r="D4591" t="s">
        <v>272</v>
      </c>
      <c r="E4591" t="s">
        <v>1072</v>
      </c>
      <c r="F4591" t="s">
        <v>117</v>
      </c>
      <c r="G4591" t="s">
        <v>2024</v>
      </c>
      <c r="H4591" s="9">
        <v>44733</v>
      </c>
      <c r="I4591" t="s">
        <v>1070</v>
      </c>
      <c r="J4591" t="s">
        <v>2</v>
      </c>
      <c r="K4591" s="9">
        <v>44834</v>
      </c>
      <c r="L4591" t="s">
        <v>29</v>
      </c>
      <c r="M4591" t="s">
        <v>5331</v>
      </c>
      <c r="N4591" s="9">
        <v>44778</v>
      </c>
      <c r="O4591" s="9">
        <v>44834</v>
      </c>
      <c r="P4591"/>
      <c r="Q4591"/>
      <c r="R4591"/>
      <c r="S4591"/>
      <c r="T4591"/>
      <c r="U4591"/>
    </row>
    <row r="4592" spans="1:21" hidden="1">
      <c r="A4592" s="7" t="s">
        <v>8816</v>
      </c>
      <c r="B4592" s="7" t="s">
        <v>7729</v>
      </c>
      <c r="C4592" s="8" t="s">
        <v>5319</v>
      </c>
      <c r="D4592" t="s">
        <v>272</v>
      </c>
      <c r="E4592" t="s">
        <v>1072</v>
      </c>
      <c r="F4592" t="s">
        <v>117</v>
      </c>
      <c r="G4592" t="s">
        <v>2025</v>
      </c>
      <c r="H4592" s="9">
        <v>44733</v>
      </c>
      <c r="I4592" t="s">
        <v>1070</v>
      </c>
      <c r="J4592" t="s">
        <v>2</v>
      </c>
      <c r="K4592" s="9">
        <v>44834</v>
      </c>
      <c r="L4592" t="s">
        <v>29</v>
      </c>
      <c r="M4592" t="s">
        <v>5331</v>
      </c>
      <c r="N4592" s="9">
        <v>44778</v>
      </c>
      <c r="O4592" s="9">
        <v>44834</v>
      </c>
      <c r="P4592"/>
      <c r="Q4592"/>
      <c r="R4592"/>
      <c r="S4592"/>
      <c r="T4592"/>
      <c r="U4592"/>
    </row>
    <row r="4593" spans="1:21" hidden="1">
      <c r="A4593" s="7" t="s">
        <v>8816</v>
      </c>
      <c r="B4593" s="7" t="s">
        <v>7729</v>
      </c>
      <c r="C4593" s="8" t="s">
        <v>5319</v>
      </c>
      <c r="D4593" t="s">
        <v>272</v>
      </c>
      <c r="E4593" t="s">
        <v>1072</v>
      </c>
      <c r="F4593" t="s">
        <v>117</v>
      </c>
      <c r="G4593" t="s">
        <v>2026</v>
      </c>
      <c r="H4593" s="9">
        <v>44733</v>
      </c>
      <c r="I4593" t="s">
        <v>1070</v>
      </c>
      <c r="J4593" t="s">
        <v>2</v>
      </c>
      <c r="K4593" s="9">
        <v>44834</v>
      </c>
      <c r="L4593" t="s">
        <v>29</v>
      </c>
      <c r="M4593" t="s">
        <v>5331</v>
      </c>
      <c r="N4593" s="9">
        <v>44778</v>
      </c>
      <c r="O4593" s="9">
        <v>44834</v>
      </c>
      <c r="P4593"/>
      <c r="Q4593"/>
      <c r="R4593"/>
      <c r="S4593"/>
      <c r="T4593"/>
      <c r="U4593"/>
    </row>
    <row r="4594" spans="1:21" hidden="1">
      <c r="A4594" s="7" t="s">
        <v>8816</v>
      </c>
      <c r="B4594" s="7" t="s">
        <v>7729</v>
      </c>
      <c r="C4594" s="8" t="s">
        <v>5319</v>
      </c>
      <c r="D4594" t="s">
        <v>272</v>
      </c>
      <c r="E4594" t="s">
        <v>1072</v>
      </c>
      <c r="F4594" t="s">
        <v>117</v>
      </c>
      <c r="G4594" t="s">
        <v>2027</v>
      </c>
      <c r="H4594" s="9">
        <v>44733</v>
      </c>
      <c r="I4594" t="s">
        <v>1070</v>
      </c>
      <c r="J4594" t="s">
        <v>2</v>
      </c>
      <c r="K4594" s="9">
        <v>44834</v>
      </c>
      <c r="L4594" t="s">
        <v>29</v>
      </c>
      <c r="M4594" t="s">
        <v>5331</v>
      </c>
      <c r="N4594" s="9">
        <v>44778</v>
      </c>
      <c r="O4594" s="9">
        <v>44834</v>
      </c>
      <c r="P4594"/>
      <c r="Q4594"/>
      <c r="R4594"/>
      <c r="S4594"/>
      <c r="T4594"/>
      <c r="U4594"/>
    </row>
    <row r="4595" spans="1:21" hidden="1">
      <c r="A4595" s="7" t="s">
        <v>8816</v>
      </c>
      <c r="B4595" s="7" t="s">
        <v>7729</v>
      </c>
      <c r="C4595" s="8" t="s">
        <v>5319</v>
      </c>
      <c r="D4595" t="s">
        <v>272</v>
      </c>
      <c r="E4595" t="s">
        <v>1072</v>
      </c>
      <c r="F4595" t="s">
        <v>117</v>
      </c>
      <c r="G4595" t="s">
        <v>2028</v>
      </c>
      <c r="H4595" s="9">
        <v>44733</v>
      </c>
      <c r="I4595" t="s">
        <v>1070</v>
      </c>
      <c r="J4595" t="s">
        <v>2</v>
      </c>
      <c r="K4595" s="9">
        <v>44834</v>
      </c>
      <c r="L4595" t="s">
        <v>29</v>
      </c>
      <c r="M4595" t="s">
        <v>5331</v>
      </c>
      <c r="N4595" s="9">
        <v>44778</v>
      </c>
      <c r="O4595" s="9">
        <v>44834</v>
      </c>
      <c r="P4595"/>
      <c r="Q4595"/>
      <c r="R4595"/>
      <c r="S4595"/>
      <c r="T4595"/>
      <c r="U4595"/>
    </row>
    <row r="4596" spans="1:21" hidden="1">
      <c r="A4596" s="7" t="s">
        <v>8816</v>
      </c>
      <c r="B4596" s="7" t="s">
        <v>7729</v>
      </c>
      <c r="C4596" s="8" t="s">
        <v>5319</v>
      </c>
      <c r="D4596" t="s">
        <v>272</v>
      </c>
      <c r="E4596" t="s">
        <v>1072</v>
      </c>
      <c r="F4596" t="s">
        <v>117</v>
      </c>
      <c r="G4596" t="s">
        <v>2029</v>
      </c>
      <c r="H4596" s="9">
        <v>44733</v>
      </c>
      <c r="I4596" t="s">
        <v>1070</v>
      </c>
      <c r="J4596" t="s">
        <v>2</v>
      </c>
      <c r="K4596" s="9">
        <v>44834</v>
      </c>
      <c r="L4596" t="s">
        <v>29</v>
      </c>
      <c r="M4596" t="s">
        <v>5331</v>
      </c>
      <c r="N4596" s="9">
        <v>44778</v>
      </c>
      <c r="O4596" s="9">
        <v>44834</v>
      </c>
      <c r="P4596"/>
      <c r="Q4596"/>
      <c r="R4596"/>
      <c r="S4596"/>
      <c r="T4596"/>
      <c r="U4596"/>
    </row>
    <row r="4597" spans="1:21" hidden="1">
      <c r="A4597" s="7" t="s">
        <v>8816</v>
      </c>
      <c r="B4597" s="7" t="s">
        <v>7729</v>
      </c>
      <c r="C4597" s="8" t="s">
        <v>5319</v>
      </c>
      <c r="D4597" t="s">
        <v>272</v>
      </c>
      <c r="E4597" t="s">
        <v>1072</v>
      </c>
      <c r="F4597" t="s">
        <v>117</v>
      </c>
      <c r="G4597" t="s">
        <v>2030</v>
      </c>
      <c r="H4597" s="9">
        <v>44733</v>
      </c>
      <c r="I4597" t="s">
        <v>1070</v>
      </c>
      <c r="J4597" t="s">
        <v>2</v>
      </c>
      <c r="K4597" s="9">
        <v>44834</v>
      </c>
      <c r="L4597" t="s">
        <v>29</v>
      </c>
      <c r="M4597" t="s">
        <v>5331</v>
      </c>
      <c r="N4597" s="9">
        <v>44778</v>
      </c>
      <c r="O4597" s="9">
        <v>44834</v>
      </c>
      <c r="P4597"/>
      <c r="Q4597"/>
      <c r="R4597"/>
      <c r="S4597"/>
      <c r="T4597"/>
      <c r="U4597"/>
    </row>
    <row r="4598" spans="1:21" hidden="1">
      <c r="A4598" s="7" t="s">
        <v>8816</v>
      </c>
      <c r="B4598" s="7" t="s">
        <v>7729</v>
      </c>
      <c r="C4598" s="8" t="s">
        <v>5319</v>
      </c>
      <c r="D4598" t="s">
        <v>272</v>
      </c>
      <c r="E4598" t="s">
        <v>1072</v>
      </c>
      <c r="F4598" t="s">
        <v>117</v>
      </c>
      <c r="G4598" t="s">
        <v>2031</v>
      </c>
      <c r="H4598" s="9">
        <v>44733</v>
      </c>
      <c r="I4598" t="s">
        <v>1070</v>
      </c>
      <c r="J4598" t="s">
        <v>2</v>
      </c>
      <c r="K4598" s="9">
        <v>44834</v>
      </c>
      <c r="L4598" t="s">
        <v>29</v>
      </c>
      <c r="M4598" t="s">
        <v>5331</v>
      </c>
      <c r="N4598" s="9">
        <v>44778</v>
      </c>
      <c r="O4598" s="9">
        <v>44834</v>
      </c>
      <c r="P4598"/>
      <c r="Q4598"/>
      <c r="R4598"/>
      <c r="S4598"/>
      <c r="T4598"/>
      <c r="U4598"/>
    </row>
    <row r="4599" spans="1:21" hidden="1">
      <c r="A4599" s="7" t="s">
        <v>8816</v>
      </c>
      <c r="B4599" s="7" t="s">
        <v>7729</v>
      </c>
      <c r="C4599" s="8" t="s">
        <v>5319</v>
      </c>
      <c r="D4599" t="s">
        <v>272</v>
      </c>
      <c r="E4599" t="s">
        <v>1072</v>
      </c>
      <c r="F4599" t="s">
        <v>117</v>
      </c>
      <c r="G4599" t="s">
        <v>2032</v>
      </c>
      <c r="H4599" s="9">
        <v>44733</v>
      </c>
      <c r="I4599" t="s">
        <v>1070</v>
      </c>
      <c r="J4599" t="s">
        <v>2</v>
      </c>
      <c r="K4599" s="9">
        <v>44834</v>
      </c>
      <c r="L4599" t="s">
        <v>29</v>
      </c>
      <c r="M4599" t="s">
        <v>5331</v>
      </c>
      <c r="N4599" s="9">
        <v>44778</v>
      </c>
      <c r="O4599" s="9">
        <v>44834</v>
      </c>
      <c r="P4599"/>
      <c r="Q4599"/>
      <c r="R4599"/>
      <c r="S4599"/>
      <c r="T4599"/>
      <c r="U4599"/>
    </row>
    <row r="4600" spans="1:21" hidden="1">
      <c r="A4600" s="7" t="s">
        <v>8816</v>
      </c>
      <c r="B4600" s="7" t="s">
        <v>7729</v>
      </c>
      <c r="C4600" s="8" t="s">
        <v>5319</v>
      </c>
      <c r="D4600" t="s">
        <v>272</v>
      </c>
      <c r="E4600" t="s">
        <v>1072</v>
      </c>
      <c r="F4600" t="s">
        <v>117</v>
      </c>
      <c r="G4600" t="s">
        <v>2033</v>
      </c>
      <c r="H4600" s="9">
        <v>44733</v>
      </c>
      <c r="I4600" t="s">
        <v>1070</v>
      </c>
      <c r="J4600" t="s">
        <v>2</v>
      </c>
      <c r="K4600" s="9">
        <v>44834</v>
      </c>
      <c r="L4600" t="s">
        <v>29</v>
      </c>
      <c r="M4600" t="s">
        <v>5331</v>
      </c>
      <c r="N4600" s="9">
        <v>44778</v>
      </c>
      <c r="O4600" s="9">
        <v>44834</v>
      </c>
      <c r="P4600"/>
      <c r="Q4600"/>
      <c r="R4600"/>
      <c r="S4600"/>
      <c r="T4600"/>
      <c r="U4600"/>
    </row>
    <row r="4601" spans="1:21" hidden="1">
      <c r="A4601" s="7" t="s">
        <v>8816</v>
      </c>
      <c r="B4601" s="7" t="s">
        <v>7729</v>
      </c>
      <c r="C4601" s="8" t="s">
        <v>5319</v>
      </c>
      <c r="D4601" t="s">
        <v>272</v>
      </c>
      <c r="E4601" t="s">
        <v>1072</v>
      </c>
      <c r="F4601" t="s">
        <v>117</v>
      </c>
      <c r="G4601" t="s">
        <v>2034</v>
      </c>
      <c r="H4601" s="9">
        <v>44733</v>
      </c>
      <c r="I4601" t="s">
        <v>1070</v>
      </c>
      <c r="J4601" t="s">
        <v>2</v>
      </c>
      <c r="K4601" s="9">
        <v>44834</v>
      </c>
      <c r="L4601" t="s">
        <v>29</v>
      </c>
      <c r="M4601" t="s">
        <v>5331</v>
      </c>
      <c r="N4601" s="9">
        <v>44778</v>
      </c>
      <c r="O4601" s="9">
        <v>44834</v>
      </c>
      <c r="P4601"/>
      <c r="Q4601"/>
      <c r="R4601"/>
      <c r="S4601"/>
      <c r="T4601"/>
      <c r="U4601"/>
    </row>
    <row r="4602" spans="1:21" hidden="1">
      <c r="A4602" s="7" t="s">
        <v>8816</v>
      </c>
      <c r="B4602" s="7" t="s">
        <v>7729</v>
      </c>
      <c r="C4602" s="8" t="s">
        <v>5319</v>
      </c>
      <c r="D4602" t="s">
        <v>272</v>
      </c>
      <c r="E4602" t="s">
        <v>1072</v>
      </c>
      <c r="F4602" t="s">
        <v>117</v>
      </c>
      <c r="G4602" t="s">
        <v>2035</v>
      </c>
      <c r="H4602" s="9">
        <v>44733</v>
      </c>
      <c r="I4602" t="s">
        <v>1070</v>
      </c>
      <c r="J4602" t="s">
        <v>2</v>
      </c>
      <c r="K4602" s="9">
        <v>44834</v>
      </c>
      <c r="L4602" t="s">
        <v>29</v>
      </c>
      <c r="M4602" t="s">
        <v>5331</v>
      </c>
      <c r="N4602" s="9">
        <v>44778</v>
      </c>
      <c r="O4602" s="9">
        <v>44834</v>
      </c>
      <c r="P4602"/>
      <c r="Q4602"/>
      <c r="R4602"/>
      <c r="S4602"/>
      <c r="T4602"/>
      <c r="U4602"/>
    </row>
    <row r="4603" spans="1:21" hidden="1">
      <c r="A4603" s="7" t="s">
        <v>8816</v>
      </c>
      <c r="B4603" s="7" t="s">
        <v>7729</v>
      </c>
      <c r="C4603" s="8" t="s">
        <v>5319</v>
      </c>
      <c r="D4603" t="s">
        <v>272</v>
      </c>
      <c r="E4603" t="s">
        <v>1072</v>
      </c>
      <c r="F4603" t="s">
        <v>117</v>
      </c>
      <c r="G4603" t="s">
        <v>2036</v>
      </c>
      <c r="H4603" s="9">
        <v>44733</v>
      </c>
      <c r="I4603" t="s">
        <v>1070</v>
      </c>
      <c r="J4603" t="s">
        <v>2</v>
      </c>
      <c r="K4603" s="9">
        <v>44834</v>
      </c>
      <c r="L4603" t="s">
        <v>29</v>
      </c>
      <c r="M4603" t="s">
        <v>5331</v>
      </c>
      <c r="N4603" s="9">
        <v>44778</v>
      </c>
      <c r="O4603" s="9">
        <v>44834</v>
      </c>
      <c r="P4603"/>
      <c r="Q4603"/>
      <c r="R4603"/>
      <c r="S4603"/>
      <c r="T4603"/>
      <c r="U4603"/>
    </row>
    <row r="4604" spans="1:21" hidden="1">
      <c r="A4604" s="7" t="s">
        <v>8816</v>
      </c>
      <c r="B4604" s="7" t="s">
        <v>7729</v>
      </c>
      <c r="C4604" s="8" t="s">
        <v>5319</v>
      </c>
      <c r="D4604" t="s">
        <v>272</v>
      </c>
      <c r="E4604" t="s">
        <v>1072</v>
      </c>
      <c r="F4604" t="s">
        <v>117</v>
      </c>
      <c r="G4604" t="s">
        <v>2037</v>
      </c>
      <c r="H4604" s="9">
        <v>44733</v>
      </c>
      <c r="I4604" t="s">
        <v>1070</v>
      </c>
      <c r="J4604" t="s">
        <v>2</v>
      </c>
      <c r="K4604" s="9">
        <v>44834</v>
      </c>
      <c r="L4604" t="s">
        <v>29</v>
      </c>
      <c r="M4604" t="s">
        <v>5331</v>
      </c>
      <c r="N4604" s="9">
        <v>44778</v>
      </c>
      <c r="O4604" s="9">
        <v>44834</v>
      </c>
      <c r="P4604"/>
      <c r="Q4604"/>
      <c r="R4604"/>
      <c r="S4604"/>
      <c r="T4604"/>
      <c r="U4604"/>
    </row>
    <row r="4605" spans="1:21" hidden="1">
      <c r="A4605" s="7" t="s">
        <v>8816</v>
      </c>
      <c r="B4605" s="7" t="s">
        <v>7729</v>
      </c>
      <c r="C4605" s="8" t="s">
        <v>5319</v>
      </c>
      <c r="D4605" t="s">
        <v>272</v>
      </c>
      <c r="E4605" t="s">
        <v>1072</v>
      </c>
      <c r="F4605" t="s">
        <v>117</v>
      </c>
      <c r="G4605" t="s">
        <v>2038</v>
      </c>
      <c r="H4605" s="9">
        <v>44733</v>
      </c>
      <c r="I4605" t="s">
        <v>1070</v>
      </c>
      <c r="J4605" t="s">
        <v>2</v>
      </c>
      <c r="K4605" s="9">
        <v>44834</v>
      </c>
      <c r="L4605" t="s">
        <v>29</v>
      </c>
      <c r="M4605" t="s">
        <v>5331</v>
      </c>
      <c r="N4605" s="9">
        <v>44778</v>
      </c>
      <c r="O4605" s="9">
        <v>44834</v>
      </c>
      <c r="P4605"/>
      <c r="Q4605"/>
      <c r="R4605"/>
      <c r="S4605"/>
      <c r="T4605"/>
      <c r="U4605"/>
    </row>
    <row r="4606" spans="1:21" hidden="1">
      <c r="A4606" s="7" t="s">
        <v>8816</v>
      </c>
      <c r="B4606" s="7" t="s">
        <v>7729</v>
      </c>
      <c r="C4606" s="8" t="s">
        <v>5319</v>
      </c>
      <c r="D4606" t="s">
        <v>272</v>
      </c>
      <c r="E4606" t="s">
        <v>1072</v>
      </c>
      <c r="F4606" t="s">
        <v>117</v>
      </c>
      <c r="G4606" t="s">
        <v>2039</v>
      </c>
      <c r="H4606" s="9">
        <v>44733</v>
      </c>
      <c r="I4606" t="s">
        <v>1070</v>
      </c>
      <c r="J4606" t="s">
        <v>2</v>
      </c>
      <c r="K4606" s="9">
        <v>44834</v>
      </c>
      <c r="L4606" t="s">
        <v>29</v>
      </c>
      <c r="M4606" t="s">
        <v>5331</v>
      </c>
      <c r="N4606" s="9">
        <v>44778</v>
      </c>
      <c r="O4606" s="9">
        <v>44834</v>
      </c>
      <c r="P4606"/>
      <c r="Q4606"/>
      <c r="R4606"/>
      <c r="S4606"/>
      <c r="T4606"/>
      <c r="U4606"/>
    </row>
    <row r="4607" spans="1:21" hidden="1">
      <c r="A4607" s="7" t="s">
        <v>8816</v>
      </c>
      <c r="B4607" s="7" t="s">
        <v>7729</v>
      </c>
      <c r="C4607" s="8" t="s">
        <v>5319</v>
      </c>
      <c r="D4607" t="s">
        <v>272</v>
      </c>
      <c r="E4607" t="s">
        <v>1072</v>
      </c>
      <c r="F4607" t="s">
        <v>117</v>
      </c>
      <c r="G4607" t="s">
        <v>2040</v>
      </c>
      <c r="H4607" s="9">
        <v>44733</v>
      </c>
      <c r="I4607" t="s">
        <v>1070</v>
      </c>
      <c r="J4607" t="s">
        <v>2</v>
      </c>
      <c r="K4607" s="9">
        <v>44834</v>
      </c>
      <c r="L4607" t="s">
        <v>29</v>
      </c>
      <c r="M4607" t="s">
        <v>5331</v>
      </c>
      <c r="N4607" s="9">
        <v>44778</v>
      </c>
      <c r="O4607" s="9">
        <v>44834</v>
      </c>
      <c r="P4607"/>
      <c r="Q4607"/>
      <c r="R4607"/>
      <c r="S4607"/>
      <c r="T4607"/>
      <c r="U4607"/>
    </row>
    <row r="4608" spans="1:21" hidden="1">
      <c r="A4608" s="7" t="s">
        <v>8816</v>
      </c>
      <c r="B4608" s="7" t="s">
        <v>7729</v>
      </c>
      <c r="C4608" s="8" t="s">
        <v>5319</v>
      </c>
      <c r="D4608" t="s">
        <v>272</v>
      </c>
      <c r="E4608" t="s">
        <v>1072</v>
      </c>
      <c r="F4608" t="s">
        <v>117</v>
      </c>
      <c r="G4608" t="s">
        <v>2041</v>
      </c>
      <c r="H4608" s="9">
        <v>44733</v>
      </c>
      <c r="I4608" t="s">
        <v>1070</v>
      </c>
      <c r="J4608" t="s">
        <v>2</v>
      </c>
      <c r="K4608" s="9">
        <v>44834</v>
      </c>
      <c r="L4608" t="s">
        <v>29</v>
      </c>
      <c r="M4608" t="s">
        <v>5331</v>
      </c>
      <c r="N4608" s="9">
        <v>44778</v>
      </c>
      <c r="O4608" s="9">
        <v>44834</v>
      </c>
      <c r="P4608"/>
      <c r="Q4608"/>
      <c r="R4608"/>
      <c r="S4608"/>
      <c r="T4608"/>
      <c r="U4608"/>
    </row>
    <row r="4609" spans="1:21" hidden="1">
      <c r="A4609" s="7" t="s">
        <v>8816</v>
      </c>
      <c r="B4609" s="7" t="s">
        <v>7729</v>
      </c>
      <c r="C4609" s="8" t="s">
        <v>5319</v>
      </c>
      <c r="D4609" t="s">
        <v>272</v>
      </c>
      <c r="E4609" t="s">
        <v>1072</v>
      </c>
      <c r="F4609" t="s">
        <v>117</v>
      </c>
      <c r="G4609" t="s">
        <v>2042</v>
      </c>
      <c r="H4609" s="9">
        <v>44733</v>
      </c>
      <c r="I4609" t="s">
        <v>1070</v>
      </c>
      <c r="J4609" t="s">
        <v>2</v>
      </c>
      <c r="K4609" s="9">
        <v>44834</v>
      </c>
      <c r="L4609" t="s">
        <v>29</v>
      </c>
      <c r="M4609" t="s">
        <v>5331</v>
      </c>
      <c r="N4609" s="9">
        <v>44778</v>
      </c>
      <c r="O4609" s="9">
        <v>44834</v>
      </c>
      <c r="P4609"/>
      <c r="Q4609"/>
      <c r="R4609"/>
      <c r="S4609"/>
      <c r="T4609"/>
      <c r="U4609"/>
    </row>
    <row r="4610" spans="1:21" hidden="1">
      <c r="A4610" s="7" t="s">
        <v>8816</v>
      </c>
      <c r="B4610" s="7" t="s">
        <v>7729</v>
      </c>
      <c r="C4610" s="8" t="s">
        <v>5319</v>
      </c>
      <c r="D4610" t="s">
        <v>272</v>
      </c>
      <c r="E4610" t="s">
        <v>1072</v>
      </c>
      <c r="F4610" t="s">
        <v>117</v>
      </c>
      <c r="G4610" t="s">
        <v>2043</v>
      </c>
      <c r="H4610" s="9">
        <v>44733</v>
      </c>
      <c r="I4610" t="s">
        <v>1070</v>
      </c>
      <c r="J4610" t="s">
        <v>2</v>
      </c>
      <c r="K4610" s="9">
        <v>44834</v>
      </c>
      <c r="L4610" t="s">
        <v>29</v>
      </c>
      <c r="M4610" t="s">
        <v>5331</v>
      </c>
      <c r="N4610" s="9">
        <v>44778</v>
      </c>
      <c r="O4610" s="9">
        <v>44834</v>
      </c>
      <c r="P4610"/>
      <c r="Q4610"/>
      <c r="R4610"/>
      <c r="S4610"/>
      <c r="T4610"/>
      <c r="U4610"/>
    </row>
    <row r="4611" spans="1:21" hidden="1">
      <c r="A4611" s="7" t="s">
        <v>8816</v>
      </c>
      <c r="B4611" s="7" t="s">
        <v>7729</v>
      </c>
      <c r="C4611" s="8" t="s">
        <v>5319</v>
      </c>
      <c r="D4611" t="s">
        <v>272</v>
      </c>
      <c r="E4611" t="s">
        <v>1072</v>
      </c>
      <c r="F4611" t="s">
        <v>117</v>
      </c>
      <c r="G4611" t="s">
        <v>2044</v>
      </c>
      <c r="H4611" s="9">
        <v>44733</v>
      </c>
      <c r="I4611" t="s">
        <v>1070</v>
      </c>
      <c r="J4611" t="s">
        <v>2</v>
      </c>
      <c r="K4611" s="9">
        <v>44834</v>
      </c>
      <c r="L4611" t="s">
        <v>29</v>
      </c>
      <c r="M4611" t="s">
        <v>5331</v>
      </c>
      <c r="N4611" s="9">
        <v>44778</v>
      </c>
      <c r="O4611" s="9">
        <v>44834</v>
      </c>
      <c r="P4611"/>
      <c r="Q4611"/>
      <c r="R4611"/>
      <c r="S4611"/>
      <c r="T4611"/>
      <c r="U4611"/>
    </row>
    <row r="4612" spans="1:21" hidden="1">
      <c r="A4612" s="7" t="s">
        <v>8816</v>
      </c>
      <c r="B4612" s="7" t="s">
        <v>7729</v>
      </c>
      <c r="C4612" s="8" t="s">
        <v>5319</v>
      </c>
      <c r="D4612" t="s">
        <v>272</v>
      </c>
      <c r="E4612" t="s">
        <v>1072</v>
      </c>
      <c r="F4612" t="s">
        <v>117</v>
      </c>
      <c r="G4612" t="s">
        <v>2045</v>
      </c>
      <c r="H4612" s="9">
        <v>44733</v>
      </c>
      <c r="I4612" t="s">
        <v>1070</v>
      </c>
      <c r="J4612" t="s">
        <v>2</v>
      </c>
      <c r="K4612" s="9">
        <v>44834</v>
      </c>
      <c r="L4612" t="s">
        <v>29</v>
      </c>
      <c r="M4612" t="s">
        <v>5331</v>
      </c>
      <c r="N4612" s="9">
        <v>44778</v>
      </c>
      <c r="O4612" s="9">
        <v>44834</v>
      </c>
      <c r="P4612"/>
      <c r="Q4612"/>
      <c r="R4612"/>
      <c r="S4612"/>
      <c r="T4612"/>
      <c r="U4612"/>
    </row>
    <row r="4613" spans="1:21" hidden="1">
      <c r="A4613" s="7" t="s">
        <v>8816</v>
      </c>
      <c r="B4613" s="7" t="s">
        <v>7729</v>
      </c>
      <c r="C4613" s="8" t="s">
        <v>5319</v>
      </c>
      <c r="D4613" t="s">
        <v>272</v>
      </c>
      <c r="E4613" t="s">
        <v>1072</v>
      </c>
      <c r="F4613" t="s">
        <v>117</v>
      </c>
      <c r="G4613" t="s">
        <v>2046</v>
      </c>
      <c r="H4613" s="9">
        <v>44733</v>
      </c>
      <c r="I4613" t="s">
        <v>1070</v>
      </c>
      <c r="J4613" t="s">
        <v>2</v>
      </c>
      <c r="K4613" s="9">
        <v>44834</v>
      </c>
      <c r="L4613" t="s">
        <v>29</v>
      </c>
      <c r="M4613" t="s">
        <v>5331</v>
      </c>
      <c r="N4613" s="9">
        <v>44778</v>
      </c>
      <c r="O4613" s="9">
        <v>44834</v>
      </c>
      <c r="P4613"/>
      <c r="Q4613"/>
      <c r="R4613"/>
      <c r="S4613"/>
      <c r="T4613"/>
      <c r="U4613"/>
    </row>
    <row r="4614" spans="1:21" hidden="1">
      <c r="A4614" s="7" t="s">
        <v>8816</v>
      </c>
      <c r="B4614" s="7" t="s">
        <v>7729</v>
      </c>
      <c r="C4614" s="8" t="s">
        <v>5319</v>
      </c>
      <c r="D4614" t="s">
        <v>272</v>
      </c>
      <c r="E4614" t="s">
        <v>1072</v>
      </c>
      <c r="F4614" t="s">
        <v>117</v>
      </c>
      <c r="G4614" t="s">
        <v>2047</v>
      </c>
      <c r="H4614" s="9">
        <v>44733</v>
      </c>
      <c r="I4614" t="s">
        <v>1070</v>
      </c>
      <c r="J4614" t="s">
        <v>2</v>
      </c>
      <c r="K4614" s="9">
        <v>44834</v>
      </c>
      <c r="L4614" t="s">
        <v>29</v>
      </c>
      <c r="M4614" t="s">
        <v>5331</v>
      </c>
      <c r="N4614" s="9">
        <v>44778</v>
      </c>
      <c r="O4614" s="9">
        <v>44834</v>
      </c>
      <c r="P4614"/>
      <c r="Q4614"/>
      <c r="R4614"/>
      <c r="S4614"/>
      <c r="T4614"/>
      <c r="U4614"/>
    </row>
    <row r="4615" spans="1:21" hidden="1">
      <c r="A4615" s="7" t="s">
        <v>8816</v>
      </c>
      <c r="B4615" s="7" t="s">
        <v>7729</v>
      </c>
      <c r="C4615" s="8" t="s">
        <v>5319</v>
      </c>
      <c r="D4615" t="s">
        <v>272</v>
      </c>
      <c r="E4615" t="s">
        <v>1072</v>
      </c>
      <c r="F4615" t="s">
        <v>117</v>
      </c>
      <c r="G4615" t="s">
        <v>2048</v>
      </c>
      <c r="H4615" s="9">
        <v>44733</v>
      </c>
      <c r="I4615" t="s">
        <v>1070</v>
      </c>
      <c r="J4615" t="s">
        <v>2</v>
      </c>
      <c r="K4615" s="9">
        <v>44834</v>
      </c>
      <c r="L4615" t="s">
        <v>29</v>
      </c>
      <c r="M4615" t="s">
        <v>5331</v>
      </c>
      <c r="N4615" s="9">
        <v>44778</v>
      </c>
      <c r="O4615" s="9">
        <v>44834</v>
      </c>
      <c r="P4615"/>
      <c r="Q4615"/>
      <c r="R4615"/>
      <c r="S4615"/>
      <c r="T4615"/>
      <c r="U4615"/>
    </row>
    <row r="4616" spans="1:21" hidden="1">
      <c r="A4616" s="7" t="s">
        <v>8816</v>
      </c>
      <c r="B4616" s="7" t="s">
        <v>7729</v>
      </c>
      <c r="C4616" s="8" t="s">
        <v>5319</v>
      </c>
      <c r="D4616" t="s">
        <v>272</v>
      </c>
      <c r="E4616" t="s">
        <v>1072</v>
      </c>
      <c r="F4616" t="s">
        <v>117</v>
      </c>
      <c r="G4616" t="s">
        <v>2049</v>
      </c>
      <c r="H4616" s="9">
        <v>44733</v>
      </c>
      <c r="I4616" t="s">
        <v>1070</v>
      </c>
      <c r="J4616" t="s">
        <v>2</v>
      </c>
      <c r="K4616" s="9">
        <v>44834</v>
      </c>
      <c r="L4616" t="s">
        <v>29</v>
      </c>
      <c r="M4616" t="s">
        <v>5331</v>
      </c>
      <c r="N4616" s="9">
        <v>44778</v>
      </c>
      <c r="O4616" s="9">
        <v>44834</v>
      </c>
      <c r="P4616"/>
      <c r="Q4616"/>
      <c r="R4616"/>
      <c r="S4616"/>
      <c r="T4616"/>
      <c r="U4616"/>
    </row>
    <row r="4617" spans="1:21" hidden="1">
      <c r="A4617" s="7" t="s">
        <v>8816</v>
      </c>
      <c r="B4617" s="7" t="s">
        <v>7729</v>
      </c>
      <c r="C4617" s="8" t="s">
        <v>5319</v>
      </c>
      <c r="D4617" t="s">
        <v>272</v>
      </c>
      <c r="E4617" t="s">
        <v>1072</v>
      </c>
      <c r="F4617" t="s">
        <v>117</v>
      </c>
      <c r="G4617" t="s">
        <v>2050</v>
      </c>
      <c r="H4617" s="9">
        <v>44733</v>
      </c>
      <c r="I4617" t="s">
        <v>1070</v>
      </c>
      <c r="J4617" t="s">
        <v>2</v>
      </c>
      <c r="K4617" s="9">
        <v>44834</v>
      </c>
      <c r="L4617" t="s">
        <v>29</v>
      </c>
      <c r="M4617" t="s">
        <v>5331</v>
      </c>
      <c r="N4617" s="9">
        <v>44778</v>
      </c>
      <c r="O4617" s="9">
        <v>44834</v>
      </c>
      <c r="P4617"/>
      <c r="Q4617"/>
      <c r="R4617"/>
      <c r="S4617"/>
      <c r="T4617"/>
      <c r="U4617"/>
    </row>
    <row r="4618" spans="1:21" hidden="1">
      <c r="A4618" s="7" t="s">
        <v>8816</v>
      </c>
      <c r="B4618" s="7" t="s">
        <v>7729</v>
      </c>
      <c r="C4618" s="8" t="s">
        <v>5319</v>
      </c>
      <c r="D4618" t="s">
        <v>272</v>
      </c>
      <c r="E4618" t="s">
        <v>1072</v>
      </c>
      <c r="F4618" t="s">
        <v>117</v>
      </c>
      <c r="G4618" t="s">
        <v>2051</v>
      </c>
      <c r="H4618" s="9">
        <v>44733</v>
      </c>
      <c r="I4618" t="s">
        <v>1070</v>
      </c>
      <c r="J4618" t="s">
        <v>2</v>
      </c>
      <c r="K4618" s="9">
        <v>44834</v>
      </c>
      <c r="L4618" t="s">
        <v>29</v>
      </c>
      <c r="M4618" t="s">
        <v>5331</v>
      </c>
      <c r="N4618" s="9">
        <v>44778</v>
      </c>
      <c r="O4618" s="9">
        <v>44834</v>
      </c>
      <c r="P4618"/>
      <c r="Q4618"/>
      <c r="R4618"/>
      <c r="S4618"/>
      <c r="T4618"/>
      <c r="U4618"/>
    </row>
    <row r="4619" spans="1:21" hidden="1">
      <c r="A4619" s="7" t="s">
        <v>8816</v>
      </c>
      <c r="B4619" s="7" t="s">
        <v>7729</v>
      </c>
      <c r="C4619" s="8" t="s">
        <v>5319</v>
      </c>
      <c r="D4619" t="s">
        <v>272</v>
      </c>
      <c r="E4619" t="s">
        <v>1072</v>
      </c>
      <c r="F4619" t="s">
        <v>117</v>
      </c>
      <c r="G4619" t="s">
        <v>2052</v>
      </c>
      <c r="H4619" s="9">
        <v>44733</v>
      </c>
      <c r="I4619" t="s">
        <v>1070</v>
      </c>
      <c r="J4619" t="s">
        <v>2</v>
      </c>
      <c r="K4619" s="9">
        <v>44834</v>
      </c>
      <c r="L4619" t="s">
        <v>29</v>
      </c>
      <c r="M4619" t="s">
        <v>5331</v>
      </c>
      <c r="N4619" s="9">
        <v>44778</v>
      </c>
      <c r="O4619" s="9">
        <v>44834</v>
      </c>
      <c r="P4619"/>
      <c r="Q4619"/>
      <c r="R4619"/>
      <c r="S4619"/>
      <c r="T4619"/>
      <c r="U4619"/>
    </row>
    <row r="4620" spans="1:21" hidden="1">
      <c r="A4620" s="7" t="s">
        <v>8816</v>
      </c>
      <c r="B4620" s="7" t="s">
        <v>7729</v>
      </c>
      <c r="C4620" s="8" t="s">
        <v>5319</v>
      </c>
      <c r="D4620" t="s">
        <v>272</v>
      </c>
      <c r="E4620" t="s">
        <v>1072</v>
      </c>
      <c r="F4620" t="s">
        <v>117</v>
      </c>
      <c r="G4620" t="s">
        <v>2053</v>
      </c>
      <c r="H4620" s="9">
        <v>44733</v>
      </c>
      <c r="I4620" t="s">
        <v>1070</v>
      </c>
      <c r="J4620" t="s">
        <v>2</v>
      </c>
      <c r="K4620" s="9">
        <v>44834</v>
      </c>
      <c r="L4620" t="s">
        <v>29</v>
      </c>
      <c r="M4620" t="s">
        <v>5331</v>
      </c>
      <c r="N4620" s="9">
        <v>44778</v>
      </c>
      <c r="O4620" s="9">
        <v>44834</v>
      </c>
      <c r="P4620"/>
      <c r="Q4620"/>
      <c r="R4620"/>
      <c r="S4620"/>
      <c r="T4620"/>
      <c r="U4620"/>
    </row>
    <row r="4621" spans="1:21" hidden="1">
      <c r="A4621" s="7" t="s">
        <v>8816</v>
      </c>
      <c r="B4621" s="7" t="s">
        <v>7729</v>
      </c>
      <c r="C4621" s="8" t="s">
        <v>5319</v>
      </c>
      <c r="D4621" t="s">
        <v>272</v>
      </c>
      <c r="E4621" t="s">
        <v>1072</v>
      </c>
      <c r="F4621" t="s">
        <v>117</v>
      </c>
      <c r="G4621" t="s">
        <v>2054</v>
      </c>
      <c r="H4621" s="9">
        <v>44733</v>
      </c>
      <c r="I4621" t="s">
        <v>1070</v>
      </c>
      <c r="J4621" t="s">
        <v>2</v>
      </c>
      <c r="K4621" s="9">
        <v>44834</v>
      </c>
      <c r="L4621" t="s">
        <v>29</v>
      </c>
      <c r="M4621" t="s">
        <v>5331</v>
      </c>
      <c r="N4621" s="9">
        <v>44778</v>
      </c>
      <c r="O4621" s="9">
        <v>44834</v>
      </c>
      <c r="P4621"/>
      <c r="Q4621"/>
      <c r="R4621"/>
      <c r="S4621"/>
      <c r="T4621"/>
      <c r="U4621"/>
    </row>
    <row r="4622" spans="1:21" hidden="1">
      <c r="A4622" s="7" t="s">
        <v>8816</v>
      </c>
      <c r="B4622" s="7" t="s">
        <v>7729</v>
      </c>
      <c r="C4622" s="8" t="s">
        <v>5319</v>
      </c>
      <c r="D4622" t="s">
        <v>272</v>
      </c>
      <c r="E4622" t="s">
        <v>1072</v>
      </c>
      <c r="F4622" t="s">
        <v>117</v>
      </c>
      <c r="G4622" t="s">
        <v>2055</v>
      </c>
      <c r="H4622" s="9">
        <v>44733</v>
      </c>
      <c r="I4622" t="s">
        <v>1070</v>
      </c>
      <c r="J4622" t="s">
        <v>2</v>
      </c>
      <c r="K4622" s="9">
        <v>44834</v>
      </c>
      <c r="L4622" t="s">
        <v>29</v>
      </c>
      <c r="M4622" t="s">
        <v>5331</v>
      </c>
      <c r="N4622" s="9">
        <v>44778</v>
      </c>
      <c r="O4622" s="9">
        <v>44834</v>
      </c>
      <c r="P4622"/>
      <c r="Q4622"/>
      <c r="R4622"/>
      <c r="S4622"/>
      <c r="T4622"/>
      <c r="U4622"/>
    </row>
    <row r="4623" spans="1:21" hidden="1">
      <c r="A4623" s="7" t="s">
        <v>8816</v>
      </c>
      <c r="B4623" s="7" t="s">
        <v>7729</v>
      </c>
      <c r="C4623" s="8" t="s">
        <v>5319</v>
      </c>
      <c r="D4623" t="s">
        <v>272</v>
      </c>
      <c r="E4623" t="s">
        <v>1072</v>
      </c>
      <c r="F4623" t="s">
        <v>117</v>
      </c>
      <c r="G4623" t="s">
        <v>2056</v>
      </c>
      <c r="H4623" s="9">
        <v>44733</v>
      </c>
      <c r="I4623" t="s">
        <v>1070</v>
      </c>
      <c r="J4623" t="s">
        <v>2</v>
      </c>
      <c r="K4623" s="9">
        <v>44834</v>
      </c>
      <c r="L4623" t="s">
        <v>29</v>
      </c>
      <c r="M4623" t="s">
        <v>5331</v>
      </c>
      <c r="N4623" s="9">
        <v>44778</v>
      </c>
      <c r="O4623" s="9">
        <v>44834</v>
      </c>
      <c r="P4623"/>
      <c r="Q4623"/>
      <c r="R4623"/>
      <c r="S4623"/>
      <c r="T4623"/>
      <c r="U4623"/>
    </row>
    <row r="4624" spans="1:21" hidden="1">
      <c r="A4624" s="7" t="s">
        <v>8816</v>
      </c>
      <c r="B4624" s="7" t="s">
        <v>7729</v>
      </c>
      <c r="C4624" s="8" t="s">
        <v>5319</v>
      </c>
      <c r="D4624" t="s">
        <v>272</v>
      </c>
      <c r="E4624" t="s">
        <v>1072</v>
      </c>
      <c r="F4624" t="s">
        <v>117</v>
      </c>
      <c r="G4624" t="s">
        <v>2057</v>
      </c>
      <c r="H4624" s="9">
        <v>44733</v>
      </c>
      <c r="I4624" t="s">
        <v>1070</v>
      </c>
      <c r="J4624" t="s">
        <v>2</v>
      </c>
      <c r="K4624" s="9">
        <v>44834</v>
      </c>
      <c r="L4624" t="s">
        <v>29</v>
      </c>
      <c r="M4624" t="s">
        <v>5331</v>
      </c>
      <c r="N4624" s="9">
        <v>44778</v>
      </c>
      <c r="O4624" s="9">
        <v>44834</v>
      </c>
      <c r="P4624"/>
      <c r="Q4624"/>
      <c r="R4624"/>
      <c r="S4624"/>
      <c r="T4624"/>
      <c r="U4624"/>
    </row>
    <row r="4625" spans="1:21" hidden="1">
      <c r="A4625" s="7" t="s">
        <v>8816</v>
      </c>
      <c r="B4625" s="7" t="s">
        <v>7729</v>
      </c>
      <c r="C4625" s="8" t="s">
        <v>5319</v>
      </c>
      <c r="D4625" t="s">
        <v>272</v>
      </c>
      <c r="E4625" t="s">
        <v>1072</v>
      </c>
      <c r="F4625" t="s">
        <v>117</v>
      </c>
      <c r="G4625" t="s">
        <v>2058</v>
      </c>
      <c r="H4625" s="9">
        <v>44733</v>
      </c>
      <c r="I4625" t="s">
        <v>1070</v>
      </c>
      <c r="J4625" t="s">
        <v>2</v>
      </c>
      <c r="K4625" s="9">
        <v>44834</v>
      </c>
      <c r="L4625" t="s">
        <v>29</v>
      </c>
      <c r="M4625" t="s">
        <v>5331</v>
      </c>
      <c r="N4625" s="9">
        <v>44778</v>
      </c>
      <c r="O4625" s="9">
        <v>44834</v>
      </c>
      <c r="P4625"/>
      <c r="Q4625"/>
      <c r="R4625"/>
      <c r="S4625"/>
      <c r="T4625"/>
      <c r="U4625"/>
    </row>
    <row r="4626" spans="1:21" hidden="1">
      <c r="A4626" s="7" t="s">
        <v>8816</v>
      </c>
      <c r="B4626" s="7" t="s">
        <v>7729</v>
      </c>
      <c r="C4626" s="8" t="s">
        <v>5319</v>
      </c>
      <c r="D4626" t="s">
        <v>272</v>
      </c>
      <c r="E4626" t="s">
        <v>1072</v>
      </c>
      <c r="F4626" t="s">
        <v>117</v>
      </c>
      <c r="G4626" t="s">
        <v>2059</v>
      </c>
      <c r="H4626" s="9">
        <v>44733</v>
      </c>
      <c r="I4626" t="s">
        <v>1070</v>
      </c>
      <c r="J4626" t="s">
        <v>2</v>
      </c>
      <c r="K4626" s="9">
        <v>44834</v>
      </c>
      <c r="L4626" t="s">
        <v>29</v>
      </c>
      <c r="M4626" t="s">
        <v>5331</v>
      </c>
      <c r="N4626" s="9">
        <v>44778</v>
      </c>
      <c r="O4626" s="9">
        <v>44834</v>
      </c>
      <c r="P4626"/>
      <c r="Q4626"/>
      <c r="R4626"/>
      <c r="S4626"/>
      <c r="T4626"/>
      <c r="U4626"/>
    </row>
    <row r="4627" spans="1:21" hidden="1">
      <c r="A4627" s="7" t="s">
        <v>8816</v>
      </c>
      <c r="B4627" s="7" t="s">
        <v>7729</v>
      </c>
      <c r="C4627" s="8" t="s">
        <v>5319</v>
      </c>
      <c r="D4627" t="s">
        <v>272</v>
      </c>
      <c r="E4627" t="s">
        <v>1072</v>
      </c>
      <c r="F4627" t="s">
        <v>117</v>
      </c>
      <c r="G4627" t="s">
        <v>2060</v>
      </c>
      <c r="H4627" s="9">
        <v>44733</v>
      </c>
      <c r="I4627" t="s">
        <v>1070</v>
      </c>
      <c r="J4627" t="s">
        <v>2</v>
      </c>
      <c r="K4627" s="9">
        <v>44834</v>
      </c>
      <c r="L4627" t="s">
        <v>29</v>
      </c>
      <c r="M4627" t="s">
        <v>5331</v>
      </c>
      <c r="N4627" s="9">
        <v>44778</v>
      </c>
      <c r="O4627" s="9">
        <v>44834</v>
      </c>
      <c r="P4627"/>
      <c r="Q4627"/>
      <c r="R4627"/>
      <c r="S4627"/>
      <c r="T4627"/>
      <c r="U4627"/>
    </row>
    <row r="4628" spans="1:21" hidden="1">
      <c r="A4628" s="7" t="s">
        <v>8816</v>
      </c>
      <c r="B4628" s="7" t="s">
        <v>7729</v>
      </c>
      <c r="C4628" s="8" t="s">
        <v>5319</v>
      </c>
      <c r="D4628" t="s">
        <v>272</v>
      </c>
      <c r="E4628" t="s">
        <v>1072</v>
      </c>
      <c r="F4628" t="s">
        <v>117</v>
      </c>
      <c r="G4628" t="s">
        <v>2061</v>
      </c>
      <c r="H4628" s="9">
        <v>44733</v>
      </c>
      <c r="I4628" t="s">
        <v>1070</v>
      </c>
      <c r="J4628" t="s">
        <v>2</v>
      </c>
      <c r="K4628" s="9">
        <v>44834</v>
      </c>
      <c r="L4628" t="s">
        <v>29</v>
      </c>
      <c r="M4628" t="s">
        <v>5331</v>
      </c>
      <c r="N4628" s="9">
        <v>44778</v>
      </c>
      <c r="O4628" s="9">
        <v>44834</v>
      </c>
      <c r="P4628"/>
      <c r="Q4628"/>
      <c r="R4628"/>
      <c r="S4628"/>
      <c r="T4628"/>
      <c r="U4628"/>
    </row>
    <row r="4629" spans="1:21" hidden="1">
      <c r="A4629" s="7" t="s">
        <v>8816</v>
      </c>
      <c r="B4629" s="7" t="s">
        <v>7729</v>
      </c>
      <c r="C4629" s="8" t="s">
        <v>5319</v>
      </c>
      <c r="D4629" t="s">
        <v>272</v>
      </c>
      <c r="E4629" t="s">
        <v>1072</v>
      </c>
      <c r="F4629" t="s">
        <v>117</v>
      </c>
      <c r="G4629" t="s">
        <v>2062</v>
      </c>
      <c r="H4629" s="9">
        <v>44733</v>
      </c>
      <c r="I4629" t="s">
        <v>1070</v>
      </c>
      <c r="J4629" t="s">
        <v>2</v>
      </c>
      <c r="K4629" s="9">
        <v>44834</v>
      </c>
      <c r="L4629" t="s">
        <v>29</v>
      </c>
      <c r="M4629" t="s">
        <v>5331</v>
      </c>
      <c r="N4629" s="9">
        <v>44778</v>
      </c>
      <c r="O4629" s="9">
        <v>44834</v>
      </c>
      <c r="P4629"/>
      <c r="Q4629"/>
      <c r="R4629"/>
      <c r="S4629"/>
      <c r="T4629"/>
      <c r="U4629"/>
    </row>
    <row r="4630" spans="1:21" hidden="1">
      <c r="A4630" s="7" t="s">
        <v>8816</v>
      </c>
      <c r="B4630" s="7" t="s">
        <v>7729</v>
      </c>
      <c r="C4630" s="8" t="s">
        <v>5319</v>
      </c>
      <c r="D4630" t="s">
        <v>272</v>
      </c>
      <c r="E4630" t="s">
        <v>1072</v>
      </c>
      <c r="F4630" t="s">
        <v>117</v>
      </c>
      <c r="G4630" t="s">
        <v>2063</v>
      </c>
      <c r="H4630" s="9">
        <v>44733</v>
      </c>
      <c r="I4630" t="s">
        <v>1070</v>
      </c>
      <c r="J4630" t="s">
        <v>2</v>
      </c>
      <c r="K4630" s="9">
        <v>44834</v>
      </c>
      <c r="L4630" t="s">
        <v>29</v>
      </c>
      <c r="M4630" t="s">
        <v>5331</v>
      </c>
      <c r="N4630" s="9">
        <v>44778</v>
      </c>
      <c r="O4630" s="9">
        <v>44834</v>
      </c>
      <c r="P4630"/>
      <c r="Q4630"/>
      <c r="R4630"/>
      <c r="S4630"/>
      <c r="T4630"/>
      <c r="U4630"/>
    </row>
    <row r="4631" spans="1:21" hidden="1">
      <c r="A4631" s="7" t="s">
        <v>8816</v>
      </c>
      <c r="B4631" s="7" t="s">
        <v>7729</v>
      </c>
      <c r="C4631" s="8" t="s">
        <v>5319</v>
      </c>
      <c r="D4631" t="s">
        <v>272</v>
      </c>
      <c r="E4631" t="s">
        <v>1072</v>
      </c>
      <c r="F4631" t="s">
        <v>117</v>
      </c>
      <c r="G4631" t="s">
        <v>2064</v>
      </c>
      <c r="H4631" s="9">
        <v>44733</v>
      </c>
      <c r="I4631" t="s">
        <v>1070</v>
      </c>
      <c r="J4631" t="s">
        <v>2</v>
      </c>
      <c r="K4631" s="9">
        <v>44834</v>
      </c>
      <c r="L4631" t="s">
        <v>29</v>
      </c>
      <c r="M4631" t="s">
        <v>5331</v>
      </c>
      <c r="N4631" s="9">
        <v>44778</v>
      </c>
      <c r="O4631" s="9">
        <v>44834</v>
      </c>
      <c r="P4631"/>
      <c r="Q4631"/>
      <c r="R4631"/>
      <c r="S4631"/>
      <c r="T4631"/>
      <c r="U4631"/>
    </row>
    <row r="4632" spans="1:21" hidden="1">
      <c r="A4632" s="7" t="s">
        <v>8816</v>
      </c>
      <c r="B4632" s="7" t="s">
        <v>7729</v>
      </c>
      <c r="C4632" s="8" t="s">
        <v>5319</v>
      </c>
      <c r="D4632" t="s">
        <v>272</v>
      </c>
      <c r="E4632" t="s">
        <v>1072</v>
      </c>
      <c r="F4632" t="s">
        <v>117</v>
      </c>
      <c r="G4632" t="s">
        <v>2065</v>
      </c>
      <c r="H4632" s="9">
        <v>44733</v>
      </c>
      <c r="I4632" t="s">
        <v>1070</v>
      </c>
      <c r="J4632" t="s">
        <v>2</v>
      </c>
      <c r="K4632" s="9">
        <v>44834</v>
      </c>
      <c r="L4632" t="s">
        <v>29</v>
      </c>
      <c r="M4632" t="s">
        <v>5331</v>
      </c>
      <c r="N4632" s="9">
        <v>44778</v>
      </c>
      <c r="O4632" s="9">
        <v>44834</v>
      </c>
      <c r="P4632"/>
      <c r="Q4632"/>
      <c r="R4632"/>
      <c r="S4632"/>
      <c r="T4632"/>
      <c r="U4632"/>
    </row>
    <row r="4633" spans="1:21" hidden="1">
      <c r="A4633" s="7" t="s">
        <v>8816</v>
      </c>
      <c r="B4633" s="7" t="s">
        <v>7729</v>
      </c>
      <c r="C4633" s="8" t="s">
        <v>5319</v>
      </c>
      <c r="D4633" t="s">
        <v>272</v>
      </c>
      <c r="E4633" t="s">
        <v>1072</v>
      </c>
      <c r="F4633" t="s">
        <v>117</v>
      </c>
      <c r="G4633" t="s">
        <v>2066</v>
      </c>
      <c r="H4633" s="9">
        <v>44733</v>
      </c>
      <c r="I4633" t="s">
        <v>1070</v>
      </c>
      <c r="J4633" t="s">
        <v>2</v>
      </c>
      <c r="K4633" s="9">
        <v>44834</v>
      </c>
      <c r="L4633" t="s">
        <v>29</v>
      </c>
      <c r="M4633" t="s">
        <v>5331</v>
      </c>
      <c r="N4633" s="9">
        <v>44778</v>
      </c>
      <c r="O4633" s="9">
        <v>44834</v>
      </c>
      <c r="P4633"/>
      <c r="Q4633"/>
      <c r="R4633"/>
      <c r="S4633"/>
      <c r="T4633"/>
      <c r="U4633"/>
    </row>
    <row r="4634" spans="1:21" hidden="1">
      <c r="A4634" s="7" t="s">
        <v>8816</v>
      </c>
      <c r="B4634" s="7" t="s">
        <v>7729</v>
      </c>
      <c r="C4634" s="8" t="s">
        <v>5319</v>
      </c>
      <c r="D4634" t="s">
        <v>272</v>
      </c>
      <c r="E4634" t="s">
        <v>1072</v>
      </c>
      <c r="F4634" t="s">
        <v>117</v>
      </c>
      <c r="G4634" t="s">
        <v>2067</v>
      </c>
      <c r="H4634" s="9">
        <v>44733</v>
      </c>
      <c r="I4634" t="s">
        <v>1070</v>
      </c>
      <c r="J4634" t="s">
        <v>2</v>
      </c>
      <c r="K4634" s="9">
        <v>44834</v>
      </c>
      <c r="L4634" t="s">
        <v>29</v>
      </c>
      <c r="M4634" t="s">
        <v>5331</v>
      </c>
      <c r="N4634" s="9">
        <v>44778</v>
      </c>
      <c r="O4634" s="9">
        <v>44834</v>
      </c>
      <c r="P4634"/>
      <c r="Q4634"/>
      <c r="R4634"/>
      <c r="S4634"/>
      <c r="T4634"/>
      <c r="U4634"/>
    </row>
    <row r="4635" spans="1:21" hidden="1">
      <c r="A4635" s="7" t="s">
        <v>8816</v>
      </c>
      <c r="B4635" s="7" t="s">
        <v>7729</v>
      </c>
      <c r="C4635" s="8" t="s">
        <v>5319</v>
      </c>
      <c r="D4635" t="s">
        <v>272</v>
      </c>
      <c r="E4635" t="s">
        <v>1072</v>
      </c>
      <c r="F4635" t="s">
        <v>117</v>
      </c>
      <c r="G4635" t="s">
        <v>2068</v>
      </c>
      <c r="H4635" s="9">
        <v>44733</v>
      </c>
      <c r="I4635" t="s">
        <v>1070</v>
      </c>
      <c r="J4635" t="s">
        <v>2</v>
      </c>
      <c r="K4635" s="9">
        <v>44834</v>
      </c>
      <c r="L4635" t="s">
        <v>29</v>
      </c>
      <c r="M4635" t="s">
        <v>5331</v>
      </c>
      <c r="N4635" s="9">
        <v>44778</v>
      </c>
      <c r="O4635" s="9">
        <v>44834</v>
      </c>
      <c r="P4635"/>
      <c r="Q4635"/>
      <c r="R4635"/>
      <c r="S4635"/>
      <c r="T4635"/>
      <c r="U4635"/>
    </row>
    <row r="4636" spans="1:21" hidden="1">
      <c r="A4636" s="7" t="s">
        <v>8816</v>
      </c>
      <c r="B4636" s="7" t="s">
        <v>7729</v>
      </c>
      <c r="C4636" s="8" t="s">
        <v>5319</v>
      </c>
      <c r="D4636" t="s">
        <v>272</v>
      </c>
      <c r="E4636" t="s">
        <v>1072</v>
      </c>
      <c r="F4636" t="s">
        <v>117</v>
      </c>
      <c r="G4636" t="s">
        <v>2069</v>
      </c>
      <c r="H4636" s="9">
        <v>44733</v>
      </c>
      <c r="I4636" t="s">
        <v>1070</v>
      </c>
      <c r="J4636" t="s">
        <v>2</v>
      </c>
      <c r="K4636" s="9">
        <v>44834</v>
      </c>
      <c r="L4636" t="s">
        <v>29</v>
      </c>
      <c r="M4636" t="s">
        <v>5331</v>
      </c>
      <c r="N4636" s="9">
        <v>44778</v>
      </c>
      <c r="O4636" s="9">
        <v>44834</v>
      </c>
      <c r="P4636"/>
      <c r="Q4636"/>
      <c r="R4636"/>
      <c r="S4636"/>
      <c r="T4636"/>
      <c r="U4636"/>
    </row>
    <row r="4637" spans="1:21" hidden="1">
      <c r="A4637" s="7" t="s">
        <v>8816</v>
      </c>
      <c r="B4637" s="7" t="s">
        <v>7729</v>
      </c>
      <c r="C4637" s="8" t="s">
        <v>5319</v>
      </c>
      <c r="D4637" t="s">
        <v>272</v>
      </c>
      <c r="E4637" t="s">
        <v>1072</v>
      </c>
      <c r="F4637" t="s">
        <v>117</v>
      </c>
      <c r="G4637" t="s">
        <v>2070</v>
      </c>
      <c r="H4637" s="9">
        <v>44733</v>
      </c>
      <c r="I4637" t="s">
        <v>1070</v>
      </c>
      <c r="J4637" t="s">
        <v>2</v>
      </c>
      <c r="K4637" s="9">
        <v>44834</v>
      </c>
      <c r="L4637" t="s">
        <v>29</v>
      </c>
      <c r="M4637" t="s">
        <v>5331</v>
      </c>
      <c r="N4637" s="9">
        <v>44778</v>
      </c>
      <c r="O4637" s="9">
        <v>44834</v>
      </c>
      <c r="P4637"/>
      <c r="Q4637"/>
      <c r="R4637"/>
      <c r="S4637"/>
      <c r="T4637"/>
      <c r="U4637"/>
    </row>
    <row r="4638" spans="1:21" hidden="1">
      <c r="A4638" s="7" t="s">
        <v>8816</v>
      </c>
      <c r="B4638" s="7" t="s">
        <v>7729</v>
      </c>
      <c r="C4638" s="8" t="s">
        <v>5319</v>
      </c>
      <c r="D4638" t="s">
        <v>272</v>
      </c>
      <c r="E4638" t="s">
        <v>1072</v>
      </c>
      <c r="F4638" t="s">
        <v>117</v>
      </c>
      <c r="G4638" t="s">
        <v>2071</v>
      </c>
      <c r="H4638" s="9">
        <v>44733</v>
      </c>
      <c r="I4638" t="s">
        <v>1070</v>
      </c>
      <c r="J4638" t="s">
        <v>2</v>
      </c>
      <c r="K4638" s="9">
        <v>44834</v>
      </c>
      <c r="L4638" t="s">
        <v>29</v>
      </c>
      <c r="M4638" t="s">
        <v>5331</v>
      </c>
      <c r="N4638" s="9">
        <v>44778</v>
      </c>
      <c r="O4638" s="9">
        <v>44834</v>
      </c>
      <c r="P4638"/>
      <c r="Q4638"/>
      <c r="R4638"/>
      <c r="S4638"/>
      <c r="T4638"/>
      <c r="U4638"/>
    </row>
    <row r="4639" spans="1:21" hidden="1">
      <c r="A4639" s="7" t="s">
        <v>8816</v>
      </c>
      <c r="B4639" s="7" t="s">
        <v>7729</v>
      </c>
      <c r="C4639" s="8" t="s">
        <v>5319</v>
      </c>
      <c r="D4639" t="s">
        <v>272</v>
      </c>
      <c r="E4639" t="s">
        <v>1072</v>
      </c>
      <c r="F4639" t="s">
        <v>117</v>
      </c>
      <c r="G4639" t="s">
        <v>2072</v>
      </c>
      <c r="H4639" s="9">
        <v>44733</v>
      </c>
      <c r="I4639" t="s">
        <v>1070</v>
      </c>
      <c r="J4639" t="s">
        <v>2</v>
      </c>
      <c r="K4639" s="9">
        <v>44834</v>
      </c>
      <c r="L4639" t="s">
        <v>29</v>
      </c>
      <c r="M4639" t="s">
        <v>5331</v>
      </c>
      <c r="N4639" s="9">
        <v>44778</v>
      </c>
      <c r="O4639" s="9">
        <v>44834</v>
      </c>
      <c r="P4639"/>
      <c r="Q4639"/>
      <c r="R4639"/>
      <c r="S4639"/>
      <c r="T4639"/>
      <c r="U4639"/>
    </row>
    <row r="4640" spans="1:21" hidden="1">
      <c r="A4640" s="7" t="s">
        <v>8816</v>
      </c>
      <c r="B4640" s="7" t="s">
        <v>7729</v>
      </c>
      <c r="C4640" s="8" t="s">
        <v>5319</v>
      </c>
      <c r="D4640" t="s">
        <v>272</v>
      </c>
      <c r="E4640" t="s">
        <v>1072</v>
      </c>
      <c r="F4640" t="s">
        <v>117</v>
      </c>
      <c r="G4640" t="s">
        <v>2073</v>
      </c>
      <c r="H4640" s="9">
        <v>44733</v>
      </c>
      <c r="I4640" t="s">
        <v>1070</v>
      </c>
      <c r="J4640" t="s">
        <v>2</v>
      </c>
      <c r="K4640" s="9">
        <v>44834</v>
      </c>
      <c r="L4640" t="s">
        <v>29</v>
      </c>
      <c r="M4640" t="s">
        <v>5331</v>
      </c>
      <c r="N4640" s="9">
        <v>44778</v>
      </c>
      <c r="O4640" s="9">
        <v>44834</v>
      </c>
      <c r="P4640"/>
      <c r="Q4640"/>
      <c r="R4640"/>
      <c r="S4640"/>
      <c r="T4640"/>
      <c r="U4640"/>
    </row>
    <row r="4641" spans="1:21" hidden="1">
      <c r="A4641" s="7" t="s">
        <v>8816</v>
      </c>
      <c r="B4641" s="7" t="s">
        <v>7729</v>
      </c>
      <c r="C4641" s="8" t="s">
        <v>5319</v>
      </c>
      <c r="D4641" t="s">
        <v>272</v>
      </c>
      <c r="E4641" t="s">
        <v>1072</v>
      </c>
      <c r="F4641" t="s">
        <v>117</v>
      </c>
      <c r="G4641" t="s">
        <v>2074</v>
      </c>
      <c r="H4641" s="9">
        <v>44733</v>
      </c>
      <c r="I4641" t="s">
        <v>1070</v>
      </c>
      <c r="J4641" t="s">
        <v>2</v>
      </c>
      <c r="K4641" s="9">
        <v>44834</v>
      </c>
      <c r="L4641" t="s">
        <v>29</v>
      </c>
      <c r="M4641" t="s">
        <v>5331</v>
      </c>
      <c r="N4641" s="9">
        <v>44778</v>
      </c>
      <c r="O4641" s="9">
        <v>44834</v>
      </c>
      <c r="P4641"/>
      <c r="Q4641"/>
      <c r="R4641"/>
      <c r="S4641"/>
      <c r="T4641"/>
      <c r="U4641"/>
    </row>
    <row r="4642" spans="1:21" hidden="1">
      <c r="A4642" s="7" t="s">
        <v>8816</v>
      </c>
      <c r="B4642" s="7" t="s">
        <v>7729</v>
      </c>
      <c r="C4642" s="8" t="s">
        <v>5319</v>
      </c>
      <c r="D4642" t="s">
        <v>272</v>
      </c>
      <c r="E4642" t="s">
        <v>1072</v>
      </c>
      <c r="F4642" t="s">
        <v>117</v>
      </c>
      <c r="G4642" t="s">
        <v>2075</v>
      </c>
      <c r="H4642" s="9">
        <v>44733</v>
      </c>
      <c r="I4642" t="s">
        <v>1070</v>
      </c>
      <c r="J4642" t="s">
        <v>2</v>
      </c>
      <c r="K4642" s="9">
        <v>44834</v>
      </c>
      <c r="L4642" t="s">
        <v>29</v>
      </c>
      <c r="M4642" t="s">
        <v>5331</v>
      </c>
      <c r="N4642" s="9">
        <v>44778</v>
      </c>
      <c r="O4642" s="9">
        <v>44834</v>
      </c>
      <c r="P4642"/>
      <c r="Q4642"/>
      <c r="R4642"/>
      <c r="S4642"/>
      <c r="T4642"/>
      <c r="U4642"/>
    </row>
    <row r="4643" spans="1:21" hidden="1">
      <c r="A4643" s="7" t="s">
        <v>8816</v>
      </c>
      <c r="B4643" s="7" t="s">
        <v>7729</v>
      </c>
      <c r="C4643" s="8" t="s">
        <v>5319</v>
      </c>
      <c r="D4643" t="s">
        <v>272</v>
      </c>
      <c r="E4643" t="s">
        <v>1072</v>
      </c>
      <c r="F4643" t="s">
        <v>117</v>
      </c>
      <c r="G4643" t="s">
        <v>2076</v>
      </c>
      <c r="H4643" s="9">
        <v>44733</v>
      </c>
      <c r="I4643" t="s">
        <v>1070</v>
      </c>
      <c r="J4643" t="s">
        <v>2</v>
      </c>
      <c r="K4643" s="9">
        <v>44834</v>
      </c>
      <c r="L4643" t="s">
        <v>29</v>
      </c>
      <c r="M4643" t="s">
        <v>5331</v>
      </c>
      <c r="N4643" s="9">
        <v>44778</v>
      </c>
      <c r="O4643" s="9">
        <v>44834</v>
      </c>
      <c r="P4643"/>
      <c r="Q4643"/>
      <c r="R4643"/>
      <c r="S4643"/>
      <c r="T4643"/>
      <c r="U4643"/>
    </row>
    <row r="4644" spans="1:21" hidden="1">
      <c r="A4644" s="7" t="s">
        <v>8816</v>
      </c>
      <c r="B4644" s="7" t="s">
        <v>7729</v>
      </c>
      <c r="C4644" s="8" t="s">
        <v>5319</v>
      </c>
      <c r="D4644" t="s">
        <v>272</v>
      </c>
      <c r="E4644" t="s">
        <v>1072</v>
      </c>
      <c r="F4644" t="s">
        <v>117</v>
      </c>
      <c r="G4644" t="s">
        <v>2077</v>
      </c>
      <c r="H4644" s="9">
        <v>44733</v>
      </c>
      <c r="I4644" t="s">
        <v>1070</v>
      </c>
      <c r="J4644" t="s">
        <v>2</v>
      </c>
      <c r="K4644" s="9">
        <v>44834</v>
      </c>
      <c r="L4644" t="s">
        <v>29</v>
      </c>
      <c r="M4644" t="s">
        <v>5331</v>
      </c>
      <c r="N4644" s="9">
        <v>44778</v>
      </c>
      <c r="O4644" s="9">
        <v>44834</v>
      </c>
      <c r="P4644"/>
      <c r="Q4644"/>
      <c r="R4644"/>
      <c r="S4644"/>
      <c r="T4644"/>
      <c r="U4644"/>
    </row>
    <row r="4645" spans="1:21" hidden="1">
      <c r="A4645" s="7" t="s">
        <v>8816</v>
      </c>
      <c r="B4645" s="7" t="s">
        <v>7729</v>
      </c>
      <c r="C4645" s="8" t="s">
        <v>5319</v>
      </c>
      <c r="D4645" t="s">
        <v>272</v>
      </c>
      <c r="E4645" t="s">
        <v>1072</v>
      </c>
      <c r="F4645" t="s">
        <v>117</v>
      </c>
      <c r="G4645" t="s">
        <v>2078</v>
      </c>
      <c r="H4645" s="9">
        <v>44733</v>
      </c>
      <c r="I4645" t="s">
        <v>1070</v>
      </c>
      <c r="J4645" t="s">
        <v>2</v>
      </c>
      <c r="K4645" s="9">
        <v>44834</v>
      </c>
      <c r="L4645" t="s">
        <v>29</v>
      </c>
      <c r="M4645" t="s">
        <v>5331</v>
      </c>
      <c r="N4645" s="9">
        <v>44778</v>
      </c>
      <c r="O4645" s="9">
        <v>44834</v>
      </c>
      <c r="P4645"/>
      <c r="Q4645"/>
      <c r="R4645"/>
      <c r="S4645"/>
      <c r="T4645"/>
      <c r="U4645"/>
    </row>
    <row r="4646" spans="1:21" hidden="1">
      <c r="A4646" s="7" t="s">
        <v>8816</v>
      </c>
      <c r="B4646" s="7" t="s">
        <v>7729</v>
      </c>
      <c r="C4646" s="8" t="s">
        <v>5319</v>
      </c>
      <c r="D4646" t="s">
        <v>272</v>
      </c>
      <c r="E4646" t="s">
        <v>1072</v>
      </c>
      <c r="F4646" t="s">
        <v>117</v>
      </c>
      <c r="G4646" t="s">
        <v>2079</v>
      </c>
      <c r="H4646" s="9">
        <v>44733</v>
      </c>
      <c r="I4646" t="s">
        <v>1070</v>
      </c>
      <c r="J4646" t="s">
        <v>2</v>
      </c>
      <c r="K4646" s="9">
        <v>44834</v>
      </c>
      <c r="L4646" t="s">
        <v>29</v>
      </c>
      <c r="M4646" t="s">
        <v>5331</v>
      </c>
      <c r="N4646" s="9">
        <v>44778</v>
      </c>
      <c r="O4646" s="9">
        <v>44834</v>
      </c>
      <c r="P4646"/>
      <c r="Q4646"/>
      <c r="R4646"/>
      <c r="S4646"/>
      <c r="T4646"/>
      <c r="U4646"/>
    </row>
    <row r="4647" spans="1:21" hidden="1">
      <c r="A4647" s="7" t="s">
        <v>8816</v>
      </c>
      <c r="B4647" s="7" t="s">
        <v>7729</v>
      </c>
      <c r="C4647" s="8" t="s">
        <v>5319</v>
      </c>
      <c r="D4647" t="s">
        <v>272</v>
      </c>
      <c r="E4647" t="s">
        <v>1072</v>
      </c>
      <c r="F4647" t="s">
        <v>117</v>
      </c>
      <c r="G4647" t="s">
        <v>2080</v>
      </c>
      <c r="H4647" s="9">
        <v>44733</v>
      </c>
      <c r="I4647" t="s">
        <v>1070</v>
      </c>
      <c r="J4647" t="s">
        <v>2</v>
      </c>
      <c r="K4647" s="9">
        <v>44834</v>
      </c>
      <c r="L4647" t="s">
        <v>29</v>
      </c>
      <c r="M4647" t="s">
        <v>5331</v>
      </c>
      <c r="N4647" s="9">
        <v>44778</v>
      </c>
      <c r="O4647" s="9">
        <v>44834</v>
      </c>
      <c r="P4647"/>
      <c r="Q4647"/>
      <c r="R4647"/>
      <c r="S4647"/>
      <c r="T4647"/>
      <c r="U4647"/>
    </row>
    <row r="4648" spans="1:21" hidden="1">
      <c r="A4648" s="7" t="s">
        <v>8816</v>
      </c>
      <c r="B4648" s="7" t="s">
        <v>7729</v>
      </c>
      <c r="C4648" s="8" t="s">
        <v>5319</v>
      </c>
      <c r="D4648" t="s">
        <v>272</v>
      </c>
      <c r="E4648" t="s">
        <v>1072</v>
      </c>
      <c r="F4648" t="s">
        <v>117</v>
      </c>
      <c r="G4648" t="s">
        <v>2081</v>
      </c>
      <c r="H4648" s="9">
        <v>44733</v>
      </c>
      <c r="I4648" t="s">
        <v>1070</v>
      </c>
      <c r="J4648" t="s">
        <v>2</v>
      </c>
      <c r="K4648" s="9">
        <v>44834</v>
      </c>
      <c r="L4648" t="s">
        <v>29</v>
      </c>
      <c r="M4648" t="s">
        <v>5331</v>
      </c>
      <c r="N4648" s="9">
        <v>44778</v>
      </c>
      <c r="O4648" s="9">
        <v>44834</v>
      </c>
      <c r="P4648"/>
      <c r="Q4648"/>
      <c r="R4648"/>
      <c r="S4648"/>
      <c r="T4648"/>
      <c r="U4648"/>
    </row>
    <row r="4649" spans="1:21" hidden="1">
      <c r="A4649" s="7" t="s">
        <v>8816</v>
      </c>
      <c r="B4649" s="7" t="s">
        <v>7729</v>
      </c>
      <c r="C4649" s="8" t="s">
        <v>5319</v>
      </c>
      <c r="D4649" t="s">
        <v>272</v>
      </c>
      <c r="E4649" t="s">
        <v>1072</v>
      </c>
      <c r="F4649" t="s">
        <v>117</v>
      </c>
      <c r="G4649" t="s">
        <v>2082</v>
      </c>
      <c r="H4649" s="9">
        <v>44733</v>
      </c>
      <c r="I4649" t="s">
        <v>1070</v>
      </c>
      <c r="J4649" t="s">
        <v>2</v>
      </c>
      <c r="K4649" s="9">
        <v>44834</v>
      </c>
      <c r="L4649" t="s">
        <v>29</v>
      </c>
      <c r="M4649" t="s">
        <v>5331</v>
      </c>
      <c r="N4649" s="9">
        <v>44778</v>
      </c>
      <c r="O4649" s="9">
        <v>44834</v>
      </c>
      <c r="P4649"/>
      <c r="Q4649"/>
      <c r="R4649"/>
      <c r="S4649"/>
      <c r="T4649"/>
      <c r="U4649"/>
    </row>
    <row r="4650" spans="1:21" hidden="1">
      <c r="A4650" s="7" t="s">
        <v>8816</v>
      </c>
      <c r="B4650" s="7" t="s">
        <v>7729</v>
      </c>
      <c r="C4650" s="8" t="s">
        <v>5319</v>
      </c>
      <c r="D4650" t="s">
        <v>272</v>
      </c>
      <c r="E4650" t="s">
        <v>1072</v>
      </c>
      <c r="F4650" t="s">
        <v>117</v>
      </c>
      <c r="G4650" t="s">
        <v>2083</v>
      </c>
      <c r="H4650" s="9">
        <v>44733</v>
      </c>
      <c r="I4650" t="s">
        <v>1070</v>
      </c>
      <c r="J4650" t="s">
        <v>2</v>
      </c>
      <c r="K4650" s="9">
        <v>44834</v>
      </c>
      <c r="L4650" t="s">
        <v>29</v>
      </c>
      <c r="M4650" t="s">
        <v>5331</v>
      </c>
      <c r="N4650" s="9">
        <v>44778</v>
      </c>
      <c r="O4650" s="9">
        <v>44834</v>
      </c>
      <c r="P4650"/>
      <c r="Q4650"/>
      <c r="R4650"/>
      <c r="S4650"/>
      <c r="T4650"/>
      <c r="U4650"/>
    </row>
    <row r="4651" spans="1:21" hidden="1">
      <c r="A4651" s="7" t="s">
        <v>8816</v>
      </c>
      <c r="B4651" s="7" t="s">
        <v>7729</v>
      </c>
      <c r="C4651" s="8" t="s">
        <v>5319</v>
      </c>
      <c r="D4651" t="s">
        <v>272</v>
      </c>
      <c r="E4651" t="s">
        <v>1072</v>
      </c>
      <c r="F4651" t="s">
        <v>117</v>
      </c>
      <c r="G4651" t="s">
        <v>2084</v>
      </c>
      <c r="H4651" s="9">
        <v>44733</v>
      </c>
      <c r="I4651" t="s">
        <v>1070</v>
      </c>
      <c r="J4651" t="s">
        <v>2</v>
      </c>
      <c r="K4651" s="9">
        <v>44834</v>
      </c>
      <c r="L4651" t="s">
        <v>29</v>
      </c>
      <c r="M4651" t="s">
        <v>5331</v>
      </c>
      <c r="N4651" s="9">
        <v>44778</v>
      </c>
      <c r="O4651" s="9">
        <v>44834</v>
      </c>
      <c r="P4651"/>
      <c r="Q4651"/>
      <c r="R4651"/>
      <c r="S4651"/>
      <c r="T4651"/>
      <c r="U4651"/>
    </row>
    <row r="4652" spans="1:21" hidden="1">
      <c r="A4652" s="7" t="s">
        <v>8816</v>
      </c>
      <c r="B4652" s="7" t="s">
        <v>7729</v>
      </c>
      <c r="C4652" s="8" t="s">
        <v>5319</v>
      </c>
      <c r="D4652" t="s">
        <v>272</v>
      </c>
      <c r="E4652" t="s">
        <v>1072</v>
      </c>
      <c r="F4652" t="s">
        <v>117</v>
      </c>
      <c r="G4652" t="s">
        <v>2085</v>
      </c>
      <c r="H4652" s="9">
        <v>44733</v>
      </c>
      <c r="I4652" t="s">
        <v>1070</v>
      </c>
      <c r="J4652" t="s">
        <v>2</v>
      </c>
      <c r="K4652" s="9">
        <v>44834</v>
      </c>
      <c r="L4652" t="s">
        <v>29</v>
      </c>
      <c r="M4652" t="s">
        <v>5331</v>
      </c>
      <c r="N4652" s="9">
        <v>44778</v>
      </c>
      <c r="O4652" s="9">
        <v>44834</v>
      </c>
      <c r="P4652"/>
      <c r="Q4652"/>
      <c r="R4652"/>
      <c r="S4652"/>
      <c r="T4652"/>
      <c r="U4652"/>
    </row>
    <row r="4653" spans="1:21" hidden="1">
      <c r="A4653" s="7" t="s">
        <v>8816</v>
      </c>
      <c r="B4653" s="7" t="s">
        <v>7729</v>
      </c>
      <c r="C4653" s="8" t="s">
        <v>5319</v>
      </c>
      <c r="D4653" t="s">
        <v>272</v>
      </c>
      <c r="E4653" t="s">
        <v>1072</v>
      </c>
      <c r="F4653" t="s">
        <v>117</v>
      </c>
      <c r="G4653" t="s">
        <v>2086</v>
      </c>
      <c r="H4653" s="9">
        <v>44733</v>
      </c>
      <c r="I4653" t="s">
        <v>1070</v>
      </c>
      <c r="J4653" t="s">
        <v>2</v>
      </c>
      <c r="K4653" s="9">
        <v>44834</v>
      </c>
      <c r="L4653" t="s">
        <v>29</v>
      </c>
      <c r="M4653" t="s">
        <v>5331</v>
      </c>
      <c r="N4653" s="9">
        <v>44778</v>
      </c>
      <c r="O4653" s="9">
        <v>44834</v>
      </c>
      <c r="P4653"/>
      <c r="Q4653"/>
      <c r="R4653"/>
      <c r="S4653"/>
      <c r="T4653"/>
      <c r="U4653"/>
    </row>
    <row r="4654" spans="1:21" hidden="1">
      <c r="A4654" s="7" t="s">
        <v>8816</v>
      </c>
      <c r="B4654" s="7" t="s">
        <v>7729</v>
      </c>
      <c r="C4654" s="8" t="s">
        <v>5319</v>
      </c>
      <c r="D4654" t="s">
        <v>272</v>
      </c>
      <c r="E4654" t="s">
        <v>1072</v>
      </c>
      <c r="F4654" t="s">
        <v>117</v>
      </c>
      <c r="G4654" t="s">
        <v>2087</v>
      </c>
      <c r="H4654" s="9">
        <v>44733</v>
      </c>
      <c r="I4654" t="s">
        <v>1070</v>
      </c>
      <c r="J4654" t="s">
        <v>2</v>
      </c>
      <c r="K4654" s="9">
        <v>44834</v>
      </c>
      <c r="L4654" t="s">
        <v>29</v>
      </c>
      <c r="M4654" t="s">
        <v>5331</v>
      </c>
      <c r="N4654" s="9">
        <v>44778</v>
      </c>
      <c r="O4654" s="9">
        <v>44834</v>
      </c>
      <c r="P4654"/>
      <c r="Q4654"/>
      <c r="R4654"/>
      <c r="S4654"/>
      <c r="T4654"/>
      <c r="U4654"/>
    </row>
    <row r="4655" spans="1:21" hidden="1">
      <c r="A4655" s="7" t="s">
        <v>8816</v>
      </c>
      <c r="B4655" s="7" t="s">
        <v>7729</v>
      </c>
      <c r="C4655" s="8" t="s">
        <v>5319</v>
      </c>
      <c r="D4655" t="s">
        <v>272</v>
      </c>
      <c r="E4655" t="s">
        <v>1072</v>
      </c>
      <c r="F4655" t="s">
        <v>117</v>
      </c>
      <c r="G4655" t="s">
        <v>2088</v>
      </c>
      <c r="H4655" s="9">
        <v>44733</v>
      </c>
      <c r="I4655" t="s">
        <v>1070</v>
      </c>
      <c r="J4655" t="s">
        <v>2</v>
      </c>
      <c r="K4655" s="9">
        <v>44834</v>
      </c>
      <c r="L4655" t="s">
        <v>29</v>
      </c>
      <c r="M4655" t="s">
        <v>5331</v>
      </c>
      <c r="N4655" s="9">
        <v>44778</v>
      </c>
      <c r="O4655" s="9">
        <v>44834</v>
      </c>
      <c r="P4655"/>
      <c r="Q4655"/>
      <c r="R4655"/>
      <c r="S4655"/>
      <c r="T4655"/>
      <c r="U4655"/>
    </row>
    <row r="4656" spans="1:21" hidden="1">
      <c r="A4656" s="7" t="s">
        <v>8816</v>
      </c>
      <c r="B4656" s="7" t="s">
        <v>7729</v>
      </c>
      <c r="C4656" s="8" t="s">
        <v>5319</v>
      </c>
      <c r="D4656" t="s">
        <v>272</v>
      </c>
      <c r="E4656" t="s">
        <v>1072</v>
      </c>
      <c r="F4656" t="s">
        <v>117</v>
      </c>
      <c r="G4656" t="s">
        <v>2089</v>
      </c>
      <c r="H4656" s="9">
        <v>44733</v>
      </c>
      <c r="I4656" t="s">
        <v>1070</v>
      </c>
      <c r="J4656" t="s">
        <v>2</v>
      </c>
      <c r="K4656" s="9">
        <v>44834</v>
      </c>
      <c r="L4656" t="s">
        <v>29</v>
      </c>
      <c r="M4656" t="s">
        <v>5331</v>
      </c>
      <c r="N4656" s="9">
        <v>44778</v>
      </c>
      <c r="O4656" s="9">
        <v>44834</v>
      </c>
      <c r="P4656"/>
      <c r="Q4656"/>
      <c r="R4656"/>
      <c r="S4656"/>
      <c r="T4656"/>
      <c r="U4656"/>
    </row>
    <row r="4657" spans="1:21" hidden="1">
      <c r="A4657" s="7" t="s">
        <v>8816</v>
      </c>
      <c r="B4657" s="7" t="s">
        <v>7729</v>
      </c>
      <c r="C4657" s="8" t="s">
        <v>5319</v>
      </c>
      <c r="D4657" t="s">
        <v>272</v>
      </c>
      <c r="E4657" t="s">
        <v>1072</v>
      </c>
      <c r="F4657" t="s">
        <v>117</v>
      </c>
      <c r="G4657" t="s">
        <v>2090</v>
      </c>
      <c r="H4657" s="9">
        <v>44733</v>
      </c>
      <c r="I4657" t="s">
        <v>1070</v>
      </c>
      <c r="J4657" t="s">
        <v>2</v>
      </c>
      <c r="K4657" s="9">
        <v>44834</v>
      </c>
      <c r="L4657" t="s">
        <v>29</v>
      </c>
      <c r="M4657" t="s">
        <v>5331</v>
      </c>
      <c r="N4657" s="9">
        <v>44778</v>
      </c>
      <c r="O4657" s="9">
        <v>44834</v>
      </c>
      <c r="P4657"/>
      <c r="Q4657"/>
      <c r="R4657"/>
      <c r="S4657"/>
      <c r="T4657"/>
      <c r="U4657"/>
    </row>
    <row r="4658" spans="1:21" hidden="1">
      <c r="A4658" s="7" t="s">
        <v>8816</v>
      </c>
      <c r="B4658" s="7" t="s">
        <v>7729</v>
      </c>
      <c r="C4658" s="8" t="s">
        <v>5319</v>
      </c>
      <c r="D4658" t="s">
        <v>272</v>
      </c>
      <c r="E4658" t="s">
        <v>1072</v>
      </c>
      <c r="F4658" t="s">
        <v>117</v>
      </c>
      <c r="G4658" t="s">
        <v>2091</v>
      </c>
      <c r="H4658" s="9">
        <v>44733</v>
      </c>
      <c r="I4658" t="s">
        <v>1070</v>
      </c>
      <c r="J4658" t="s">
        <v>2</v>
      </c>
      <c r="K4658" s="9">
        <v>44834</v>
      </c>
      <c r="L4658" t="s">
        <v>29</v>
      </c>
      <c r="M4658" t="s">
        <v>5331</v>
      </c>
      <c r="N4658" s="9">
        <v>44778</v>
      </c>
      <c r="O4658" s="9">
        <v>44834</v>
      </c>
      <c r="P4658"/>
      <c r="Q4658"/>
      <c r="R4658"/>
      <c r="S4658"/>
      <c r="T4658"/>
      <c r="U4658"/>
    </row>
    <row r="4659" spans="1:21" hidden="1">
      <c r="A4659" s="7" t="s">
        <v>8816</v>
      </c>
      <c r="B4659" s="7" t="s">
        <v>7729</v>
      </c>
      <c r="C4659" s="8" t="s">
        <v>5319</v>
      </c>
      <c r="D4659" t="s">
        <v>272</v>
      </c>
      <c r="E4659" t="s">
        <v>1072</v>
      </c>
      <c r="F4659" t="s">
        <v>117</v>
      </c>
      <c r="G4659" t="s">
        <v>2092</v>
      </c>
      <c r="H4659" s="9">
        <v>44733</v>
      </c>
      <c r="I4659" t="s">
        <v>1070</v>
      </c>
      <c r="J4659" t="s">
        <v>2</v>
      </c>
      <c r="K4659" s="9">
        <v>44834</v>
      </c>
      <c r="L4659" t="s">
        <v>29</v>
      </c>
      <c r="M4659" t="s">
        <v>5331</v>
      </c>
      <c r="N4659" s="9">
        <v>44778</v>
      </c>
      <c r="O4659" s="9">
        <v>44834</v>
      </c>
      <c r="P4659"/>
      <c r="Q4659"/>
      <c r="R4659"/>
      <c r="S4659"/>
      <c r="T4659"/>
      <c r="U4659"/>
    </row>
    <row r="4660" spans="1:21" hidden="1">
      <c r="A4660" s="7" t="s">
        <v>8816</v>
      </c>
      <c r="B4660" s="7" t="s">
        <v>7729</v>
      </c>
      <c r="C4660" s="8" t="s">
        <v>5319</v>
      </c>
      <c r="D4660" t="s">
        <v>272</v>
      </c>
      <c r="E4660" t="s">
        <v>1072</v>
      </c>
      <c r="F4660" t="s">
        <v>117</v>
      </c>
      <c r="G4660" t="s">
        <v>2093</v>
      </c>
      <c r="H4660" s="9">
        <v>44733</v>
      </c>
      <c r="I4660" t="s">
        <v>1070</v>
      </c>
      <c r="J4660" t="s">
        <v>2</v>
      </c>
      <c r="K4660" s="9">
        <v>44834</v>
      </c>
      <c r="L4660" t="s">
        <v>29</v>
      </c>
      <c r="M4660" t="s">
        <v>5331</v>
      </c>
      <c r="N4660" s="9">
        <v>44778</v>
      </c>
      <c r="O4660" s="9">
        <v>44834</v>
      </c>
      <c r="P4660"/>
      <c r="Q4660"/>
      <c r="R4660"/>
      <c r="S4660"/>
      <c r="T4660"/>
      <c r="U4660"/>
    </row>
    <row r="4661" spans="1:21" hidden="1">
      <c r="A4661" s="7" t="s">
        <v>8816</v>
      </c>
      <c r="B4661" s="7" t="s">
        <v>7729</v>
      </c>
      <c r="C4661" s="8" t="s">
        <v>5319</v>
      </c>
      <c r="D4661" t="s">
        <v>272</v>
      </c>
      <c r="E4661" t="s">
        <v>1072</v>
      </c>
      <c r="F4661" t="s">
        <v>117</v>
      </c>
      <c r="G4661" t="s">
        <v>2094</v>
      </c>
      <c r="H4661" s="9">
        <v>44733</v>
      </c>
      <c r="I4661" t="s">
        <v>1070</v>
      </c>
      <c r="J4661" t="s">
        <v>2</v>
      </c>
      <c r="K4661" s="9">
        <v>44834</v>
      </c>
      <c r="L4661" t="s">
        <v>29</v>
      </c>
      <c r="M4661" t="s">
        <v>5331</v>
      </c>
      <c r="N4661" s="9">
        <v>44778</v>
      </c>
      <c r="O4661" s="9">
        <v>44834</v>
      </c>
      <c r="P4661"/>
      <c r="Q4661"/>
      <c r="R4661"/>
      <c r="S4661"/>
      <c r="T4661"/>
      <c r="U4661"/>
    </row>
    <row r="4662" spans="1:21" hidden="1">
      <c r="A4662" s="7" t="s">
        <v>8841</v>
      </c>
      <c r="B4662" s="7" t="s">
        <v>7703</v>
      </c>
      <c r="C4662" s="8" t="s">
        <v>5319</v>
      </c>
      <c r="D4662" t="s">
        <v>272</v>
      </c>
      <c r="E4662" t="s">
        <v>2095</v>
      </c>
      <c r="F4662" t="s">
        <v>117</v>
      </c>
      <c r="G4662" t="s">
        <v>2096</v>
      </c>
      <c r="H4662" s="9">
        <v>44733</v>
      </c>
      <c r="I4662" t="s">
        <v>509</v>
      </c>
      <c r="J4662" t="s">
        <v>276</v>
      </c>
      <c r="K4662" s="9">
        <v>44883.786504629599</v>
      </c>
      <c r="L4662" t="s">
        <v>29</v>
      </c>
      <c r="M4662" t="s">
        <v>5331</v>
      </c>
      <c r="N4662" s="9">
        <v>44778</v>
      </c>
      <c r="O4662" s="9">
        <v>44834</v>
      </c>
      <c r="P4662"/>
      <c r="Q4662"/>
      <c r="R4662" s="9">
        <v>44883.785590277803</v>
      </c>
      <c r="S4662"/>
      <c r="T4662"/>
      <c r="U4662"/>
    </row>
    <row r="4663" spans="1:21" hidden="1">
      <c r="A4663" s="7" t="s">
        <v>8841</v>
      </c>
      <c r="B4663" s="7" t="s">
        <v>7703</v>
      </c>
      <c r="C4663" s="8" t="s">
        <v>5319</v>
      </c>
      <c r="D4663" t="s">
        <v>272</v>
      </c>
      <c r="E4663" t="s">
        <v>2095</v>
      </c>
      <c r="F4663" t="s">
        <v>117</v>
      </c>
      <c r="G4663" t="s">
        <v>2097</v>
      </c>
      <c r="H4663" s="9">
        <v>44733</v>
      </c>
      <c r="I4663" t="s">
        <v>509</v>
      </c>
      <c r="J4663" t="s">
        <v>276</v>
      </c>
      <c r="K4663" s="9">
        <v>44883.786504629599</v>
      </c>
      <c r="L4663" t="s">
        <v>29</v>
      </c>
      <c r="M4663" t="s">
        <v>5331</v>
      </c>
      <c r="N4663" s="9">
        <v>44778</v>
      </c>
      <c r="O4663" s="9">
        <v>44834</v>
      </c>
      <c r="P4663"/>
      <c r="Q4663"/>
      <c r="R4663" s="9">
        <v>44883.785590277803</v>
      </c>
      <c r="S4663"/>
      <c r="T4663"/>
      <c r="U4663"/>
    </row>
    <row r="4664" spans="1:21" hidden="1">
      <c r="A4664" s="7" t="s">
        <v>8841</v>
      </c>
      <c r="B4664" s="7" t="s">
        <v>7703</v>
      </c>
      <c r="C4664" s="8" t="s">
        <v>5319</v>
      </c>
      <c r="D4664" t="s">
        <v>272</v>
      </c>
      <c r="E4664" t="s">
        <v>2095</v>
      </c>
      <c r="F4664" t="s">
        <v>117</v>
      </c>
      <c r="G4664" t="s">
        <v>2098</v>
      </c>
      <c r="H4664" s="9">
        <v>44733</v>
      </c>
      <c r="I4664" t="s">
        <v>509</v>
      </c>
      <c r="J4664" t="s">
        <v>276</v>
      </c>
      <c r="K4664" s="9">
        <v>44883.786504629599</v>
      </c>
      <c r="L4664" t="s">
        <v>29</v>
      </c>
      <c r="M4664" t="s">
        <v>5331</v>
      </c>
      <c r="N4664" s="9">
        <v>44778</v>
      </c>
      <c r="O4664" s="9">
        <v>44834</v>
      </c>
      <c r="P4664"/>
      <c r="Q4664"/>
      <c r="R4664" s="9">
        <v>44883.785590277803</v>
      </c>
      <c r="S4664"/>
      <c r="T4664"/>
      <c r="U4664"/>
    </row>
    <row r="4665" spans="1:21" hidden="1">
      <c r="A4665" s="7" t="s">
        <v>8816</v>
      </c>
      <c r="B4665" s="7" t="s">
        <v>7729</v>
      </c>
      <c r="C4665" s="8" t="s">
        <v>5319</v>
      </c>
      <c r="D4665" t="s">
        <v>272</v>
      </c>
      <c r="E4665" t="s">
        <v>1072</v>
      </c>
      <c r="F4665" t="s">
        <v>117</v>
      </c>
      <c r="G4665" t="s">
        <v>2099</v>
      </c>
      <c r="H4665" s="9">
        <v>44733</v>
      </c>
      <c r="I4665" t="s">
        <v>1070</v>
      </c>
      <c r="J4665" t="s">
        <v>2</v>
      </c>
      <c r="K4665" s="9">
        <v>44834</v>
      </c>
      <c r="L4665" t="s">
        <v>29</v>
      </c>
      <c r="M4665" t="s">
        <v>5331</v>
      </c>
      <c r="N4665" s="9">
        <v>44778</v>
      </c>
      <c r="O4665" s="9">
        <v>44834</v>
      </c>
      <c r="P4665"/>
      <c r="Q4665"/>
      <c r="R4665"/>
      <c r="S4665"/>
      <c r="T4665"/>
      <c r="U4665"/>
    </row>
    <row r="4666" spans="1:21" hidden="1">
      <c r="A4666" s="7" t="s">
        <v>8742</v>
      </c>
      <c r="B4666" s="7" t="s">
        <v>6943</v>
      </c>
      <c r="C4666" s="8" t="s">
        <v>5319</v>
      </c>
      <c r="D4666" t="s">
        <v>272</v>
      </c>
      <c r="E4666" t="s">
        <v>324</v>
      </c>
      <c r="F4666" t="s">
        <v>75</v>
      </c>
      <c r="G4666" t="s">
        <v>2100</v>
      </c>
      <c r="H4666" s="9">
        <v>44733</v>
      </c>
      <c r="I4666" t="s">
        <v>282</v>
      </c>
      <c r="J4666" t="s">
        <v>2</v>
      </c>
      <c r="K4666" s="9">
        <v>44817</v>
      </c>
      <c r="L4666" t="s">
        <v>29</v>
      </c>
      <c r="M4666" t="s">
        <v>5331</v>
      </c>
      <c r="N4666" s="9">
        <v>44778</v>
      </c>
      <c r="O4666"/>
      <c r="P4666"/>
      <c r="Q4666" s="9">
        <v>44817</v>
      </c>
      <c r="R4666" s="9">
        <v>44816.486284722203</v>
      </c>
      <c r="S4666"/>
      <c r="T4666"/>
      <c r="U4666"/>
    </row>
    <row r="4667" spans="1:21" hidden="1">
      <c r="A4667" s="7" t="s">
        <v>8742</v>
      </c>
      <c r="B4667" s="7" t="s">
        <v>6943</v>
      </c>
      <c r="C4667" s="8" t="s">
        <v>5319</v>
      </c>
      <c r="D4667" t="s">
        <v>272</v>
      </c>
      <c r="E4667" t="s">
        <v>324</v>
      </c>
      <c r="F4667" t="s">
        <v>75</v>
      </c>
      <c r="G4667" t="s">
        <v>2101</v>
      </c>
      <c r="H4667" s="9">
        <v>44733</v>
      </c>
      <c r="I4667" t="s">
        <v>282</v>
      </c>
      <c r="J4667" t="s">
        <v>2</v>
      </c>
      <c r="K4667" s="9">
        <v>44817</v>
      </c>
      <c r="L4667" t="s">
        <v>29</v>
      </c>
      <c r="M4667" t="s">
        <v>5331</v>
      </c>
      <c r="N4667" s="9">
        <v>44778</v>
      </c>
      <c r="O4667"/>
      <c r="P4667"/>
      <c r="Q4667" s="9">
        <v>44817</v>
      </c>
      <c r="R4667" s="9">
        <v>44816.486284722203</v>
      </c>
      <c r="S4667"/>
      <c r="T4667"/>
      <c r="U4667"/>
    </row>
    <row r="4668" spans="1:21" hidden="1">
      <c r="A4668" s="7" t="s">
        <v>8742</v>
      </c>
      <c r="B4668" s="7" t="s">
        <v>6943</v>
      </c>
      <c r="C4668" s="8" t="s">
        <v>5319</v>
      </c>
      <c r="D4668" t="s">
        <v>272</v>
      </c>
      <c r="E4668" t="s">
        <v>324</v>
      </c>
      <c r="F4668" t="s">
        <v>75</v>
      </c>
      <c r="G4668" t="s">
        <v>2102</v>
      </c>
      <c r="H4668" s="9">
        <v>44733</v>
      </c>
      <c r="I4668" t="s">
        <v>282</v>
      </c>
      <c r="J4668" t="s">
        <v>2</v>
      </c>
      <c r="K4668" s="9">
        <v>44817</v>
      </c>
      <c r="L4668" t="s">
        <v>29</v>
      </c>
      <c r="M4668" t="s">
        <v>5331</v>
      </c>
      <c r="N4668" s="9">
        <v>44778</v>
      </c>
      <c r="O4668"/>
      <c r="P4668"/>
      <c r="Q4668" s="9">
        <v>44817</v>
      </c>
      <c r="R4668" s="9">
        <v>44816.486284722203</v>
      </c>
      <c r="S4668"/>
      <c r="T4668"/>
      <c r="U4668"/>
    </row>
    <row r="4669" spans="1:21" hidden="1">
      <c r="A4669" s="7" t="s">
        <v>8742</v>
      </c>
      <c r="B4669" s="7" t="s">
        <v>6943</v>
      </c>
      <c r="C4669" s="8" t="s">
        <v>5319</v>
      </c>
      <c r="D4669" t="s">
        <v>272</v>
      </c>
      <c r="E4669" t="s">
        <v>324</v>
      </c>
      <c r="F4669" t="s">
        <v>75</v>
      </c>
      <c r="G4669" t="s">
        <v>2103</v>
      </c>
      <c r="H4669" s="9">
        <v>44733</v>
      </c>
      <c r="I4669" t="s">
        <v>282</v>
      </c>
      <c r="J4669" t="s">
        <v>2</v>
      </c>
      <c r="K4669" s="9">
        <v>44817</v>
      </c>
      <c r="L4669" t="s">
        <v>29</v>
      </c>
      <c r="M4669" t="s">
        <v>5331</v>
      </c>
      <c r="N4669" s="9">
        <v>44778</v>
      </c>
      <c r="O4669"/>
      <c r="P4669"/>
      <c r="Q4669" s="9">
        <v>44817</v>
      </c>
      <c r="R4669" s="9">
        <v>44816.486284722203</v>
      </c>
      <c r="S4669"/>
      <c r="T4669"/>
      <c r="U4669"/>
    </row>
    <row r="4670" spans="1:21" hidden="1">
      <c r="A4670" s="7" t="s">
        <v>8758</v>
      </c>
      <c r="B4670" s="7" t="s">
        <v>5405</v>
      </c>
      <c r="C4670" s="8" t="s">
        <v>5319</v>
      </c>
      <c r="D4670" t="s">
        <v>272</v>
      </c>
      <c r="E4670" t="s">
        <v>25</v>
      </c>
      <c r="F4670" t="s">
        <v>493</v>
      </c>
      <c r="G4670" t="s">
        <v>2104</v>
      </c>
      <c r="H4670" s="9">
        <v>44733</v>
      </c>
      <c r="I4670" t="s">
        <v>8634</v>
      </c>
      <c r="J4670" t="s">
        <v>2</v>
      </c>
      <c r="K4670" s="9">
        <v>44834</v>
      </c>
      <c r="L4670" t="s">
        <v>29</v>
      </c>
      <c r="M4670" t="s">
        <v>5331</v>
      </c>
      <c r="N4670" s="9">
        <v>44778</v>
      </c>
      <c r="O4670" s="9">
        <v>44834</v>
      </c>
      <c r="P4670"/>
      <c r="Q4670"/>
      <c r="R4670"/>
      <c r="S4670"/>
      <c r="T4670"/>
      <c r="U4670"/>
    </row>
    <row r="4671" spans="1:21" hidden="1">
      <c r="A4671" s="7" t="s">
        <v>8842</v>
      </c>
      <c r="B4671" s="7" t="s">
        <v>6691</v>
      </c>
      <c r="C4671" s="8" t="s">
        <v>5319</v>
      </c>
      <c r="D4671" t="s">
        <v>272</v>
      </c>
      <c r="E4671" t="s">
        <v>2105</v>
      </c>
      <c r="F4671" t="s">
        <v>2106</v>
      </c>
      <c r="G4671" t="s">
        <v>2107</v>
      </c>
      <c r="H4671" s="9">
        <v>44733</v>
      </c>
      <c r="I4671" t="s">
        <v>2108</v>
      </c>
      <c r="J4671" t="s">
        <v>0</v>
      </c>
      <c r="K4671" s="9">
        <v>44841</v>
      </c>
      <c r="L4671" t="s">
        <v>29</v>
      </c>
      <c r="M4671"/>
      <c r="N4671" s="9">
        <v>44778</v>
      </c>
      <c r="O4671" s="9">
        <v>44834</v>
      </c>
      <c r="P4671"/>
      <c r="Q4671" s="9">
        <v>44841</v>
      </c>
      <c r="R4671"/>
      <c r="S4671"/>
      <c r="T4671"/>
      <c r="U4671"/>
    </row>
    <row r="4672" spans="1:21" hidden="1">
      <c r="A4672" s="7" t="s">
        <v>8843</v>
      </c>
      <c r="B4672" s="7" t="s">
        <v>8358</v>
      </c>
      <c r="C4672" s="8" t="s">
        <v>5319</v>
      </c>
      <c r="D4672" t="s">
        <v>272</v>
      </c>
      <c r="E4672" t="s">
        <v>2109</v>
      </c>
      <c r="F4672" t="s">
        <v>231</v>
      </c>
      <c r="G4672" t="s">
        <v>2110</v>
      </c>
      <c r="H4672" s="9">
        <v>44733</v>
      </c>
      <c r="I4672" t="s">
        <v>509</v>
      </c>
      <c r="J4672" t="s">
        <v>2</v>
      </c>
      <c r="K4672" s="9">
        <v>44743</v>
      </c>
      <c r="L4672" t="s">
        <v>29</v>
      </c>
      <c r="M4672" t="s">
        <v>5331</v>
      </c>
      <c r="N4672"/>
      <c r="O4672"/>
      <c r="P4672"/>
      <c r="Q4672" s="9">
        <v>44743</v>
      </c>
      <c r="R4672"/>
      <c r="S4672"/>
      <c r="T4672"/>
      <c r="U4672"/>
    </row>
    <row r="4673" spans="1:21" hidden="1">
      <c r="A4673" s="7" t="s">
        <v>8765</v>
      </c>
      <c r="B4673" s="7" t="s">
        <v>5405</v>
      </c>
      <c r="C4673" s="8" t="s">
        <v>5319</v>
      </c>
      <c r="D4673" t="s">
        <v>272</v>
      </c>
      <c r="E4673" t="s">
        <v>25</v>
      </c>
      <c r="F4673" t="s">
        <v>231</v>
      </c>
      <c r="G4673" t="s">
        <v>2111</v>
      </c>
      <c r="H4673" s="9">
        <v>44733</v>
      </c>
      <c r="I4673" t="s">
        <v>8634</v>
      </c>
      <c r="J4673" t="s">
        <v>2</v>
      </c>
      <c r="K4673" s="9">
        <v>44834</v>
      </c>
      <c r="L4673" t="s">
        <v>29</v>
      </c>
      <c r="M4673" t="s">
        <v>5331</v>
      </c>
      <c r="N4673" s="9">
        <v>44778</v>
      </c>
      <c r="O4673" s="9">
        <v>44834</v>
      </c>
      <c r="P4673"/>
      <c r="Q4673"/>
      <c r="R4673"/>
      <c r="S4673"/>
      <c r="T4673"/>
      <c r="U4673"/>
    </row>
    <row r="4674" spans="1:21" hidden="1">
      <c r="A4674" s="7" t="s">
        <v>8765</v>
      </c>
      <c r="B4674" s="7" t="s">
        <v>5405</v>
      </c>
      <c r="C4674" s="8" t="s">
        <v>5319</v>
      </c>
      <c r="D4674" t="s">
        <v>272</v>
      </c>
      <c r="E4674" t="s">
        <v>25</v>
      </c>
      <c r="F4674" t="s">
        <v>231</v>
      </c>
      <c r="G4674" t="s">
        <v>2112</v>
      </c>
      <c r="H4674" s="9">
        <v>44733</v>
      </c>
      <c r="I4674" t="s">
        <v>8634</v>
      </c>
      <c r="J4674" t="s">
        <v>2</v>
      </c>
      <c r="K4674" s="9">
        <v>44834</v>
      </c>
      <c r="L4674" t="s">
        <v>29</v>
      </c>
      <c r="M4674" t="s">
        <v>5331</v>
      </c>
      <c r="N4674" s="9">
        <v>44778</v>
      </c>
      <c r="O4674" s="9">
        <v>44834</v>
      </c>
      <c r="P4674"/>
      <c r="Q4674"/>
      <c r="R4674"/>
      <c r="S4674"/>
      <c r="T4674"/>
      <c r="U4674"/>
    </row>
    <row r="4675" spans="1:21" hidden="1">
      <c r="A4675" s="7" t="s">
        <v>8765</v>
      </c>
      <c r="B4675" s="7" t="s">
        <v>5405</v>
      </c>
      <c r="C4675" s="8" t="s">
        <v>5319</v>
      </c>
      <c r="D4675" t="s">
        <v>272</v>
      </c>
      <c r="E4675" t="s">
        <v>25</v>
      </c>
      <c r="F4675" t="s">
        <v>231</v>
      </c>
      <c r="G4675" t="s">
        <v>2113</v>
      </c>
      <c r="H4675" s="9">
        <v>44733</v>
      </c>
      <c r="I4675" t="s">
        <v>8634</v>
      </c>
      <c r="J4675" t="s">
        <v>2</v>
      </c>
      <c r="K4675" s="9">
        <v>44834</v>
      </c>
      <c r="L4675" t="s">
        <v>29</v>
      </c>
      <c r="M4675" t="s">
        <v>5331</v>
      </c>
      <c r="N4675" s="9">
        <v>44778</v>
      </c>
      <c r="O4675" s="9">
        <v>44834</v>
      </c>
      <c r="P4675"/>
      <c r="Q4675"/>
      <c r="R4675"/>
      <c r="S4675"/>
      <c r="T4675"/>
      <c r="U4675"/>
    </row>
    <row r="4676" spans="1:21" hidden="1">
      <c r="A4676" s="7" t="s">
        <v>8765</v>
      </c>
      <c r="B4676" s="7" t="s">
        <v>5405</v>
      </c>
      <c r="C4676" s="8" t="s">
        <v>5319</v>
      </c>
      <c r="D4676" t="s">
        <v>272</v>
      </c>
      <c r="E4676" t="s">
        <v>25</v>
      </c>
      <c r="F4676" t="s">
        <v>231</v>
      </c>
      <c r="G4676" t="s">
        <v>2114</v>
      </c>
      <c r="H4676" s="9">
        <v>44733</v>
      </c>
      <c r="I4676" t="s">
        <v>8634</v>
      </c>
      <c r="J4676" t="s">
        <v>2</v>
      </c>
      <c r="K4676" s="9">
        <v>44834</v>
      </c>
      <c r="L4676" t="s">
        <v>29</v>
      </c>
      <c r="M4676" t="s">
        <v>5331</v>
      </c>
      <c r="N4676" s="9">
        <v>44778</v>
      </c>
      <c r="O4676" s="9">
        <v>44834</v>
      </c>
      <c r="P4676"/>
      <c r="Q4676"/>
      <c r="R4676"/>
      <c r="S4676"/>
      <c r="T4676"/>
      <c r="U4676"/>
    </row>
    <row r="4677" spans="1:21" hidden="1">
      <c r="A4677" s="7" t="s">
        <v>8765</v>
      </c>
      <c r="B4677" s="7" t="s">
        <v>5405</v>
      </c>
      <c r="C4677" s="8" t="s">
        <v>5319</v>
      </c>
      <c r="D4677" t="s">
        <v>272</v>
      </c>
      <c r="E4677" t="s">
        <v>25</v>
      </c>
      <c r="F4677" t="s">
        <v>231</v>
      </c>
      <c r="G4677" t="s">
        <v>2115</v>
      </c>
      <c r="H4677" s="9">
        <v>44733</v>
      </c>
      <c r="I4677" t="s">
        <v>8634</v>
      </c>
      <c r="J4677" t="s">
        <v>2</v>
      </c>
      <c r="K4677" s="9">
        <v>44862</v>
      </c>
      <c r="L4677" t="s">
        <v>29</v>
      </c>
      <c r="M4677" t="s">
        <v>5331</v>
      </c>
      <c r="N4677"/>
      <c r="O4677"/>
      <c r="P4677"/>
      <c r="Q4677" s="9">
        <v>44862</v>
      </c>
      <c r="R4677"/>
      <c r="S4677"/>
      <c r="T4677"/>
      <c r="U4677"/>
    </row>
    <row r="4678" spans="1:21" hidden="1">
      <c r="A4678" s="7" t="s">
        <v>8765</v>
      </c>
      <c r="B4678" s="7" t="s">
        <v>5405</v>
      </c>
      <c r="C4678" s="8" t="s">
        <v>5319</v>
      </c>
      <c r="D4678" t="s">
        <v>272</v>
      </c>
      <c r="E4678" t="s">
        <v>25</v>
      </c>
      <c r="F4678" t="s">
        <v>231</v>
      </c>
      <c r="G4678" t="s">
        <v>2116</v>
      </c>
      <c r="H4678" s="9">
        <v>44733</v>
      </c>
      <c r="I4678" t="s">
        <v>8634</v>
      </c>
      <c r="J4678" t="s">
        <v>2</v>
      </c>
      <c r="K4678" s="9">
        <v>44834</v>
      </c>
      <c r="L4678" t="s">
        <v>29</v>
      </c>
      <c r="M4678" t="s">
        <v>5331</v>
      </c>
      <c r="N4678" s="9">
        <v>44778</v>
      </c>
      <c r="O4678" s="9">
        <v>44834</v>
      </c>
      <c r="P4678"/>
      <c r="Q4678"/>
      <c r="R4678"/>
      <c r="S4678"/>
      <c r="T4678"/>
      <c r="U4678"/>
    </row>
    <row r="4679" spans="1:21" hidden="1">
      <c r="A4679" s="7" t="s">
        <v>8765</v>
      </c>
      <c r="B4679" s="7" t="s">
        <v>5405</v>
      </c>
      <c r="C4679" s="8" t="s">
        <v>5319</v>
      </c>
      <c r="D4679" t="s">
        <v>272</v>
      </c>
      <c r="E4679" t="s">
        <v>25</v>
      </c>
      <c r="F4679" t="s">
        <v>231</v>
      </c>
      <c r="G4679" t="s">
        <v>2117</v>
      </c>
      <c r="H4679" s="9">
        <v>44733</v>
      </c>
      <c r="I4679" t="s">
        <v>8634</v>
      </c>
      <c r="J4679" t="s">
        <v>2</v>
      </c>
      <c r="K4679" s="9">
        <v>44834</v>
      </c>
      <c r="L4679" t="s">
        <v>29</v>
      </c>
      <c r="M4679" t="s">
        <v>5331</v>
      </c>
      <c r="N4679" s="9">
        <v>44778</v>
      </c>
      <c r="O4679" s="9">
        <v>44834</v>
      </c>
      <c r="P4679"/>
      <c r="Q4679"/>
      <c r="R4679"/>
      <c r="S4679"/>
      <c r="T4679"/>
      <c r="U4679"/>
    </row>
    <row r="4680" spans="1:21" hidden="1">
      <c r="A4680" s="7" t="s">
        <v>8765</v>
      </c>
      <c r="B4680" s="7" t="s">
        <v>5405</v>
      </c>
      <c r="C4680" s="8" t="s">
        <v>5319</v>
      </c>
      <c r="D4680" t="s">
        <v>272</v>
      </c>
      <c r="E4680" t="s">
        <v>25</v>
      </c>
      <c r="F4680" t="s">
        <v>231</v>
      </c>
      <c r="G4680" t="s">
        <v>2118</v>
      </c>
      <c r="H4680" s="9">
        <v>44733</v>
      </c>
      <c r="I4680" t="s">
        <v>8634</v>
      </c>
      <c r="J4680" t="s">
        <v>2</v>
      </c>
      <c r="K4680" s="9">
        <v>44834</v>
      </c>
      <c r="L4680" t="s">
        <v>29</v>
      </c>
      <c r="M4680" t="s">
        <v>5331</v>
      </c>
      <c r="N4680" s="9">
        <v>44778</v>
      </c>
      <c r="O4680" s="9">
        <v>44834</v>
      </c>
      <c r="P4680"/>
      <c r="Q4680"/>
      <c r="R4680"/>
      <c r="S4680"/>
      <c r="T4680"/>
      <c r="U4680"/>
    </row>
    <row r="4681" spans="1:21" hidden="1">
      <c r="A4681" s="7" t="s">
        <v>8844</v>
      </c>
      <c r="B4681" s="7" t="s">
        <v>5466</v>
      </c>
      <c r="C4681" s="8" t="s">
        <v>5319</v>
      </c>
      <c r="D4681" t="s">
        <v>272</v>
      </c>
      <c r="E4681" t="s">
        <v>2119</v>
      </c>
      <c r="F4681" t="s">
        <v>83</v>
      </c>
      <c r="G4681" t="s">
        <v>2120</v>
      </c>
      <c r="H4681" s="9">
        <v>44733</v>
      </c>
      <c r="I4681" t="s">
        <v>2121</v>
      </c>
      <c r="J4681" t="s">
        <v>2</v>
      </c>
      <c r="K4681" s="9">
        <v>44834</v>
      </c>
      <c r="L4681" t="s">
        <v>29</v>
      </c>
      <c r="M4681" t="s">
        <v>5331</v>
      </c>
      <c r="N4681" s="9">
        <v>44778</v>
      </c>
      <c r="O4681" s="9">
        <v>44834</v>
      </c>
      <c r="P4681"/>
      <c r="Q4681"/>
      <c r="R4681"/>
      <c r="S4681"/>
      <c r="T4681"/>
      <c r="U4681"/>
    </row>
    <row r="4682" spans="1:21" hidden="1">
      <c r="A4682" s="7" t="s">
        <v>8844</v>
      </c>
      <c r="B4682" s="7" t="s">
        <v>5466</v>
      </c>
      <c r="C4682" s="8" t="s">
        <v>5319</v>
      </c>
      <c r="D4682" t="s">
        <v>272</v>
      </c>
      <c r="E4682" t="s">
        <v>2119</v>
      </c>
      <c r="F4682" t="s">
        <v>83</v>
      </c>
      <c r="G4682" t="s">
        <v>2122</v>
      </c>
      <c r="H4682" s="9">
        <v>44733</v>
      </c>
      <c r="I4682" t="s">
        <v>2121</v>
      </c>
      <c r="J4682" t="s">
        <v>2</v>
      </c>
      <c r="K4682" s="9">
        <v>44834</v>
      </c>
      <c r="L4682" t="s">
        <v>29</v>
      </c>
      <c r="M4682" t="s">
        <v>5331</v>
      </c>
      <c r="N4682" s="9">
        <v>44778</v>
      </c>
      <c r="O4682" s="9">
        <v>44834</v>
      </c>
      <c r="P4682"/>
      <c r="Q4682"/>
      <c r="R4682"/>
      <c r="S4682"/>
      <c r="T4682"/>
      <c r="U4682"/>
    </row>
    <row r="4683" spans="1:21" hidden="1">
      <c r="A4683" s="7" t="s">
        <v>8845</v>
      </c>
      <c r="B4683" s="7" t="s">
        <v>6307</v>
      </c>
      <c r="C4683" s="8" t="s">
        <v>5319</v>
      </c>
      <c r="D4683" t="s">
        <v>272</v>
      </c>
      <c r="E4683" t="s">
        <v>78</v>
      </c>
      <c r="F4683" t="s">
        <v>2123</v>
      </c>
      <c r="G4683" t="s">
        <v>2124</v>
      </c>
      <c r="H4683" s="9">
        <v>44733</v>
      </c>
      <c r="I4683" t="s">
        <v>81</v>
      </c>
      <c r="J4683" t="s">
        <v>2</v>
      </c>
      <c r="K4683" s="9">
        <v>44858</v>
      </c>
      <c r="L4683" t="s">
        <v>29</v>
      </c>
      <c r="M4683" t="s">
        <v>5329</v>
      </c>
      <c r="N4683" s="9">
        <v>44778</v>
      </c>
      <c r="O4683" s="9">
        <v>44834</v>
      </c>
      <c r="P4683"/>
      <c r="Q4683"/>
      <c r="R4683"/>
      <c r="S4683"/>
      <c r="T4683"/>
      <c r="U4683"/>
    </row>
    <row r="4684" spans="1:21" hidden="1">
      <c r="A4684" s="7" t="s">
        <v>8846</v>
      </c>
      <c r="B4684" s="7" t="s">
        <v>6096</v>
      </c>
      <c r="C4684" s="8" t="s">
        <v>5319</v>
      </c>
      <c r="D4684" t="s">
        <v>272</v>
      </c>
      <c r="E4684" t="s">
        <v>2125</v>
      </c>
      <c r="F4684" t="s">
        <v>2126</v>
      </c>
      <c r="G4684" t="s">
        <v>2127</v>
      </c>
      <c r="H4684" s="9">
        <v>44733</v>
      </c>
      <c r="I4684" t="s">
        <v>77</v>
      </c>
      <c r="J4684" t="s">
        <v>0</v>
      </c>
      <c r="K4684" s="9">
        <v>44799</v>
      </c>
      <c r="L4684" t="s">
        <v>29</v>
      </c>
      <c r="M4684"/>
      <c r="N4684" s="9">
        <v>44778</v>
      </c>
      <c r="O4684"/>
      <c r="P4684"/>
      <c r="Q4684" s="9">
        <v>44799</v>
      </c>
      <c r="R4684"/>
      <c r="S4684"/>
      <c r="T4684"/>
      <c r="U4684"/>
    </row>
    <row r="4685" spans="1:21" hidden="1">
      <c r="A4685" s="7" t="s">
        <v>8847</v>
      </c>
      <c r="B4685" s="7" t="s">
        <v>8288</v>
      </c>
      <c r="C4685" s="8" t="s">
        <v>5319</v>
      </c>
      <c r="D4685" t="s">
        <v>272</v>
      </c>
      <c r="E4685" t="s">
        <v>2128</v>
      </c>
      <c r="F4685" t="s">
        <v>83</v>
      </c>
      <c r="G4685" t="s">
        <v>2129</v>
      </c>
      <c r="H4685" s="9">
        <v>44733</v>
      </c>
      <c r="I4685" t="s">
        <v>2130</v>
      </c>
      <c r="J4685" t="s">
        <v>2</v>
      </c>
      <c r="K4685" s="9">
        <v>44834</v>
      </c>
      <c r="L4685" t="s">
        <v>29</v>
      </c>
      <c r="M4685" t="s">
        <v>5331</v>
      </c>
      <c r="N4685" s="9">
        <v>44778</v>
      </c>
      <c r="O4685" s="9">
        <v>44834</v>
      </c>
      <c r="P4685"/>
      <c r="Q4685"/>
      <c r="R4685"/>
      <c r="S4685"/>
      <c r="T4685"/>
      <c r="U4685"/>
    </row>
    <row r="4686" spans="1:21" hidden="1">
      <c r="A4686" s="7" t="s">
        <v>8844</v>
      </c>
      <c r="B4686" s="7" t="s">
        <v>5466</v>
      </c>
      <c r="C4686" s="8" t="s">
        <v>5319</v>
      </c>
      <c r="D4686" t="s">
        <v>272</v>
      </c>
      <c r="E4686" t="s">
        <v>2119</v>
      </c>
      <c r="F4686" t="s">
        <v>83</v>
      </c>
      <c r="G4686" t="s">
        <v>2131</v>
      </c>
      <c r="H4686" s="9">
        <v>44733</v>
      </c>
      <c r="I4686" t="s">
        <v>2121</v>
      </c>
      <c r="J4686" t="s">
        <v>2</v>
      </c>
      <c r="K4686" s="9">
        <v>44834</v>
      </c>
      <c r="L4686" t="s">
        <v>29</v>
      </c>
      <c r="M4686" t="s">
        <v>5331</v>
      </c>
      <c r="N4686" s="9">
        <v>44778</v>
      </c>
      <c r="O4686" s="9">
        <v>44834</v>
      </c>
      <c r="P4686"/>
      <c r="Q4686"/>
      <c r="R4686"/>
      <c r="S4686"/>
      <c r="T4686"/>
      <c r="U4686"/>
    </row>
    <row r="4687" spans="1:21" hidden="1">
      <c r="A4687" s="7" t="s">
        <v>8844</v>
      </c>
      <c r="B4687" s="7" t="s">
        <v>5466</v>
      </c>
      <c r="C4687" s="8" t="s">
        <v>5319</v>
      </c>
      <c r="D4687" t="s">
        <v>272</v>
      </c>
      <c r="E4687" t="s">
        <v>2119</v>
      </c>
      <c r="F4687" t="s">
        <v>83</v>
      </c>
      <c r="G4687" t="s">
        <v>2132</v>
      </c>
      <c r="H4687" s="9">
        <v>44733</v>
      </c>
      <c r="I4687" t="s">
        <v>2121</v>
      </c>
      <c r="J4687" t="s">
        <v>2</v>
      </c>
      <c r="K4687" s="9">
        <v>44834</v>
      </c>
      <c r="L4687" t="s">
        <v>29</v>
      </c>
      <c r="M4687" t="s">
        <v>5331</v>
      </c>
      <c r="N4687" s="9">
        <v>44778</v>
      </c>
      <c r="O4687" s="9">
        <v>44834</v>
      </c>
      <c r="P4687"/>
      <c r="Q4687"/>
      <c r="R4687"/>
      <c r="S4687"/>
      <c r="T4687"/>
      <c r="U4687"/>
    </row>
    <row r="4688" spans="1:21" hidden="1">
      <c r="A4688" s="7" t="s">
        <v>8844</v>
      </c>
      <c r="B4688" s="7" t="s">
        <v>5466</v>
      </c>
      <c r="C4688" s="8" t="s">
        <v>5319</v>
      </c>
      <c r="D4688" t="s">
        <v>272</v>
      </c>
      <c r="E4688" t="s">
        <v>2119</v>
      </c>
      <c r="F4688" t="s">
        <v>83</v>
      </c>
      <c r="G4688" t="s">
        <v>2133</v>
      </c>
      <c r="H4688" s="9">
        <v>44733</v>
      </c>
      <c r="I4688" t="s">
        <v>2121</v>
      </c>
      <c r="J4688" t="s">
        <v>2</v>
      </c>
      <c r="K4688" s="9">
        <v>44834</v>
      </c>
      <c r="L4688" t="s">
        <v>29</v>
      </c>
      <c r="M4688" t="s">
        <v>5331</v>
      </c>
      <c r="N4688" s="9">
        <v>44778</v>
      </c>
      <c r="O4688" s="9">
        <v>44834</v>
      </c>
      <c r="P4688"/>
      <c r="Q4688"/>
      <c r="R4688"/>
      <c r="S4688"/>
      <c r="T4688"/>
      <c r="U4688"/>
    </row>
    <row r="4689" spans="1:21" hidden="1">
      <c r="A4689" s="7" t="s">
        <v>8844</v>
      </c>
      <c r="B4689" s="7" t="s">
        <v>5466</v>
      </c>
      <c r="C4689" s="8" t="s">
        <v>5319</v>
      </c>
      <c r="D4689" t="s">
        <v>272</v>
      </c>
      <c r="E4689" t="s">
        <v>2119</v>
      </c>
      <c r="F4689" t="s">
        <v>83</v>
      </c>
      <c r="G4689" t="s">
        <v>2134</v>
      </c>
      <c r="H4689" s="9">
        <v>44733</v>
      </c>
      <c r="I4689" t="s">
        <v>2121</v>
      </c>
      <c r="J4689" t="s">
        <v>2</v>
      </c>
      <c r="K4689" s="9">
        <v>44834</v>
      </c>
      <c r="L4689" t="s">
        <v>29</v>
      </c>
      <c r="M4689" t="s">
        <v>5331</v>
      </c>
      <c r="N4689" s="9">
        <v>44778</v>
      </c>
      <c r="O4689" s="9">
        <v>44834</v>
      </c>
      <c r="P4689"/>
      <c r="Q4689"/>
      <c r="R4689"/>
      <c r="S4689"/>
      <c r="T4689"/>
      <c r="U4689"/>
    </row>
    <row r="4690" spans="1:21" hidden="1">
      <c r="A4690" s="7" t="s">
        <v>8768</v>
      </c>
      <c r="B4690" s="7" t="s">
        <v>6720</v>
      </c>
      <c r="C4690" s="8" t="s">
        <v>5319</v>
      </c>
      <c r="D4690" t="s">
        <v>272</v>
      </c>
      <c r="E4690" t="s">
        <v>750</v>
      </c>
      <c r="F4690" t="s">
        <v>103</v>
      </c>
      <c r="G4690" t="s">
        <v>2135</v>
      </c>
      <c r="H4690" s="9">
        <v>44733</v>
      </c>
      <c r="I4690" t="s">
        <v>43</v>
      </c>
      <c r="J4690" t="s">
        <v>0</v>
      </c>
      <c r="K4690" s="9">
        <v>44846</v>
      </c>
      <c r="L4690" t="s">
        <v>29</v>
      </c>
      <c r="M4690"/>
      <c r="N4690" s="9">
        <v>44778</v>
      </c>
      <c r="O4690" s="9">
        <v>44834</v>
      </c>
      <c r="P4690"/>
      <c r="Q4690" s="9">
        <v>44846</v>
      </c>
      <c r="R4690"/>
      <c r="S4690"/>
      <c r="T4690"/>
      <c r="U4690"/>
    </row>
    <row r="4691" spans="1:21" hidden="1">
      <c r="A4691" s="7" t="s">
        <v>8768</v>
      </c>
      <c r="B4691" s="7" t="s">
        <v>6720</v>
      </c>
      <c r="C4691" s="8" t="s">
        <v>5319</v>
      </c>
      <c r="D4691" t="s">
        <v>272</v>
      </c>
      <c r="E4691" t="s">
        <v>750</v>
      </c>
      <c r="F4691" t="s">
        <v>103</v>
      </c>
      <c r="G4691" t="s">
        <v>2136</v>
      </c>
      <c r="H4691" s="9">
        <v>44733</v>
      </c>
      <c r="I4691" t="s">
        <v>43</v>
      </c>
      <c r="J4691" t="s">
        <v>0</v>
      </c>
      <c r="K4691" s="9">
        <v>44846</v>
      </c>
      <c r="L4691" t="s">
        <v>29</v>
      </c>
      <c r="M4691"/>
      <c r="N4691" s="9">
        <v>44778</v>
      </c>
      <c r="O4691" s="9">
        <v>44834</v>
      </c>
      <c r="P4691"/>
      <c r="Q4691" s="9">
        <v>44846</v>
      </c>
      <c r="R4691"/>
      <c r="S4691"/>
      <c r="T4691"/>
      <c r="U4691"/>
    </row>
    <row r="4692" spans="1:21" hidden="1">
      <c r="A4692" s="7" t="s">
        <v>8768</v>
      </c>
      <c r="B4692" s="7" t="s">
        <v>6720</v>
      </c>
      <c r="C4692" s="8" t="s">
        <v>5319</v>
      </c>
      <c r="D4692" t="s">
        <v>272</v>
      </c>
      <c r="E4692" t="s">
        <v>750</v>
      </c>
      <c r="F4692" t="s">
        <v>103</v>
      </c>
      <c r="G4692" t="s">
        <v>2137</v>
      </c>
      <c r="H4692" s="9">
        <v>44733</v>
      </c>
      <c r="I4692" t="s">
        <v>43</v>
      </c>
      <c r="J4692" t="s">
        <v>0</v>
      </c>
      <c r="K4692" s="9">
        <v>44846</v>
      </c>
      <c r="L4692" t="s">
        <v>29</v>
      </c>
      <c r="M4692"/>
      <c r="N4692" s="9">
        <v>44778</v>
      </c>
      <c r="O4692" s="9">
        <v>44834</v>
      </c>
      <c r="P4692"/>
      <c r="Q4692" s="9">
        <v>44846</v>
      </c>
      <c r="R4692"/>
      <c r="S4692"/>
      <c r="T4692"/>
      <c r="U4692"/>
    </row>
    <row r="4693" spans="1:21" hidden="1">
      <c r="A4693" s="7" t="s">
        <v>8768</v>
      </c>
      <c r="B4693" s="7" t="s">
        <v>6720</v>
      </c>
      <c r="C4693" s="8" t="s">
        <v>5319</v>
      </c>
      <c r="D4693" t="s">
        <v>272</v>
      </c>
      <c r="E4693" t="s">
        <v>750</v>
      </c>
      <c r="F4693" t="s">
        <v>103</v>
      </c>
      <c r="G4693" t="s">
        <v>2138</v>
      </c>
      <c r="H4693" s="9">
        <v>44733</v>
      </c>
      <c r="I4693" t="s">
        <v>43</v>
      </c>
      <c r="J4693" t="s">
        <v>0</v>
      </c>
      <c r="K4693" s="9">
        <v>44846</v>
      </c>
      <c r="L4693" t="s">
        <v>29</v>
      </c>
      <c r="M4693"/>
      <c r="N4693" s="9">
        <v>44778</v>
      </c>
      <c r="O4693" s="9">
        <v>44834</v>
      </c>
      <c r="P4693"/>
      <c r="Q4693" s="9">
        <v>44846</v>
      </c>
      <c r="R4693"/>
      <c r="S4693"/>
      <c r="T4693"/>
      <c r="U4693"/>
    </row>
    <row r="4694" spans="1:21" hidden="1">
      <c r="A4694" s="7" t="s">
        <v>8768</v>
      </c>
      <c r="B4694" s="7" t="s">
        <v>6720</v>
      </c>
      <c r="C4694" s="8" t="s">
        <v>5319</v>
      </c>
      <c r="D4694" t="s">
        <v>272</v>
      </c>
      <c r="E4694" t="s">
        <v>750</v>
      </c>
      <c r="F4694" t="s">
        <v>103</v>
      </c>
      <c r="G4694" t="s">
        <v>2139</v>
      </c>
      <c r="H4694" s="9">
        <v>44733</v>
      </c>
      <c r="I4694" t="s">
        <v>43</v>
      </c>
      <c r="J4694" t="s">
        <v>0</v>
      </c>
      <c r="K4694" s="9">
        <v>44846</v>
      </c>
      <c r="L4694" t="s">
        <v>29</v>
      </c>
      <c r="M4694"/>
      <c r="N4694" s="9">
        <v>44778</v>
      </c>
      <c r="O4694" s="9">
        <v>44834</v>
      </c>
      <c r="P4694"/>
      <c r="Q4694" s="9">
        <v>44846</v>
      </c>
      <c r="R4694"/>
      <c r="S4694"/>
      <c r="T4694"/>
      <c r="U4694"/>
    </row>
    <row r="4695" spans="1:21" hidden="1">
      <c r="A4695" s="7" t="s">
        <v>8768</v>
      </c>
      <c r="B4695" s="7" t="s">
        <v>6720</v>
      </c>
      <c r="C4695" s="8" t="s">
        <v>5319</v>
      </c>
      <c r="D4695" t="s">
        <v>272</v>
      </c>
      <c r="E4695" t="s">
        <v>750</v>
      </c>
      <c r="F4695" t="s">
        <v>103</v>
      </c>
      <c r="G4695" t="s">
        <v>2140</v>
      </c>
      <c r="H4695" s="9">
        <v>44733</v>
      </c>
      <c r="I4695" t="s">
        <v>43</v>
      </c>
      <c r="J4695" t="s">
        <v>0</v>
      </c>
      <c r="K4695" s="9">
        <v>44846</v>
      </c>
      <c r="L4695" t="s">
        <v>29</v>
      </c>
      <c r="M4695"/>
      <c r="N4695" s="9">
        <v>44778</v>
      </c>
      <c r="O4695" s="9">
        <v>44834</v>
      </c>
      <c r="P4695"/>
      <c r="Q4695" s="9">
        <v>44846</v>
      </c>
      <c r="R4695"/>
      <c r="S4695"/>
      <c r="T4695"/>
      <c r="U4695"/>
    </row>
    <row r="4696" spans="1:21" hidden="1">
      <c r="A4696" s="7" t="s">
        <v>8768</v>
      </c>
      <c r="B4696" s="7" t="s">
        <v>6720</v>
      </c>
      <c r="C4696" s="8" t="s">
        <v>5319</v>
      </c>
      <c r="D4696" t="s">
        <v>272</v>
      </c>
      <c r="E4696" t="s">
        <v>750</v>
      </c>
      <c r="F4696" t="s">
        <v>103</v>
      </c>
      <c r="G4696" t="s">
        <v>2141</v>
      </c>
      <c r="H4696" s="9">
        <v>44733</v>
      </c>
      <c r="I4696" t="s">
        <v>43</v>
      </c>
      <c r="J4696" t="s">
        <v>0</v>
      </c>
      <c r="K4696" s="9">
        <v>44846</v>
      </c>
      <c r="L4696" t="s">
        <v>29</v>
      </c>
      <c r="M4696"/>
      <c r="N4696" s="9">
        <v>44778</v>
      </c>
      <c r="O4696" s="9">
        <v>44834</v>
      </c>
      <c r="P4696"/>
      <c r="Q4696" s="9">
        <v>44846</v>
      </c>
      <c r="R4696"/>
      <c r="S4696"/>
      <c r="T4696"/>
      <c r="U4696"/>
    </row>
    <row r="4697" spans="1:21" hidden="1">
      <c r="A4697" s="7" t="s">
        <v>8848</v>
      </c>
      <c r="B4697" s="7" t="s">
        <v>6217</v>
      </c>
      <c r="C4697" s="8" t="s">
        <v>5319</v>
      </c>
      <c r="D4697" t="s">
        <v>272</v>
      </c>
      <c r="E4697" t="s">
        <v>2142</v>
      </c>
      <c r="F4697" t="s">
        <v>491</v>
      </c>
      <c r="G4697" t="s">
        <v>2143</v>
      </c>
      <c r="H4697" s="9">
        <v>44733</v>
      </c>
      <c r="I4697" t="s">
        <v>43</v>
      </c>
      <c r="J4697" t="s">
        <v>269</v>
      </c>
      <c r="K4697" s="9">
        <v>44883.786574074104</v>
      </c>
      <c r="L4697" t="s">
        <v>29</v>
      </c>
      <c r="M4697" t="s">
        <v>5331</v>
      </c>
      <c r="N4697" s="9">
        <v>44778</v>
      </c>
      <c r="O4697" s="9">
        <v>44834</v>
      </c>
      <c r="P4697"/>
      <c r="Q4697"/>
      <c r="R4697" s="9">
        <v>44883.785775463002</v>
      </c>
      <c r="S4697"/>
      <c r="T4697"/>
      <c r="U4697"/>
    </row>
    <row r="4698" spans="1:21" hidden="1">
      <c r="A4698" s="7" t="s">
        <v>8848</v>
      </c>
      <c r="B4698" s="7" t="s">
        <v>6217</v>
      </c>
      <c r="C4698" s="8" t="s">
        <v>5319</v>
      </c>
      <c r="D4698" t="s">
        <v>272</v>
      </c>
      <c r="E4698" t="s">
        <v>2142</v>
      </c>
      <c r="F4698" t="s">
        <v>491</v>
      </c>
      <c r="G4698" t="s">
        <v>2144</v>
      </c>
      <c r="H4698" s="9">
        <v>44733</v>
      </c>
      <c r="I4698" t="s">
        <v>43</v>
      </c>
      <c r="J4698" t="s">
        <v>269</v>
      </c>
      <c r="K4698" s="9">
        <v>44883.786574074104</v>
      </c>
      <c r="L4698" t="s">
        <v>29</v>
      </c>
      <c r="M4698" t="s">
        <v>5331</v>
      </c>
      <c r="N4698" s="9">
        <v>44778</v>
      </c>
      <c r="O4698" s="9">
        <v>44834</v>
      </c>
      <c r="P4698"/>
      <c r="Q4698"/>
      <c r="R4698" s="9">
        <v>44883.785775463002</v>
      </c>
      <c r="S4698"/>
      <c r="T4698"/>
      <c r="U4698"/>
    </row>
    <row r="4699" spans="1:21" hidden="1">
      <c r="A4699" s="7" t="s">
        <v>8848</v>
      </c>
      <c r="B4699" s="7" t="s">
        <v>6217</v>
      </c>
      <c r="C4699" s="8" t="s">
        <v>5319</v>
      </c>
      <c r="D4699" t="s">
        <v>272</v>
      </c>
      <c r="E4699" t="s">
        <v>2142</v>
      </c>
      <c r="F4699" t="s">
        <v>491</v>
      </c>
      <c r="G4699" t="s">
        <v>2145</v>
      </c>
      <c r="H4699" s="9">
        <v>44733</v>
      </c>
      <c r="I4699" t="s">
        <v>43</v>
      </c>
      <c r="J4699" t="s">
        <v>269</v>
      </c>
      <c r="K4699" s="9">
        <v>44883.786574074104</v>
      </c>
      <c r="L4699" t="s">
        <v>29</v>
      </c>
      <c r="M4699" t="s">
        <v>5331</v>
      </c>
      <c r="N4699" s="9">
        <v>44778</v>
      </c>
      <c r="O4699" s="9">
        <v>44834</v>
      </c>
      <c r="P4699"/>
      <c r="Q4699"/>
      <c r="R4699" s="9">
        <v>44883.785775463002</v>
      </c>
      <c r="S4699"/>
      <c r="T4699"/>
      <c r="U4699"/>
    </row>
    <row r="4700" spans="1:21" hidden="1">
      <c r="A4700" s="7" t="s">
        <v>8848</v>
      </c>
      <c r="B4700" s="7" t="s">
        <v>6217</v>
      </c>
      <c r="C4700" s="8" t="s">
        <v>5319</v>
      </c>
      <c r="D4700" t="s">
        <v>272</v>
      </c>
      <c r="E4700" t="s">
        <v>2142</v>
      </c>
      <c r="F4700" t="s">
        <v>491</v>
      </c>
      <c r="G4700" t="s">
        <v>2146</v>
      </c>
      <c r="H4700" s="9">
        <v>44733</v>
      </c>
      <c r="I4700" t="s">
        <v>43</v>
      </c>
      <c r="J4700" t="s">
        <v>269</v>
      </c>
      <c r="K4700" s="9">
        <v>44883.786574074104</v>
      </c>
      <c r="L4700" t="s">
        <v>29</v>
      </c>
      <c r="M4700" t="s">
        <v>5331</v>
      </c>
      <c r="N4700" s="9">
        <v>44778</v>
      </c>
      <c r="O4700" s="9">
        <v>44834</v>
      </c>
      <c r="P4700"/>
      <c r="Q4700"/>
      <c r="R4700" s="9">
        <v>44883.785775463002</v>
      </c>
      <c r="S4700"/>
      <c r="T4700"/>
      <c r="U4700"/>
    </row>
    <row r="4701" spans="1:21" hidden="1">
      <c r="A4701" s="7" t="s">
        <v>8848</v>
      </c>
      <c r="B4701" s="7" t="s">
        <v>6217</v>
      </c>
      <c r="C4701" s="8" t="s">
        <v>5319</v>
      </c>
      <c r="D4701" t="s">
        <v>272</v>
      </c>
      <c r="E4701" t="s">
        <v>2142</v>
      </c>
      <c r="F4701" t="s">
        <v>491</v>
      </c>
      <c r="G4701" t="s">
        <v>2147</v>
      </c>
      <c r="H4701" s="9">
        <v>44733</v>
      </c>
      <c r="I4701" t="s">
        <v>43</v>
      </c>
      <c r="J4701" t="s">
        <v>269</v>
      </c>
      <c r="K4701" s="9">
        <v>44883.786574074104</v>
      </c>
      <c r="L4701" t="s">
        <v>29</v>
      </c>
      <c r="M4701" t="s">
        <v>5331</v>
      </c>
      <c r="N4701" s="9">
        <v>44778</v>
      </c>
      <c r="O4701" s="9">
        <v>44834</v>
      </c>
      <c r="P4701"/>
      <c r="Q4701"/>
      <c r="R4701" s="9">
        <v>44883.785775463002</v>
      </c>
      <c r="S4701"/>
      <c r="T4701"/>
      <c r="U4701"/>
    </row>
    <row r="4702" spans="1:21" hidden="1">
      <c r="A4702" s="7" t="s">
        <v>8848</v>
      </c>
      <c r="B4702" s="7" t="s">
        <v>6217</v>
      </c>
      <c r="C4702" s="8" t="s">
        <v>5319</v>
      </c>
      <c r="D4702" t="s">
        <v>272</v>
      </c>
      <c r="E4702" t="s">
        <v>2142</v>
      </c>
      <c r="F4702" t="s">
        <v>491</v>
      </c>
      <c r="G4702" t="s">
        <v>2148</v>
      </c>
      <c r="H4702" s="9">
        <v>44733</v>
      </c>
      <c r="I4702" t="s">
        <v>43</v>
      </c>
      <c r="J4702" t="s">
        <v>269</v>
      </c>
      <c r="K4702" s="9">
        <v>44883.786574074104</v>
      </c>
      <c r="L4702" t="s">
        <v>29</v>
      </c>
      <c r="M4702" t="s">
        <v>5331</v>
      </c>
      <c r="N4702" s="9">
        <v>44778</v>
      </c>
      <c r="O4702" s="9">
        <v>44834</v>
      </c>
      <c r="P4702"/>
      <c r="Q4702"/>
      <c r="R4702" s="9">
        <v>44883.785775463002</v>
      </c>
      <c r="S4702"/>
      <c r="T4702"/>
      <c r="U4702"/>
    </row>
    <row r="4703" spans="1:21" hidden="1">
      <c r="A4703" s="7" t="s">
        <v>8848</v>
      </c>
      <c r="B4703" s="7" t="s">
        <v>6217</v>
      </c>
      <c r="C4703" s="8" t="s">
        <v>5319</v>
      </c>
      <c r="D4703" t="s">
        <v>272</v>
      </c>
      <c r="E4703" t="s">
        <v>2142</v>
      </c>
      <c r="F4703" t="s">
        <v>491</v>
      </c>
      <c r="G4703" t="s">
        <v>2149</v>
      </c>
      <c r="H4703" s="9">
        <v>44733</v>
      </c>
      <c r="I4703" t="s">
        <v>43</v>
      </c>
      <c r="J4703" t="s">
        <v>269</v>
      </c>
      <c r="K4703" s="9">
        <v>44883.786574074104</v>
      </c>
      <c r="L4703" t="s">
        <v>29</v>
      </c>
      <c r="M4703" t="s">
        <v>5331</v>
      </c>
      <c r="N4703" s="9">
        <v>44778</v>
      </c>
      <c r="O4703" s="9">
        <v>44834</v>
      </c>
      <c r="P4703"/>
      <c r="Q4703"/>
      <c r="R4703" s="9">
        <v>44883.785775463002</v>
      </c>
      <c r="S4703"/>
      <c r="T4703"/>
      <c r="U4703"/>
    </row>
    <row r="4704" spans="1:21" hidden="1">
      <c r="A4704" s="7" t="s">
        <v>8848</v>
      </c>
      <c r="B4704" s="7" t="s">
        <v>6217</v>
      </c>
      <c r="C4704" s="8" t="s">
        <v>5319</v>
      </c>
      <c r="D4704" t="s">
        <v>272</v>
      </c>
      <c r="E4704" t="s">
        <v>2142</v>
      </c>
      <c r="F4704" t="s">
        <v>491</v>
      </c>
      <c r="G4704" t="s">
        <v>2150</v>
      </c>
      <c r="H4704" s="9">
        <v>44733</v>
      </c>
      <c r="I4704" t="s">
        <v>43</v>
      </c>
      <c r="J4704" t="s">
        <v>269</v>
      </c>
      <c r="K4704" s="9">
        <v>44883.786574074104</v>
      </c>
      <c r="L4704" t="s">
        <v>29</v>
      </c>
      <c r="M4704" t="s">
        <v>5331</v>
      </c>
      <c r="N4704" s="9">
        <v>44778</v>
      </c>
      <c r="O4704" s="9">
        <v>44834</v>
      </c>
      <c r="P4704"/>
      <c r="Q4704"/>
      <c r="R4704" s="9">
        <v>44883.785775463002</v>
      </c>
      <c r="S4704"/>
      <c r="T4704"/>
      <c r="U4704"/>
    </row>
    <row r="4705" spans="1:21" hidden="1">
      <c r="A4705" s="7" t="s">
        <v>8848</v>
      </c>
      <c r="B4705" s="7" t="s">
        <v>6217</v>
      </c>
      <c r="C4705" s="8" t="s">
        <v>5319</v>
      </c>
      <c r="D4705" t="s">
        <v>272</v>
      </c>
      <c r="E4705" t="s">
        <v>2142</v>
      </c>
      <c r="F4705" t="s">
        <v>491</v>
      </c>
      <c r="G4705" t="s">
        <v>2151</v>
      </c>
      <c r="H4705" s="9">
        <v>44733</v>
      </c>
      <c r="I4705" t="s">
        <v>43</v>
      </c>
      <c r="J4705" t="s">
        <v>269</v>
      </c>
      <c r="K4705" s="9">
        <v>44883.786574074104</v>
      </c>
      <c r="L4705" t="s">
        <v>29</v>
      </c>
      <c r="M4705" t="s">
        <v>5331</v>
      </c>
      <c r="N4705" s="9">
        <v>44778</v>
      </c>
      <c r="O4705" s="9">
        <v>44834</v>
      </c>
      <c r="P4705"/>
      <c r="Q4705"/>
      <c r="R4705" s="9">
        <v>44883.785775463002</v>
      </c>
      <c r="S4705"/>
      <c r="T4705"/>
      <c r="U4705"/>
    </row>
    <row r="4706" spans="1:21" hidden="1">
      <c r="A4706" s="7" t="s">
        <v>8848</v>
      </c>
      <c r="B4706" s="7" t="s">
        <v>6217</v>
      </c>
      <c r="C4706" s="8" t="s">
        <v>5319</v>
      </c>
      <c r="D4706" t="s">
        <v>272</v>
      </c>
      <c r="E4706" t="s">
        <v>2142</v>
      </c>
      <c r="F4706" t="s">
        <v>491</v>
      </c>
      <c r="G4706" t="s">
        <v>2152</v>
      </c>
      <c r="H4706" s="9">
        <v>44733</v>
      </c>
      <c r="I4706" t="s">
        <v>43</v>
      </c>
      <c r="J4706" t="s">
        <v>269</v>
      </c>
      <c r="K4706" s="9">
        <v>44883.786574074104</v>
      </c>
      <c r="L4706" t="s">
        <v>29</v>
      </c>
      <c r="M4706" t="s">
        <v>5331</v>
      </c>
      <c r="N4706" s="9">
        <v>44778</v>
      </c>
      <c r="O4706" s="9">
        <v>44834</v>
      </c>
      <c r="P4706"/>
      <c r="Q4706"/>
      <c r="R4706" s="9">
        <v>44883.785775463002</v>
      </c>
      <c r="S4706"/>
      <c r="T4706"/>
      <c r="U4706"/>
    </row>
    <row r="4707" spans="1:21" hidden="1">
      <c r="A4707" s="7" t="s">
        <v>8758</v>
      </c>
      <c r="B4707" s="7" t="s">
        <v>5405</v>
      </c>
      <c r="C4707" s="8" t="s">
        <v>5319</v>
      </c>
      <c r="D4707" t="s">
        <v>272</v>
      </c>
      <c r="E4707" t="s">
        <v>25</v>
      </c>
      <c r="F4707" t="s">
        <v>493</v>
      </c>
      <c r="G4707" t="s">
        <v>2153</v>
      </c>
      <c r="H4707" s="9">
        <v>44733</v>
      </c>
      <c r="I4707" t="s">
        <v>8634</v>
      </c>
      <c r="J4707" t="s">
        <v>0</v>
      </c>
      <c r="K4707" s="9">
        <v>44862</v>
      </c>
      <c r="L4707" t="s">
        <v>29</v>
      </c>
      <c r="M4707"/>
      <c r="N4707" s="9">
        <v>44778</v>
      </c>
      <c r="O4707" s="9">
        <v>44834</v>
      </c>
      <c r="P4707"/>
      <c r="Q4707" s="9">
        <v>44862</v>
      </c>
      <c r="R4707"/>
      <c r="S4707"/>
      <c r="T4707"/>
      <c r="U4707"/>
    </row>
    <row r="4708" spans="1:21" hidden="1">
      <c r="A4708" s="7" t="s">
        <v>8737</v>
      </c>
      <c r="B4708" s="7" t="s">
        <v>6549</v>
      </c>
      <c r="C4708" s="8" t="s">
        <v>5319</v>
      </c>
      <c r="D4708" t="s">
        <v>272</v>
      </c>
      <c r="E4708" t="s">
        <v>273</v>
      </c>
      <c r="F4708" t="s">
        <v>280</v>
      </c>
      <c r="G4708" t="s">
        <v>1691</v>
      </c>
      <c r="H4708" s="9">
        <v>44733</v>
      </c>
      <c r="I4708" t="s">
        <v>282</v>
      </c>
      <c r="J4708" t="s">
        <v>0</v>
      </c>
      <c r="K4708" s="9">
        <v>44735</v>
      </c>
      <c r="L4708" t="s">
        <v>29</v>
      </c>
      <c r="M4708"/>
      <c r="N4708"/>
      <c r="O4708"/>
      <c r="P4708"/>
      <c r="Q4708" s="9">
        <v>44735</v>
      </c>
      <c r="R4708"/>
      <c r="S4708"/>
      <c r="T4708"/>
      <c r="U4708"/>
    </row>
    <row r="4709" spans="1:21" hidden="1">
      <c r="A4709" s="7" t="s">
        <v>8737</v>
      </c>
      <c r="B4709" s="7" t="s">
        <v>6549</v>
      </c>
      <c r="C4709" s="8" t="s">
        <v>5319</v>
      </c>
      <c r="D4709" t="s">
        <v>272</v>
      </c>
      <c r="E4709" t="s">
        <v>273</v>
      </c>
      <c r="F4709" t="s">
        <v>280</v>
      </c>
      <c r="G4709" t="s">
        <v>2154</v>
      </c>
      <c r="H4709" s="9">
        <v>44733</v>
      </c>
      <c r="I4709" t="s">
        <v>282</v>
      </c>
      <c r="J4709" t="s">
        <v>0</v>
      </c>
      <c r="K4709" s="9">
        <v>44735</v>
      </c>
      <c r="L4709" t="s">
        <v>29</v>
      </c>
      <c r="M4709"/>
      <c r="N4709"/>
      <c r="O4709"/>
      <c r="P4709"/>
      <c r="Q4709" s="9">
        <v>44735</v>
      </c>
      <c r="R4709"/>
      <c r="S4709"/>
      <c r="T4709"/>
      <c r="U4709"/>
    </row>
    <row r="4710" spans="1:21" hidden="1">
      <c r="A4710" s="7" t="s">
        <v>8737</v>
      </c>
      <c r="B4710" s="7" t="s">
        <v>6549</v>
      </c>
      <c r="C4710" s="8" t="s">
        <v>5319</v>
      </c>
      <c r="D4710" t="s">
        <v>272</v>
      </c>
      <c r="E4710" t="s">
        <v>273</v>
      </c>
      <c r="F4710" t="s">
        <v>280</v>
      </c>
      <c r="G4710" t="s">
        <v>2155</v>
      </c>
      <c r="H4710" s="9">
        <v>44733</v>
      </c>
      <c r="I4710" t="s">
        <v>282</v>
      </c>
      <c r="J4710" t="s">
        <v>0</v>
      </c>
      <c r="K4710" s="9">
        <v>44735</v>
      </c>
      <c r="L4710" t="s">
        <v>29</v>
      </c>
      <c r="M4710"/>
      <c r="N4710"/>
      <c r="O4710"/>
      <c r="P4710"/>
      <c r="Q4710" s="9">
        <v>44735</v>
      </c>
      <c r="R4710"/>
      <c r="S4710"/>
      <c r="T4710"/>
      <c r="U4710"/>
    </row>
    <row r="4711" spans="1:21" hidden="1">
      <c r="A4711" s="7" t="s">
        <v>8739</v>
      </c>
      <c r="B4711" s="7" t="s">
        <v>6549</v>
      </c>
      <c r="C4711" s="8" t="s">
        <v>5319</v>
      </c>
      <c r="D4711" t="s">
        <v>272</v>
      </c>
      <c r="E4711" t="s">
        <v>273</v>
      </c>
      <c r="F4711" t="s">
        <v>103</v>
      </c>
      <c r="G4711" t="s">
        <v>1694</v>
      </c>
      <c r="H4711" s="9">
        <v>44733</v>
      </c>
      <c r="I4711" t="s">
        <v>282</v>
      </c>
      <c r="J4711" t="s">
        <v>0</v>
      </c>
      <c r="K4711" s="9">
        <v>44735</v>
      </c>
      <c r="L4711" t="s">
        <v>29</v>
      </c>
      <c r="M4711"/>
      <c r="N4711"/>
      <c r="O4711"/>
      <c r="P4711"/>
      <c r="Q4711" s="9">
        <v>44735</v>
      </c>
      <c r="R4711"/>
      <c r="S4711"/>
      <c r="T4711"/>
      <c r="U4711"/>
    </row>
    <row r="4712" spans="1:21" hidden="1">
      <c r="A4712" s="7" t="s">
        <v>8737</v>
      </c>
      <c r="B4712" s="7" t="s">
        <v>6549</v>
      </c>
      <c r="C4712" s="8" t="s">
        <v>5319</v>
      </c>
      <c r="D4712" t="s">
        <v>272</v>
      </c>
      <c r="E4712" t="s">
        <v>273</v>
      </c>
      <c r="F4712" t="s">
        <v>280</v>
      </c>
      <c r="G4712" t="s">
        <v>1122</v>
      </c>
      <c r="H4712" s="9">
        <v>44733</v>
      </c>
      <c r="I4712" t="s">
        <v>282</v>
      </c>
      <c r="J4712" t="s">
        <v>0</v>
      </c>
      <c r="K4712" s="9">
        <v>44735</v>
      </c>
      <c r="L4712" t="s">
        <v>29</v>
      </c>
      <c r="M4712"/>
      <c r="N4712"/>
      <c r="O4712"/>
      <c r="P4712"/>
      <c r="Q4712" s="9">
        <v>44735</v>
      </c>
      <c r="R4712"/>
      <c r="S4712"/>
      <c r="T4712"/>
      <c r="U4712"/>
    </row>
    <row r="4713" spans="1:21" hidden="1">
      <c r="A4713" s="7" t="s">
        <v>8737</v>
      </c>
      <c r="B4713" s="7" t="s">
        <v>6549</v>
      </c>
      <c r="C4713" s="8" t="s">
        <v>5319</v>
      </c>
      <c r="D4713" t="s">
        <v>272</v>
      </c>
      <c r="E4713" t="s">
        <v>273</v>
      </c>
      <c r="F4713" t="s">
        <v>280</v>
      </c>
      <c r="G4713" t="s">
        <v>2156</v>
      </c>
      <c r="H4713" s="9">
        <v>44733</v>
      </c>
      <c r="I4713" t="s">
        <v>282</v>
      </c>
      <c r="J4713" t="s">
        <v>0</v>
      </c>
      <c r="K4713" s="9">
        <v>44735</v>
      </c>
      <c r="L4713" t="s">
        <v>29</v>
      </c>
      <c r="M4713"/>
      <c r="N4713"/>
      <c r="O4713"/>
      <c r="P4713"/>
      <c r="Q4713" s="9">
        <v>44735</v>
      </c>
      <c r="R4713"/>
      <c r="S4713"/>
      <c r="T4713"/>
      <c r="U4713"/>
    </row>
    <row r="4714" spans="1:21" hidden="1">
      <c r="A4714" s="7" t="s">
        <v>8739</v>
      </c>
      <c r="B4714" s="7" t="s">
        <v>6549</v>
      </c>
      <c r="C4714" s="8" t="s">
        <v>5319</v>
      </c>
      <c r="D4714" t="s">
        <v>272</v>
      </c>
      <c r="E4714" t="s">
        <v>273</v>
      </c>
      <c r="F4714" t="s">
        <v>103</v>
      </c>
      <c r="G4714" t="s">
        <v>1124</v>
      </c>
      <c r="H4714" s="9">
        <v>44733</v>
      </c>
      <c r="I4714" t="s">
        <v>282</v>
      </c>
      <c r="J4714" t="s">
        <v>0</v>
      </c>
      <c r="K4714" s="9">
        <v>44735</v>
      </c>
      <c r="L4714" t="s">
        <v>29</v>
      </c>
      <c r="M4714"/>
      <c r="N4714"/>
      <c r="O4714"/>
      <c r="P4714"/>
      <c r="Q4714" s="9">
        <v>44735</v>
      </c>
      <c r="R4714"/>
      <c r="S4714"/>
      <c r="T4714"/>
      <c r="U4714"/>
    </row>
    <row r="4715" spans="1:21" hidden="1">
      <c r="A4715" s="7" t="s">
        <v>8736</v>
      </c>
      <c r="B4715" s="7" t="s">
        <v>6549</v>
      </c>
      <c r="C4715" s="8" t="s">
        <v>5319</v>
      </c>
      <c r="D4715" t="s">
        <v>272</v>
      </c>
      <c r="E4715" t="s">
        <v>273</v>
      </c>
      <c r="F4715" t="s">
        <v>117</v>
      </c>
      <c r="G4715" t="s">
        <v>2157</v>
      </c>
      <c r="H4715" s="9">
        <v>44733</v>
      </c>
      <c r="I4715" t="s">
        <v>275</v>
      </c>
      <c r="J4715" t="s">
        <v>0</v>
      </c>
      <c r="K4715" s="9">
        <v>44735</v>
      </c>
      <c r="L4715" t="s">
        <v>29</v>
      </c>
      <c r="M4715"/>
      <c r="N4715"/>
      <c r="O4715"/>
      <c r="P4715"/>
      <c r="Q4715" s="9">
        <v>44735</v>
      </c>
      <c r="R4715"/>
      <c r="S4715"/>
      <c r="T4715"/>
      <c r="U4715"/>
    </row>
    <row r="4716" spans="1:21" hidden="1">
      <c r="A4716" s="7" t="s">
        <v>8737</v>
      </c>
      <c r="B4716" s="7" t="s">
        <v>6549</v>
      </c>
      <c r="C4716" s="8" t="s">
        <v>5319</v>
      </c>
      <c r="D4716" t="s">
        <v>272</v>
      </c>
      <c r="E4716" t="s">
        <v>273</v>
      </c>
      <c r="F4716" t="s">
        <v>280</v>
      </c>
      <c r="G4716" t="s">
        <v>1707</v>
      </c>
      <c r="H4716" s="9">
        <v>44733</v>
      </c>
      <c r="I4716" t="s">
        <v>282</v>
      </c>
      <c r="J4716" t="s">
        <v>0</v>
      </c>
      <c r="K4716" s="9">
        <v>44735</v>
      </c>
      <c r="L4716" t="s">
        <v>29</v>
      </c>
      <c r="M4716"/>
      <c r="N4716"/>
      <c r="O4716"/>
      <c r="P4716"/>
      <c r="Q4716" s="9">
        <v>44735</v>
      </c>
      <c r="R4716"/>
      <c r="S4716"/>
      <c r="T4716"/>
      <c r="U4716"/>
    </row>
    <row r="4717" spans="1:21" hidden="1">
      <c r="A4717" s="7" t="s">
        <v>8737</v>
      </c>
      <c r="B4717" s="7" t="s">
        <v>6549</v>
      </c>
      <c r="C4717" s="8" t="s">
        <v>5319</v>
      </c>
      <c r="D4717" t="s">
        <v>272</v>
      </c>
      <c r="E4717" t="s">
        <v>273</v>
      </c>
      <c r="F4717" t="s">
        <v>280</v>
      </c>
      <c r="G4717" t="s">
        <v>1709</v>
      </c>
      <c r="H4717" s="9">
        <v>44733</v>
      </c>
      <c r="I4717" t="s">
        <v>282</v>
      </c>
      <c r="J4717" t="s">
        <v>0</v>
      </c>
      <c r="K4717" s="9">
        <v>44735</v>
      </c>
      <c r="L4717" t="s">
        <v>29</v>
      </c>
      <c r="M4717"/>
      <c r="N4717"/>
      <c r="O4717"/>
      <c r="P4717"/>
      <c r="Q4717" s="9">
        <v>44735</v>
      </c>
      <c r="R4717"/>
      <c r="S4717"/>
      <c r="T4717"/>
      <c r="U4717"/>
    </row>
    <row r="4718" spans="1:21" hidden="1">
      <c r="A4718" s="7" t="s">
        <v>8737</v>
      </c>
      <c r="B4718" s="7" t="s">
        <v>6549</v>
      </c>
      <c r="C4718" s="8" t="s">
        <v>5319</v>
      </c>
      <c r="D4718" t="s">
        <v>272</v>
      </c>
      <c r="E4718" t="s">
        <v>273</v>
      </c>
      <c r="F4718" t="s">
        <v>280</v>
      </c>
      <c r="G4718" t="s">
        <v>1128</v>
      </c>
      <c r="H4718" s="9">
        <v>44733</v>
      </c>
      <c r="I4718" t="s">
        <v>282</v>
      </c>
      <c r="J4718" t="s">
        <v>0</v>
      </c>
      <c r="K4718" s="9">
        <v>44735</v>
      </c>
      <c r="L4718" t="s">
        <v>29</v>
      </c>
      <c r="M4718"/>
      <c r="N4718"/>
      <c r="O4718"/>
      <c r="P4718"/>
      <c r="Q4718" s="9">
        <v>44735</v>
      </c>
      <c r="R4718"/>
      <c r="S4718"/>
      <c r="T4718"/>
      <c r="U4718"/>
    </row>
    <row r="4719" spans="1:21" hidden="1">
      <c r="A4719" s="7" t="s">
        <v>8739</v>
      </c>
      <c r="B4719" s="7" t="s">
        <v>6549</v>
      </c>
      <c r="C4719" s="8" t="s">
        <v>5319</v>
      </c>
      <c r="D4719" t="s">
        <v>272</v>
      </c>
      <c r="E4719" t="s">
        <v>273</v>
      </c>
      <c r="F4719" t="s">
        <v>103</v>
      </c>
      <c r="G4719" t="s">
        <v>1130</v>
      </c>
      <c r="H4719" s="9">
        <v>44733</v>
      </c>
      <c r="I4719" t="s">
        <v>282</v>
      </c>
      <c r="J4719" t="s">
        <v>0</v>
      </c>
      <c r="K4719" s="9">
        <v>44735</v>
      </c>
      <c r="L4719" t="s">
        <v>29</v>
      </c>
      <c r="M4719"/>
      <c r="N4719"/>
      <c r="O4719"/>
      <c r="P4719"/>
      <c r="Q4719" s="9">
        <v>44735</v>
      </c>
      <c r="R4719"/>
      <c r="S4719"/>
      <c r="T4719"/>
      <c r="U4719"/>
    </row>
    <row r="4720" spans="1:21" hidden="1">
      <c r="A4720" s="7" t="s">
        <v>8738</v>
      </c>
      <c r="B4720" s="7" t="s">
        <v>6549</v>
      </c>
      <c r="C4720" s="8" t="s">
        <v>5319</v>
      </c>
      <c r="D4720" t="s">
        <v>272</v>
      </c>
      <c r="E4720" t="s">
        <v>273</v>
      </c>
      <c r="F4720" t="s">
        <v>97</v>
      </c>
      <c r="G4720" t="s">
        <v>2158</v>
      </c>
      <c r="H4720" s="9">
        <v>44733</v>
      </c>
      <c r="I4720" t="s">
        <v>297</v>
      </c>
      <c r="J4720" t="s">
        <v>0</v>
      </c>
      <c r="K4720" s="9">
        <v>44735</v>
      </c>
      <c r="L4720" t="s">
        <v>29</v>
      </c>
      <c r="M4720"/>
      <c r="N4720"/>
      <c r="O4720"/>
      <c r="P4720"/>
      <c r="Q4720" s="9">
        <v>44735</v>
      </c>
      <c r="R4720"/>
      <c r="S4720"/>
      <c r="T4720"/>
      <c r="U4720"/>
    </row>
    <row r="4721" spans="1:21" hidden="1">
      <c r="A4721" s="7" t="s">
        <v>8737</v>
      </c>
      <c r="B4721" s="7" t="s">
        <v>6549</v>
      </c>
      <c r="C4721" s="8" t="s">
        <v>5319</v>
      </c>
      <c r="D4721" t="s">
        <v>272</v>
      </c>
      <c r="E4721" t="s">
        <v>273</v>
      </c>
      <c r="F4721" t="s">
        <v>280</v>
      </c>
      <c r="G4721" t="s">
        <v>1711</v>
      </c>
      <c r="H4721" s="9">
        <v>44733</v>
      </c>
      <c r="I4721" t="s">
        <v>282</v>
      </c>
      <c r="J4721" t="s">
        <v>0</v>
      </c>
      <c r="K4721" s="9">
        <v>44735</v>
      </c>
      <c r="L4721" t="s">
        <v>29</v>
      </c>
      <c r="M4721"/>
      <c r="N4721"/>
      <c r="O4721"/>
      <c r="P4721"/>
      <c r="Q4721" s="9">
        <v>44735</v>
      </c>
      <c r="R4721"/>
      <c r="S4721"/>
      <c r="T4721"/>
      <c r="U4721"/>
    </row>
    <row r="4722" spans="1:21" hidden="1">
      <c r="A4722" s="7" t="s">
        <v>8737</v>
      </c>
      <c r="B4722" s="7" t="s">
        <v>6549</v>
      </c>
      <c r="C4722" s="8" t="s">
        <v>5319</v>
      </c>
      <c r="D4722" t="s">
        <v>272</v>
      </c>
      <c r="E4722" t="s">
        <v>273</v>
      </c>
      <c r="F4722" t="s">
        <v>280</v>
      </c>
      <c r="G4722" t="s">
        <v>2159</v>
      </c>
      <c r="H4722" s="9">
        <v>44733</v>
      </c>
      <c r="I4722" t="s">
        <v>282</v>
      </c>
      <c r="J4722" t="s">
        <v>0</v>
      </c>
      <c r="K4722" s="9">
        <v>44735</v>
      </c>
      <c r="L4722" t="s">
        <v>29</v>
      </c>
      <c r="M4722"/>
      <c r="N4722"/>
      <c r="O4722"/>
      <c r="P4722"/>
      <c r="Q4722" s="9">
        <v>44735</v>
      </c>
      <c r="R4722"/>
      <c r="S4722"/>
      <c r="T4722"/>
      <c r="U4722"/>
    </row>
    <row r="4723" spans="1:21" hidden="1">
      <c r="A4723" s="7" t="s">
        <v>8737</v>
      </c>
      <c r="B4723" s="7" t="s">
        <v>6549</v>
      </c>
      <c r="C4723" s="8" t="s">
        <v>5319</v>
      </c>
      <c r="D4723" t="s">
        <v>272</v>
      </c>
      <c r="E4723" t="s">
        <v>273</v>
      </c>
      <c r="F4723" t="s">
        <v>280</v>
      </c>
      <c r="G4723" t="s">
        <v>2160</v>
      </c>
      <c r="H4723" s="9">
        <v>44733</v>
      </c>
      <c r="I4723" t="s">
        <v>282</v>
      </c>
      <c r="J4723" t="s">
        <v>0</v>
      </c>
      <c r="K4723" s="9">
        <v>44735</v>
      </c>
      <c r="L4723" t="s">
        <v>29</v>
      </c>
      <c r="M4723"/>
      <c r="N4723"/>
      <c r="O4723"/>
      <c r="P4723"/>
      <c r="Q4723" s="9">
        <v>44735</v>
      </c>
      <c r="R4723"/>
      <c r="S4723"/>
      <c r="T4723"/>
      <c r="U4723"/>
    </row>
    <row r="4724" spans="1:21" hidden="1">
      <c r="A4724" s="7" t="s">
        <v>8737</v>
      </c>
      <c r="B4724" s="7" t="s">
        <v>6549</v>
      </c>
      <c r="C4724" s="8" t="s">
        <v>5319</v>
      </c>
      <c r="D4724" t="s">
        <v>272</v>
      </c>
      <c r="E4724" t="s">
        <v>273</v>
      </c>
      <c r="F4724" t="s">
        <v>280</v>
      </c>
      <c r="G4724" t="s">
        <v>2161</v>
      </c>
      <c r="H4724" s="9">
        <v>44733</v>
      </c>
      <c r="I4724" t="s">
        <v>282</v>
      </c>
      <c r="J4724" t="s">
        <v>0</v>
      </c>
      <c r="K4724" s="9">
        <v>44735</v>
      </c>
      <c r="L4724" t="s">
        <v>29</v>
      </c>
      <c r="M4724"/>
      <c r="N4724"/>
      <c r="O4724"/>
      <c r="P4724"/>
      <c r="Q4724" s="9">
        <v>44735</v>
      </c>
      <c r="R4724"/>
      <c r="S4724"/>
      <c r="T4724"/>
      <c r="U4724"/>
    </row>
    <row r="4725" spans="1:21" hidden="1">
      <c r="A4725" s="7" t="s">
        <v>8737</v>
      </c>
      <c r="B4725" s="7" t="s">
        <v>6549</v>
      </c>
      <c r="C4725" s="8" t="s">
        <v>5319</v>
      </c>
      <c r="D4725" t="s">
        <v>272</v>
      </c>
      <c r="E4725" t="s">
        <v>273</v>
      </c>
      <c r="F4725" t="s">
        <v>280</v>
      </c>
      <c r="G4725" t="s">
        <v>2162</v>
      </c>
      <c r="H4725" s="9">
        <v>44733</v>
      </c>
      <c r="I4725" t="s">
        <v>282</v>
      </c>
      <c r="J4725" t="s">
        <v>0</v>
      </c>
      <c r="K4725" s="9">
        <v>44735</v>
      </c>
      <c r="L4725" t="s">
        <v>29</v>
      </c>
      <c r="M4725"/>
      <c r="N4725"/>
      <c r="O4725"/>
      <c r="P4725"/>
      <c r="Q4725" s="9">
        <v>44735</v>
      </c>
      <c r="R4725"/>
      <c r="S4725"/>
      <c r="T4725"/>
      <c r="U4725"/>
    </row>
    <row r="4726" spans="1:21" hidden="1">
      <c r="A4726" s="7" t="s">
        <v>8737</v>
      </c>
      <c r="B4726" s="7" t="s">
        <v>6549</v>
      </c>
      <c r="C4726" s="8" t="s">
        <v>5319</v>
      </c>
      <c r="D4726" t="s">
        <v>272</v>
      </c>
      <c r="E4726" t="s">
        <v>273</v>
      </c>
      <c r="F4726" t="s">
        <v>280</v>
      </c>
      <c r="G4726" t="s">
        <v>1134</v>
      </c>
      <c r="H4726" s="9">
        <v>44733</v>
      </c>
      <c r="I4726" t="s">
        <v>282</v>
      </c>
      <c r="J4726" t="s">
        <v>0</v>
      </c>
      <c r="K4726" s="9">
        <v>44735</v>
      </c>
      <c r="L4726" t="s">
        <v>29</v>
      </c>
      <c r="M4726"/>
      <c r="N4726"/>
      <c r="O4726"/>
      <c r="P4726"/>
      <c r="Q4726" s="9">
        <v>44735</v>
      </c>
      <c r="R4726"/>
      <c r="S4726"/>
      <c r="T4726"/>
      <c r="U4726"/>
    </row>
    <row r="4727" spans="1:21" hidden="1">
      <c r="A4727" s="7" t="s">
        <v>8736</v>
      </c>
      <c r="B4727" s="7" t="s">
        <v>6549</v>
      </c>
      <c r="C4727" s="8" t="s">
        <v>5319</v>
      </c>
      <c r="D4727" t="s">
        <v>272</v>
      </c>
      <c r="E4727" t="s">
        <v>273</v>
      </c>
      <c r="F4727" t="s">
        <v>117</v>
      </c>
      <c r="G4727" t="s">
        <v>2163</v>
      </c>
      <c r="H4727" s="9">
        <v>44733</v>
      </c>
      <c r="I4727" t="s">
        <v>275</v>
      </c>
      <c r="J4727" t="s">
        <v>0</v>
      </c>
      <c r="K4727" s="9">
        <v>44735</v>
      </c>
      <c r="L4727" t="s">
        <v>29</v>
      </c>
      <c r="M4727"/>
      <c r="N4727"/>
      <c r="O4727"/>
      <c r="P4727"/>
      <c r="Q4727" s="9">
        <v>44735</v>
      </c>
      <c r="R4727"/>
      <c r="S4727"/>
      <c r="T4727"/>
      <c r="U4727"/>
    </row>
    <row r="4728" spans="1:21" hidden="1">
      <c r="A4728" s="7" t="s">
        <v>8737</v>
      </c>
      <c r="B4728" s="7" t="s">
        <v>6549</v>
      </c>
      <c r="C4728" s="8" t="s">
        <v>5319</v>
      </c>
      <c r="D4728" t="s">
        <v>272</v>
      </c>
      <c r="E4728" t="s">
        <v>273</v>
      </c>
      <c r="F4728" t="s">
        <v>280</v>
      </c>
      <c r="G4728" t="s">
        <v>1137</v>
      </c>
      <c r="H4728" s="9">
        <v>44733</v>
      </c>
      <c r="I4728" t="s">
        <v>282</v>
      </c>
      <c r="J4728" t="s">
        <v>0</v>
      </c>
      <c r="K4728" s="9">
        <v>44735</v>
      </c>
      <c r="L4728" t="s">
        <v>29</v>
      </c>
      <c r="M4728"/>
      <c r="N4728"/>
      <c r="O4728"/>
      <c r="P4728"/>
      <c r="Q4728" s="9">
        <v>44735</v>
      </c>
      <c r="R4728"/>
      <c r="S4728"/>
      <c r="T4728"/>
      <c r="U4728"/>
    </row>
    <row r="4729" spans="1:21" hidden="1">
      <c r="A4729" s="7" t="s">
        <v>8738</v>
      </c>
      <c r="B4729" s="7" t="s">
        <v>6549</v>
      </c>
      <c r="C4729" s="8" t="s">
        <v>5319</v>
      </c>
      <c r="D4729" t="s">
        <v>272</v>
      </c>
      <c r="E4729" t="s">
        <v>273</v>
      </c>
      <c r="F4729" t="s">
        <v>97</v>
      </c>
      <c r="G4729" t="s">
        <v>2164</v>
      </c>
      <c r="H4729" s="9">
        <v>44733</v>
      </c>
      <c r="I4729" t="s">
        <v>297</v>
      </c>
      <c r="J4729" t="s">
        <v>0</v>
      </c>
      <c r="K4729" s="9">
        <v>44735</v>
      </c>
      <c r="L4729" t="s">
        <v>29</v>
      </c>
      <c r="M4729"/>
      <c r="N4729"/>
      <c r="O4729"/>
      <c r="P4729"/>
      <c r="Q4729" s="9">
        <v>44735</v>
      </c>
      <c r="R4729"/>
      <c r="S4729"/>
      <c r="T4729"/>
      <c r="U4729"/>
    </row>
    <row r="4730" spans="1:21" hidden="1">
      <c r="A4730" s="7" t="s">
        <v>8738</v>
      </c>
      <c r="B4730" s="7" t="s">
        <v>6549</v>
      </c>
      <c r="C4730" s="8" t="s">
        <v>5319</v>
      </c>
      <c r="D4730" t="s">
        <v>272</v>
      </c>
      <c r="E4730" t="s">
        <v>273</v>
      </c>
      <c r="F4730" t="s">
        <v>97</v>
      </c>
      <c r="G4730" t="s">
        <v>2165</v>
      </c>
      <c r="H4730" s="9">
        <v>44733</v>
      </c>
      <c r="I4730" t="s">
        <v>297</v>
      </c>
      <c r="J4730" t="s">
        <v>0</v>
      </c>
      <c r="K4730" s="9">
        <v>44735</v>
      </c>
      <c r="L4730" t="s">
        <v>29</v>
      </c>
      <c r="M4730"/>
      <c r="N4730"/>
      <c r="O4730"/>
      <c r="P4730"/>
      <c r="Q4730" s="9">
        <v>44735</v>
      </c>
      <c r="R4730"/>
      <c r="S4730"/>
      <c r="T4730"/>
      <c r="U4730"/>
    </row>
    <row r="4731" spans="1:21" hidden="1">
      <c r="A4731" s="7" t="s">
        <v>8739</v>
      </c>
      <c r="B4731" s="7" t="s">
        <v>6549</v>
      </c>
      <c r="C4731" s="8" t="s">
        <v>5319</v>
      </c>
      <c r="D4731" t="s">
        <v>272</v>
      </c>
      <c r="E4731" t="s">
        <v>273</v>
      </c>
      <c r="F4731" t="s">
        <v>103</v>
      </c>
      <c r="G4731" t="s">
        <v>1138</v>
      </c>
      <c r="H4731" s="9">
        <v>44733</v>
      </c>
      <c r="I4731" t="s">
        <v>282</v>
      </c>
      <c r="J4731" t="s">
        <v>0</v>
      </c>
      <c r="K4731" s="9">
        <v>44735</v>
      </c>
      <c r="L4731" t="s">
        <v>29</v>
      </c>
      <c r="M4731"/>
      <c r="N4731"/>
      <c r="O4731"/>
      <c r="P4731"/>
      <c r="Q4731" s="9">
        <v>44735</v>
      </c>
      <c r="R4731"/>
      <c r="S4731"/>
      <c r="T4731"/>
      <c r="U4731"/>
    </row>
    <row r="4732" spans="1:21" hidden="1">
      <c r="A4732" s="7" t="s">
        <v>8737</v>
      </c>
      <c r="B4732" s="7" t="s">
        <v>6549</v>
      </c>
      <c r="C4732" s="8" t="s">
        <v>5319</v>
      </c>
      <c r="D4732" t="s">
        <v>272</v>
      </c>
      <c r="E4732" t="s">
        <v>273</v>
      </c>
      <c r="F4732" t="s">
        <v>280</v>
      </c>
      <c r="G4732" t="s">
        <v>2166</v>
      </c>
      <c r="H4732" s="9">
        <v>44733</v>
      </c>
      <c r="I4732" t="s">
        <v>282</v>
      </c>
      <c r="J4732" t="s">
        <v>0</v>
      </c>
      <c r="K4732" s="9">
        <v>44735</v>
      </c>
      <c r="L4732" t="s">
        <v>29</v>
      </c>
      <c r="M4732"/>
      <c r="N4732"/>
      <c r="O4732"/>
      <c r="P4732"/>
      <c r="Q4732" s="9">
        <v>44735</v>
      </c>
      <c r="R4732"/>
      <c r="S4732"/>
      <c r="T4732"/>
      <c r="U4732"/>
    </row>
    <row r="4733" spans="1:21" hidden="1">
      <c r="A4733" s="7" t="s">
        <v>8737</v>
      </c>
      <c r="B4733" s="7" t="s">
        <v>6549</v>
      </c>
      <c r="C4733" s="8" t="s">
        <v>5319</v>
      </c>
      <c r="D4733" t="s">
        <v>272</v>
      </c>
      <c r="E4733" t="s">
        <v>273</v>
      </c>
      <c r="F4733" t="s">
        <v>280</v>
      </c>
      <c r="G4733" t="s">
        <v>2167</v>
      </c>
      <c r="H4733" s="9">
        <v>44733</v>
      </c>
      <c r="I4733" t="s">
        <v>282</v>
      </c>
      <c r="J4733" t="s">
        <v>0</v>
      </c>
      <c r="K4733" s="9">
        <v>44735</v>
      </c>
      <c r="L4733" t="s">
        <v>29</v>
      </c>
      <c r="M4733"/>
      <c r="N4733"/>
      <c r="O4733"/>
      <c r="P4733"/>
      <c r="Q4733" s="9">
        <v>44735</v>
      </c>
      <c r="R4733"/>
      <c r="S4733"/>
      <c r="T4733"/>
      <c r="U4733"/>
    </row>
    <row r="4734" spans="1:21" hidden="1">
      <c r="A4734" s="7" t="s">
        <v>8737</v>
      </c>
      <c r="B4734" s="7" t="s">
        <v>6549</v>
      </c>
      <c r="C4734" s="8" t="s">
        <v>5319</v>
      </c>
      <c r="D4734" t="s">
        <v>272</v>
      </c>
      <c r="E4734" t="s">
        <v>273</v>
      </c>
      <c r="F4734" t="s">
        <v>280</v>
      </c>
      <c r="G4734" t="s">
        <v>2168</v>
      </c>
      <c r="H4734" s="9">
        <v>44733</v>
      </c>
      <c r="I4734" t="s">
        <v>282</v>
      </c>
      <c r="J4734" t="s">
        <v>0</v>
      </c>
      <c r="K4734" s="9">
        <v>44735</v>
      </c>
      <c r="L4734" t="s">
        <v>29</v>
      </c>
      <c r="M4734"/>
      <c r="N4734"/>
      <c r="O4734"/>
      <c r="P4734"/>
      <c r="Q4734" s="9">
        <v>44735</v>
      </c>
      <c r="R4734"/>
      <c r="S4734"/>
      <c r="T4734"/>
      <c r="U4734"/>
    </row>
    <row r="4735" spans="1:21" hidden="1">
      <c r="A4735" s="7" t="s">
        <v>8737</v>
      </c>
      <c r="B4735" s="7" t="s">
        <v>6549</v>
      </c>
      <c r="C4735" s="8" t="s">
        <v>5319</v>
      </c>
      <c r="D4735" t="s">
        <v>272</v>
      </c>
      <c r="E4735" t="s">
        <v>273</v>
      </c>
      <c r="F4735" t="s">
        <v>280</v>
      </c>
      <c r="G4735" t="s">
        <v>2169</v>
      </c>
      <c r="H4735" s="9">
        <v>44733</v>
      </c>
      <c r="I4735" t="s">
        <v>282</v>
      </c>
      <c r="J4735" t="s">
        <v>0</v>
      </c>
      <c r="K4735" s="9">
        <v>44735</v>
      </c>
      <c r="L4735" t="s">
        <v>29</v>
      </c>
      <c r="M4735"/>
      <c r="N4735"/>
      <c r="O4735"/>
      <c r="P4735"/>
      <c r="Q4735" s="9">
        <v>44735</v>
      </c>
      <c r="R4735"/>
      <c r="S4735"/>
      <c r="T4735"/>
      <c r="U4735"/>
    </row>
    <row r="4736" spans="1:21" hidden="1">
      <c r="A4736" s="7" t="s">
        <v>8737</v>
      </c>
      <c r="B4736" s="7" t="s">
        <v>6549</v>
      </c>
      <c r="C4736" s="8" t="s">
        <v>5319</v>
      </c>
      <c r="D4736" t="s">
        <v>272</v>
      </c>
      <c r="E4736" t="s">
        <v>273</v>
      </c>
      <c r="F4736" t="s">
        <v>280</v>
      </c>
      <c r="G4736" t="s">
        <v>2170</v>
      </c>
      <c r="H4736" s="9">
        <v>44733</v>
      </c>
      <c r="I4736" t="s">
        <v>282</v>
      </c>
      <c r="J4736" t="s">
        <v>0</v>
      </c>
      <c r="K4736" s="9">
        <v>44735</v>
      </c>
      <c r="L4736" t="s">
        <v>29</v>
      </c>
      <c r="M4736"/>
      <c r="N4736"/>
      <c r="O4736"/>
      <c r="P4736"/>
      <c r="Q4736" s="9">
        <v>44735</v>
      </c>
      <c r="R4736"/>
      <c r="S4736"/>
      <c r="T4736"/>
      <c r="U4736"/>
    </row>
    <row r="4737" spans="1:21" hidden="1">
      <c r="A4737" s="7" t="s">
        <v>8737</v>
      </c>
      <c r="B4737" s="7" t="s">
        <v>6549</v>
      </c>
      <c r="C4737" s="8" t="s">
        <v>5319</v>
      </c>
      <c r="D4737" t="s">
        <v>272</v>
      </c>
      <c r="E4737" t="s">
        <v>273</v>
      </c>
      <c r="F4737" t="s">
        <v>280</v>
      </c>
      <c r="G4737" t="s">
        <v>2171</v>
      </c>
      <c r="H4737" s="9">
        <v>44733</v>
      </c>
      <c r="I4737" t="s">
        <v>282</v>
      </c>
      <c r="J4737" t="s">
        <v>0</v>
      </c>
      <c r="K4737" s="9">
        <v>44735</v>
      </c>
      <c r="L4737" t="s">
        <v>29</v>
      </c>
      <c r="M4737"/>
      <c r="N4737"/>
      <c r="O4737"/>
      <c r="P4737"/>
      <c r="Q4737" s="9">
        <v>44735</v>
      </c>
      <c r="R4737"/>
      <c r="S4737"/>
      <c r="T4737"/>
      <c r="U4737"/>
    </row>
    <row r="4738" spans="1:21" hidden="1">
      <c r="A4738" s="7" t="s">
        <v>8737</v>
      </c>
      <c r="B4738" s="7" t="s">
        <v>6549</v>
      </c>
      <c r="C4738" s="8" t="s">
        <v>5319</v>
      </c>
      <c r="D4738" t="s">
        <v>272</v>
      </c>
      <c r="E4738" t="s">
        <v>273</v>
      </c>
      <c r="F4738" t="s">
        <v>280</v>
      </c>
      <c r="G4738" t="s">
        <v>441</v>
      </c>
      <c r="H4738" s="9">
        <v>44733</v>
      </c>
      <c r="I4738" t="s">
        <v>282</v>
      </c>
      <c r="J4738" t="s">
        <v>0</v>
      </c>
      <c r="K4738" s="9">
        <v>44735</v>
      </c>
      <c r="L4738" t="s">
        <v>29</v>
      </c>
      <c r="M4738"/>
      <c r="N4738"/>
      <c r="O4738"/>
      <c r="P4738"/>
      <c r="Q4738" s="9">
        <v>44735</v>
      </c>
      <c r="R4738"/>
      <c r="S4738"/>
      <c r="T4738"/>
      <c r="U4738"/>
    </row>
    <row r="4739" spans="1:21" hidden="1">
      <c r="A4739" s="7" t="s">
        <v>8737</v>
      </c>
      <c r="B4739" s="7" t="s">
        <v>6549</v>
      </c>
      <c r="C4739" s="8" t="s">
        <v>5319</v>
      </c>
      <c r="D4739" t="s">
        <v>272</v>
      </c>
      <c r="E4739" t="s">
        <v>273</v>
      </c>
      <c r="F4739" t="s">
        <v>280</v>
      </c>
      <c r="G4739" t="s">
        <v>1139</v>
      </c>
      <c r="H4739" s="9">
        <v>44733</v>
      </c>
      <c r="I4739" t="s">
        <v>282</v>
      </c>
      <c r="J4739" t="s">
        <v>0</v>
      </c>
      <c r="K4739" s="9">
        <v>44735</v>
      </c>
      <c r="L4739" t="s">
        <v>29</v>
      </c>
      <c r="M4739"/>
      <c r="N4739"/>
      <c r="O4739"/>
      <c r="P4739"/>
      <c r="Q4739" s="9">
        <v>44735</v>
      </c>
      <c r="R4739"/>
      <c r="S4739"/>
      <c r="T4739"/>
      <c r="U4739"/>
    </row>
    <row r="4740" spans="1:21" hidden="1">
      <c r="A4740" s="7" t="s">
        <v>8738</v>
      </c>
      <c r="B4740" s="7" t="s">
        <v>6549</v>
      </c>
      <c r="C4740" s="8" t="s">
        <v>5319</v>
      </c>
      <c r="D4740" t="s">
        <v>272</v>
      </c>
      <c r="E4740" t="s">
        <v>273</v>
      </c>
      <c r="F4740" t="s">
        <v>97</v>
      </c>
      <c r="G4740" t="s">
        <v>2172</v>
      </c>
      <c r="H4740" s="9">
        <v>44733</v>
      </c>
      <c r="I4740" t="s">
        <v>297</v>
      </c>
      <c r="J4740" t="s">
        <v>0</v>
      </c>
      <c r="K4740" s="9">
        <v>44735</v>
      </c>
      <c r="L4740" t="s">
        <v>29</v>
      </c>
      <c r="M4740"/>
      <c r="N4740"/>
      <c r="O4740"/>
      <c r="P4740"/>
      <c r="Q4740" s="9">
        <v>44735</v>
      </c>
      <c r="R4740"/>
      <c r="S4740"/>
      <c r="T4740"/>
      <c r="U4740"/>
    </row>
    <row r="4741" spans="1:21" hidden="1">
      <c r="A4741" s="7" t="s">
        <v>8736</v>
      </c>
      <c r="B4741" s="7" t="s">
        <v>6549</v>
      </c>
      <c r="C4741" s="8" t="s">
        <v>5319</v>
      </c>
      <c r="D4741" t="s">
        <v>272</v>
      </c>
      <c r="E4741" t="s">
        <v>273</v>
      </c>
      <c r="F4741" t="s">
        <v>117</v>
      </c>
      <c r="G4741" t="s">
        <v>2173</v>
      </c>
      <c r="H4741" s="9">
        <v>44733</v>
      </c>
      <c r="I4741" t="s">
        <v>275</v>
      </c>
      <c r="J4741" t="s">
        <v>0</v>
      </c>
      <c r="K4741" s="9">
        <v>44735</v>
      </c>
      <c r="L4741" t="s">
        <v>29</v>
      </c>
      <c r="M4741"/>
      <c r="N4741"/>
      <c r="O4741"/>
      <c r="P4741"/>
      <c r="Q4741" s="9">
        <v>44735</v>
      </c>
      <c r="R4741"/>
      <c r="S4741"/>
      <c r="T4741"/>
      <c r="U4741"/>
    </row>
    <row r="4742" spans="1:21" hidden="1">
      <c r="A4742" s="7" t="s">
        <v>8844</v>
      </c>
      <c r="B4742" s="7" t="s">
        <v>5466</v>
      </c>
      <c r="C4742" s="8" t="s">
        <v>5319</v>
      </c>
      <c r="D4742" t="s">
        <v>272</v>
      </c>
      <c r="E4742" t="s">
        <v>2119</v>
      </c>
      <c r="F4742" t="s">
        <v>83</v>
      </c>
      <c r="G4742" t="s">
        <v>2174</v>
      </c>
      <c r="H4742" s="9">
        <v>44733</v>
      </c>
      <c r="I4742" t="s">
        <v>2121</v>
      </c>
      <c r="J4742" t="s">
        <v>2</v>
      </c>
      <c r="K4742" s="9">
        <v>44834</v>
      </c>
      <c r="L4742" t="s">
        <v>29</v>
      </c>
      <c r="M4742" t="s">
        <v>5331</v>
      </c>
      <c r="N4742" s="9">
        <v>44778</v>
      </c>
      <c r="O4742" s="9">
        <v>44834</v>
      </c>
      <c r="P4742"/>
      <c r="Q4742"/>
      <c r="R4742"/>
      <c r="S4742"/>
      <c r="T4742"/>
      <c r="U4742"/>
    </row>
    <row r="4743" spans="1:21" hidden="1">
      <c r="A4743" s="7" t="s">
        <v>8849</v>
      </c>
      <c r="B4743" s="7" t="s">
        <v>6805</v>
      </c>
      <c r="C4743" s="8" t="s">
        <v>5319</v>
      </c>
      <c r="D4743" t="s">
        <v>272</v>
      </c>
      <c r="E4743" t="s">
        <v>2175</v>
      </c>
      <c r="F4743" t="s">
        <v>75</v>
      </c>
      <c r="G4743" t="s">
        <v>2176</v>
      </c>
      <c r="H4743" s="9">
        <v>44733</v>
      </c>
      <c r="I4743" t="s">
        <v>488</v>
      </c>
      <c r="J4743" t="s">
        <v>2</v>
      </c>
      <c r="K4743" s="9">
        <v>44834</v>
      </c>
      <c r="L4743" t="s">
        <v>29</v>
      </c>
      <c r="M4743" t="s">
        <v>5331</v>
      </c>
      <c r="N4743" s="9">
        <v>44778</v>
      </c>
      <c r="O4743" s="9">
        <v>44834</v>
      </c>
      <c r="P4743"/>
      <c r="Q4743"/>
      <c r="R4743"/>
      <c r="S4743"/>
      <c r="T4743"/>
      <c r="U4743"/>
    </row>
    <row r="4744" spans="1:21" hidden="1">
      <c r="A4744" s="7" t="s">
        <v>8768</v>
      </c>
      <c r="B4744" s="7" t="s">
        <v>6720</v>
      </c>
      <c r="C4744" s="8" t="s">
        <v>5319</v>
      </c>
      <c r="D4744" t="s">
        <v>272</v>
      </c>
      <c r="E4744" t="s">
        <v>750</v>
      </c>
      <c r="F4744" t="s">
        <v>103</v>
      </c>
      <c r="G4744" t="s">
        <v>2177</v>
      </c>
      <c r="H4744" s="9">
        <v>44733</v>
      </c>
      <c r="I4744" t="s">
        <v>43</v>
      </c>
      <c r="J4744" t="s">
        <v>0</v>
      </c>
      <c r="K4744" s="9">
        <v>44846</v>
      </c>
      <c r="L4744" t="s">
        <v>29</v>
      </c>
      <c r="M4744"/>
      <c r="N4744" s="9">
        <v>44778</v>
      </c>
      <c r="O4744" s="9">
        <v>44834</v>
      </c>
      <c r="P4744"/>
      <c r="Q4744" s="9">
        <v>44846</v>
      </c>
      <c r="R4744"/>
      <c r="S4744"/>
      <c r="T4744"/>
      <c r="U4744"/>
    </row>
    <row r="4745" spans="1:21" hidden="1">
      <c r="A4745" s="7" t="s">
        <v>8768</v>
      </c>
      <c r="B4745" s="7" t="s">
        <v>6720</v>
      </c>
      <c r="C4745" s="8" t="s">
        <v>5319</v>
      </c>
      <c r="D4745" t="s">
        <v>272</v>
      </c>
      <c r="E4745" t="s">
        <v>750</v>
      </c>
      <c r="F4745" t="s">
        <v>103</v>
      </c>
      <c r="G4745" t="s">
        <v>2178</v>
      </c>
      <c r="H4745" s="9">
        <v>44733</v>
      </c>
      <c r="I4745" t="s">
        <v>43</v>
      </c>
      <c r="J4745" t="s">
        <v>0</v>
      </c>
      <c r="K4745" s="9">
        <v>44846</v>
      </c>
      <c r="L4745" t="s">
        <v>29</v>
      </c>
      <c r="M4745"/>
      <c r="N4745" s="9">
        <v>44778</v>
      </c>
      <c r="O4745" s="9">
        <v>44834</v>
      </c>
      <c r="P4745"/>
      <c r="Q4745" s="9">
        <v>44846</v>
      </c>
      <c r="R4745"/>
      <c r="S4745"/>
      <c r="T4745"/>
      <c r="U4745"/>
    </row>
    <row r="4746" spans="1:21" hidden="1">
      <c r="A4746" s="7" t="s">
        <v>8768</v>
      </c>
      <c r="B4746" s="7" t="s">
        <v>6720</v>
      </c>
      <c r="C4746" s="8" t="s">
        <v>5319</v>
      </c>
      <c r="D4746" t="s">
        <v>272</v>
      </c>
      <c r="E4746" t="s">
        <v>750</v>
      </c>
      <c r="F4746" t="s">
        <v>103</v>
      </c>
      <c r="G4746" t="s">
        <v>2179</v>
      </c>
      <c r="H4746" s="9">
        <v>44733</v>
      </c>
      <c r="I4746" t="s">
        <v>43</v>
      </c>
      <c r="J4746" t="s">
        <v>0</v>
      </c>
      <c r="K4746" s="9">
        <v>44846</v>
      </c>
      <c r="L4746" t="s">
        <v>29</v>
      </c>
      <c r="M4746"/>
      <c r="N4746" s="9">
        <v>44778</v>
      </c>
      <c r="O4746" s="9">
        <v>44834</v>
      </c>
      <c r="P4746"/>
      <c r="Q4746" s="9">
        <v>44846</v>
      </c>
      <c r="R4746"/>
      <c r="S4746"/>
      <c r="T4746"/>
      <c r="U4746"/>
    </row>
    <row r="4747" spans="1:21" hidden="1">
      <c r="A4747" s="7" t="s">
        <v>8848</v>
      </c>
      <c r="B4747" s="7" t="s">
        <v>6217</v>
      </c>
      <c r="C4747" s="8" t="s">
        <v>5319</v>
      </c>
      <c r="D4747" t="s">
        <v>272</v>
      </c>
      <c r="E4747" t="s">
        <v>2142</v>
      </c>
      <c r="F4747" t="s">
        <v>491</v>
      </c>
      <c r="G4747" t="s">
        <v>2180</v>
      </c>
      <c r="H4747" s="9">
        <v>44733</v>
      </c>
      <c r="I4747" t="s">
        <v>43</v>
      </c>
      <c r="J4747" t="s">
        <v>269</v>
      </c>
      <c r="K4747" s="9">
        <v>44883.786574074104</v>
      </c>
      <c r="L4747" t="s">
        <v>29</v>
      </c>
      <c r="M4747" t="s">
        <v>5331</v>
      </c>
      <c r="N4747" s="9">
        <v>44778</v>
      </c>
      <c r="O4747" s="9">
        <v>44834</v>
      </c>
      <c r="P4747"/>
      <c r="Q4747"/>
      <c r="R4747" s="9">
        <v>44883.785775463002</v>
      </c>
      <c r="S4747"/>
      <c r="T4747"/>
      <c r="U4747"/>
    </row>
    <row r="4748" spans="1:21" hidden="1">
      <c r="A4748" s="7" t="s">
        <v>8849</v>
      </c>
      <c r="B4748" s="7" t="s">
        <v>6805</v>
      </c>
      <c r="C4748" s="8" t="s">
        <v>5319</v>
      </c>
      <c r="D4748" t="s">
        <v>272</v>
      </c>
      <c r="E4748" t="s">
        <v>2175</v>
      </c>
      <c r="F4748" t="s">
        <v>75</v>
      </c>
      <c r="G4748" t="s">
        <v>2181</v>
      </c>
      <c r="H4748" s="9">
        <v>44733</v>
      </c>
      <c r="I4748" t="s">
        <v>488</v>
      </c>
      <c r="J4748" t="s">
        <v>2</v>
      </c>
      <c r="K4748" s="9">
        <v>44834</v>
      </c>
      <c r="L4748" t="s">
        <v>29</v>
      </c>
      <c r="M4748" t="s">
        <v>5331</v>
      </c>
      <c r="N4748" s="9">
        <v>44778</v>
      </c>
      <c r="O4748" s="9">
        <v>44834</v>
      </c>
      <c r="P4748"/>
      <c r="Q4748"/>
      <c r="R4748"/>
      <c r="S4748"/>
      <c r="T4748"/>
      <c r="U4748"/>
    </row>
    <row r="4749" spans="1:21" hidden="1">
      <c r="A4749" s="7" t="s">
        <v>8843</v>
      </c>
      <c r="B4749" s="7" t="s">
        <v>8358</v>
      </c>
      <c r="C4749" s="8" t="s">
        <v>5319</v>
      </c>
      <c r="D4749" t="s">
        <v>272</v>
      </c>
      <c r="E4749" t="s">
        <v>2109</v>
      </c>
      <c r="F4749" t="s">
        <v>231</v>
      </c>
      <c r="G4749" t="s">
        <v>2182</v>
      </c>
      <c r="H4749" s="9">
        <v>44733</v>
      </c>
      <c r="I4749" t="s">
        <v>509</v>
      </c>
      <c r="J4749" t="s">
        <v>2</v>
      </c>
      <c r="K4749" s="9">
        <v>44743</v>
      </c>
      <c r="L4749" t="s">
        <v>29</v>
      </c>
      <c r="M4749" t="s">
        <v>5331</v>
      </c>
      <c r="N4749"/>
      <c r="O4749"/>
      <c r="P4749"/>
      <c r="Q4749" s="9">
        <v>44743</v>
      </c>
      <c r="R4749"/>
      <c r="S4749"/>
      <c r="T4749"/>
      <c r="U4749"/>
    </row>
    <row r="4750" spans="1:21" hidden="1">
      <c r="A4750" s="7" t="s">
        <v>8850</v>
      </c>
      <c r="B4750" s="7" t="s">
        <v>6668</v>
      </c>
      <c r="C4750" s="8" t="s">
        <v>5319</v>
      </c>
      <c r="D4750" t="s">
        <v>272</v>
      </c>
      <c r="E4750" t="s">
        <v>2183</v>
      </c>
      <c r="F4750" t="s">
        <v>2184</v>
      </c>
      <c r="G4750" t="s">
        <v>2185</v>
      </c>
      <c r="H4750" s="9">
        <v>44733</v>
      </c>
      <c r="I4750" t="s">
        <v>758</v>
      </c>
      <c r="J4750" t="s">
        <v>0</v>
      </c>
      <c r="K4750" s="9">
        <v>44792</v>
      </c>
      <c r="L4750" t="s">
        <v>29</v>
      </c>
      <c r="M4750"/>
      <c r="N4750" s="9">
        <v>44778</v>
      </c>
      <c r="O4750"/>
      <c r="P4750"/>
      <c r="Q4750" s="9">
        <v>44792</v>
      </c>
      <c r="R4750"/>
      <c r="S4750"/>
      <c r="T4750"/>
      <c r="U4750"/>
    </row>
    <row r="4751" spans="1:21" hidden="1">
      <c r="A4751" s="7" t="s">
        <v>8851</v>
      </c>
      <c r="B4751" s="7" t="s">
        <v>6668</v>
      </c>
      <c r="C4751" s="8" t="s">
        <v>5319</v>
      </c>
      <c r="D4751" t="s">
        <v>272</v>
      </c>
      <c r="E4751" t="s">
        <v>2183</v>
      </c>
      <c r="F4751" t="s">
        <v>75</v>
      </c>
      <c r="G4751" t="s">
        <v>2186</v>
      </c>
      <c r="H4751" s="9">
        <v>44733</v>
      </c>
      <c r="I4751" t="s">
        <v>2187</v>
      </c>
      <c r="J4751" t="s">
        <v>0</v>
      </c>
      <c r="K4751" s="9">
        <v>44792</v>
      </c>
      <c r="L4751" t="s">
        <v>29</v>
      </c>
      <c r="M4751"/>
      <c r="N4751" s="9">
        <v>44778</v>
      </c>
      <c r="O4751"/>
      <c r="P4751"/>
      <c r="Q4751" s="9">
        <v>44792</v>
      </c>
      <c r="R4751"/>
      <c r="S4751"/>
      <c r="T4751"/>
      <c r="U4751"/>
    </row>
    <row r="4752" spans="1:21" hidden="1">
      <c r="A4752" s="7" t="s">
        <v>8851</v>
      </c>
      <c r="B4752" s="7" t="s">
        <v>6668</v>
      </c>
      <c r="C4752" s="8" t="s">
        <v>5319</v>
      </c>
      <c r="D4752" t="s">
        <v>272</v>
      </c>
      <c r="E4752" t="s">
        <v>2183</v>
      </c>
      <c r="F4752" t="s">
        <v>75</v>
      </c>
      <c r="G4752" t="s">
        <v>2188</v>
      </c>
      <c r="H4752" s="9">
        <v>44733</v>
      </c>
      <c r="I4752" t="s">
        <v>2187</v>
      </c>
      <c r="J4752" t="s">
        <v>0</v>
      </c>
      <c r="K4752" s="9">
        <v>44792</v>
      </c>
      <c r="L4752" t="s">
        <v>29</v>
      </c>
      <c r="M4752"/>
      <c r="N4752" s="9">
        <v>44778</v>
      </c>
      <c r="O4752"/>
      <c r="P4752"/>
      <c r="Q4752" s="9">
        <v>44792</v>
      </c>
      <c r="R4752"/>
      <c r="S4752"/>
      <c r="T4752"/>
      <c r="U4752"/>
    </row>
    <row r="4753" spans="1:21" hidden="1">
      <c r="A4753" s="7" t="s">
        <v>8851</v>
      </c>
      <c r="B4753" s="7" t="s">
        <v>6668</v>
      </c>
      <c r="C4753" s="8" t="s">
        <v>5319</v>
      </c>
      <c r="D4753" t="s">
        <v>272</v>
      </c>
      <c r="E4753" t="s">
        <v>2183</v>
      </c>
      <c r="F4753" t="s">
        <v>75</v>
      </c>
      <c r="G4753" t="s">
        <v>2189</v>
      </c>
      <c r="H4753" s="9">
        <v>44733</v>
      </c>
      <c r="I4753" t="s">
        <v>2187</v>
      </c>
      <c r="J4753" t="s">
        <v>0</v>
      </c>
      <c r="K4753" s="9">
        <v>44792</v>
      </c>
      <c r="L4753" t="s">
        <v>29</v>
      </c>
      <c r="M4753"/>
      <c r="N4753" s="9">
        <v>44778</v>
      </c>
      <c r="O4753"/>
      <c r="P4753"/>
      <c r="Q4753" s="9">
        <v>44792</v>
      </c>
      <c r="R4753"/>
      <c r="S4753"/>
      <c r="T4753"/>
      <c r="U4753"/>
    </row>
    <row r="4754" spans="1:21" hidden="1">
      <c r="A4754" s="7" t="s">
        <v>8851</v>
      </c>
      <c r="B4754" s="7" t="s">
        <v>6668</v>
      </c>
      <c r="C4754" s="8" t="s">
        <v>5319</v>
      </c>
      <c r="D4754" t="s">
        <v>272</v>
      </c>
      <c r="E4754" t="s">
        <v>2183</v>
      </c>
      <c r="F4754" t="s">
        <v>75</v>
      </c>
      <c r="G4754" t="s">
        <v>2190</v>
      </c>
      <c r="H4754" s="9">
        <v>44733</v>
      </c>
      <c r="I4754" t="s">
        <v>2187</v>
      </c>
      <c r="J4754" t="s">
        <v>0</v>
      </c>
      <c r="K4754" s="9">
        <v>44792</v>
      </c>
      <c r="L4754" t="s">
        <v>29</v>
      </c>
      <c r="M4754"/>
      <c r="N4754" s="9">
        <v>44778</v>
      </c>
      <c r="O4754"/>
      <c r="P4754"/>
      <c r="Q4754" s="9">
        <v>44792</v>
      </c>
      <c r="R4754"/>
      <c r="S4754"/>
      <c r="T4754"/>
      <c r="U4754"/>
    </row>
    <row r="4755" spans="1:21" hidden="1">
      <c r="A4755" s="7" t="s">
        <v>8851</v>
      </c>
      <c r="B4755" s="7" t="s">
        <v>6668</v>
      </c>
      <c r="C4755" s="8" t="s">
        <v>5319</v>
      </c>
      <c r="D4755" t="s">
        <v>272</v>
      </c>
      <c r="E4755" t="s">
        <v>2183</v>
      </c>
      <c r="F4755" t="s">
        <v>75</v>
      </c>
      <c r="G4755" t="s">
        <v>2191</v>
      </c>
      <c r="H4755" s="9">
        <v>44733</v>
      </c>
      <c r="I4755" t="s">
        <v>2187</v>
      </c>
      <c r="J4755" t="s">
        <v>0</v>
      </c>
      <c r="K4755" s="9">
        <v>44792</v>
      </c>
      <c r="L4755" t="s">
        <v>29</v>
      </c>
      <c r="M4755"/>
      <c r="N4755" s="9">
        <v>44778</v>
      </c>
      <c r="O4755"/>
      <c r="P4755"/>
      <c r="Q4755" s="9">
        <v>44792</v>
      </c>
      <c r="R4755"/>
      <c r="S4755"/>
      <c r="T4755"/>
      <c r="U4755"/>
    </row>
    <row r="4756" spans="1:21" hidden="1">
      <c r="A4756" s="7" t="s">
        <v>8851</v>
      </c>
      <c r="B4756" s="7" t="s">
        <v>6668</v>
      </c>
      <c r="C4756" s="8" t="s">
        <v>5319</v>
      </c>
      <c r="D4756" t="s">
        <v>272</v>
      </c>
      <c r="E4756" t="s">
        <v>2183</v>
      </c>
      <c r="F4756" t="s">
        <v>75</v>
      </c>
      <c r="G4756" t="s">
        <v>2192</v>
      </c>
      <c r="H4756" s="9">
        <v>44733</v>
      </c>
      <c r="I4756" t="s">
        <v>2187</v>
      </c>
      <c r="J4756" t="s">
        <v>0</v>
      </c>
      <c r="K4756" s="9">
        <v>44792</v>
      </c>
      <c r="L4756" t="s">
        <v>29</v>
      </c>
      <c r="M4756"/>
      <c r="N4756" s="9">
        <v>44778</v>
      </c>
      <c r="O4756"/>
      <c r="P4756"/>
      <c r="Q4756" s="9">
        <v>44792</v>
      </c>
      <c r="R4756"/>
      <c r="S4756"/>
      <c r="T4756"/>
      <c r="U4756"/>
    </row>
    <row r="4757" spans="1:21" hidden="1">
      <c r="A4757" s="7" t="s">
        <v>8851</v>
      </c>
      <c r="B4757" s="7" t="s">
        <v>6668</v>
      </c>
      <c r="C4757" s="8" t="s">
        <v>5319</v>
      </c>
      <c r="D4757" t="s">
        <v>272</v>
      </c>
      <c r="E4757" t="s">
        <v>2183</v>
      </c>
      <c r="F4757" t="s">
        <v>75</v>
      </c>
      <c r="G4757" t="s">
        <v>2193</v>
      </c>
      <c r="H4757" s="9">
        <v>44733</v>
      </c>
      <c r="I4757" t="s">
        <v>2187</v>
      </c>
      <c r="J4757" t="s">
        <v>0</v>
      </c>
      <c r="K4757" s="9">
        <v>44792</v>
      </c>
      <c r="L4757" t="s">
        <v>29</v>
      </c>
      <c r="M4757"/>
      <c r="N4757" s="9">
        <v>44778</v>
      </c>
      <c r="O4757"/>
      <c r="P4757"/>
      <c r="Q4757" s="9">
        <v>44792</v>
      </c>
      <c r="R4757"/>
      <c r="S4757"/>
      <c r="T4757"/>
      <c r="U4757"/>
    </row>
    <row r="4758" spans="1:21" hidden="1">
      <c r="A4758" s="7" t="s">
        <v>8851</v>
      </c>
      <c r="B4758" s="7" t="s">
        <v>6668</v>
      </c>
      <c r="C4758" s="8" t="s">
        <v>5319</v>
      </c>
      <c r="D4758" t="s">
        <v>272</v>
      </c>
      <c r="E4758" t="s">
        <v>2183</v>
      </c>
      <c r="F4758" t="s">
        <v>75</v>
      </c>
      <c r="G4758" t="s">
        <v>2194</v>
      </c>
      <c r="H4758" s="9">
        <v>44733</v>
      </c>
      <c r="I4758" t="s">
        <v>2187</v>
      </c>
      <c r="J4758" t="s">
        <v>0</v>
      </c>
      <c r="K4758" s="9">
        <v>44792</v>
      </c>
      <c r="L4758" t="s">
        <v>29</v>
      </c>
      <c r="M4758"/>
      <c r="N4758" s="9">
        <v>44778</v>
      </c>
      <c r="O4758"/>
      <c r="P4758"/>
      <c r="Q4758" s="9">
        <v>44792</v>
      </c>
      <c r="R4758"/>
      <c r="S4758"/>
      <c r="T4758"/>
      <c r="U4758"/>
    </row>
    <row r="4759" spans="1:21" hidden="1">
      <c r="A4759" s="7" t="s">
        <v>8851</v>
      </c>
      <c r="B4759" s="7" t="s">
        <v>6668</v>
      </c>
      <c r="C4759" s="8" t="s">
        <v>5319</v>
      </c>
      <c r="D4759" t="s">
        <v>272</v>
      </c>
      <c r="E4759" t="s">
        <v>2183</v>
      </c>
      <c r="F4759" t="s">
        <v>75</v>
      </c>
      <c r="G4759" t="s">
        <v>2195</v>
      </c>
      <c r="H4759" s="9">
        <v>44733</v>
      </c>
      <c r="I4759" t="s">
        <v>2187</v>
      </c>
      <c r="J4759" t="s">
        <v>0</v>
      </c>
      <c r="K4759" s="9">
        <v>44792</v>
      </c>
      <c r="L4759" t="s">
        <v>29</v>
      </c>
      <c r="M4759"/>
      <c r="N4759" s="9">
        <v>44778</v>
      </c>
      <c r="O4759"/>
      <c r="P4759"/>
      <c r="Q4759" s="9">
        <v>44792</v>
      </c>
      <c r="R4759"/>
      <c r="S4759"/>
      <c r="T4759"/>
      <c r="U4759"/>
    </row>
    <row r="4760" spans="1:21" hidden="1">
      <c r="A4760" s="7" t="s">
        <v>8851</v>
      </c>
      <c r="B4760" s="7" t="s">
        <v>6668</v>
      </c>
      <c r="C4760" s="8" t="s">
        <v>5319</v>
      </c>
      <c r="D4760" t="s">
        <v>272</v>
      </c>
      <c r="E4760" t="s">
        <v>2183</v>
      </c>
      <c r="F4760" t="s">
        <v>75</v>
      </c>
      <c r="G4760" t="s">
        <v>2196</v>
      </c>
      <c r="H4760" s="9">
        <v>44733</v>
      </c>
      <c r="I4760" t="s">
        <v>2187</v>
      </c>
      <c r="J4760" t="s">
        <v>0</v>
      </c>
      <c r="K4760" s="9">
        <v>44792</v>
      </c>
      <c r="L4760" t="s">
        <v>29</v>
      </c>
      <c r="M4760"/>
      <c r="N4760" s="9">
        <v>44778</v>
      </c>
      <c r="O4760"/>
      <c r="P4760"/>
      <c r="Q4760" s="9">
        <v>44792</v>
      </c>
      <c r="R4760"/>
      <c r="S4760"/>
      <c r="T4760"/>
      <c r="U4760"/>
    </row>
    <row r="4761" spans="1:21" hidden="1">
      <c r="A4761" s="7" t="s">
        <v>8851</v>
      </c>
      <c r="B4761" s="7" t="s">
        <v>6668</v>
      </c>
      <c r="C4761" s="8" t="s">
        <v>5319</v>
      </c>
      <c r="D4761" t="s">
        <v>272</v>
      </c>
      <c r="E4761" t="s">
        <v>2183</v>
      </c>
      <c r="F4761" t="s">
        <v>75</v>
      </c>
      <c r="G4761" t="s">
        <v>2197</v>
      </c>
      <c r="H4761" s="9">
        <v>44733</v>
      </c>
      <c r="I4761" t="s">
        <v>2187</v>
      </c>
      <c r="J4761" t="s">
        <v>0</v>
      </c>
      <c r="K4761" s="9">
        <v>44792</v>
      </c>
      <c r="L4761" t="s">
        <v>29</v>
      </c>
      <c r="M4761"/>
      <c r="N4761" s="9">
        <v>44778</v>
      </c>
      <c r="O4761"/>
      <c r="P4761"/>
      <c r="Q4761" s="9">
        <v>44792</v>
      </c>
      <c r="R4761"/>
      <c r="S4761"/>
      <c r="T4761"/>
      <c r="U4761"/>
    </row>
    <row r="4762" spans="1:21" hidden="1">
      <c r="A4762" s="7" t="s">
        <v>8851</v>
      </c>
      <c r="B4762" s="7" t="s">
        <v>6668</v>
      </c>
      <c r="C4762" s="8" t="s">
        <v>5319</v>
      </c>
      <c r="D4762" t="s">
        <v>272</v>
      </c>
      <c r="E4762" t="s">
        <v>2183</v>
      </c>
      <c r="F4762" t="s">
        <v>75</v>
      </c>
      <c r="G4762" t="s">
        <v>2198</v>
      </c>
      <c r="H4762" s="9">
        <v>44733</v>
      </c>
      <c r="I4762" t="s">
        <v>2187</v>
      </c>
      <c r="J4762" t="s">
        <v>0</v>
      </c>
      <c r="K4762" s="9">
        <v>44792</v>
      </c>
      <c r="L4762" t="s">
        <v>29</v>
      </c>
      <c r="M4762"/>
      <c r="N4762" s="9">
        <v>44778</v>
      </c>
      <c r="O4762"/>
      <c r="P4762"/>
      <c r="Q4762" s="9">
        <v>44792</v>
      </c>
      <c r="R4762"/>
      <c r="S4762"/>
      <c r="T4762"/>
      <c r="U4762"/>
    </row>
    <row r="4763" spans="1:21" hidden="1">
      <c r="A4763" s="7" t="s">
        <v>8851</v>
      </c>
      <c r="B4763" s="7" t="s">
        <v>6668</v>
      </c>
      <c r="C4763" s="8" t="s">
        <v>5319</v>
      </c>
      <c r="D4763" t="s">
        <v>272</v>
      </c>
      <c r="E4763" t="s">
        <v>2183</v>
      </c>
      <c r="F4763" t="s">
        <v>75</v>
      </c>
      <c r="G4763" t="s">
        <v>2199</v>
      </c>
      <c r="H4763" s="9">
        <v>44733</v>
      </c>
      <c r="I4763" t="s">
        <v>2187</v>
      </c>
      <c r="J4763" t="s">
        <v>0</v>
      </c>
      <c r="K4763" s="9">
        <v>44792</v>
      </c>
      <c r="L4763" t="s">
        <v>29</v>
      </c>
      <c r="M4763"/>
      <c r="N4763" s="9">
        <v>44778</v>
      </c>
      <c r="O4763"/>
      <c r="P4763"/>
      <c r="Q4763" s="9">
        <v>44792</v>
      </c>
      <c r="R4763"/>
      <c r="S4763"/>
      <c r="T4763"/>
      <c r="U4763"/>
    </row>
    <row r="4764" spans="1:21" hidden="1">
      <c r="A4764" s="7" t="s">
        <v>8851</v>
      </c>
      <c r="B4764" s="7" t="s">
        <v>6668</v>
      </c>
      <c r="C4764" s="8" t="s">
        <v>5319</v>
      </c>
      <c r="D4764" t="s">
        <v>272</v>
      </c>
      <c r="E4764" t="s">
        <v>2183</v>
      </c>
      <c r="F4764" t="s">
        <v>75</v>
      </c>
      <c r="G4764" t="s">
        <v>2200</v>
      </c>
      <c r="H4764" s="9">
        <v>44733</v>
      </c>
      <c r="I4764" t="s">
        <v>2187</v>
      </c>
      <c r="J4764" t="s">
        <v>0</v>
      </c>
      <c r="K4764" s="9">
        <v>44792</v>
      </c>
      <c r="L4764" t="s">
        <v>29</v>
      </c>
      <c r="M4764"/>
      <c r="N4764" s="9">
        <v>44778</v>
      </c>
      <c r="O4764"/>
      <c r="P4764"/>
      <c r="Q4764" s="9">
        <v>44792</v>
      </c>
      <c r="R4764"/>
      <c r="S4764"/>
      <c r="T4764"/>
      <c r="U4764"/>
    </row>
    <row r="4765" spans="1:21" hidden="1">
      <c r="A4765" s="7" t="s">
        <v>8851</v>
      </c>
      <c r="B4765" s="7" t="s">
        <v>6668</v>
      </c>
      <c r="C4765" s="8" t="s">
        <v>5319</v>
      </c>
      <c r="D4765" t="s">
        <v>272</v>
      </c>
      <c r="E4765" t="s">
        <v>2183</v>
      </c>
      <c r="F4765" t="s">
        <v>75</v>
      </c>
      <c r="G4765" t="s">
        <v>2201</v>
      </c>
      <c r="H4765" s="9">
        <v>44733</v>
      </c>
      <c r="I4765" t="s">
        <v>2187</v>
      </c>
      <c r="J4765" t="s">
        <v>0</v>
      </c>
      <c r="K4765" s="9">
        <v>44792</v>
      </c>
      <c r="L4765" t="s">
        <v>29</v>
      </c>
      <c r="M4765"/>
      <c r="N4765" s="9">
        <v>44778</v>
      </c>
      <c r="O4765"/>
      <c r="P4765"/>
      <c r="Q4765" s="9">
        <v>44792</v>
      </c>
      <c r="R4765"/>
      <c r="S4765"/>
      <c r="T4765"/>
      <c r="U4765"/>
    </row>
    <row r="4766" spans="1:21" hidden="1">
      <c r="A4766" s="7" t="s">
        <v>8851</v>
      </c>
      <c r="B4766" s="7" t="s">
        <v>6668</v>
      </c>
      <c r="C4766" s="8" t="s">
        <v>5319</v>
      </c>
      <c r="D4766" t="s">
        <v>272</v>
      </c>
      <c r="E4766" t="s">
        <v>2183</v>
      </c>
      <c r="F4766" t="s">
        <v>75</v>
      </c>
      <c r="G4766" t="s">
        <v>2202</v>
      </c>
      <c r="H4766" s="9">
        <v>44733</v>
      </c>
      <c r="I4766" t="s">
        <v>2187</v>
      </c>
      <c r="J4766" t="s">
        <v>0</v>
      </c>
      <c r="K4766" s="9">
        <v>44792</v>
      </c>
      <c r="L4766" t="s">
        <v>29</v>
      </c>
      <c r="M4766"/>
      <c r="N4766" s="9">
        <v>44778</v>
      </c>
      <c r="O4766"/>
      <c r="P4766"/>
      <c r="Q4766" s="9">
        <v>44792</v>
      </c>
      <c r="R4766"/>
      <c r="S4766"/>
      <c r="T4766"/>
      <c r="U4766"/>
    </row>
    <row r="4767" spans="1:21" hidden="1">
      <c r="A4767" s="7" t="s">
        <v>8851</v>
      </c>
      <c r="B4767" s="7" t="s">
        <v>6668</v>
      </c>
      <c r="C4767" s="8" t="s">
        <v>5319</v>
      </c>
      <c r="D4767" t="s">
        <v>272</v>
      </c>
      <c r="E4767" t="s">
        <v>2183</v>
      </c>
      <c r="F4767" t="s">
        <v>75</v>
      </c>
      <c r="G4767" t="s">
        <v>2203</v>
      </c>
      <c r="H4767" s="9">
        <v>44733</v>
      </c>
      <c r="I4767" t="s">
        <v>2187</v>
      </c>
      <c r="J4767" t="s">
        <v>0</v>
      </c>
      <c r="K4767" s="9">
        <v>44792</v>
      </c>
      <c r="L4767" t="s">
        <v>29</v>
      </c>
      <c r="M4767"/>
      <c r="N4767" s="9">
        <v>44778</v>
      </c>
      <c r="O4767"/>
      <c r="P4767"/>
      <c r="Q4767" s="9">
        <v>44792</v>
      </c>
      <c r="R4767"/>
      <c r="S4767"/>
      <c r="T4767"/>
      <c r="U4767"/>
    </row>
    <row r="4768" spans="1:21" hidden="1">
      <c r="A4768" s="7" t="s">
        <v>8851</v>
      </c>
      <c r="B4768" s="7" t="s">
        <v>6668</v>
      </c>
      <c r="C4768" s="8" t="s">
        <v>5319</v>
      </c>
      <c r="D4768" t="s">
        <v>272</v>
      </c>
      <c r="E4768" t="s">
        <v>2183</v>
      </c>
      <c r="F4768" t="s">
        <v>75</v>
      </c>
      <c r="G4768" t="s">
        <v>2204</v>
      </c>
      <c r="H4768" s="9">
        <v>44733</v>
      </c>
      <c r="I4768" t="s">
        <v>2187</v>
      </c>
      <c r="J4768" t="s">
        <v>0</v>
      </c>
      <c r="K4768" s="9">
        <v>44792</v>
      </c>
      <c r="L4768" t="s">
        <v>29</v>
      </c>
      <c r="M4768"/>
      <c r="N4768" s="9">
        <v>44778</v>
      </c>
      <c r="O4768"/>
      <c r="P4768"/>
      <c r="Q4768" s="9">
        <v>44792</v>
      </c>
      <c r="R4768"/>
      <c r="S4768"/>
      <c r="T4768"/>
      <c r="U4768"/>
    </row>
    <row r="4769" spans="1:21" hidden="1">
      <c r="A4769" s="7" t="s">
        <v>8851</v>
      </c>
      <c r="B4769" s="7" t="s">
        <v>6668</v>
      </c>
      <c r="C4769" s="8" t="s">
        <v>5319</v>
      </c>
      <c r="D4769" t="s">
        <v>272</v>
      </c>
      <c r="E4769" t="s">
        <v>2183</v>
      </c>
      <c r="F4769" t="s">
        <v>75</v>
      </c>
      <c r="G4769" t="s">
        <v>2205</v>
      </c>
      <c r="H4769" s="9">
        <v>44733</v>
      </c>
      <c r="I4769" t="s">
        <v>2187</v>
      </c>
      <c r="J4769" t="s">
        <v>0</v>
      </c>
      <c r="K4769" s="9">
        <v>44792</v>
      </c>
      <c r="L4769" t="s">
        <v>29</v>
      </c>
      <c r="M4769"/>
      <c r="N4769" s="9">
        <v>44778</v>
      </c>
      <c r="O4769"/>
      <c r="P4769"/>
      <c r="Q4769" s="9">
        <v>44792</v>
      </c>
      <c r="R4769"/>
      <c r="S4769"/>
      <c r="T4769"/>
      <c r="U4769"/>
    </row>
    <row r="4770" spans="1:21" hidden="1">
      <c r="A4770" s="7" t="s">
        <v>8851</v>
      </c>
      <c r="B4770" s="7" t="s">
        <v>6668</v>
      </c>
      <c r="C4770" s="8" t="s">
        <v>5319</v>
      </c>
      <c r="D4770" t="s">
        <v>272</v>
      </c>
      <c r="E4770" t="s">
        <v>2183</v>
      </c>
      <c r="F4770" t="s">
        <v>75</v>
      </c>
      <c r="G4770" t="s">
        <v>2206</v>
      </c>
      <c r="H4770" s="9">
        <v>44733</v>
      </c>
      <c r="I4770" t="s">
        <v>2187</v>
      </c>
      <c r="J4770" t="s">
        <v>0</v>
      </c>
      <c r="K4770" s="9">
        <v>44792</v>
      </c>
      <c r="L4770" t="s">
        <v>29</v>
      </c>
      <c r="M4770"/>
      <c r="N4770" s="9">
        <v>44778</v>
      </c>
      <c r="O4770"/>
      <c r="P4770"/>
      <c r="Q4770" s="9">
        <v>44792</v>
      </c>
      <c r="R4770"/>
      <c r="S4770"/>
      <c r="T4770"/>
      <c r="U4770"/>
    </row>
    <row r="4771" spans="1:21" hidden="1">
      <c r="A4771" s="7" t="s">
        <v>8851</v>
      </c>
      <c r="B4771" s="7" t="s">
        <v>6668</v>
      </c>
      <c r="C4771" s="8" t="s">
        <v>5319</v>
      </c>
      <c r="D4771" t="s">
        <v>272</v>
      </c>
      <c r="E4771" t="s">
        <v>2183</v>
      </c>
      <c r="F4771" t="s">
        <v>75</v>
      </c>
      <c r="G4771" t="s">
        <v>2207</v>
      </c>
      <c r="H4771" s="9">
        <v>44733</v>
      </c>
      <c r="I4771" t="s">
        <v>2187</v>
      </c>
      <c r="J4771" t="s">
        <v>0</v>
      </c>
      <c r="K4771" s="9">
        <v>44792</v>
      </c>
      <c r="L4771" t="s">
        <v>29</v>
      </c>
      <c r="M4771"/>
      <c r="N4771" s="9">
        <v>44778</v>
      </c>
      <c r="O4771"/>
      <c r="P4771"/>
      <c r="Q4771" s="9">
        <v>44792</v>
      </c>
      <c r="R4771"/>
      <c r="S4771"/>
      <c r="T4771"/>
      <c r="U4771"/>
    </row>
    <row r="4772" spans="1:21" hidden="1">
      <c r="A4772" s="7" t="s">
        <v>8851</v>
      </c>
      <c r="B4772" s="7" t="s">
        <v>6668</v>
      </c>
      <c r="C4772" s="8" t="s">
        <v>5319</v>
      </c>
      <c r="D4772" t="s">
        <v>272</v>
      </c>
      <c r="E4772" t="s">
        <v>2183</v>
      </c>
      <c r="F4772" t="s">
        <v>75</v>
      </c>
      <c r="G4772" t="s">
        <v>2208</v>
      </c>
      <c r="H4772" s="9">
        <v>44733</v>
      </c>
      <c r="I4772" t="s">
        <v>2187</v>
      </c>
      <c r="J4772" t="s">
        <v>0</v>
      </c>
      <c r="K4772" s="9">
        <v>44792</v>
      </c>
      <c r="L4772" t="s">
        <v>29</v>
      </c>
      <c r="M4772"/>
      <c r="N4772" s="9">
        <v>44778</v>
      </c>
      <c r="O4772"/>
      <c r="P4772"/>
      <c r="Q4772" s="9">
        <v>44792</v>
      </c>
      <c r="R4772"/>
      <c r="S4772"/>
      <c r="T4772"/>
      <c r="U4772"/>
    </row>
    <row r="4773" spans="1:21" hidden="1">
      <c r="A4773" s="7" t="s">
        <v>8851</v>
      </c>
      <c r="B4773" s="7" t="s">
        <v>6668</v>
      </c>
      <c r="C4773" s="8" t="s">
        <v>5319</v>
      </c>
      <c r="D4773" t="s">
        <v>272</v>
      </c>
      <c r="E4773" t="s">
        <v>2183</v>
      </c>
      <c r="F4773" t="s">
        <v>75</v>
      </c>
      <c r="G4773" t="s">
        <v>2209</v>
      </c>
      <c r="H4773" s="9">
        <v>44733</v>
      </c>
      <c r="I4773" t="s">
        <v>2187</v>
      </c>
      <c r="J4773" t="s">
        <v>0</v>
      </c>
      <c r="K4773" s="9">
        <v>44792</v>
      </c>
      <c r="L4773" t="s">
        <v>29</v>
      </c>
      <c r="M4773"/>
      <c r="N4773" s="9">
        <v>44778</v>
      </c>
      <c r="O4773"/>
      <c r="P4773"/>
      <c r="Q4773" s="9">
        <v>44792</v>
      </c>
      <c r="R4773"/>
      <c r="S4773"/>
      <c r="T4773"/>
      <c r="U4773"/>
    </row>
    <row r="4774" spans="1:21" hidden="1">
      <c r="A4774" s="7" t="s">
        <v>8851</v>
      </c>
      <c r="B4774" s="7" t="s">
        <v>6668</v>
      </c>
      <c r="C4774" s="8" t="s">
        <v>5319</v>
      </c>
      <c r="D4774" t="s">
        <v>272</v>
      </c>
      <c r="E4774" t="s">
        <v>2183</v>
      </c>
      <c r="F4774" t="s">
        <v>75</v>
      </c>
      <c r="G4774" t="s">
        <v>2210</v>
      </c>
      <c r="H4774" s="9">
        <v>44733</v>
      </c>
      <c r="I4774" t="s">
        <v>2187</v>
      </c>
      <c r="J4774" t="s">
        <v>0</v>
      </c>
      <c r="K4774" s="9">
        <v>44792</v>
      </c>
      <c r="L4774" t="s">
        <v>29</v>
      </c>
      <c r="M4774"/>
      <c r="N4774" s="9">
        <v>44778</v>
      </c>
      <c r="O4774"/>
      <c r="P4774"/>
      <c r="Q4774" s="9">
        <v>44792</v>
      </c>
      <c r="R4774"/>
      <c r="S4774"/>
      <c r="T4774"/>
      <c r="U4774"/>
    </row>
    <row r="4775" spans="1:21" hidden="1">
      <c r="A4775" s="7" t="s">
        <v>8851</v>
      </c>
      <c r="B4775" s="7" t="s">
        <v>6668</v>
      </c>
      <c r="C4775" s="8" t="s">
        <v>5319</v>
      </c>
      <c r="D4775" t="s">
        <v>272</v>
      </c>
      <c r="E4775" t="s">
        <v>2183</v>
      </c>
      <c r="F4775" t="s">
        <v>75</v>
      </c>
      <c r="G4775" t="s">
        <v>2211</v>
      </c>
      <c r="H4775" s="9">
        <v>44733</v>
      </c>
      <c r="I4775" t="s">
        <v>2187</v>
      </c>
      <c r="J4775" t="s">
        <v>0</v>
      </c>
      <c r="K4775" s="9">
        <v>44792</v>
      </c>
      <c r="L4775" t="s">
        <v>29</v>
      </c>
      <c r="M4775"/>
      <c r="N4775" s="9">
        <v>44778</v>
      </c>
      <c r="O4775"/>
      <c r="P4775"/>
      <c r="Q4775" s="9">
        <v>44792</v>
      </c>
      <c r="R4775"/>
      <c r="S4775"/>
      <c r="T4775"/>
      <c r="U4775"/>
    </row>
    <row r="4776" spans="1:21" hidden="1">
      <c r="A4776" s="7" t="s">
        <v>8851</v>
      </c>
      <c r="B4776" s="7" t="s">
        <v>6668</v>
      </c>
      <c r="C4776" s="8" t="s">
        <v>5319</v>
      </c>
      <c r="D4776" t="s">
        <v>272</v>
      </c>
      <c r="E4776" t="s">
        <v>2183</v>
      </c>
      <c r="F4776" t="s">
        <v>75</v>
      </c>
      <c r="G4776" t="s">
        <v>2212</v>
      </c>
      <c r="H4776" s="9">
        <v>44733</v>
      </c>
      <c r="I4776" t="s">
        <v>2187</v>
      </c>
      <c r="J4776" t="s">
        <v>0</v>
      </c>
      <c r="K4776" s="9">
        <v>44792</v>
      </c>
      <c r="L4776" t="s">
        <v>29</v>
      </c>
      <c r="M4776"/>
      <c r="N4776" s="9">
        <v>44778</v>
      </c>
      <c r="O4776"/>
      <c r="P4776"/>
      <c r="Q4776" s="9">
        <v>44792</v>
      </c>
      <c r="R4776"/>
      <c r="S4776"/>
      <c r="T4776"/>
      <c r="U4776"/>
    </row>
    <row r="4777" spans="1:21" hidden="1">
      <c r="A4777" s="7" t="s">
        <v>8851</v>
      </c>
      <c r="B4777" s="7" t="s">
        <v>6668</v>
      </c>
      <c r="C4777" s="8" t="s">
        <v>5319</v>
      </c>
      <c r="D4777" t="s">
        <v>272</v>
      </c>
      <c r="E4777" t="s">
        <v>2183</v>
      </c>
      <c r="F4777" t="s">
        <v>75</v>
      </c>
      <c r="G4777" t="s">
        <v>2213</v>
      </c>
      <c r="H4777" s="9">
        <v>44733</v>
      </c>
      <c r="I4777" t="s">
        <v>2187</v>
      </c>
      <c r="J4777" t="s">
        <v>0</v>
      </c>
      <c r="K4777" s="9">
        <v>44792</v>
      </c>
      <c r="L4777" t="s">
        <v>29</v>
      </c>
      <c r="M4777"/>
      <c r="N4777" s="9">
        <v>44778</v>
      </c>
      <c r="O4777"/>
      <c r="P4777"/>
      <c r="Q4777" s="9">
        <v>44792</v>
      </c>
      <c r="R4777"/>
      <c r="S4777"/>
      <c r="T4777"/>
      <c r="U4777"/>
    </row>
    <row r="4778" spans="1:21" hidden="1">
      <c r="A4778" s="7" t="s">
        <v>8851</v>
      </c>
      <c r="B4778" s="7" t="s">
        <v>6668</v>
      </c>
      <c r="C4778" s="8" t="s">
        <v>5319</v>
      </c>
      <c r="D4778" t="s">
        <v>272</v>
      </c>
      <c r="E4778" t="s">
        <v>2183</v>
      </c>
      <c r="F4778" t="s">
        <v>75</v>
      </c>
      <c r="G4778" t="s">
        <v>2214</v>
      </c>
      <c r="H4778" s="9">
        <v>44733</v>
      </c>
      <c r="I4778" t="s">
        <v>2187</v>
      </c>
      <c r="J4778" t="s">
        <v>0</v>
      </c>
      <c r="K4778" s="9">
        <v>44792</v>
      </c>
      <c r="L4778" t="s">
        <v>29</v>
      </c>
      <c r="M4778"/>
      <c r="N4778" s="9">
        <v>44778</v>
      </c>
      <c r="O4778"/>
      <c r="P4778"/>
      <c r="Q4778" s="9">
        <v>44792</v>
      </c>
      <c r="R4778"/>
      <c r="S4778"/>
      <c r="T4778"/>
      <c r="U4778"/>
    </row>
    <row r="4779" spans="1:21" hidden="1">
      <c r="A4779" s="7" t="s">
        <v>8851</v>
      </c>
      <c r="B4779" s="7" t="s">
        <v>6668</v>
      </c>
      <c r="C4779" s="8" t="s">
        <v>5319</v>
      </c>
      <c r="D4779" t="s">
        <v>272</v>
      </c>
      <c r="E4779" t="s">
        <v>2183</v>
      </c>
      <c r="F4779" t="s">
        <v>75</v>
      </c>
      <c r="G4779" t="s">
        <v>2215</v>
      </c>
      <c r="H4779" s="9">
        <v>44733</v>
      </c>
      <c r="I4779" t="s">
        <v>2187</v>
      </c>
      <c r="J4779" t="s">
        <v>0</v>
      </c>
      <c r="K4779" s="9">
        <v>44792</v>
      </c>
      <c r="L4779" t="s">
        <v>29</v>
      </c>
      <c r="M4779"/>
      <c r="N4779" s="9">
        <v>44778</v>
      </c>
      <c r="O4779"/>
      <c r="P4779"/>
      <c r="Q4779" s="9">
        <v>44792</v>
      </c>
      <c r="R4779"/>
      <c r="S4779"/>
      <c r="T4779"/>
      <c r="U4779"/>
    </row>
    <row r="4780" spans="1:21" hidden="1">
      <c r="A4780" s="7" t="s">
        <v>8851</v>
      </c>
      <c r="B4780" s="7" t="s">
        <v>6668</v>
      </c>
      <c r="C4780" s="8" t="s">
        <v>5319</v>
      </c>
      <c r="D4780" t="s">
        <v>272</v>
      </c>
      <c r="E4780" t="s">
        <v>2183</v>
      </c>
      <c r="F4780" t="s">
        <v>75</v>
      </c>
      <c r="G4780" t="s">
        <v>2216</v>
      </c>
      <c r="H4780" s="9">
        <v>44733</v>
      </c>
      <c r="I4780" t="s">
        <v>2187</v>
      </c>
      <c r="J4780" t="s">
        <v>0</v>
      </c>
      <c r="K4780" s="9">
        <v>44792</v>
      </c>
      <c r="L4780" t="s">
        <v>29</v>
      </c>
      <c r="M4780"/>
      <c r="N4780" s="9">
        <v>44778</v>
      </c>
      <c r="O4780"/>
      <c r="P4780"/>
      <c r="Q4780" s="9">
        <v>44792</v>
      </c>
      <c r="R4780"/>
      <c r="S4780"/>
      <c r="T4780"/>
      <c r="U4780"/>
    </row>
    <row r="4781" spans="1:21" hidden="1">
      <c r="A4781" s="7" t="s">
        <v>8851</v>
      </c>
      <c r="B4781" s="7" t="s">
        <v>6668</v>
      </c>
      <c r="C4781" s="8" t="s">
        <v>5319</v>
      </c>
      <c r="D4781" t="s">
        <v>272</v>
      </c>
      <c r="E4781" t="s">
        <v>2183</v>
      </c>
      <c r="F4781" t="s">
        <v>75</v>
      </c>
      <c r="G4781" t="s">
        <v>2217</v>
      </c>
      <c r="H4781" s="9">
        <v>44733</v>
      </c>
      <c r="I4781" t="s">
        <v>2187</v>
      </c>
      <c r="J4781" t="s">
        <v>0</v>
      </c>
      <c r="K4781" s="9">
        <v>44792</v>
      </c>
      <c r="L4781" t="s">
        <v>29</v>
      </c>
      <c r="M4781"/>
      <c r="N4781" s="9">
        <v>44778</v>
      </c>
      <c r="O4781"/>
      <c r="P4781"/>
      <c r="Q4781" s="9">
        <v>44792</v>
      </c>
      <c r="R4781"/>
      <c r="S4781"/>
      <c r="T4781"/>
      <c r="U4781"/>
    </row>
    <row r="4782" spans="1:21" hidden="1">
      <c r="A4782" s="7" t="s">
        <v>8851</v>
      </c>
      <c r="B4782" s="7" t="s">
        <v>6668</v>
      </c>
      <c r="C4782" s="8" t="s">
        <v>5319</v>
      </c>
      <c r="D4782" t="s">
        <v>272</v>
      </c>
      <c r="E4782" t="s">
        <v>2183</v>
      </c>
      <c r="F4782" t="s">
        <v>75</v>
      </c>
      <c r="G4782" t="s">
        <v>2218</v>
      </c>
      <c r="H4782" s="9">
        <v>44733</v>
      </c>
      <c r="I4782" t="s">
        <v>2187</v>
      </c>
      <c r="J4782" t="s">
        <v>0</v>
      </c>
      <c r="K4782" s="9">
        <v>44792</v>
      </c>
      <c r="L4782" t="s">
        <v>29</v>
      </c>
      <c r="M4782"/>
      <c r="N4782" s="9">
        <v>44778</v>
      </c>
      <c r="O4782"/>
      <c r="P4782"/>
      <c r="Q4782" s="9">
        <v>44792</v>
      </c>
      <c r="R4782"/>
      <c r="S4782"/>
      <c r="T4782"/>
      <c r="U4782"/>
    </row>
    <row r="4783" spans="1:21" hidden="1">
      <c r="A4783" s="7" t="s">
        <v>8851</v>
      </c>
      <c r="B4783" s="7" t="s">
        <v>6668</v>
      </c>
      <c r="C4783" s="8" t="s">
        <v>5319</v>
      </c>
      <c r="D4783" t="s">
        <v>272</v>
      </c>
      <c r="E4783" t="s">
        <v>2183</v>
      </c>
      <c r="F4783" t="s">
        <v>75</v>
      </c>
      <c r="G4783" t="s">
        <v>2219</v>
      </c>
      <c r="H4783" s="9">
        <v>44733</v>
      </c>
      <c r="I4783" t="s">
        <v>2187</v>
      </c>
      <c r="J4783" t="s">
        <v>0</v>
      </c>
      <c r="K4783" s="9">
        <v>44792</v>
      </c>
      <c r="L4783" t="s">
        <v>29</v>
      </c>
      <c r="M4783"/>
      <c r="N4783" s="9">
        <v>44778</v>
      </c>
      <c r="O4783"/>
      <c r="P4783"/>
      <c r="Q4783" s="9">
        <v>44792</v>
      </c>
      <c r="R4783"/>
      <c r="S4783"/>
      <c r="T4783"/>
      <c r="U4783"/>
    </row>
    <row r="4784" spans="1:21" hidden="1">
      <c r="A4784" s="7" t="s">
        <v>8851</v>
      </c>
      <c r="B4784" s="7" t="s">
        <v>6668</v>
      </c>
      <c r="C4784" s="8" t="s">
        <v>5319</v>
      </c>
      <c r="D4784" t="s">
        <v>272</v>
      </c>
      <c r="E4784" t="s">
        <v>2183</v>
      </c>
      <c r="F4784" t="s">
        <v>75</v>
      </c>
      <c r="G4784" t="s">
        <v>2220</v>
      </c>
      <c r="H4784" s="9">
        <v>44733</v>
      </c>
      <c r="I4784" t="s">
        <v>2187</v>
      </c>
      <c r="J4784" t="s">
        <v>0</v>
      </c>
      <c r="K4784" s="9">
        <v>44792</v>
      </c>
      <c r="L4784" t="s">
        <v>29</v>
      </c>
      <c r="M4784"/>
      <c r="N4784" s="9">
        <v>44778</v>
      </c>
      <c r="O4784"/>
      <c r="P4784"/>
      <c r="Q4784" s="9">
        <v>44792</v>
      </c>
      <c r="R4784"/>
      <c r="S4784"/>
      <c r="T4784"/>
      <c r="U4784"/>
    </row>
    <row r="4785" spans="1:21" hidden="1">
      <c r="A4785" s="7" t="s">
        <v>8851</v>
      </c>
      <c r="B4785" s="7" t="s">
        <v>6668</v>
      </c>
      <c r="C4785" s="8" t="s">
        <v>5319</v>
      </c>
      <c r="D4785" t="s">
        <v>272</v>
      </c>
      <c r="E4785" t="s">
        <v>2183</v>
      </c>
      <c r="F4785" t="s">
        <v>75</v>
      </c>
      <c r="G4785" t="s">
        <v>2221</v>
      </c>
      <c r="H4785" s="9">
        <v>44733</v>
      </c>
      <c r="I4785" t="s">
        <v>2187</v>
      </c>
      <c r="J4785" t="s">
        <v>0</v>
      </c>
      <c r="K4785" s="9">
        <v>44792</v>
      </c>
      <c r="L4785" t="s">
        <v>29</v>
      </c>
      <c r="M4785"/>
      <c r="N4785" s="9">
        <v>44778</v>
      </c>
      <c r="O4785"/>
      <c r="P4785"/>
      <c r="Q4785" s="9">
        <v>44792</v>
      </c>
      <c r="R4785"/>
      <c r="S4785"/>
      <c r="T4785"/>
      <c r="U4785"/>
    </row>
    <row r="4786" spans="1:21" hidden="1">
      <c r="A4786" s="7" t="s">
        <v>8851</v>
      </c>
      <c r="B4786" s="7" t="s">
        <v>6668</v>
      </c>
      <c r="C4786" s="8" t="s">
        <v>5319</v>
      </c>
      <c r="D4786" t="s">
        <v>272</v>
      </c>
      <c r="E4786" t="s">
        <v>2183</v>
      </c>
      <c r="F4786" t="s">
        <v>75</v>
      </c>
      <c r="G4786" t="s">
        <v>2222</v>
      </c>
      <c r="H4786" s="9">
        <v>44733</v>
      </c>
      <c r="I4786" t="s">
        <v>2187</v>
      </c>
      <c r="J4786" t="s">
        <v>0</v>
      </c>
      <c r="K4786" s="9">
        <v>44792</v>
      </c>
      <c r="L4786" t="s">
        <v>29</v>
      </c>
      <c r="M4786"/>
      <c r="N4786" s="9">
        <v>44778</v>
      </c>
      <c r="O4786"/>
      <c r="P4786"/>
      <c r="Q4786" s="9">
        <v>44792</v>
      </c>
      <c r="R4786"/>
      <c r="S4786"/>
      <c r="T4786"/>
      <c r="U4786"/>
    </row>
    <row r="4787" spans="1:21" hidden="1">
      <c r="A4787" s="7" t="s">
        <v>8851</v>
      </c>
      <c r="B4787" s="7" t="s">
        <v>6668</v>
      </c>
      <c r="C4787" s="8" t="s">
        <v>5319</v>
      </c>
      <c r="D4787" t="s">
        <v>272</v>
      </c>
      <c r="E4787" t="s">
        <v>2183</v>
      </c>
      <c r="F4787" t="s">
        <v>75</v>
      </c>
      <c r="G4787" t="s">
        <v>2223</v>
      </c>
      <c r="H4787" s="9">
        <v>44733</v>
      </c>
      <c r="I4787" t="s">
        <v>2187</v>
      </c>
      <c r="J4787" t="s">
        <v>0</v>
      </c>
      <c r="K4787" s="9">
        <v>44792</v>
      </c>
      <c r="L4787" t="s">
        <v>29</v>
      </c>
      <c r="M4787"/>
      <c r="N4787" s="9">
        <v>44778</v>
      </c>
      <c r="O4787"/>
      <c r="P4787"/>
      <c r="Q4787" s="9">
        <v>44792</v>
      </c>
      <c r="R4787"/>
      <c r="S4787"/>
      <c r="T4787"/>
      <c r="U4787"/>
    </row>
    <row r="4788" spans="1:21" hidden="1">
      <c r="A4788" s="7" t="s">
        <v>8851</v>
      </c>
      <c r="B4788" s="7" t="s">
        <v>6668</v>
      </c>
      <c r="C4788" s="8" t="s">
        <v>5319</v>
      </c>
      <c r="D4788" t="s">
        <v>272</v>
      </c>
      <c r="E4788" t="s">
        <v>2183</v>
      </c>
      <c r="F4788" t="s">
        <v>75</v>
      </c>
      <c r="G4788" t="s">
        <v>2224</v>
      </c>
      <c r="H4788" s="9">
        <v>44733</v>
      </c>
      <c r="I4788" t="s">
        <v>2187</v>
      </c>
      <c r="J4788" t="s">
        <v>0</v>
      </c>
      <c r="K4788" s="9">
        <v>44792</v>
      </c>
      <c r="L4788" t="s">
        <v>29</v>
      </c>
      <c r="M4788"/>
      <c r="N4788" s="9">
        <v>44778</v>
      </c>
      <c r="O4788"/>
      <c r="P4788"/>
      <c r="Q4788" s="9">
        <v>44792</v>
      </c>
      <c r="R4788"/>
      <c r="S4788"/>
      <c r="T4788"/>
      <c r="U4788"/>
    </row>
    <row r="4789" spans="1:21" hidden="1">
      <c r="A4789" s="7" t="s">
        <v>8851</v>
      </c>
      <c r="B4789" s="7" t="s">
        <v>6668</v>
      </c>
      <c r="C4789" s="8" t="s">
        <v>5319</v>
      </c>
      <c r="D4789" t="s">
        <v>272</v>
      </c>
      <c r="E4789" t="s">
        <v>2183</v>
      </c>
      <c r="F4789" t="s">
        <v>75</v>
      </c>
      <c r="G4789" t="s">
        <v>2225</v>
      </c>
      <c r="H4789" s="9">
        <v>44733</v>
      </c>
      <c r="I4789" t="s">
        <v>2187</v>
      </c>
      <c r="J4789" t="s">
        <v>0</v>
      </c>
      <c r="K4789" s="9">
        <v>44792</v>
      </c>
      <c r="L4789" t="s">
        <v>29</v>
      </c>
      <c r="M4789"/>
      <c r="N4789" s="9">
        <v>44778</v>
      </c>
      <c r="O4789"/>
      <c r="P4789"/>
      <c r="Q4789" s="9">
        <v>44792</v>
      </c>
      <c r="R4789"/>
      <c r="S4789"/>
      <c r="T4789"/>
      <c r="U4789"/>
    </row>
    <row r="4790" spans="1:21" hidden="1">
      <c r="A4790" s="7" t="s">
        <v>8851</v>
      </c>
      <c r="B4790" s="7" t="s">
        <v>6668</v>
      </c>
      <c r="C4790" s="8" t="s">
        <v>5319</v>
      </c>
      <c r="D4790" t="s">
        <v>272</v>
      </c>
      <c r="E4790" t="s">
        <v>2183</v>
      </c>
      <c r="F4790" t="s">
        <v>75</v>
      </c>
      <c r="G4790" t="s">
        <v>2226</v>
      </c>
      <c r="H4790" s="9">
        <v>44733</v>
      </c>
      <c r="I4790" t="s">
        <v>2187</v>
      </c>
      <c r="J4790" t="s">
        <v>0</v>
      </c>
      <c r="K4790" s="9">
        <v>44792</v>
      </c>
      <c r="L4790" t="s">
        <v>29</v>
      </c>
      <c r="M4790"/>
      <c r="N4790" s="9">
        <v>44778</v>
      </c>
      <c r="O4790"/>
      <c r="P4790"/>
      <c r="Q4790" s="9">
        <v>44792</v>
      </c>
      <c r="R4790"/>
      <c r="S4790"/>
      <c r="T4790"/>
      <c r="U4790"/>
    </row>
    <row r="4791" spans="1:21" hidden="1">
      <c r="A4791" s="7" t="s">
        <v>8852</v>
      </c>
      <c r="B4791" s="7" t="s">
        <v>6692</v>
      </c>
      <c r="C4791" s="8" t="s">
        <v>5319</v>
      </c>
      <c r="D4791" t="s">
        <v>272</v>
      </c>
      <c r="E4791" t="s">
        <v>2227</v>
      </c>
      <c r="F4791" t="s">
        <v>26</v>
      </c>
      <c r="G4791" t="s">
        <v>2228</v>
      </c>
      <c r="H4791" s="9">
        <v>44733</v>
      </c>
      <c r="I4791" t="s">
        <v>408</v>
      </c>
      <c r="J4791" t="s">
        <v>2</v>
      </c>
      <c r="K4791" s="9">
        <v>44834</v>
      </c>
      <c r="L4791" t="s">
        <v>29</v>
      </c>
      <c r="M4791" t="s">
        <v>5331</v>
      </c>
      <c r="N4791" s="9">
        <v>44778</v>
      </c>
      <c r="O4791" s="9">
        <v>44834</v>
      </c>
      <c r="P4791"/>
      <c r="Q4791"/>
      <c r="R4791"/>
      <c r="S4791"/>
      <c r="T4791"/>
      <c r="U4791"/>
    </row>
    <row r="4792" spans="1:21" hidden="1">
      <c r="A4792" s="7" t="s">
        <v>8853</v>
      </c>
      <c r="B4792" s="7" t="s">
        <v>8359</v>
      </c>
      <c r="C4792" s="8" t="s">
        <v>5319</v>
      </c>
      <c r="D4792" t="s">
        <v>272</v>
      </c>
      <c r="E4792" t="s">
        <v>2229</v>
      </c>
      <c r="F4792" t="s">
        <v>117</v>
      </c>
      <c r="G4792" t="s">
        <v>2230</v>
      </c>
      <c r="H4792" s="9">
        <v>44735</v>
      </c>
      <c r="I4792" t="s">
        <v>2231</v>
      </c>
      <c r="J4792" t="s">
        <v>2</v>
      </c>
      <c r="K4792" s="9">
        <v>44834</v>
      </c>
      <c r="L4792" t="s">
        <v>29</v>
      </c>
      <c r="M4792" t="s">
        <v>5331</v>
      </c>
      <c r="N4792" s="9">
        <v>44778</v>
      </c>
      <c r="O4792" s="9">
        <v>44834</v>
      </c>
      <c r="P4792"/>
      <c r="Q4792"/>
      <c r="R4792"/>
      <c r="S4792"/>
      <c r="T4792"/>
      <c r="U4792"/>
    </row>
    <row r="4793" spans="1:21" hidden="1">
      <c r="A4793" s="7" t="s">
        <v>8853</v>
      </c>
      <c r="B4793" s="7" t="s">
        <v>8359</v>
      </c>
      <c r="C4793" s="8" t="s">
        <v>5319</v>
      </c>
      <c r="D4793" t="s">
        <v>272</v>
      </c>
      <c r="E4793" t="s">
        <v>2229</v>
      </c>
      <c r="F4793" t="s">
        <v>117</v>
      </c>
      <c r="G4793" t="s">
        <v>2232</v>
      </c>
      <c r="H4793" s="9">
        <v>44735</v>
      </c>
      <c r="I4793" t="s">
        <v>2231</v>
      </c>
      <c r="J4793" t="s">
        <v>2</v>
      </c>
      <c r="K4793" s="9">
        <v>44834</v>
      </c>
      <c r="L4793" t="s">
        <v>29</v>
      </c>
      <c r="M4793" t="s">
        <v>5331</v>
      </c>
      <c r="N4793" s="9">
        <v>44778</v>
      </c>
      <c r="O4793" s="9">
        <v>44834</v>
      </c>
      <c r="P4793"/>
      <c r="Q4793"/>
      <c r="R4793"/>
      <c r="S4793"/>
      <c r="T4793"/>
      <c r="U4793"/>
    </row>
    <row r="4794" spans="1:21" hidden="1">
      <c r="A4794" s="7" t="s">
        <v>8853</v>
      </c>
      <c r="B4794" s="7" t="s">
        <v>8359</v>
      </c>
      <c r="C4794" s="8" t="s">
        <v>5319</v>
      </c>
      <c r="D4794" t="s">
        <v>272</v>
      </c>
      <c r="E4794" t="s">
        <v>2229</v>
      </c>
      <c r="F4794" t="s">
        <v>117</v>
      </c>
      <c r="G4794" t="s">
        <v>2233</v>
      </c>
      <c r="H4794" s="9">
        <v>44735</v>
      </c>
      <c r="I4794" t="s">
        <v>2231</v>
      </c>
      <c r="J4794" t="s">
        <v>2</v>
      </c>
      <c r="K4794" s="9">
        <v>44834</v>
      </c>
      <c r="L4794" t="s">
        <v>29</v>
      </c>
      <c r="M4794" t="s">
        <v>5331</v>
      </c>
      <c r="N4794" s="9">
        <v>44778</v>
      </c>
      <c r="O4794" s="9">
        <v>44834</v>
      </c>
      <c r="P4794"/>
      <c r="Q4794"/>
      <c r="R4794"/>
      <c r="S4794"/>
      <c r="T4794"/>
      <c r="U4794"/>
    </row>
    <row r="4795" spans="1:21" hidden="1">
      <c r="A4795" s="7" t="s">
        <v>8766</v>
      </c>
      <c r="B4795" s="7" t="s">
        <v>6427</v>
      </c>
      <c r="C4795" s="8" t="s">
        <v>5319</v>
      </c>
      <c r="D4795" t="s">
        <v>272</v>
      </c>
      <c r="E4795" t="s">
        <v>737</v>
      </c>
      <c r="F4795" t="s">
        <v>738</v>
      </c>
      <c r="G4795" t="s">
        <v>742</v>
      </c>
      <c r="H4795" s="9">
        <v>44733</v>
      </c>
      <c r="I4795" t="s">
        <v>740</v>
      </c>
      <c r="J4795" t="s">
        <v>2</v>
      </c>
      <c r="K4795" s="9">
        <v>44834</v>
      </c>
      <c r="L4795" t="s">
        <v>29</v>
      </c>
      <c r="M4795" t="s">
        <v>5331</v>
      </c>
      <c r="N4795" s="9">
        <v>44778</v>
      </c>
      <c r="O4795" s="9">
        <v>44834</v>
      </c>
      <c r="P4795"/>
      <c r="Q4795"/>
      <c r="R4795"/>
      <c r="S4795"/>
      <c r="T4795"/>
      <c r="U4795"/>
    </row>
    <row r="4796" spans="1:21" hidden="1">
      <c r="A4796" s="7" t="s">
        <v>8766</v>
      </c>
      <c r="B4796" s="7" t="s">
        <v>6427</v>
      </c>
      <c r="C4796" s="8" t="s">
        <v>5319</v>
      </c>
      <c r="D4796" t="s">
        <v>272</v>
      </c>
      <c r="E4796" t="s">
        <v>737</v>
      </c>
      <c r="F4796" t="s">
        <v>738</v>
      </c>
      <c r="G4796" t="s">
        <v>743</v>
      </c>
      <c r="H4796" s="9">
        <v>44733</v>
      </c>
      <c r="I4796" t="s">
        <v>740</v>
      </c>
      <c r="J4796" t="s">
        <v>2</v>
      </c>
      <c r="K4796" s="9">
        <v>44834</v>
      </c>
      <c r="L4796" t="s">
        <v>29</v>
      </c>
      <c r="M4796" t="s">
        <v>5331</v>
      </c>
      <c r="N4796" s="9">
        <v>44778</v>
      </c>
      <c r="O4796" s="9">
        <v>44834</v>
      </c>
      <c r="P4796"/>
      <c r="Q4796"/>
      <c r="R4796"/>
      <c r="S4796"/>
      <c r="T4796"/>
      <c r="U4796"/>
    </row>
    <row r="4797" spans="1:21" hidden="1">
      <c r="A4797" s="7" t="s">
        <v>8766</v>
      </c>
      <c r="B4797" s="7" t="s">
        <v>6427</v>
      </c>
      <c r="C4797" s="8" t="s">
        <v>5319</v>
      </c>
      <c r="D4797" t="s">
        <v>272</v>
      </c>
      <c r="E4797" t="s">
        <v>737</v>
      </c>
      <c r="F4797" t="s">
        <v>738</v>
      </c>
      <c r="G4797" t="s">
        <v>744</v>
      </c>
      <c r="H4797" s="9">
        <v>44733</v>
      </c>
      <c r="I4797" t="s">
        <v>740</v>
      </c>
      <c r="J4797" t="s">
        <v>2</v>
      </c>
      <c r="K4797" s="9">
        <v>44834</v>
      </c>
      <c r="L4797" t="s">
        <v>29</v>
      </c>
      <c r="M4797" t="s">
        <v>5331</v>
      </c>
      <c r="N4797" s="9">
        <v>44778</v>
      </c>
      <c r="O4797" s="9">
        <v>44834</v>
      </c>
      <c r="P4797"/>
      <c r="Q4797"/>
      <c r="R4797"/>
      <c r="S4797"/>
      <c r="T4797"/>
      <c r="U4797"/>
    </row>
    <row r="4798" spans="1:21" hidden="1">
      <c r="A4798" s="7" t="s">
        <v>8766</v>
      </c>
      <c r="B4798" s="7" t="s">
        <v>6427</v>
      </c>
      <c r="C4798" s="8" t="s">
        <v>5319</v>
      </c>
      <c r="D4798" t="s">
        <v>272</v>
      </c>
      <c r="E4798" t="s">
        <v>737</v>
      </c>
      <c r="F4798" t="s">
        <v>738</v>
      </c>
      <c r="G4798" t="s">
        <v>745</v>
      </c>
      <c r="H4798" s="9">
        <v>44733</v>
      </c>
      <c r="I4798" t="s">
        <v>740</v>
      </c>
      <c r="J4798" t="s">
        <v>2</v>
      </c>
      <c r="K4798" s="9">
        <v>44834</v>
      </c>
      <c r="L4798" t="s">
        <v>29</v>
      </c>
      <c r="M4798" t="s">
        <v>5331</v>
      </c>
      <c r="N4798" s="9">
        <v>44778</v>
      </c>
      <c r="O4798" s="9">
        <v>44834</v>
      </c>
      <c r="P4798"/>
      <c r="Q4798"/>
      <c r="R4798"/>
      <c r="S4798"/>
      <c r="T4798"/>
      <c r="U4798"/>
    </row>
    <row r="4799" spans="1:21" hidden="1">
      <c r="A4799" s="7" t="s">
        <v>8847</v>
      </c>
      <c r="B4799" s="7" t="s">
        <v>8288</v>
      </c>
      <c r="C4799" s="8" t="s">
        <v>5319</v>
      </c>
      <c r="D4799" t="s">
        <v>272</v>
      </c>
      <c r="E4799" t="s">
        <v>2128</v>
      </c>
      <c r="F4799" t="s">
        <v>83</v>
      </c>
      <c r="G4799" t="s">
        <v>2234</v>
      </c>
      <c r="H4799" s="9">
        <v>44733</v>
      </c>
      <c r="I4799" t="s">
        <v>2130</v>
      </c>
      <c r="J4799" t="s">
        <v>2</v>
      </c>
      <c r="K4799" s="9">
        <v>44834</v>
      </c>
      <c r="L4799" t="s">
        <v>29</v>
      </c>
      <c r="M4799" t="s">
        <v>5331</v>
      </c>
      <c r="N4799" s="9">
        <v>44778</v>
      </c>
      <c r="O4799" s="9">
        <v>44834</v>
      </c>
      <c r="P4799"/>
      <c r="Q4799"/>
      <c r="R4799"/>
      <c r="S4799"/>
      <c r="T4799"/>
      <c r="U4799"/>
    </row>
    <row r="4800" spans="1:21" hidden="1">
      <c r="A4800" s="7" t="s">
        <v>8845</v>
      </c>
      <c r="B4800" s="7" t="s">
        <v>6307</v>
      </c>
      <c r="C4800" s="8" t="s">
        <v>5319</v>
      </c>
      <c r="D4800" t="s">
        <v>272</v>
      </c>
      <c r="E4800" t="s">
        <v>78</v>
      </c>
      <c r="F4800" t="s">
        <v>2123</v>
      </c>
      <c r="G4800" t="s">
        <v>2235</v>
      </c>
      <c r="H4800" s="9">
        <v>44733</v>
      </c>
      <c r="I4800" t="s">
        <v>81</v>
      </c>
      <c r="J4800" t="s">
        <v>2</v>
      </c>
      <c r="K4800" s="9">
        <v>44858</v>
      </c>
      <c r="L4800" t="s">
        <v>29</v>
      </c>
      <c r="M4800" t="s">
        <v>5329</v>
      </c>
      <c r="N4800" s="9">
        <v>44778</v>
      </c>
      <c r="O4800" s="9">
        <v>44834</v>
      </c>
      <c r="P4800"/>
      <c r="Q4800"/>
      <c r="R4800"/>
      <c r="S4800"/>
      <c r="T4800"/>
      <c r="U4800"/>
    </row>
    <row r="4801" spans="1:21" hidden="1">
      <c r="A4801" s="7" t="s">
        <v>8854</v>
      </c>
      <c r="B4801" s="7" t="s">
        <v>7501</v>
      </c>
      <c r="C4801" s="8" t="s">
        <v>5319</v>
      </c>
      <c r="D4801" t="s">
        <v>272</v>
      </c>
      <c r="E4801" t="s">
        <v>2236</v>
      </c>
      <c r="F4801" t="s">
        <v>83</v>
      </c>
      <c r="G4801" t="s">
        <v>2237</v>
      </c>
      <c r="H4801" s="9">
        <v>44733</v>
      </c>
      <c r="I4801" t="s">
        <v>77</v>
      </c>
      <c r="J4801" t="s">
        <v>2</v>
      </c>
      <c r="K4801" s="9">
        <v>44834</v>
      </c>
      <c r="L4801" t="s">
        <v>29</v>
      </c>
      <c r="M4801" t="s">
        <v>5331</v>
      </c>
      <c r="N4801" s="9">
        <v>44778</v>
      </c>
      <c r="O4801" s="9">
        <v>44834</v>
      </c>
      <c r="P4801"/>
      <c r="Q4801"/>
      <c r="R4801"/>
      <c r="S4801"/>
      <c r="T4801"/>
      <c r="U4801"/>
    </row>
    <row r="4802" spans="1:21" hidden="1">
      <c r="A4802" s="7" t="s">
        <v>8855</v>
      </c>
      <c r="B4802" s="7" t="s">
        <v>6839</v>
      </c>
      <c r="C4802" s="8" t="s">
        <v>5319</v>
      </c>
      <c r="D4802" t="s">
        <v>272</v>
      </c>
      <c r="E4802" t="s">
        <v>2238</v>
      </c>
      <c r="F4802" t="s">
        <v>26</v>
      </c>
      <c r="G4802" t="s">
        <v>2239</v>
      </c>
      <c r="H4802" s="9">
        <v>44733</v>
      </c>
      <c r="I4802" t="s">
        <v>77</v>
      </c>
      <c r="J4802" t="s">
        <v>2</v>
      </c>
      <c r="K4802" s="9">
        <v>44834</v>
      </c>
      <c r="L4802" t="s">
        <v>29</v>
      </c>
      <c r="M4802" t="s">
        <v>5331</v>
      </c>
      <c r="N4802" s="9">
        <v>44778</v>
      </c>
      <c r="O4802" s="9">
        <v>44834</v>
      </c>
      <c r="P4802"/>
      <c r="Q4802"/>
      <c r="R4802"/>
      <c r="S4802"/>
      <c r="T4802"/>
      <c r="U4802"/>
    </row>
    <row r="4803" spans="1:21" hidden="1">
      <c r="A4803" s="7" t="s">
        <v>8856</v>
      </c>
      <c r="B4803" s="7" t="s">
        <v>5699</v>
      </c>
      <c r="C4803" s="8" t="s">
        <v>5319</v>
      </c>
      <c r="D4803" t="s">
        <v>272</v>
      </c>
      <c r="E4803" t="s">
        <v>2240</v>
      </c>
      <c r="F4803" t="s">
        <v>493</v>
      </c>
      <c r="G4803" t="s">
        <v>2241</v>
      </c>
      <c r="H4803" s="9">
        <v>44733</v>
      </c>
      <c r="I4803" t="s">
        <v>2130</v>
      </c>
      <c r="J4803" t="s">
        <v>0</v>
      </c>
      <c r="K4803" s="9">
        <v>44862</v>
      </c>
      <c r="L4803" t="s">
        <v>29</v>
      </c>
      <c r="M4803"/>
      <c r="N4803" s="9">
        <v>44778</v>
      </c>
      <c r="O4803" s="9">
        <v>44834</v>
      </c>
      <c r="P4803"/>
      <c r="Q4803" s="9">
        <v>44862</v>
      </c>
      <c r="R4803"/>
      <c r="S4803"/>
      <c r="T4803"/>
      <c r="U4803"/>
    </row>
    <row r="4804" spans="1:21" hidden="1">
      <c r="A4804" s="7" t="s">
        <v>8846</v>
      </c>
      <c r="B4804" s="7" t="s">
        <v>6096</v>
      </c>
      <c r="C4804" s="8" t="s">
        <v>5319</v>
      </c>
      <c r="D4804" t="s">
        <v>272</v>
      </c>
      <c r="E4804" t="s">
        <v>2125</v>
      </c>
      <c r="F4804" t="s">
        <v>2126</v>
      </c>
      <c r="G4804" t="s">
        <v>2242</v>
      </c>
      <c r="H4804" s="9">
        <v>44733</v>
      </c>
      <c r="I4804" t="s">
        <v>77</v>
      </c>
      <c r="J4804" t="s">
        <v>0</v>
      </c>
      <c r="K4804" s="9">
        <v>44799</v>
      </c>
      <c r="L4804" t="s">
        <v>29</v>
      </c>
      <c r="M4804"/>
      <c r="N4804" s="9">
        <v>44778</v>
      </c>
      <c r="O4804"/>
      <c r="P4804"/>
      <c r="Q4804" s="9">
        <v>44799</v>
      </c>
      <c r="R4804"/>
      <c r="S4804"/>
      <c r="T4804"/>
      <c r="U4804"/>
    </row>
    <row r="4805" spans="1:21" hidden="1">
      <c r="A4805" s="7" t="s">
        <v>8855</v>
      </c>
      <c r="B4805" s="7" t="s">
        <v>6839</v>
      </c>
      <c r="C4805" s="8" t="s">
        <v>5319</v>
      </c>
      <c r="D4805" t="s">
        <v>272</v>
      </c>
      <c r="E4805" t="s">
        <v>2238</v>
      </c>
      <c r="F4805" t="s">
        <v>26</v>
      </c>
      <c r="G4805" t="s">
        <v>2243</v>
      </c>
      <c r="H4805" s="9">
        <v>44733</v>
      </c>
      <c r="I4805" t="s">
        <v>77</v>
      </c>
      <c r="J4805" t="s">
        <v>2</v>
      </c>
      <c r="K4805" s="9">
        <v>44834</v>
      </c>
      <c r="L4805" t="s">
        <v>29</v>
      </c>
      <c r="M4805" t="s">
        <v>5331</v>
      </c>
      <c r="N4805" s="9">
        <v>44778</v>
      </c>
      <c r="O4805" s="9">
        <v>44834</v>
      </c>
      <c r="P4805"/>
      <c r="Q4805"/>
      <c r="R4805"/>
      <c r="S4805"/>
      <c r="T4805"/>
      <c r="U4805"/>
    </row>
    <row r="4806" spans="1:21" hidden="1">
      <c r="A4806" s="7" t="s">
        <v>8855</v>
      </c>
      <c r="B4806" s="7" t="s">
        <v>6839</v>
      </c>
      <c r="C4806" s="8" t="s">
        <v>5319</v>
      </c>
      <c r="D4806" t="s">
        <v>272</v>
      </c>
      <c r="E4806" t="s">
        <v>2238</v>
      </c>
      <c r="F4806" t="s">
        <v>26</v>
      </c>
      <c r="G4806" t="s">
        <v>2244</v>
      </c>
      <c r="H4806" s="9">
        <v>44733</v>
      </c>
      <c r="I4806" t="s">
        <v>77</v>
      </c>
      <c r="J4806" t="s">
        <v>2</v>
      </c>
      <c r="K4806" s="9">
        <v>44834</v>
      </c>
      <c r="L4806" t="s">
        <v>29</v>
      </c>
      <c r="M4806" t="s">
        <v>5331</v>
      </c>
      <c r="N4806" s="9">
        <v>44778</v>
      </c>
      <c r="O4806" s="9">
        <v>44834</v>
      </c>
      <c r="P4806"/>
      <c r="Q4806"/>
      <c r="R4806"/>
      <c r="S4806"/>
      <c r="T4806"/>
      <c r="U4806"/>
    </row>
    <row r="4807" spans="1:21" hidden="1">
      <c r="A4807" s="7" t="s">
        <v>8857</v>
      </c>
      <c r="B4807" s="7" t="s">
        <v>5699</v>
      </c>
      <c r="C4807" s="8" t="s">
        <v>5319</v>
      </c>
      <c r="D4807" t="s">
        <v>272</v>
      </c>
      <c r="E4807" t="s">
        <v>2240</v>
      </c>
      <c r="F4807" t="s">
        <v>200</v>
      </c>
      <c r="G4807" t="s">
        <v>2245</v>
      </c>
      <c r="H4807" s="9">
        <v>44733</v>
      </c>
      <c r="I4807" t="s">
        <v>2130</v>
      </c>
      <c r="J4807" t="s">
        <v>0</v>
      </c>
      <c r="K4807" s="9">
        <v>44862</v>
      </c>
      <c r="L4807" t="s">
        <v>29</v>
      </c>
      <c r="M4807"/>
      <c r="N4807" s="9">
        <v>44778</v>
      </c>
      <c r="O4807" s="9">
        <v>44834</v>
      </c>
      <c r="P4807"/>
      <c r="Q4807" s="9">
        <v>44862</v>
      </c>
      <c r="R4807"/>
      <c r="S4807"/>
      <c r="T4807"/>
      <c r="U4807"/>
    </row>
    <row r="4808" spans="1:21" hidden="1">
      <c r="A4808" s="7" t="s">
        <v>8857</v>
      </c>
      <c r="B4808" s="7" t="s">
        <v>5699</v>
      </c>
      <c r="C4808" s="8" t="s">
        <v>5319</v>
      </c>
      <c r="D4808" t="s">
        <v>272</v>
      </c>
      <c r="E4808" t="s">
        <v>2240</v>
      </c>
      <c r="F4808" t="s">
        <v>200</v>
      </c>
      <c r="G4808" t="s">
        <v>2246</v>
      </c>
      <c r="H4808" s="9">
        <v>44733</v>
      </c>
      <c r="I4808" t="s">
        <v>2130</v>
      </c>
      <c r="J4808" t="s">
        <v>0</v>
      </c>
      <c r="K4808" s="9">
        <v>44862</v>
      </c>
      <c r="L4808" t="s">
        <v>29</v>
      </c>
      <c r="M4808"/>
      <c r="N4808" s="9">
        <v>44778</v>
      </c>
      <c r="O4808" s="9">
        <v>44834</v>
      </c>
      <c r="P4808"/>
      <c r="Q4808" s="9">
        <v>44862</v>
      </c>
      <c r="R4808"/>
      <c r="S4808"/>
      <c r="T4808"/>
      <c r="U4808"/>
    </row>
    <row r="4809" spans="1:21" hidden="1">
      <c r="A4809" s="7" t="s">
        <v>8857</v>
      </c>
      <c r="B4809" s="7" t="s">
        <v>5699</v>
      </c>
      <c r="C4809" s="8" t="s">
        <v>5319</v>
      </c>
      <c r="D4809" t="s">
        <v>272</v>
      </c>
      <c r="E4809" t="s">
        <v>2240</v>
      </c>
      <c r="F4809" t="s">
        <v>200</v>
      </c>
      <c r="G4809" t="s">
        <v>2247</v>
      </c>
      <c r="H4809" s="9">
        <v>44733</v>
      </c>
      <c r="I4809" t="s">
        <v>2130</v>
      </c>
      <c r="J4809" t="s">
        <v>0</v>
      </c>
      <c r="K4809" s="9">
        <v>44862</v>
      </c>
      <c r="L4809" t="s">
        <v>29</v>
      </c>
      <c r="M4809"/>
      <c r="N4809" s="9">
        <v>44778</v>
      </c>
      <c r="O4809" s="9">
        <v>44834</v>
      </c>
      <c r="P4809"/>
      <c r="Q4809" s="9">
        <v>44862</v>
      </c>
      <c r="R4809"/>
      <c r="S4809"/>
      <c r="T4809"/>
      <c r="U4809"/>
    </row>
    <row r="4810" spans="1:21" hidden="1">
      <c r="A4810" s="7" t="s">
        <v>8857</v>
      </c>
      <c r="B4810" s="7" t="s">
        <v>5699</v>
      </c>
      <c r="C4810" s="8" t="s">
        <v>5319</v>
      </c>
      <c r="D4810" t="s">
        <v>272</v>
      </c>
      <c r="E4810" t="s">
        <v>2240</v>
      </c>
      <c r="F4810" t="s">
        <v>200</v>
      </c>
      <c r="G4810" t="s">
        <v>2248</v>
      </c>
      <c r="H4810" s="9">
        <v>44733</v>
      </c>
      <c r="I4810" t="s">
        <v>2130</v>
      </c>
      <c r="J4810" t="s">
        <v>0</v>
      </c>
      <c r="K4810" s="9">
        <v>44862</v>
      </c>
      <c r="L4810" t="s">
        <v>29</v>
      </c>
      <c r="M4810"/>
      <c r="N4810" s="9">
        <v>44778</v>
      </c>
      <c r="O4810" s="9">
        <v>44834</v>
      </c>
      <c r="P4810"/>
      <c r="Q4810" s="9">
        <v>44862</v>
      </c>
      <c r="R4810"/>
      <c r="S4810"/>
      <c r="T4810"/>
      <c r="U4810"/>
    </row>
    <row r="4811" spans="1:21" hidden="1">
      <c r="A4811" s="7" t="s">
        <v>8857</v>
      </c>
      <c r="B4811" s="7" t="s">
        <v>5699</v>
      </c>
      <c r="C4811" s="8" t="s">
        <v>5319</v>
      </c>
      <c r="D4811" t="s">
        <v>272</v>
      </c>
      <c r="E4811" t="s">
        <v>2240</v>
      </c>
      <c r="F4811" t="s">
        <v>200</v>
      </c>
      <c r="G4811" t="s">
        <v>2249</v>
      </c>
      <c r="H4811" s="9">
        <v>44733</v>
      </c>
      <c r="I4811" t="s">
        <v>2130</v>
      </c>
      <c r="J4811" t="s">
        <v>0</v>
      </c>
      <c r="K4811" s="9">
        <v>44862</v>
      </c>
      <c r="L4811" t="s">
        <v>29</v>
      </c>
      <c r="M4811"/>
      <c r="N4811" s="9">
        <v>44778</v>
      </c>
      <c r="O4811" s="9">
        <v>44834</v>
      </c>
      <c r="P4811"/>
      <c r="Q4811" s="9">
        <v>44862</v>
      </c>
      <c r="R4811"/>
      <c r="S4811"/>
      <c r="T4811"/>
      <c r="U4811"/>
    </row>
    <row r="4812" spans="1:21" hidden="1">
      <c r="A4812" s="7" t="s">
        <v>8858</v>
      </c>
      <c r="B4812" s="7" t="s">
        <v>6096</v>
      </c>
      <c r="C4812" s="8" t="s">
        <v>5319</v>
      </c>
      <c r="D4812" t="s">
        <v>272</v>
      </c>
      <c r="E4812" t="s">
        <v>2125</v>
      </c>
      <c r="F4812" t="s">
        <v>2250</v>
      </c>
      <c r="G4812" t="s">
        <v>2251</v>
      </c>
      <c r="H4812" s="9">
        <v>44733</v>
      </c>
      <c r="I4812" t="s">
        <v>109</v>
      </c>
      <c r="J4812" t="s">
        <v>0</v>
      </c>
      <c r="K4812" s="9">
        <v>44841</v>
      </c>
      <c r="L4812" t="s">
        <v>29</v>
      </c>
      <c r="M4812"/>
      <c r="N4812" s="9">
        <v>44778</v>
      </c>
      <c r="O4812" s="9">
        <v>44834</v>
      </c>
      <c r="P4812"/>
      <c r="Q4812" s="9">
        <v>44841</v>
      </c>
      <c r="R4812"/>
      <c r="S4812"/>
      <c r="T4812"/>
      <c r="U4812"/>
    </row>
    <row r="4813" spans="1:21" hidden="1">
      <c r="A4813" s="7" t="s">
        <v>8859</v>
      </c>
      <c r="B4813" s="7" t="s">
        <v>5978</v>
      </c>
      <c r="C4813" s="8" t="s">
        <v>5319</v>
      </c>
      <c r="D4813" t="s">
        <v>272</v>
      </c>
      <c r="E4813" t="s">
        <v>2252</v>
      </c>
      <c r="F4813" t="s">
        <v>2253</v>
      </c>
      <c r="G4813" t="s">
        <v>2254</v>
      </c>
      <c r="H4813" s="9">
        <v>44733</v>
      </c>
      <c r="I4813" t="s">
        <v>81</v>
      </c>
      <c r="J4813" t="s">
        <v>0</v>
      </c>
      <c r="K4813" s="9">
        <v>44813</v>
      </c>
      <c r="L4813" t="s">
        <v>29</v>
      </c>
      <c r="M4813"/>
      <c r="N4813" s="9">
        <v>44778</v>
      </c>
      <c r="O4813"/>
      <c r="P4813"/>
      <c r="Q4813" s="9">
        <v>44813</v>
      </c>
      <c r="R4813" s="9">
        <v>44804.499270833301</v>
      </c>
      <c r="S4813"/>
      <c r="T4813"/>
      <c r="U4813"/>
    </row>
    <row r="4814" spans="1:21" hidden="1">
      <c r="A4814" s="7" t="s">
        <v>8859</v>
      </c>
      <c r="B4814" s="7" t="s">
        <v>5978</v>
      </c>
      <c r="C4814" s="8" t="s">
        <v>5319</v>
      </c>
      <c r="D4814" t="s">
        <v>272</v>
      </c>
      <c r="E4814" t="s">
        <v>2252</v>
      </c>
      <c r="F4814" t="s">
        <v>2253</v>
      </c>
      <c r="G4814" t="s">
        <v>2255</v>
      </c>
      <c r="H4814" s="9">
        <v>44733</v>
      </c>
      <c r="I4814" t="s">
        <v>81</v>
      </c>
      <c r="J4814" t="s">
        <v>0</v>
      </c>
      <c r="K4814" s="9">
        <v>44813</v>
      </c>
      <c r="L4814" t="s">
        <v>29</v>
      </c>
      <c r="M4814"/>
      <c r="N4814" s="9">
        <v>44778</v>
      </c>
      <c r="O4814"/>
      <c r="P4814"/>
      <c r="Q4814" s="9">
        <v>44813</v>
      </c>
      <c r="R4814" s="9">
        <v>44804.499270833301</v>
      </c>
      <c r="S4814"/>
      <c r="T4814"/>
      <c r="U4814"/>
    </row>
    <row r="4815" spans="1:21" hidden="1">
      <c r="A4815" s="7" t="s">
        <v>8860</v>
      </c>
      <c r="B4815" s="7" t="s">
        <v>5687</v>
      </c>
      <c r="C4815" s="8" t="s">
        <v>5319</v>
      </c>
      <c r="D4815" t="s">
        <v>272</v>
      </c>
      <c r="E4815" t="s">
        <v>2256</v>
      </c>
      <c r="F4815" t="s">
        <v>2184</v>
      </c>
      <c r="G4815" t="s">
        <v>2257</v>
      </c>
      <c r="H4815" s="9">
        <v>44733</v>
      </c>
      <c r="I4815" t="s">
        <v>81</v>
      </c>
      <c r="J4815" t="s">
        <v>276</v>
      </c>
      <c r="K4815" s="9">
        <v>44879.706388888902</v>
      </c>
      <c r="L4815" t="s">
        <v>29</v>
      </c>
      <c r="M4815" t="s">
        <v>5331</v>
      </c>
      <c r="N4815" s="9">
        <v>44778</v>
      </c>
      <c r="O4815" s="9">
        <v>44834</v>
      </c>
      <c r="P4815"/>
      <c r="Q4815"/>
      <c r="R4815" s="9">
        <v>44879.702546296299</v>
      </c>
      <c r="S4815"/>
      <c r="T4815"/>
      <c r="U4815"/>
    </row>
    <row r="4816" spans="1:21" hidden="1">
      <c r="A4816" s="7" t="s">
        <v>8856</v>
      </c>
      <c r="B4816" s="7" t="s">
        <v>5699</v>
      </c>
      <c r="C4816" s="8" t="s">
        <v>5319</v>
      </c>
      <c r="D4816" t="s">
        <v>272</v>
      </c>
      <c r="E4816" t="s">
        <v>2240</v>
      </c>
      <c r="F4816" t="s">
        <v>493</v>
      </c>
      <c r="G4816" t="s">
        <v>2258</v>
      </c>
      <c r="H4816" s="9">
        <v>44733</v>
      </c>
      <c r="I4816" t="s">
        <v>2130</v>
      </c>
      <c r="J4816" t="s">
        <v>0</v>
      </c>
      <c r="K4816" s="9">
        <v>44862</v>
      </c>
      <c r="L4816" t="s">
        <v>29</v>
      </c>
      <c r="M4816"/>
      <c r="N4816" s="9">
        <v>44778</v>
      </c>
      <c r="O4816" s="9">
        <v>44834</v>
      </c>
      <c r="P4816"/>
      <c r="Q4816" s="9">
        <v>44862</v>
      </c>
      <c r="R4816"/>
      <c r="S4816"/>
      <c r="T4816"/>
      <c r="U4816"/>
    </row>
    <row r="4817" spans="1:21" hidden="1">
      <c r="A4817" s="7" t="s">
        <v>8856</v>
      </c>
      <c r="B4817" s="7" t="s">
        <v>5699</v>
      </c>
      <c r="C4817" s="8" t="s">
        <v>5319</v>
      </c>
      <c r="D4817" t="s">
        <v>272</v>
      </c>
      <c r="E4817" t="s">
        <v>2240</v>
      </c>
      <c r="F4817" t="s">
        <v>493</v>
      </c>
      <c r="G4817" t="s">
        <v>2259</v>
      </c>
      <c r="H4817" s="9">
        <v>44733</v>
      </c>
      <c r="I4817" t="s">
        <v>2130</v>
      </c>
      <c r="J4817" t="s">
        <v>0</v>
      </c>
      <c r="K4817" s="9">
        <v>44862</v>
      </c>
      <c r="L4817" t="s">
        <v>29</v>
      </c>
      <c r="M4817"/>
      <c r="N4817" s="9">
        <v>44778</v>
      </c>
      <c r="O4817" s="9">
        <v>44834</v>
      </c>
      <c r="P4817"/>
      <c r="Q4817" s="9">
        <v>44862</v>
      </c>
      <c r="R4817"/>
      <c r="S4817"/>
      <c r="T4817"/>
      <c r="U4817"/>
    </row>
    <row r="4818" spans="1:21" hidden="1">
      <c r="A4818" s="7" t="s">
        <v>8861</v>
      </c>
      <c r="B4818" s="7" t="s">
        <v>8218</v>
      </c>
      <c r="C4818" s="8" t="s">
        <v>5319</v>
      </c>
      <c r="D4818" t="s">
        <v>272</v>
      </c>
      <c r="E4818" t="s">
        <v>2260</v>
      </c>
      <c r="F4818" t="s">
        <v>117</v>
      </c>
      <c r="G4818" t="s">
        <v>2261</v>
      </c>
      <c r="H4818" s="9">
        <v>44733</v>
      </c>
      <c r="I4818" t="s">
        <v>2262</v>
      </c>
      <c r="J4818" t="s">
        <v>276</v>
      </c>
      <c r="K4818" s="9">
        <v>44879.706469907404</v>
      </c>
      <c r="L4818" t="s">
        <v>29</v>
      </c>
      <c r="M4818" t="s">
        <v>5331</v>
      </c>
      <c r="N4818" s="9">
        <v>44778</v>
      </c>
      <c r="O4818" s="9">
        <v>44834</v>
      </c>
      <c r="P4818"/>
      <c r="Q4818" s="9">
        <v>44882</v>
      </c>
      <c r="R4818" s="9">
        <v>44879.703275462998</v>
      </c>
      <c r="S4818"/>
      <c r="T4818"/>
      <c r="U4818"/>
    </row>
    <row r="4819" spans="1:21" hidden="1">
      <c r="A4819" s="7" t="s">
        <v>8862</v>
      </c>
      <c r="B4819" s="7" t="s">
        <v>6668</v>
      </c>
      <c r="C4819" s="8" t="s">
        <v>5319</v>
      </c>
      <c r="D4819" t="s">
        <v>272</v>
      </c>
      <c r="E4819" t="s">
        <v>2183</v>
      </c>
      <c r="F4819" t="s">
        <v>493</v>
      </c>
      <c r="G4819" t="s">
        <v>2263</v>
      </c>
      <c r="H4819" s="9">
        <v>44733</v>
      </c>
      <c r="I4819" t="s">
        <v>81</v>
      </c>
      <c r="J4819" t="s">
        <v>0</v>
      </c>
      <c r="K4819" s="9">
        <v>44792</v>
      </c>
      <c r="L4819" t="s">
        <v>29</v>
      </c>
      <c r="M4819"/>
      <c r="N4819" s="9">
        <v>44778</v>
      </c>
      <c r="O4819"/>
      <c r="P4819"/>
      <c r="Q4819" s="9">
        <v>44792</v>
      </c>
      <c r="R4819"/>
      <c r="S4819"/>
      <c r="T4819"/>
      <c r="U4819"/>
    </row>
    <row r="4820" spans="1:21" hidden="1">
      <c r="A4820" s="7" t="s">
        <v>8862</v>
      </c>
      <c r="B4820" s="7" t="s">
        <v>6668</v>
      </c>
      <c r="C4820" s="8" t="s">
        <v>5319</v>
      </c>
      <c r="D4820" t="s">
        <v>272</v>
      </c>
      <c r="E4820" t="s">
        <v>2183</v>
      </c>
      <c r="F4820" t="s">
        <v>493</v>
      </c>
      <c r="G4820" t="s">
        <v>2264</v>
      </c>
      <c r="H4820" s="9">
        <v>44733</v>
      </c>
      <c r="I4820" t="s">
        <v>81</v>
      </c>
      <c r="J4820" t="s">
        <v>0</v>
      </c>
      <c r="K4820" s="9">
        <v>44792</v>
      </c>
      <c r="L4820" t="s">
        <v>29</v>
      </c>
      <c r="M4820"/>
      <c r="N4820" s="9">
        <v>44778</v>
      </c>
      <c r="O4820"/>
      <c r="P4820"/>
      <c r="Q4820" s="9">
        <v>44792</v>
      </c>
      <c r="R4820"/>
      <c r="S4820"/>
      <c r="T4820"/>
      <c r="U4820"/>
    </row>
    <row r="4821" spans="1:21" hidden="1">
      <c r="A4821" s="7" t="s">
        <v>8862</v>
      </c>
      <c r="B4821" s="7" t="s">
        <v>6668</v>
      </c>
      <c r="C4821" s="8" t="s">
        <v>5319</v>
      </c>
      <c r="D4821" t="s">
        <v>272</v>
      </c>
      <c r="E4821" t="s">
        <v>2183</v>
      </c>
      <c r="F4821" t="s">
        <v>493</v>
      </c>
      <c r="G4821" t="s">
        <v>2265</v>
      </c>
      <c r="H4821" s="9">
        <v>44733</v>
      </c>
      <c r="I4821" t="s">
        <v>81</v>
      </c>
      <c r="J4821" t="s">
        <v>0</v>
      </c>
      <c r="K4821" s="9">
        <v>44792</v>
      </c>
      <c r="L4821" t="s">
        <v>29</v>
      </c>
      <c r="M4821"/>
      <c r="N4821" s="9">
        <v>44778</v>
      </c>
      <c r="O4821"/>
      <c r="P4821"/>
      <c r="Q4821" s="9">
        <v>44792</v>
      </c>
      <c r="R4821"/>
      <c r="S4821"/>
      <c r="T4821"/>
      <c r="U4821"/>
    </row>
    <row r="4822" spans="1:21" hidden="1">
      <c r="A4822" s="7" t="s">
        <v>8862</v>
      </c>
      <c r="B4822" s="7" t="s">
        <v>6668</v>
      </c>
      <c r="C4822" s="8" t="s">
        <v>5319</v>
      </c>
      <c r="D4822" t="s">
        <v>272</v>
      </c>
      <c r="E4822" t="s">
        <v>2183</v>
      </c>
      <c r="F4822" t="s">
        <v>493</v>
      </c>
      <c r="G4822" t="s">
        <v>2266</v>
      </c>
      <c r="H4822" s="9">
        <v>44733</v>
      </c>
      <c r="I4822" t="s">
        <v>81</v>
      </c>
      <c r="J4822" t="s">
        <v>0</v>
      </c>
      <c r="K4822" s="9">
        <v>44792</v>
      </c>
      <c r="L4822" t="s">
        <v>29</v>
      </c>
      <c r="M4822"/>
      <c r="N4822" s="9">
        <v>44778</v>
      </c>
      <c r="O4822"/>
      <c r="P4822"/>
      <c r="Q4822" s="9">
        <v>44792</v>
      </c>
      <c r="R4822"/>
      <c r="S4822"/>
      <c r="T4822"/>
      <c r="U4822"/>
    </row>
    <row r="4823" spans="1:21" hidden="1">
      <c r="A4823" s="7" t="s">
        <v>8857</v>
      </c>
      <c r="B4823" s="7" t="s">
        <v>5699</v>
      </c>
      <c r="C4823" s="8" t="s">
        <v>5319</v>
      </c>
      <c r="D4823" t="s">
        <v>272</v>
      </c>
      <c r="E4823" t="s">
        <v>2240</v>
      </c>
      <c r="F4823" t="s">
        <v>200</v>
      </c>
      <c r="G4823" t="s">
        <v>2267</v>
      </c>
      <c r="H4823" s="9">
        <v>44733</v>
      </c>
      <c r="I4823" t="s">
        <v>2130</v>
      </c>
      <c r="J4823" t="s">
        <v>0</v>
      </c>
      <c r="K4823" s="9">
        <v>44862</v>
      </c>
      <c r="L4823" t="s">
        <v>29</v>
      </c>
      <c r="M4823"/>
      <c r="N4823" s="9">
        <v>44778</v>
      </c>
      <c r="O4823" s="9">
        <v>44834</v>
      </c>
      <c r="P4823"/>
      <c r="Q4823" s="9">
        <v>44862</v>
      </c>
      <c r="R4823"/>
      <c r="S4823"/>
      <c r="T4823"/>
      <c r="U4823"/>
    </row>
    <row r="4824" spans="1:21" hidden="1">
      <c r="A4824" s="7" t="s">
        <v>8857</v>
      </c>
      <c r="B4824" s="7" t="s">
        <v>5699</v>
      </c>
      <c r="C4824" s="8" t="s">
        <v>5319</v>
      </c>
      <c r="D4824" t="s">
        <v>272</v>
      </c>
      <c r="E4824" t="s">
        <v>2240</v>
      </c>
      <c r="F4824" t="s">
        <v>200</v>
      </c>
      <c r="G4824" t="s">
        <v>2268</v>
      </c>
      <c r="H4824" s="9">
        <v>44733</v>
      </c>
      <c r="I4824" t="s">
        <v>2130</v>
      </c>
      <c r="J4824" t="s">
        <v>0</v>
      </c>
      <c r="K4824" s="9">
        <v>44862</v>
      </c>
      <c r="L4824" t="s">
        <v>29</v>
      </c>
      <c r="M4824"/>
      <c r="N4824" s="9">
        <v>44778</v>
      </c>
      <c r="O4824" s="9">
        <v>44834</v>
      </c>
      <c r="P4824"/>
      <c r="Q4824" s="9">
        <v>44862</v>
      </c>
      <c r="R4824"/>
      <c r="S4824"/>
      <c r="T4824"/>
      <c r="U4824"/>
    </row>
    <row r="4825" spans="1:21" hidden="1">
      <c r="A4825" s="7" t="s">
        <v>8857</v>
      </c>
      <c r="B4825" s="7" t="s">
        <v>5699</v>
      </c>
      <c r="C4825" s="8" t="s">
        <v>5319</v>
      </c>
      <c r="D4825" t="s">
        <v>272</v>
      </c>
      <c r="E4825" t="s">
        <v>2240</v>
      </c>
      <c r="F4825" t="s">
        <v>200</v>
      </c>
      <c r="G4825" t="s">
        <v>2269</v>
      </c>
      <c r="H4825" s="9">
        <v>44733</v>
      </c>
      <c r="I4825" t="s">
        <v>2130</v>
      </c>
      <c r="J4825" t="s">
        <v>0</v>
      </c>
      <c r="K4825" s="9">
        <v>44862</v>
      </c>
      <c r="L4825" t="s">
        <v>29</v>
      </c>
      <c r="M4825"/>
      <c r="N4825" s="9">
        <v>44778</v>
      </c>
      <c r="O4825" s="9">
        <v>44834</v>
      </c>
      <c r="P4825"/>
      <c r="Q4825" s="9">
        <v>44862</v>
      </c>
      <c r="R4825"/>
      <c r="S4825"/>
      <c r="T4825"/>
      <c r="U4825"/>
    </row>
    <row r="4826" spans="1:21" hidden="1">
      <c r="A4826" s="7" t="s">
        <v>8857</v>
      </c>
      <c r="B4826" s="7" t="s">
        <v>5699</v>
      </c>
      <c r="C4826" s="8" t="s">
        <v>5319</v>
      </c>
      <c r="D4826" t="s">
        <v>272</v>
      </c>
      <c r="E4826" t="s">
        <v>2240</v>
      </c>
      <c r="F4826" t="s">
        <v>200</v>
      </c>
      <c r="G4826" t="s">
        <v>2270</v>
      </c>
      <c r="H4826" s="9">
        <v>44733</v>
      </c>
      <c r="I4826" t="s">
        <v>2130</v>
      </c>
      <c r="J4826" t="s">
        <v>0</v>
      </c>
      <c r="K4826" s="9">
        <v>44862</v>
      </c>
      <c r="L4826" t="s">
        <v>29</v>
      </c>
      <c r="M4826"/>
      <c r="N4826" s="9">
        <v>44778</v>
      </c>
      <c r="O4826" s="9">
        <v>44834</v>
      </c>
      <c r="P4826"/>
      <c r="Q4826" s="9">
        <v>44862</v>
      </c>
      <c r="R4826"/>
      <c r="S4826"/>
      <c r="T4826"/>
      <c r="U4826"/>
    </row>
    <row r="4827" spans="1:21" hidden="1">
      <c r="A4827" s="7" t="s">
        <v>8857</v>
      </c>
      <c r="B4827" s="7" t="s">
        <v>5699</v>
      </c>
      <c r="C4827" s="8" t="s">
        <v>5319</v>
      </c>
      <c r="D4827" t="s">
        <v>272</v>
      </c>
      <c r="E4827" t="s">
        <v>2240</v>
      </c>
      <c r="F4827" t="s">
        <v>200</v>
      </c>
      <c r="G4827" t="s">
        <v>2271</v>
      </c>
      <c r="H4827" s="9">
        <v>44733</v>
      </c>
      <c r="I4827" t="s">
        <v>2130</v>
      </c>
      <c r="J4827" t="s">
        <v>0</v>
      </c>
      <c r="K4827" s="9">
        <v>44862</v>
      </c>
      <c r="L4827" t="s">
        <v>29</v>
      </c>
      <c r="M4827"/>
      <c r="N4827" s="9">
        <v>44778</v>
      </c>
      <c r="O4827" s="9">
        <v>44834</v>
      </c>
      <c r="P4827"/>
      <c r="Q4827" s="9">
        <v>44862</v>
      </c>
      <c r="R4827"/>
      <c r="S4827"/>
      <c r="T4827"/>
      <c r="U4827"/>
    </row>
    <row r="4828" spans="1:21" hidden="1">
      <c r="A4828" s="7" t="s">
        <v>8856</v>
      </c>
      <c r="B4828" s="7" t="s">
        <v>5699</v>
      </c>
      <c r="C4828" s="8" t="s">
        <v>5319</v>
      </c>
      <c r="D4828" t="s">
        <v>272</v>
      </c>
      <c r="E4828" t="s">
        <v>2240</v>
      </c>
      <c r="F4828" t="s">
        <v>493</v>
      </c>
      <c r="G4828" t="s">
        <v>2272</v>
      </c>
      <c r="H4828" s="9">
        <v>44733</v>
      </c>
      <c r="I4828" t="s">
        <v>2130</v>
      </c>
      <c r="J4828" t="s">
        <v>0</v>
      </c>
      <c r="K4828" s="9">
        <v>44862</v>
      </c>
      <c r="L4828" t="s">
        <v>29</v>
      </c>
      <c r="M4828"/>
      <c r="N4828" s="9">
        <v>44778</v>
      </c>
      <c r="O4828" s="9">
        <v>44834</v>
      </c>
      <c r="P4828"/>
      <c r="Q4828" s="9">
        <v>44862</v>
      </c>
      <c r="R4828"/>
      <c r="S4828"/>
      <c r="T4828"/>
      <c r="U4828"/>
    </row>
    <row r="4829" spans="1:21" hidden="1">
      <c r="A4829" s="7" t="s">
        <v>8856</v>
      </c>
      <c r="B4829" s="7" t="s">
        <v>5699</v>
      </c>
      <c r="C4829" s="8" t="s">
        <v>5319</v>
      </c>
      <c r="D4829" t="s">
        <v>272</v>
      </c>
      <c r="E4829" t="s">
        <v>2240</v>
      </c>
      <c r="F4829" t="s">
        <v>493</v>
      </c>
      <c r="G4829" t="s">
        <v>2273</v>
      </c>
      <c r="H4829" s="9">
        <v>44733</v>
      </c>
      <c r="I4829" t="s">
        <v>2130</v>
      </c>
      <c r="J4829" t="s">
        <v>0</v>
      </c>
      <c r="K4829" s="9">
        <v>44862</v>
      </c>
      <c r="L4829" t="s">
        <v>29</v>
      </c>
      <c r="M4829"/>
      <c r="N4829" s="9">
        <v>44778</v>
      </c>
      <c r="O4829" s="9">
        <v>44834</v>
      </c>
      <c r="P4829"/>
      <c r="Q4829" s="9">
        <v>44862</v>
      </c>
      <c r="R4829"/>
      <c r="S4829"/>
      <c r="T4829"/>
      <c r="U4829"/>
    </row>
    <row r="4830" spans="1:21" hidden="1">
      <c r="A4830" s="7" t="s">
        <v>8856</v>
      </c>
      <c r="B4830" s="7" t="s">
        <v>5699</v>
      </c>
      <c r="C4830" s="8" t="s">
        <v>5319</v>
      </c>
      <c r="D4830" t="s">
        <v>272</v>
      </c>
      <c r="E4830" t="s">
        <v>2240</v>
      </c>
      <c r="F4830" t="s">
        <v>493</v>
      </c>
      <c r="G4830" t="s">
        <v>2274</v>
      </c>
      <c r="H4830" s="9">
        <v>44733</v>
      </c>
      <c r="I4830" t="s">
        <v>2130</v>
      </c>
      <c r="J4830" t="s">
        <v>0</v>
      </c>
      <c r="K4830" s="9">
        <v>44862</v>
      </c>
      <c r="L4830" t="s">
        <v>29</v>
      </c>
      <c r="M4830"/>
      <c r="N4830" s="9">
        <v>44778</v>
      </c>
      <c r="O4830" s="9">
        <v>44834</v>
      </c>
      <c r="P4830"/>
      <c r="Q4830" s="9">
        <v>44862</v>
      </c>
      <c r="R4830"/>
      <c r="S4830"/>
      <c r="T4830"/>
      <c r="U4830"/>
    </row>
    <row r="4831" spans="1:21" hidden="1">
      <c r="A4831" s="7" t="s">
        <v>8856</v>
      </c>
      <c r="B4831" s="7" t="s">
        <v>5699</v>
      </c>
      <c r="C4831" s="8" t="s">
        <v>5319</v>
      </c>
      <c r="D4831" t="s">
        <v>272</v>
      </c>
      <c r="E4831" t="s">
        <v>2240</v>
      </c>
      <c r="F4831" t="s">
        <v>493</v>
      </c>
      <c r="G4831" t="s">
        <v>2275</v>
      </c>
      <c r="H4831" s="9">
        <v>44733</v>
      </c>
      <c r="I4831" t="s">
        <v>2130</v>
      </c>
      <c r="J4831" t="s">
        <v>0</v>
      </c>
      <c r="K4831" s="9">
        <v>44862</v>
      </c>
      <c r="L4831" t="s">
        <v>29</v>
      </c>
      <c r="M4831"/>
      <c r="N4831" s="9">
        <v>44778</v>
      </c>
      <c r="O4831" s="9">
        <v>44834</v>
      </c>
      <c r="P4831"/>
      <c r="Q4831" s="9">
        <v>44862</v>
      </c>
      <c r="R4831"/>
      <c r="S4831"/>
      <c r="T4831"/>
      <c r="U4831"/>
    </row>
    <row r="4832" spans="1:21" hidden="1">
      <c r="A4832" s="7" t="s">
        <v>8863</v>
      </c>
      <c r="B4832" s="7" t="s">
        <v>5870</v>
      </c>
      <c r="C4832" s="8" t="s">
        <v>5319</v>
      </c>
      <c r="D4832" t="s">
        <v>272</v>
      </c>
      <c r="E4832" t="s">
        <v>2276</v>
      </c>
      <c r="F4832" t="s">
        <v>117</v>
      </c>
      <c r="G4832" t="s">
        <v>2277</v>
      </c>
      <c r="H4832" s="9">
        <v>44733</v>
      </c>
      <c r="I4832" t="s">
        <v>2130</v>
      </c>
      <c r="J4832" t="s">
        <v>2</v>
      </c>
      <c r="K4832" s="9">
        <v>44834</v>
      </c>
      <c r="L4832" t="s">
        <v>29</v>
      </c>
      <c r="M4832" t="s">
        <v>5331</v>
      </c>
      <c r="N4832" s="9">
        <v>44778</v>
      </c>
      <c r="O4832" s="9">
        <v>44834</v>
      </c>
      <c r="P4832"/>
      <c r="Q4832"/>
      <c r="R4832"/>
      <c r="S4832"/>
      <c r="T4832"/>
      <c r="U4832"/>
    </row>
    <row r="4833" spans="1:21" hidden="1">
      <c r="A4833" s="7" t="s">
        <v>8856</v>
      </c>
      <c r="B4833" s="7" t="s">
        <v>5699</v>
      </c>
      <c r="C4833" s="8" t="s">
        <v>5319</v>
      </c>
      <c r="D4833" t="s">
        <v>272</v>
      </c>
      <c r="E4833" t="s">
        <v>2240</v>
      </c>
      <c r="F4833" t="s">
        <v>493</v>
      </c>
      <c r="G4833" t="s">
        <v>2278</v>
      </c>
      <c r="H4833" s="9">
        <v>44733</v>
      </c>
      <c r="I4833" t="s">
        <v>2130</v>
      </c>
      <c r="J4833" t="s">
        <v>0</v>
      </c>
      <c r="K4833" s="9">
        <v>44862</v>
      </c>
      <c r="L4833" t="s">
        <v>29</v>
      </c>
      <c r="M4833"/>
      <c r="N4833" s="9">
        <v>44778</v>
      </c>
      <c r="O4833" s="9">
        <v>44834</v>
      </c>
      <c r="P4833"/>
      <c r="Q4833" s="9">
        <v>44862</v>
      </c>
      <c r="R4833"/>
      <c r="S4833"/>
      <c r="T4833"/>
      <c r="U4833"/>
    </row>
    <row r="4834" spans="1:21" hidden="1">
      <c r="A4834" s="7" t="s">
        <v>8860</v>
      </c>
      <c r="B4834" s="7" t="s">
        <v>5687</v>
      </c>
      <c r="C4834" s="8" t="s">
        <v>5319</v>
      </c>
      <c r="D4834" t="s">
        <v>272</v>
      </c>
      <c r="E4834" t="s">
        <v>2256</v>
      </c>
      <c r="F4834" t="s">
        <v>2184</v>
      </c>
      <c r="G4834" t="s">
        <v>2279</v>
      </c>
      <c r="H4834" s="9">
        <v>44733</v>
      </c>
      <c r="I4834" t="s">
        <v>81</v>
      </c>
      <c r="J4834" t="s">
        <v>276</v>
      </c>
      <c r="K4834" s="9">
        <v>44879.706388888902</v>
      </c>
      <c r="L4834" t="s">
        <v>29</v>
      </c>
      <c r="M4834" t="s">
        <v>5331</v>
      </c>
      <c r="N4834" s="9">
        <v>44778</v>
      </c>
      <c r="O4834" s="9">
        <v>44834</v>
      </c>
      <c r="P4834"/>
      <c r="Q4834"/>
      <c r="R4834" s="9">
        <v>44879.702546296299</v>
      </c>
      <c r="S4834"/>
      <c r="T4834"/>
      <c r="U4834"/>
    </row>
    <row r="4835" spans="1:21" hidden="1">
      <c r="A4835" s="7" t="s">
        <v>8857</v>
      </c>
      <c r="B4835" s="7" t="s">
        <v>5699</v>
      </c>
      <c r="C4835" s="8" t="s">
        <v>5319</v>
      </c>
      <c r="D4835" t="s">
        <v>272</v>
      </c>
      <c r="E4835" t="s">
        <v>2240</v>
      </c>
      <c r="F4835" t="s">
        <v>200</v>
      </c>
      <c r="G4835" t="s">
        <v>2280</v>
      </c>
      <c r="H4835" s="9">
        <v>44733</v>
      </c>
      <c r="I4835" t="s">
        <v>2130</v>
      </c>
      <c r="J4835" t="s">
        <v>0</v>
      </c>
      <c r="K4835" s="9">
        <v>44862</v>
      </c>
      <c r="L4835" t="s">
        <v>29</v>
      </c>
      <c r="M4835"/>
      <c r="N4835" s="9">
        <v>44778</v>
      </c>
      <c r="O4835" s="9">
        <v>44834</v>
      </c>
      <c r="P4835"/>
      <c r="Q4835" s="9">
        <v>44862</v>
      </c>
      <c r="R4835"/>
      <c r="S4835"/>
      <c r="T4835"/>
      <c r="U4835"/>
    </row>
    <row r="4836" spans="1:21" hidden="1">
      <c r="A4836" s="7" t="s">
        <v>8857</v>
      </c>
      <c r="B4836" s="7" t="s">
        <v>5699</v>
      </c>
      <c r="C4836" s="8" t="s">
        <v>5319</v>
      </c>
      <c r="D4836" t="s">
        <v>272</v>
      </c>
      <c r="E4836" t="s">
        <v>2240</v>
      </c>
      <c r="F4836" t="s">
        <v>200</v>
      </c>
      <c r="G4836" t="s">
        <v>2281</v>
      </c>
      <c r="H4836" s="9">
        <v>44733</v>
      </c>
      <c r="I4836" t="s">
        <v>2130</v>
      </c>
      <c r="J4836" t="s">
        <v>0</v>
      </c>
      <c r="K4836" s="9">
        <v>44862</v>
      </c>
      <c r="L4836" t="s">
        <v>29</v>
      </c>
      <c r="M4836"/>
      <c r="N4836" s="9">
        <v>44778</v>
      </c>
      <c r="O4836" s="9">
        <v>44834</v>
      </c>
      <c r="P4836"/>
      <c r="Q4836" s="9">
        <v>44862</v>
      </c>
      <c r="R4836"/>
      <c r="S4836"/>
      <c r="T4836"/>
      <c r="U4836"/>
    </row>
    <row r="4837" spans="1:21" hidden="1">
      <c r="A4837" s="7" t="s">
        <v>8845</v>
      </c>
      <c r="B4837" s="7" t="s">
        <v>6307</v>
      </c>
      <c r="C4837" s="8" t="s">
        <v>5319</v>
      </c>
      <c r="D4837" t="s">
        <v>272</v>
      </c>
      <c r="E4837" t="s">
        <v>78</v>
      </c>
      <c r="F4837" t="s">
        <v>2123</v>
      </c>
      <c r="G4837" t="s">
        <v>2282</v>
      </c>
      <c r="H4837" s="9">
        <v>44733</v>
      </c>
      <c r="I4837" t="s">
        <v>81</v>
      </c>
      <c r="J4837" t="s">
        <v>2</v>
      </c>
      <c r="K4837" s="9">
        <v>44858</v>
      </c>
      <c r="L4837" t="s">
        <v>29</v>
      </c>
      <c r="M4837" t="s">
        <v>5329</v>
      </c>
      <c r="N4837" s="9">
        <v>44778</v>
      </c>
      <c r="O4837" s="9">
        <v>44834</v>
      </c>
      <c r="P4837"/>
      <c r="Q4837"/>
      <c r="R4837"/>
      <c r="S4837"/>
      <c r="T4837"/>
      <c r="U4837"/>
    </row>
    <row r="4838" spans="1:21" hidden="1">
      <c r="A4838" s="7" t="s">
        <v>8845</v>
      </c>
      <c r="B4838" s="7" t="s">
        <v>6307</v>
      </c>
      <c r="C4838" s="8" t="s">
        <v>5319</v>
      </c>
      <c r="D4838" t="s">
        <v>272</v>
      </c>
      <c r="E4838" t="s">
        <v>78</v>
      </c>
      <c r="F4838" t="s">
        <v>2123</v>
      </c>
      <c r="G4838" t="s">
        <v>2283</v>
      </c>
      <c r="H4838" s="9">
        <v>44733</v>
      </c>
      <c r="I4838" t="s">
        <v>81</v>
      </c>
      <c r="J4838" t="s">
        <v>2</v>
      </c>
      <c r="K4838" s="9">
        <v>44858</v>
      </c>
      <c r="L4838" t="s">
        <v>29</v>
      </c>
      <c r="M4838" t="s">
        <v>5329</v>
      </c>
      <c r="N4838" s="9">
        <v>44778</v>
      </c>
      <c r="O4838" s="9">
        <v>44834</v>
      </c>
      <c r="P4838"/>
      <c r="Q4838"/>
      <c r="R4838"/>
      <c r="S4838"/>
      <c r="T4838"/>
      <c r="U4838"/>
    </row>
    <row r="4839" spans="1:21" hidden="1">
      <c r="A4839" s="7" t="s">
        <v>8845</v>
      </c>
      <c r="B4839" s="7" t="s">
        <v>6307</v>
      </c>
      <c r="C4839" s="8" t="s">
        <v>5319</v>
      </c>
      <c r="D4839" t="s">
        <v>272</v>
      </c>
      <c r="E4839" t="s">
        <v>78</v>
      </c>
      <c r="F4839" t="s">
        <v>2123</v>
      </c>
      <c r="G4839" t="s">
        <v>2284</v>
      </c>
      <c r="H4839" s="9">
        <v>44733</v>
      </c>
      <c r="I4839" t="s">
        <v>81</v>
      </c>
      <c r="J4839" t="s">
        <v>2</v>
      </c>
      <c r="K4839" s="9">
        <v>44858</v>
      </c>
      <c r="L4839" t="s">
        <v>29</v>
      </c>
      <c r="M4839" t="s">
        <v>5329</v>
      </c>
      <c r="N4839" s="9">
        <v>44778</v>
      </c>
      <c r="O4839" s="9">
        <v>44834</v>
      </c>
      <c r="P4839"/>
      <c r="Q4839"/>
      <c r="R4839"/>
      <c r="S4839"/>
      <c r="T4839"/>
      <c r="U4839"/>
    </row>
    <row r="4840" spans="1:21" hidden="1">
      <c r="A4840" s="7" t="s">
        <v>8845</v>
      </c>
      <c r="B4840" s="7" t="s">
        <v>6307</v>
      </c>
      <c r="C4840" s="8" t="s">
        <v>5319</v>
      </c>
      <c r="D4840" t="s">
        <v>272</v>
      </c>
      <c r="E4840" t="s">
        <v>78</v>
      </c>
      <c r="F4840" t="s">
        <v>2123</v>
      </c>
      <c r="G4840" t="s">
        <v>2285</v>
      </c>
      <c r="H4840" s="9">
        <v>44733</v>
      </c>
      <c r="I4840" t="s">
        <v>81</v>
      </c>
      <c r="J4840" t="s">
        <v>2</v>
      </c>
      <c r="K4840" s="9">
        <v>44858</v>
      </c>
      <c r="L4840" t="s">
        <v>29</v>
      </c>
      <c r="M4840" t="s">
        <v>5329</v>
      </c>
      <c r="N4840" s="9">
        <v>44778</v>
      </c>
      <c r="O4840" s="9">
        <v>44834</v>
      </c>
      <c r="P4840"/>
      <c r="Q4840"/>
      <c r="R4840"/>
      <c r="S4840"/>
      <c r="T4840"/>
      <c r="U4840"/>
    </row>
    <row r="4841" spans="1:21" hidden="1">
      <c r="A4841" s="7" t="s">
        <v>8845</v>
      </c>
      <c r="B4841" s="7" t="s">
        <v>6307</v>
      </c>
      <c r="C4841" s="8" t="s">
        <v>5319</v>
      </c>
      <c r="D4841" t="s">
        <v>272</v>
      </c>
      <c r="E4841" t="s">
        <v>78</v>
      </c>
      <c r="F4841" t="s">
        <v>2123</v>
      </c>
      <c r="G4841" t="s">
        <v>2286</v>
      </c>
      <c r="H4841" s="9">
        <v>44733</v>
      </c>
      <c r="I4841" t="s">
        <v>81</v>
      </c>
      <c r="J4841" t="s">
        <v>2</v>
      </c>
      <c r="K4841" s="9">
        <v>44858</v>
      </c>
      <c r="L4841" t="s">
        <v>29</v>
      </c>
      <c r="M4841" t="s">
        <v>5329</v>
      </c>
      <c r="N4841" s="9">
        <v>44778</v>
      </c>
      <c r="O4841" s="9">
        <v>44834</v>
      </c>
      <c r="P4841"/>
      <c r="Q4841"/>
      <c r="R4841"/>
      <c r="S4841"/>
      <c r="T4841"/>
      <c r="U4841"/>
    </row>
    <row r="4842" spans="1:21" hidden="1">
      <c r="A4842" s="7" t="s">
        <v>8845</v>
      </c>
      <c r="B4842" s="7" t="s">
        <v>6307</v>
      </c>
      <c r="C4842" s="8" t="s">
        <v>5319</v>
      </c>
      <c r="D4842" t="s">
        <v>272</v>
      </c>
      <c r="E4842" t="s">
        <v>78</v>
      </c>
      <c r="F4842" t="s">
        <v>2123</v>
      </c>
      <c r="G4842" t="s">
        <v>2287</v>
      </c>
      <c r="H4842" s="9">
        <v>44733</v>
      </c>
      <c r="I4842" t="s">
        <v>81</v>
      </c>
      <c r="J4842" t="s">
        <v>2</v>
      </c>
      <c r="K4842" s="9">
        <v>44858</v>
      </c>
      <c r="L4842" t="s">
        <v>29</v>
      </c>
      <c r="M4842" t="s">
        <v>5329</v>
      </c>
      <c r="N4842" s="9">
        <v>44778</v>
      </c>
      <c r="O4842" s="9">
        <v>44834</v>
      </c>
      <c r="P4842"/>
      <c r="Q4842"/>
      <c r="R4842"/>
      <c r="S4842"/>
      <c r="T4842"/>
      <c r="U4842"/>
    </row>
    <row r="4843" spans="1:21" hidden="1">
      <c r="A4843" s="7" t="s">
        <v>8862</v>
      </c>
      <c r="B4843" s="7" t="s">
        <v>6668</v>
      </c>
      <c r="C4843" s="8" t="s">
        <v>5319</v>
      </c>
      <c r="D4843" t="s">
        <v>272</v>
      </c>
      <c r="E4843" t="s">
        <v>2183</v>
      </c>
      <c r="F4843" t="s">
        <v>493</v>
      </c>
      <c r="G4843" t="s">
        <v>2288</v>
      </c>
      <c r="H4843" s="9">
        <v>44733</v>
      </c>
      <c r="I4843" t="s">
        <v>81</v>
      </c>
      <c r="J4843" t="s">
        <v>0</v>
      </c>
      <c r="K4843" s="9">
        <v>44792</v>
      </c>
      <c r="L4843" t="s">
        <v>29</v>
      </c>
      <c r="M4843"/>
      <c r="N4843" s="9">
        <v>44778</v>
      </c>
      <c r="O4843"/>
      <c r="P4843"/>
      <c r="Q4843" s="9">
        <v>44792</v>
      </c>
      <c r="R4843"/>
      <c r="S4843"/>
      <c r="T4843"/>
      <c r="U4843"/>
    </row>
    <row r="4844" spans="1:21" hidden="1">
      <c r="A4844" s="7" t="s">
        <v>8862</v>
      </c>
      <c r="B4844" s="7" t="s">
        <v>6668</v>
      </c>
      <c r="C4844" s="8" t="s">
        <v>5319</v>
      </c>
      <c r="D4844" t="s">
        <v>272</v>
      </c>
      <c r="E4844" t="s">
        <v>2183</v>
      </c>
      <c r="F4844" t="s">
        <v>493</v>
      </c>
      <c r="G4844" t="s">
        <v>2289</v>
      </c>
      <c r="H4844" s="9">
        <v>44733</v>
      </c>
      <c r="I4844" t="s">
        <v>81</v>
      </c>
      <c r="J4844" t="s">
        <v>0</v>
      </c>
      <c r="K4844" s="9">
        <v>44792</v>
      </c>
      <c r="L4844" t="s">
        <v>29</v>
      </c>
      <c r="M4844"/>
      <c r="N4844" s="9">
        <v>44778</v>
      </c>
      <c r="O4844"/>
      <c r="P4844"/>
      <c r="Q4844" s="9">
        <v>44792</v>
      </c>
      <c r="R4844"/>
      <c r="S4844"/>
      <c r="T4844"/>
      <c r="U4844"/>
    </row>
    <row r="4845" spans="1:21" hidden="1">
      <c r="A4845" s="7" t="s">
        <v>8862</v>
      </c>
      <c r="B4845" s="7" t="s">
        <v>6668</v>
      </c>
      <c r="C4845" s="8" t="s">
        <v>5319</v>
      </c>
      <c r="D4845" t="s">
        <v>272</v>
      </c>
      <c r="E4845" t="s">
        <v>2183</v>
      </c>
      <c r="F4845" t="s">
        <v>493</v>
      </c>
      <c r="G4845" t="s">
        <v>2290</v>
      </c>
      <c r="H4845" s="9">
        <v>44733</v>
      </c>
      <c r="I4845" t="s">
        <v>81</v>
      </c>
      <c r="J4845" t="s">
        <v>0</v>
      </c>
      <c r="K4845" s="9">
        <v>44792</v>
      </c>
      <c r="L4845" t="s">
        <v>29</v>
      </c>
      <c r="M4845"/>
      <c r="N4845" s="9">
        <v>44778</v>
      </c>
      <c r="O4845"/>
      <c r="P4845"/>
      <c r="Q4845" s="9">
        <v>44792</v>
      </c>
      <c r="R4845"/>
      <c r="S4845"/>
      <c r="T4845"/>
      <c r="U4845"/>
    </row>
    <row r="4846" spans="1:21" hidden="1">
      <c r="A4846" s="7" t="s">
        <v>8845</v>
      </c>
      <c r="B4846" s="7" t="s">
        <v>6307</v>
      </c>
      <c r="C4846" s="8" t="s">
        <v>5319</v>
      </c>
      <c r="D4846" t="s">
        <v>272</v>
      </c>
      <c r="E4846" t="s">
        <v>78</v>
      </c>
      <c r="F4846" t="s">
        <v>2123</v>
      </c>
      <c r="G4846" t="s">
        <v>2291</v>
      </c>
      <c r="H4846" s="9">
        <v>44733</v>
      </c>
      <c r="I4846" t="s">
        <v>81</v>
      </c>
      <c r="J4846" t="s">
        <v>2</v>
      </c>
      <c r="K4846" s="9">
        <v>44858</v>
      </c>
      <c r="L4846" t="s">
        <v>29</v>
      </c>
      <c r="M4846" t="s">
        <v>5329</v>
      </c>
      <c r="N4846" s="9">
        <v>44778</v>
      </c>
      <c r="O4846" s="9">
        <v>44834</v>
      </c>
      <c r="P4846"/>
      <c r="Q4846"/>
      <c r="R4846"/>
      <c r="S4846"/>
      <c r="T4846"/>
      <c r="U4846"/>
    </row>
    <row r="4847" spans="1:21" hidden="1">
      <c r="A4847" s="7" t="s">
        <v>8845</v>
      </c>
      <c r="B4847" s="7" t="s">
        <v>6307</v>
      </c>
      <c r="C4847" s="8" t="s">
        <v>5319</v>
      </c>
      <c r="D4847" t="s">
        <v>272</v>
      </c>
      <c r="E4847" t="s">
        <v>78</v>
      </c>
      <c r="F4847" t="s">
        <v>2123</v>
      </c>
      <c r="G4847" t="s">
        <v>2292</v>
      </c>
      <c r="H4847" s="9">
        <v>44733</v>
      </c>
      <c r="I4847" t="s">
        <v>81</v>
      </c>
      <c r="J4847" t="s">
        <v>2</v>
      </c>
      <c r="K4847" s="9">
        <v>44858</v>
      </c>
      <c r="L4847" t="s">
        <v>29</v>
      </c>
      <c r="M4847" t="s">
        <v>5329</v>
      </c>
      <c r="N4847" s="9">
        <v>44778</v>
      </c>
      <c r="O4847" s="9">
        <v>44834</v>
      </c>
      <c r="P4847"/>
      <c r="Q4847"/>
      <c r="R4847"/>
      <c r="S4847"/>
      <c r="T4847"/>
      <c r="U4847"/>
    </row>
    <row r="4848" spans="1:21" hidden="1">
      <c r="A4848" s="7" t="s">
        <v>8845</v>
      </c>
      <c r="B4848" s="7" t="s">
        <v>6307</v>
      </c>
      <c r="C4848" s="8" t="s">
        <v>5319</v>
      </c>
      <c r="D4848" t="s">
        <v>272</v>
      </c>
      <c r="E4848" t="s">
        <v>78</v>
      </c>
      <c r="F4848" t="s">
        <v>2123</v>
      </c>
      <c r="G4848" t="s">
        <v>2293</v>
      </c>
      <c r="H4848" s="9">
        <v>44733</v>
      </c>
      <c r="I4848" t="s">
        <v>81</v>
      </c>
      <c r="J4848" t="s">
        <v>2</v>
      </c>
      <c r="K4848" s="9">
        <v>44858</v>
      </c>
      <c r="L4848" t="s">
        <v>29</v>
      </c>
      <c r="M4848" t="s">
        <v>5329</v>
      </c>
      <c r="N4848" s="9">
        <v>44778</v>
      </c>
      <c r="O4848" s="9">
        <v>44834</v>
      </c>
      <c r="P4848"/>
      <c r="Q4848"/>
      <c r="R4848"/>
      <c r="S4848"/>
      <c r="T4848"/>
      <c r="U4848"/>
    </row>
    <row r="4849" spans="1:21" hidden="1">
      <c r="A4849" s="7" t="s">
        <v>8845</v>
      </c>
      <c r="B4849" s="7" t="s">
        <v>6307</v>
      </c>
      <c r="C4849" s="8" t="s">
        <v>5319</v>
      </c>
      <c r="D4849" t="s">
        <v>272</v>
      </c>
      <c r="E4849" t="s">
        <v>78</v>
      </c>
      <c r="F4849" t="s">
        <v>2123</v>
      </c>
      <c r="G4849" t="s">
        <v>2294</v>
      </c>
      <c r="H4849" s="9">
        <v>44733</v>
      </c>
      <c r="I4849" t="s">
        <v>81</v>
      </c>
      <c r="J4849" t="s">
        <v>2</v>
      </c>
      <c r="K4849" s="9">
        <v>44858</v>
      </c>
      <c r="L4849" t="s">
        <v>29</v>
      </c>
      <c r="M4849" t="s">
        <v>5329</v>
      </c>
      <c r="N4849" s="9">
        <v>44778</v>
      </c>
      <c r="O4849" s="9">
        <v>44834</v>
      </c>
      <c r="P4849"/>
      <c r="Q4849"/>
      <c r="R4849"/>
      <c r="S4849"/>
      <c r="T4849"/>
      <c r="U4849"/>
    </row>
    <row r="4850" spans="1:21" hidden="1">
      <c r="A4850" s="7" t="s">
        <v>8845</v>
      </c>
      <c r="B4850" s="7" t="s">
        <v>6307</v>
      </c>
      <c r="C4850" s="8" t="s">
        <v>5319</v>
      </c>
      <c r="D4850" t="s">
        <v>272</v>
      </c>
      <c r="E4850" t="s">
        <v>78</v>
      </c>
      <c r="F4850" t="s">
        <v>2123</v>
      </c>
      <c r="G4850" t="s">
        <v>2295</v>
      </c>
      <c r="H4850" s="9">
        <v>44733</v>
      </c>
      <c r="I4850" t="s">
        <v>81</v>
      </c>
      <c r="J4850" t="s">
        <v>2</v>
      </c>
      <c r="K4850" s="9">
        <v>44858</v>
      </c>
      <c r="L4850" t="s">
        <v>29</v>
      </c>
      <c r="M4850" t="s">
        <v>5329</v>
      </c>
      <c r="N4850" s="9">
        <v>44778</v>
      </c>
      <c r="O4850" s="9">
        <v>44834</v>
      </c>
      <c r="P4850"/>
      <c r="Q4850"/>
      <c r="R4850"/>
      <c r="S4850"/>
      <c r="T4850"/>
      <c r="U4850"/>
    </row>
    <row r="4851" spans="1:21" hidden="1">
      <c r="A4851" s="7" t="s">
        <v>8845</v>
      </c>
      <c r="B4851" s="7" t="s">
        <v>6307</v>
      </c>
      <c r="C4851" s="8" t="s">
        <v>5319</v>
      </c>
      <c r="D4851" t="s">
        <v>272</v>
      </c>
      <c r="E4851" t="s">
        <v>78</v>
      </c>
      <c r="F4851" t="s">
        <v>2123</v>
      </c>
      <c r="G4851" t="s">
        <v>2296</v>
      </c>
      <c r="H4851" s="9">
        <v>44733</v>
      </c>
      <c r="I4851" t="s">
        <v>81</v>
      </c>
      <c r="J4851" t="s">
        <v>2</v>
      </c>
      <c r="K4851" s="9">
        <v>44858</v>
      </c>
      <c r="L4851" t="s">
        <v>29</v>
      </c>
      <c r="M4851" t="s">
        <v>5329</v>
      </c>
      <c r="N4851" s="9">
        <v>44778</v>
      </c>
      <c r="O4851" s="9">
        <v>44834</v>
      </c>
      <c r="P4851"/>
      <c r="Q4851"/>
      <c r="R4851"/>
      <c r="S4851"/>
      <c r="T4851"/>
      <c r="U4851"/>
    </row>
    <row r="4852" spans="1:21" hidden="1">
      <c r="A4852" s="7" t="s">
        <v>8845</v>
      </c>
      <c r="B4852" s="7" t="s">
        <v>6307</v>
      </c>
      <c r="C4852" s="8" t="s">
        <v>5319</v>
      </c>
      <c r="D4852" t="s">
        <v>272</v>
      </c>
      <c r="E4852" t="s">
        <v>78</v>
      </c>
      <c r="F4852" t="s">
        <v>2123</v>
      </c>
      <c r="G4852" t="s">
        <v>2297</v>
      </c>
      <c r="H4852" s="9">
        <v>44733</v>
      </c>
      <c r="I4852" t="s">
        <v>81</v>
      </c>
      <c r="J4852" t="s">
        <v>2</v>
      </c>
      <c r="K4852" s="9">
        <v>44858</v>
      </c>
      <c r="L4852" t="s">
        <v>29</v>
      </c>
      <c r="M4852" t="s">
        <v>5329</v>
      </c>
      <c r="N4852" s="9">
        <v>44778</v>
      </c>
      <c r="O4852" s="9">
        <v>44834</v>
      </c>
      <c r="P4852"/>
      <c r="Q4852"/>
      <c r="R4852"/>
      <c r="S4852"/>
      <c r="T4852"/>
      <c r="U4852"/>
    </row>
    <row r="4853" spans="1:21" hidden="1">
      <c r="A4853" s="7" t="s">
        <v>8845</v>
      </c>
      <c r="B4853" s="7" t="s">
        <v>6307</v>
      </c>
      <c r="C4853" s="8" t="s">
        <v>5319</v>
      </c>
      <c r="D4853" t="s">
        <v>272</v>
      </c>
      <c r="E4853" t="s">
        <v>78</v>
      </c>
      <c r="F4853" t="s">
        <v>2123</v>
      </c>
      <c r="G4853" t="s">
        <v>2298</v>
      </c>
      <c r="H4853" s="9">
        <v>44733</v>
      </c>
      <c r="I4853" t="s">
        <v>81</v>
      </c>
      <c r="J4853" t="s">
        <v>2</v>
      </c>
      <c r="K4853" s="9">
        <v>44858</v>
      </c>
      <c r="L4853" t="s">
        <v>29</v>
      </c>
      <c r="M4853" t="s">
        <v>5329</v>
      </c>
      <c r="N4853" s="9">
        <v>44778</v>
      </c>
      <c r="O4853" s="9">
        <v>44834</v>
      </c>
      <c r="P4853"/>
      <c r="Q4853"/>
      <c r="R4853"/>
      <c r="S4853"/>
      <c r="T4853"/>
      <c r="U4853"/>
    </row>
    <row r="4854" spans="1:21" hidden="1">
      <c r="A4854" s="7" t="s">
        <v>8845</v>
      </c>
      <c r="B4854" s="7" t="s">
        <v>6307</v>
      </c>
      <c r="C4854" s="8" t="s">
        <v>5319</v>
      </c>
      <c r="D4854" t="s">
        <v>272</v>
      </c>
      <c r="E4854" t="s">
        <v>78</v>
      </c>
      <c r="F4854" t="s">
        <v>2123</v>
      </c>
      <c r="G4854" t="s">
        <v>2299</v>
      </c>
      <c r="H4854" s="9">
        <v>44733</v>
      </c>
      <c r="I4854" t="s">
        <v>81</v>
      </c>
      <c r="J4854" t="s">
        <v>2</v>
      </c>
      <c r="K4854" s="9">
        <v>44858</v>
      </c>
      <c r="L4854" t="s">
        <v>29</v>
      </c>
      <c r="M4854" t="s">
        <v>5329</v>
      </c>
      <c r="N4854" s="9">
        <v>44778</v>
      </c>
      <c r="O4854" s="9">
        <v>44834</v>
      </c>
      <c r="P4854"/>
      <c r="Q4854"/>
      <c r="R4854"/>
      <c r="S4854"/>
      <c r="T4854"/>
      <c r="U4854"/>
    </row>
    <row r="4855" spans="1:21" hidden="1">
      <c r="A4855" s="7" t="s">
        <v>8845</v>
      </c>
      <c r="B4855" s="7" t="s">
        <v>6307</v>
      </c>
      <c r="C4855" s="8" t="s">
        <v>5319</v>
      </c>
      <c r="D4855" t="s">
        <v>272</v>
      </c>
      <c r="E4855" t="s">
        <v>78</v>
      </c>
      <c r="F4855" t="s">
        <v>2123</v>
      </c>
      <c r="G4855" t="s">
        <v>2300</v>
      </c>
      <c r="H4855" s="9">
        <v>44733</v>
      </c>
      <c r="I4855" t="s">
        <v>81</v>
      </c>
      <c r="J4855" t="s">
        <v>2</v>
      </c>
      <c r="K4855" s="9">
        <v>44858</v>
      </c>
      <c r="L4855" t="s">
        <v>29</v>
      </c>
      <c r="M4855" t="s">
        <v>5329</v>
      </c>
      <c r="N4855" s="9">
        <v>44778</v>
      </c>
      <c r="O4855" s="9">
        <v>44834</v>
      </c>
      <c r="P4855"/>
      <c r="Q4855"/>
      <c r="R4855"/>
      <c r="S4855"/>
      <c r="T4855"/>
      <c r="U4855"/>
    </row>
    <row r="4856" spans="1:21" hidden="1">
      <c r="A4856" s="7" t="s">
        <v>8845</v>
      </c>
      <c r="B4856" s="7" t="s">
        <v>6307</v>
      </c>
      <c r="C4856" s="8" t="s">
        <v>5319</v>
      </c>
      <c r="D4856" t="s">
        <v>272</v>
      </c>
      <c r="E4856" t="s">
        <v>78</v>
      </c>
      <c r="F4856" t="s">
        <v>2123</v>
      </c>
      <c r="G4856" t="s">
        <v>2301</v>
      </c>
      <c r="H4856" s="9">
        <v>44733</v>
      </c>
      <c r="I4856" t="s">
        <v>81</v>
      </c>
      <c r="J4856" t="s">
        <v>2</v>
      </c>
      <c r="K4856" s="9">
        <v>44858</v>
      </c>
      <c r="L4856" t="s">
        <v>29</v>
      </c>
      <c r="M4856" t="s">
        <v>5329</v>
      </c>
      <c r="N4856" s="9">
        <v>44778</v>
      </c>
      <c r="O4856" s="9">
        <v>44834</v>
      </c>
      <c r="P4856"/>
      <c r="Q4856"/>
      <c r="R4856"/>
      <c r="S4856"/>
      <c r="T4856"/>
      <c r="U4856"/>
    </row>
    <row r="4857" spans="1:21" hidden="1">
      <c r="A4857" s="7" t="s">
        <v>8845</v>
      </c>
      <c r="B4857" s="7" t="s">
        <v>6307</v>
      </c>
      <c r="C4857" s="8" t="s">
        <v>5319</v>
      </c>
      <c r="D4857" t="s">
        <v>272</v>
      </c>
      <c r="E4857" t="s">
        <v>78</v>
      </c>
      <c r="F4857" t="s">
        <v>2123</v>
      </c>
      <c r="G4857" t="s">
        <v>2302</v>
      </c>
      <c r="H4857" s="9">
        <v>44733</v>
      </c>
      <c r="I4857" t="s">
        <v>81</v>
      </c>
      <c r="J4857" t="s">
        <v>2</v>
      </c>
      <c r="K4857" s="9">
        <v>44858</v>
      </c>
      <c r="L4857" t="s">
        <v>29</v>
      </c>
      <c r="M4857" t="s">
        <v>5329</v>
      </c>
      <c r="N4857" s="9">
        <v>44778</v>
      </c>
      <c r="O4857" s="9">
        <v>44834</v>
      </c>
      <c r="P4857"/>
      <c r="Q4857"/>
      <c r="R4857"/>
      <c r="S4857"/>
      <c r="T4857"/>
      <c r="U4857"/>
    </row>
    <row r="4858" spans="1:21" hidden="1">
      <c r="A4858" s="7" t="s">
        <v>8845</v>
      </c>
      <c r="B4858" s="7" t="s">
        <v>6307</v>
      </c>
      <c r="C4858" s="8" t="s">
        <v>5319</v>
      </c>
      <c r="D4858" t="s">
        <v>272</v>
      </c>
      <c r="E4858" t="s">
        <v>78</v>
      </c>
      <c r="F4858" t="s">
        <v>2123</v>
      </c>
      <c r="G4858" t="s">
        <v>2303</v>
      </c>
      <c r="H4858" s="9">
        <v>44733</v>
      </c>
      <c r="I4858" t="s">
        <v>81</v>
      </c>
      <c r="J4858" t="s">
        <v>2</v>
      </c>
      <c r="K4858" s="9">
        <v>44858</v>
      </c>
      <c r="L4858" t="s">
        <v>29</v>
      </c>
      <c r="M4858" t="s">
        <v>5329</v>
      </c>
      <c r="N4858" s="9">
        <v>44778</v>
      </c>
      <c r="O4858" s="9">
        <v>44834</v>
      </c>
      <c r="P4858"/>
      <c r="Q4858"/>
      <c r="R4858"/>
      <c r="S4858"/>
      <c r="T4858"/>
      <c r="U4858"/>
    </row>
    <row r="4859" spans="1:21" hidden="1">
      <c r="A4859" s="7" t="s">
        <v>8845</v>
      </c>
      <c r="B4859" s="7" t="s">
        <v>6307</v>
      </c>
      <c r="C4859" s="8" t="s">
        <v>5319</v>
      </c>
      <c r="D4859" t="s">
        <v>272</v>
      </c>
      <c r="E4859" t="s">
        <v>78</v>
      </c>
      <c r="F4859" t="s">
        <v>2123</v>
      </c>
      <c r="G4859" t="s">
        <v>2304</v>
      </c>
      <c r="H4859" s="9">
        <v>44733</v>
      </c>
      <c r="I4859" t="s">
        <v>81</v>
      </c>
      <c r="J4859" t="s">
        <v>2</v>
      </c>
      <c r="K4859" s="9">
        <v>44858</v>
      </c>
      <c r="L4859" t="s">
        <v>29</v>
      </c>
      <c r="M4859" t="s">
        <v>5329</v>
      </c>
      <c r="N4859" s="9">
        <v>44778</v>
      </c>
      <c r="O4859" s="9">
        <v>44834</v>
      </c>
      <c r="P4859"/>
      <c r="Q4859"/>
      <c r="R4859"/>
      <c r="S4859"/>
      <c r="T4859"/>
      <c r="U4859"/>
    </row>
    <row r="4860" spans="1:21" hidden="1">
      <c r="A4860" s="7" t="s">
        <v>8845</v>
      </c>
      <c r="B4860" s="7" t="s">
        <v>6307</v>
      </c>
      <c r="C4860" s="8" t="s">
        <v>5319</v>
      </c>
      <c r="D4860" t="s">
        <v>272</v>
      </c>
      <c r="E4860" t="s">
        <v>78</v>
      </c>
      <c r="F4860" t="s">
        <v>2123</v>
      </c>
      <c r="G4860" t="s">
        <v>2305</v>
      </c>
      <c r="H4860" s="9">
        <v>44733</v>
      </c>
      <c r="I4860" t="s">
        <v>81</v>
      </c>
      <c r="J4860" t="s">
        <v>2</v>
      </c>
      <c r="K4860" s="9">
        <v>44858</v>
      </c>
      <c r="L4860" t="s">
        <v>29</v>
      </c>
      <c r="M4860" t="s">
        <v>5329</v>
      </c>
      <c r="N4860" s="9">
        <v>44778</v>
      </c>
      <c r="O4860" s="9">
        <v>44834</v>
      </c>
      <c r="P4860"/>
      <c r="Q4860"/>
      <c r="R4860"/>
      <c r="S4860"/>
      <c r="T4860"/>
      <c r="U4860"/>
    </row>
    <row r="4861" spans="1:21" hidden="1">
      <c r="A4861" s="7" t="s">
        <v>8861</v>
      </c>
      <c r="B4861" s="7" t="s">
        <v>8218</v>
      </c>
      <c r="C4861" s="8" t="s">
        <v>5319</v>
      </c>
      <c r="D4861" t="s">
        <v>272</v>
      </c>
      <c r="E4861" t="s">
        <v>2260</v>
      </c>
      <c r="F4861" t="s">
        <v>117</v>
      </c>
      <c r="G4861" t="s">
        <v>2306</v>
      </c>
      <c r="H4861" s="9">
        <v>44733</v>
      </c>
      <c r="I4861" t="s">
        <v>2262</v>
      </c>
      <c r="J4861" t="s">
        <v>276</v>
      </c>
      <c r="K4861" s="9">
        <v>44879.706469907404</v>
      </c>
      <c r="L4861" t="s">
        <v>29</v>
      </c>
      <c r="M4861" t="s">
        <v>5331</v>
      </c>
      <c r="N4861" s="9">
        <v>44778</v>
      </c>
      <c r="O4861" s="9">
        <v>44834</v>
      </c>
      <c r="P4861"/>
      <c r="Q4861" s="9">
        <v>44882</v>
      </c>
      <c r="R4861" s="9">
        <v>44879.703275462998</v>
      </c>
      <c r="S4861"/>
      <c r="T4861"/>
      <c r="U4861"/>
    </row>
    <row r="4862" spans="1:21" hidden="1">
      <c r="A4862" s="7" t="s">
        <v>8864</v>
      </c>
      <c r="B4862" s="7" t="s">
        <v>6096</v>
      </c>
      <c r="C4862" s="8" t="s">
        <v>5319</v>
      </c>
      <c r="D4862" t="s">
        <v>272</v>
      </c>
      <c r="E4862" t="s">
        <v>2125</v>
      </c>
      <c r="F4862" t="s">
        <v>2307</v>
      </c>
      <c r="G4862" t="s">
        <v>2308</v>
      </c>
      <c r="H4862" s="9">
        <v>44733</v>
      </c>
      <c r="I4862" t="s">
        <v>81</v>
      </c>
      <c r="J4862" t="s">
        <v>0</v>
      </c>
      <c r="K4862" s="9">
        <v>44799</v>
      </c>
      <c r="L4862" t="s">
        <v>29</v>
      </c>
      <c r="M4862"/>
      <c r="N4862" s="9">
        <v>44778</v>
      </c>
      <c r="O4862"/>
      <c r="P4862"/>
      <c r="Q4862" s="9">
        <v>44799</v>
      </c>
      <c r="R4862"/>
      <c r="S4862"/>
      <c r="T4862"/>
      <c r="U4862"/>
    </row>
    <row r="4863" spans="1:21" hidden="1">
      <c r="A4863" s="7" t="s">
        <v>8864</v>
      </c>
      <c r="B4863" s="7" t="s">
        <v>6096</v>
      </c>
      <c r="C4863" s="8" t="s">
        <v>5319</v>
      </c>
      <c r="D4863" t="s">
        <v>272</v>
      </c>
      <c r="E4863" t="s">
        <v>2125</v>
      </c>
      <c r="F4863" t="s">
        <v>2307</v>
      </c>
      <c r="G4863" t="s">
        <v>2309</v>
      </c>
      <c r="H4863" s="9">
        <v>44733</v>
      </c>
      <c r="I4863" t="s">
        <v>81</v>
      </c>
      <c r="J4863" t="s">
        <v>0</v>
      </c>
      <c r="K4863" s="9">
        <v>44799</v>
      </c>
      <c r="L4863" t="s">
        <v>29</v>
      </c>
      <c r="M4863"/>
      <c r="N4863" s="9">
        <v>44778</v>
      </c>
      <c r="O4863"/>
      <c r="P4863"/>
      <c r="Q4863" s="9">
        <v>44799</v>
      </c>
      <c r="R4863"/>
      <c r="S4863"/>
      <c r="T4863"/>
      <c r="U4863"/>
    </row>
    <row r="4864" spans="1:21" hidden="1">
      <c r="A4864" s="7" t="s">
        <v>8864</v>
      </c>
      <c r="B4864" s="7" t="s">
        <v>6096</v>
      </c>
      <c r="C4864" s="8" t="s">
        <v>5319</v>
      </c>
      <c r="D4864" t="s">
        <v>272</v>
      </c>
      <c r="E4864" t="s">
        <v>2125</v>
      </c>
      <c r="F4864" t="s">
        <v>2307</v>
      </c>
      <c r="G4864" t="s">
        <v>2310</v>
      </c>
      <c r="H4864" s="9">
        <v>44733</v>
      </c>
      <c r="I4864" t="s">
        <v>81</v>
      </c>
      <c r="J4864" t="s">
        <v>0</v>
      </c>
      <c r="K4864" s="9">
        <v>44799</v>
      </c>
      <c r="L4864" t="s">
        <v>29</v>
      </c>
      <c r="M4864"/>
      <c r="N4864" s="9">
        <v>44778</v>
      </c>
      <c r="O4864"/>
      <c r="P4864"/>
      <c r="Q4864" s="9">
        <v>44799</v>
      </c>
      <c r="R4864"/>
      <c r="S4864"/>
      <c r="T4864"/>
      <c r="U4864"/>
    </row>
    <row r="4865" spans="1:21" hidden="1">
      <c r="A4865" s="7" t="s">
        <v>8864</v>
      </c>
      <c r="B4865" s="7" t="s">
        <v>6096</v>
      </c>
      <c r="C4865" s="8" t="s">
        <v>5319</v>
      </c>
      <c r="D4865" t="s">
        <v>272</v>
      </c>
      <c r="E4865" t="s">
        <v>2125</v>
      </c>
      <c r="F4865" t="s">
        <v>2307</v>
      </c>
      <c r="G4865" t="s">
        <v>2311</v>
      </c>
      <c r="H4865" s="9">
        <v>44733</v>
      </c>
      <c r="I4865" t="s">
        <v>81</v>
      </c>
      <c r="J4865" t="s">
        <v>0</v>
      </c>
      <c r="K4865" s="9">
        <v>44799</v>
      </c>
      <c r="L4865" t="s">
        <v>29</v>
      </c>
      <c r="M4865"/>
      <c r="N4865" s="9">
        <v>44778</v>
      </c>
      <c r="O4865"/>
      <c r="P4865"/>
      <c r="Q4865" s="9">
        <v>44799</v>
      </c>
      <c r="R4865"/>
      <c r="S4865"/>
      <c r="T4865"/>
      <c r="U4865"/>
    </row>
    <row r="4866" spans="1:21" hidden="1">
      <c r="A4866" s="7" t="s">
        <v>8865</v>
      </c>
      <c r="B4866" s="7" t="s">
        <v>6017</v>
      </c>
      <c r="C4866" s="8" t="s">
        <v>5319</v>
      </c>
      <c r="D4866" t="s">
        <v>272</v>
      </c>
      <c r="E4866" t="s">
        <v>74</v>
      </c>
      <c r="F4866" t="s">
        <v>231</v>
      </c>
      <c r="G4866" t="s">
        <v>2312</v>
      </c>
      <c r="H4866" s="9">
        <v>44733</v>
      </c>
      <c r="I4866" t="s">
        <v>81</v>
      </c>
      <c r="J4866" t="s">
        <v>2</v>
      </c>
      <c r="K4866" s="9">
        <v>44834</v>
      </c>
      <c r="L4866" t="s">
        <v>29</v>
      </c>
      <c r="M4866" t="s">
        <v>5331</v>
      </c>
      <c r="N4866" s="9">
        <v>44778</v>
      </c>
      <c r="O4866" s="9">
        <v>44834</v>
      </c>
      <c r="P4866"/>
      <c r="Q4866"/>
      <c r="R4866"/>
      <c r="S4866"/>
      <c r="T4866"/>
      <c r="U4866"/>
    </row>
    <row r="4867" spans="1:21" hidden="1">
      <c r="A4867" s="7" t="s">
        <v>8865</v>
      </c>
      <c r="B4867" s="7" t="s">
        <v>6017</v>
      </c>
      <c r="C4867" s="8" t="s">
        <v>5319</v>
      </c>
      <c r="D4867" t="s">
        <v>272</v>
      </c>
      <c r="E4867" t="s">
        <v>74</v>
      </c>
      <c r="F4867" t="s">
        <v>231</v>
      </c>
      <c r="G4867" t="s">
        <v>2313</v>
      </c>
      <c r="H4867" s="9">
        <v>44733</v>
      </c>
      <c r="I4867" t="s">
        <v>81</v>
      </c>
      <c r="J4867" t="s">
        <v>2</v>
      </c>
      <c r="K4867" s="9">
        <v>44834</v>
      </c>
      <c r="L4867" t="s">
        <v>29</v>
      </c>
      <c r="M4867" t="s">
        <v>5331</v>
      </c>
      <c r="N4867" s="9">
        <v>44778</v>
      </c>
      <c r="O4867" s="9">
        <v>44834</v>
      </c>
      <c r="P4867"/>
      <c r="Q4867"/>
      <c r="R4867"/>
      <c r="S4867"/>
      <c r="T4867"/>
      <c r="U4867"/>
    </row>
    <row r="4868" spans="1:21" hidden="1">
      <c r="A4868" s="7" t="s">
        <v>8865</v>
      </c>
      <c r="B4868" s="7" t="s">
        <v>6017</v>
      </c>
      <c r="C4868" s="8" t="s">
        <v>5319</v>
      </c>
      <c r="D4868" t="s">
        <v>272</v>
      </c>
      <c r="E4868" t="s">
        <v>74</v>
      </c>
      <c r="F4868" t="s">
        <v>231</v>
      </c>
      <c r="G4868" t="s">
        <v>2314</v>
      </c>
      <c r="H4868" s="9">
        <v>44733</v>
      </c>
      <c r="I4868" t="s">
        <v>81</v>
      </c>
      <c r="J4868" t="s">
        <v>2</v>
      </c>
      <c r="K4868" s="9">
        <v>44834</v>
      </c>
      <c r="L4868" t="s">
        <v>29</v>
      </c>
      <c r="M4868" t="s">
        <v>5331</v>
      </c>
      <c r="N4868" s="9">
        <v>44778</v>
      </c>
      <c r="O4868" s="9">
        <v>44834</v>
      </c>
      <c r="P4868"/>
      <c r="Q4868"/>
      <c r="R4868"/>
      <c r="S4868"/>
      <c r="T4868"/>
      <c r="U4868"/>
    </row>
    <row r="4869" spans="1:21" hidden="1">
      <c r="A4869" s="7" t="s">
        <v>8865</v>
      </c>
      <c r="B4869" s="7" t="s">
        <v>6017</v>
      </c>
      <c r="C4869" s="8" t="s">
        <v>5319</v>
      </c>
      <c r="D4869" t="s">
        <v>272</v>
      </c>
      <c r="E4869" t="s">
        <v>74</v>
      </c>
      <c r="F4869" t="s">
        <v>231</v>
      </c>
      <c r="G4869" t="s">
        <v>2315</v>
      </c>
      <c r="H4869" s="9">
        <v>44733</v>
      </c>
      <c r="I4869" t="s">
        <v>81</v>
      </c>
      <c r="J4869" t="s">
        <v>2</v>
      </c>
      <c r="K4869" s="9">
        <v>44834</v>
      </c>
      <c r="L4869" t="s">
        <v>29</v>
      </c>
      <c r="M4869" t="s">
        <v>5331</v>
      </c>
      <c r="N4869" s="9">
        <v>44778</v>
      </c>
      <c r="O4869" s="9">
        <v>44834</v>
      </c>
      <c r="P4869"/>
      <c r="Q4869"/>
      <c r="R4869"/>
      <c r="S4869"/>
      <c r="T4869"/>
      <c r="U4869"/>
    </row>
    <row r="4870" spans="1:21" hidden="1">
      <c r="A4870" s="7" t="s">
        <v>8865</v>
      </c>
      <c r="B4870" s="7" t="s">
        <v>6017</v>
      </c>
      <c r="C4870" s="8" t="s">
        <v>5319</v>
      </c>
      <c r="D4870" t="s">
        <v>272</v>
      </c>
      <c r="E4870" t="s">
        <v>74</v>
      </c>
      <c r="F4870" t="s">
        <v>231</v>
      </c>
      <c r="G4870" t="s">
        <v>2316</v>
      </c>
      <c r="H4870" s="9">
        <v>44733</v>
      </c>
      <c r="I4870" t="s">
        <v>81</v>
      </c>
      <c r="J4870" t="s">
        <v>2</v>
      </c>
      <c r="K4870" s="9">
        <v>44834</v>
      </c>
      <c r="L4870" t="s">
        <v>29</v>
      </c>
      <c r="M4870" t="s">
        <v>5331</v>
      </c>
      <c r="N4870" s="9">
        <v>44778</v>
      </c>
      <c r="O4870" s="9">
        <v>44834</v>
      </c>
      <c r="P4870"/>
      <c r="Q4870"/>
      <c r="R4870"/>
      <c r="S4870"/>
      <c r="T4870"/>
      <c r="U4870"/>
    </row>
    <row r="4871" spans="1:21" hidden="1">
      <c r="A4871" s="7" t="s">
        <v>8865</v>
      </c>
      <c r="B4871" s="7" t="s">
        <v>6017</v>
      </c>
      <c r="C4871" s="8" t="s">
        <v>5319</v>
      </c>
      <c r="D4871" t="s">
        <v>272</v>
      </c>
      <c r="E4871" t="s">
        <v>74</v>
      </c>
      <c r="F4871" t="s">
        <v>231</v>
      </c>
      <c r="G4871" t="s">
        <v>2317</v>
      </c>
      <c r="H4871" s="9">
        <v>44733</v>
      </c>
      <c r="I4871" t="s">
        <v>81</v>
      </c>
      <c r="J4871" t="s">
        <v>2</v>
      </c>
      <c r="K4871" s="9">
        <v>44834</v>
      </c>
      <c r="L4871" t="s">
        <v>29</v>
      </c>
      <c r="M4871" t="s">
        <v>5331</v>
      </c>
      <c r="N4871" s="9">
        <v>44778</v>
      </c>
      <c r="O4871" s="9">
        <v>44834</v>
      </c>
      <c r="P4871"/>
      <c r="Q4871"/>
      <c r="R4871"/>
      <c r="S4871"/>
      <c r="T4871"/>
      <c r="U4871"/>
    </row>
    <row r="4872" spans="1:21" hidden="1">
      <c r="A4872" s="7" t="s">
        <v>8865</v>
      </c>
      <c r="B4872" s="7" t="s">
        <v>6017</v>
      </c>
      <c r="C4872" s="8" t="s">
        <v>5319</v>
      </c>
      <c r="D4872" t="s">
        <v>272</v>
      </c>
      <c r="E4872" t="s">
        <v>74</v>
      </c>
      <c r="F4872" t="s">
        <v>231</v>
      </c>
      <c r="G4872" t="s">
        <v>2318</v>
      </c>
      <c r="H4872" s="9">
        <v>44733</v>
      </c>
      <c r="I4872" t="s">
        <v>81</v>
      </c>
      <c r="J4872" t="s">
        <v>2</v>
      </c>
      <c r="K4872" s="9">
        <v>44834</v>
      </c>
      <c r="L4872" t="s">
        <v>29</v>
      </c>
      <c r="M4872" t="s">
        <v>5331</v>
      </c>
      <c r="N4872" s="9">
        <v>44778</v>
      </c>
      <c r="O4872" s="9">
        <v>44834</v>
      </c>
      <c r="P4872"/>
      <c r="Q4872"/>
      <c r="R4872"/>
      <c r="S4872"/>
      <c r="T4872"/>
      <c r="U4872"/>
    </row>
    <row r="4873" spans="1:21" hidden="1">
      <c r="A4873" s="7" t="s">
        <v>8865</v>
      </c>
      <c r="B4873" s="7" t="s">
        <v>6017</v>
      </c>
      <c r="C4873" s="8" t="s">
        <v>5319</v>
      </c>
      <c r="D4873" t="s">
        <v>272</v>
      </c>
      <c r="E4873" t="s">
        <v>74</v>
      </c>
      <c r="F4873" t="s">
        <v>231</v>
      </c>
      <c r="G4873" t="s">
        <v>2319</v>
      </c>
      <c r="H4873" s="9">
        <v>44733</v>
      </c>
      <c r="I4873" t="s">
        <v>81</v>
      </c>
      <c r="J4873" t="s">
        <v>2</v>
      </c>
      <c r="K4873" s="9">
        <v>44834</v>
      </c>
      <c r="L4873" t="s">
        <v>29</v>
      </c>
      <c r="M4873" t="s">
        <v>5331</v>
      </c>
      <c r="N4873" s="9">
        <v>44778</v>
      </c>
      <c r="O4873" s="9">
        <v>44834</v>
      </c>
      <c r="P4873"/>
      <c r="Q4873"/>
      <c r="R4873"/>
      <c r="S4873"/>
      <c r="T4873"/>
      <c r="U4873"/>
    </row>
    <row r="4874" spans="1:21" hidden="1">
      <c r="A4874" s="7" t="s">
        <v>8857</v>
      </c>
      <c r="B4874" s="7" t="s">
        <v>5699</v>
      </c>
      <c r="C4874" s="8" t="s">
        <v>5319</v>
      </c>
      <c r="D4874" t="s">
        <v>272</v>
      </c>
      <c r="E4874" t="s">
        <v>2240</v>
      </c>
      <c r="F4874" t="s">
        <v>200</v>
      </c>
      <c r="G4874" t="s">
        <v>2320</v>
      </c>
      <c r="H4874" s="9">
        <v>44733</v>
      </c>
      <c r="I4874" t="s">
        <v>2130</v>
      </c>
      <c r="J4874" t="s">
        <v>0</v>
      </c>
      <c r="K4874" s="9">
        <v>44862</v>
      </c>
      <c r="L4874" t="s">
        <v>29</v>
      </c>
      <c r="M4874"/>
      <c r="N4874" s="9">
        <v>44778</v>
      </c>
      <c r="O4874" s="9">
        <v>44834</v>
      </c>
      <c r="P4874"/>
      <c r="Q4874" s="9">
        <v>44862</v>
      </c>
      <c r="R4874"/>
      <c r="S4874"/>
      <c r="T4874"/>
      <c r="U4874"/>
    </row>
    <row r="4875" spans="1:21" hidden="1">
      <c r="A4875" s="7" t="s">
        <v>8857</v>
      </c>
      <c r="B4875" s="7" t="s">
        <v>5699</v>
      </c>
      <c r="C4875" s="8" t="s">
        <v>5319</v>
      </c>
      <c r="D4875" t="s">
        <v>272</v>
      </c>
      <c r="E4875" t="s">
        <v>2240</v>
      </c>
      <c r="F4875" t="s">
        <v>200</v>
      </c>
      <c r="G4875" t="s">
        <v>2321</v>
      </c>
      <c r="H4875" s="9">
        <v>44733</v>
      </c>
      <c r="I4875" t="s">
        <v>2130</v>
      </c>
      <c r="J4875" t="s">
        <v>0</v>
      </c>
      <c r="K4875" s="9">
        <v>44862</v>
      </c>
      <c r="L4875" t="s">
        <v>29</v>
      </c>
      <c r="M4875"/>
      <c r="N4875" s="9">
        <v>44778</v>
      </c>
      <c r="O4875" s="9">
        <v>44834</v>
      </c>
      <c r="P4875"/>
      <c r="Q4875" s="9">
        <v>44862</v>
      </c>
      <c r="R4875"/>
      <c r="S4875"/>
      <c r="T4875"/>
      <c r="U4875"/>
    </row>
    <row r="4876" spans="1:21" hidden="1">
      <c r="A4876" s="7" t="s">
        <v>8857</v>
      </c>
      <c r="B4876" s="7" t="s">
        <v>5699</v>
      </c>
      <c r="C4876" s="8" t="s">
        <v>5319</v>
      </c>
      <c r="D4876" t="s">
        <v>272</v>
      </c>
      <c r="E4876" t="s">
        <v>2240</v>
      </c>
      <c r="F4876" t="s">
        <v>200</v>
      </c>
      <c r="G4876" t="s">
        <v>2322</v>
      </c>
      <c r="H4876" s="9">
        <v>44733</v>
      </c>
      <c r="I4876" t="s">
        <v>2130</v>
      </c>
      <c r="J4876" t="s">
        <v>0</v>
      </c>
      <c r="K4876" s="9">
        <v>44862</v>
      </c>
      <c r="L4876" t="s">
        <v>29</v>
      </c>
      <c r="M4876"/>
      <c r="N4876" s="9">
        <v>44778</v>
      </c>
      <c r="O4876" s="9">
        <v>44834</v>
      </c>
      <c r="P4876"/>
      <c r="Q4876" s="9">
        <v>44862</v>
      </c>
      <c r="R4876"/>
      <c r="S4876"/>
      <c r="T4876"/>
      <c r="U4876"/>
    </row>
    <row r="4877" spans="1:21" hidden="1">
      <c r="A4877" s="7" t="s">
        <v>8857</v>
      </c>
      <c r="B4877" s="7" t="s">
        <v>5699</v>
      </c>
      <c r="C4877" s="8" t="s">
        <v>5319</v>
      </c>
      <c r="D4877" t="s">
        <v>272</v>
      </c>
      <c r="E4877" t="s">
        <v>2240</v>
      </c>
      <c r="F4877" t="s">
        <v>200</v>
      </c>
      <c r="G4877" t="s">
        <v>2323</v>
      </c>
      <c r="H4877" s="9">
        <v>44733</v>
      </c>
      <c r="I4877" t="s">
        <v>2130</v>
      </c>
      <c r="J4877" t="s">
        <v>0</v>
      </c>
      <c r="K4877" s="9">
        <v>44862</v>
      </c>
      <c r="L4877" t="s">
        <v>29</v>
      </c>
      <c r="M4877"/>
      <c r="N4877" s="9">
        <v>44778</v>
      </c>
      <c r="O4877" s="9">
        <v>44834</v>
      </c>
      <c r="P4877"/>
      <c r="Q4877" s="9">
        <v>44862</v>
      </c>
      <c r="R4877"/>
      <c r="S4877"/>
      <c r="T4877"/>
      <c r="U4877"/>
    </row>
    <row r="4878" spans="1:21" hidden="1">
      <c r="A4878" s="7" t="s">
        <v>8845</v>
      </c>
      <c r="B4878" s="7" t="s">
        <v>6307</v>
      </c>
      <c r="C4878" s="8" t="s">
        <v>5319</v>
      </c>
      <c r="D4878" t="s">
        <v>272</v>
      </c>
      <c r="E4878" t="s">
        <v>78</v>
      </c>
      <c r="F4878" t="s">
        <v>2123</v>
      </c>
      <c r="G4878" t="s">
        <v>2324</v>
      </c>
      <c r="H4878" s="9">
        <v>44733</v>
      </c>
      <c r="I4878" t="s">
        <v>81</v>
      </c>
      <c r="J4878" t="s">
        <v>2</v>
      </c>
      <c r="K4878" s="9">
        <v>44858</v>
      </c>
      <c r="L4878" t="s">
        <v>29</v>
      </c>
      <c r="M4878" t="s">
        <v>5329</v>
      </c>
      <c r="N4878" s="9">
        <v>44778</v>
      </c>
      <c r="O4878" s="9">
        <v>44834</v>
      </c>
      <c r="P4878"/>
      <c r="Q4878"/>
      <c r="R4878"/>
      <c r="S4878"/>
      <c r="T4878"/>
      <c r="U4878"/>
    </row>
    <row r="4879" spans="1:21" hidden="1">
      <c r="A4879" s="7" t="s">
        <v>8857</v>
      </c>
      <c r="B4879" s="7" t="s">
        <v>5699</v>
      </c>
      <c r="C4879" s="8" t="s">
        <v>5319</v>
      </c>
      <c r="D4879" t="s">
        <v>272</v>
      </c>
      <c r="E4879" t="s">
        <v>2240</v>
      </c>
      <c r="F4879" t="s">
        <v>200</v>
      </c>
      <c r="G4879" t="s">
        <v>2325</v>
      </c>
      <c r="H4879" s="9">
        <v>44733</v>
      </c>
      <c r="I4879" t="s">
        <v>2130</v>
      </c>
      <c r="J4879" t="s">
        <v>0</v>
      </c>
      <c r="K4879" s="9">
        <v>44862</v>
      </c>
      <c r="L4879" t="s">
        <v>29</v>
      </c>
      <c r="M4879"/>
      <c r="N4879" s="9">
        <v>44778</v>
      </c>
      <c r="O4879" s="9">
        <v>44834</v>
      </c>
      <c r="P4879"/>
      <c r="Q4879" s="9">
        <v>44862</v>
      </c>
      <c r="R4879"/>
      <c r="S4879"/>
      <c r="T4879"/>
      <c r="U4879"/>
    </row>
    <row r="4880" spans="1:21" hidden="1">
      <c r="A4880" s="7" t="s">
        <v>8857</v>
      </c>
      <c r="B4880" s="7" t="s">
        <v>5699</v>
      </c>
      <c r="C4880" s="8" t="s">
        <v>5319</v>
      </c>
      <c r="D4880" t="s">
        <v>272</v>
      </c>
      <c r="E4880" t="s">
        <v>2240</v>
      </c>
      <c r="F4880" t="s">
        <v>200</v>
      </c>
      <c r="G4880" t="s">
        <v>2326</v>
      </c>
      <c r="H4880" s="9">
        <v>44733</v>
      </c>
      <c r="I4880" t="s">
        <v>2130</v>
      </c>
      <c r="J4880" t="s">
        <v>0</v>
      </c>
      <c r="K4880" s="9">
        <v>44862</v>
      </c>
      <c r="L4880" t="s">
        <v>29</v>
      </c>
      <c r="M4880"/>
      <c r="N4880" s="9">
        <v>44778</v>
      </c>
      <c r="O4880" s="9">
        <v>44834</v>
      </c>
      <c r="P4880"/>
      <c r="Q4880" s="9">
        <v>44862</v>
      </c>
      <c r="R4880"/>
      <c r="S4880"/>
      <c r="T4880"/>
      <c r="U4880"/>
    </row>
    <row r="4881" spans="1:21" hidden="1">
      <c r="A4881" s="7" t="s">
        <v>8857</v>
      </c>
      <c r="B4881" s="7" t="s">
        <v>5699</v>
      </c>
      <c r="C4881" s="8" t="s">
        <v>5319</v>
      </c>
      <c r="D4881" t="s">
        <v>272</v>
      </c>
      <c r="E4881" t="s">
        <v>2240</v>
      </c>
      <c r="F4881" t="s">
        <v>200</v>
      </c>
      <c r="G4881" t="s">
        <v>2327</v>
      </c>
      <c r="H4881" s="9">
        <v>44733</v>
      </c>
      <c r="I4881" t="s">
        <v>2130</v>
      </c>
      <c r="J4881" t="s">
        <v>0</v>
      </c>
      <c r="K4881" s="9">
        <v>44862</v>
      </c>
      <c r="L4881" t="s">
        <v>29</v>
      </c>
      <c r="M4881"/>
      <c r="N4881" s="9">
        <v>44778</v>
      </c>
      <c r="O4881" s="9">
        <v>44834</v>
      </c>
      <c r="P4881"/>
      <c r="Q4881" s="9">
        <v>44862</v>
      </c>
      <c r="R4881"/>
      <c r="S4881"/>
      <c r="T4881"/>
      <c r="U4881"/>
    </row>
    <row r="4882" spans="1:21" hidden="1">
      <c r="A4882" s="7" t="s">
        <v>8857</v>
      </c>
      <c r="B4882" s="7" t="s">
        <v>5699</v>
      </c>
      <c r="C4882" s="8" t="s">
        <v>5319</v>
      </c>
      <c r="D4882" t="s">
        <v>272</v>
      </c>
      <c r="E4882" t="s">
        <v>2240</v>
      </c>
      <c r="F4882" t="s">
        <v>200</v>
      </c>
      <c r="G4882" t="s">
        <v>2328</v>
      </c>
      <c r="H4882" s="9">
        <v>44733</v>
      </c>
      <c r="I4882" t="s">
        <v>2130</v>
      </c>
      <c r="J4882" t="s">
        <v>0</v>
      </c>
      <c r="K4882" s="9">
        <v>44862</v>
      </c>
      <c r="L4882" t="s">
        <v>29</v>
      </c>
      <c r="M4882"/>
      <c r="N4882" s="9">
        <v>44778</v>
      </c>
      <c r="O4882" s="9">
        <v>44834</v>
      </c>
      <c r="P4882"/>
      <c r="Q4882" s="9">
        <v>44862</v>
      </c>
      <c r="R4882"/>
      <c r="S4882"/>
      <c r="T4882"/>
      <c r="U4882"/>
    </row>
    <row r="4883" spans="1:21" hidden="1">
      <c r="A4883" s="7" t="s">
        <v>8857</v>
      </c>
      <c r="B4883" s="7" t="s">
        <v>5699</v>
      </c>
      <c r="C4883" s="8" t="s">
        <v>5319</v>
      </c>
      <c r="D4883" t="s">
        <v>272</v>
      </c>
      <c r="E4883" t="s">
        <v>2240</v>
      </c>
      <c r="F4883" t="s">
        <v>200</v>
      </c>
      <c r="G4883" t="s">
        <v>2329</v>
      </c>
      <c r="H4883" s="9">
        <v>44733</v>
      </c>
      <c r="I4883" t="s">
        <v>2130</v>
      </c>
      <c r="J4883" t="s">
        <v>0</v>
      </c>
      <c r="K4883" s="9">
        <v>44862</v>
      </c>
      <c r="L4883" t="s">
        <v>29</v>
      </c>
      <c r="M4883"/>
      <c r="N4883" s="9">
        <v>44778</v>
      </c>
      <c r="O4883" s="9">
        <v>44834</v>
      </c>
      <c r="P4883"/>
      <c r="Q4883" s="9">
        <v>44862</v>
      </c>
      <c r="R4883"/>
      <c r="S4883"/>
      <c r="T4883"/>
      <c r="U4883"/>
    </row>
    <row r="4884" spans="1:21" hidden="1">
      <c r="A4884" s="7" t="s">
        <v>8857</v>
      </c>
      <c r="B4884" s="7" t="s">
        <v>5699</v>
      </c>
      <c r="C4884" s="8" t="s">
        <v>5319</v>
      </c>
      <c r="D4884" t="s">
        <v>272</v>
      </c>
      <c r="E4884" t="s">
        <v>2240</v>
      </c>
      <c r="F4884" t="s">
        <v>200</v>
      </c>
      <c r="G4884" t="s">
        <v>2330</v>
      </c>
      <c r="H4884" s="9">
        <v>44733</v>
      </c>
      <c r="I4884" t="s">
        <v>2130</v>
      </c>
      <c r="J4884" t="s">
        <v>0</v>
      </c>
      <c r="K4884" s="9">
        <v>44862</v>
      </c>
      <c r="L4884" t="s">
        <v>29</v>
      </c>
      <c r="M4884"/>
      <c r="N4884" s="9">
        <v>44778</v>
      </c>
      <c r="O4884" s="9">
        <v>44834</v>
      </c>
      <c r="P4884"/>
      <c r="Q4884" s="9">
        <v>44862</v>
      </c>
      <c r="R4884"/>
      <c r="S4884"/>
      <c r="T4884"/>
      <c r="U4884"/>
    </row>
    <row r="4885" spans="1:21" hidden="1">
      <c r="A4885" s="7" t="s">
        <v>8857</v>
      </c>
      <c r="B4885" s="7" t="s">
        <v>5699</v>
      </c>
      <c r="C4885" s="8" t="s">
        <v>5319</v>
      </c>
      <c r="D4885" t="s">
        <v>272</v>
      </c>
      <c r="E4885" t="s">
        <v>2240</v>
      </c>
      <c r="F4885" t="s">
        <v>200</v>
      </c>
      <c r="G4885" t="s">
        <v>2331</v>
      </c>
      <c r="H4885" s="9">
        <v>44733</v>
      </c>
      <c r="I4885" t="s">
        <v>2130</v>
      </c>
      <c r="J4885" t="s">
        <v>0</v>
      </c>
      <c r="K4885" s="9">
        <v>44862</v>
      </c>
      <c r="L4885" t="s">
        <v>29</v>
      </c>
      <c r="M4885"/>
      <c r="N4885" s="9">
        <v>44778</v>
      </c>
      <c r="O4885" s="9">
        <v>44834</v>
      </c>
      <c r="P4885"/>
      <c r="Q4885" s="9">
        <v>44862</v>
      </c>
      <c r="R4885"/>
      <c r="S4885"/>
      <c r="T4885"/>
      <c r="U4885"/>
    </row>
    <row r="4886" spans="1:21" hidden="1">
      <c r="A4886" s="7" t="s">
        <v>8857</v>
      </c>
      <c r="B4886" s="7" t="s">
        <v>5699</v>
      </c>
      <c r="C4886" s="8" t="s">
        <v>5319</v>
      </c>
      <c r="D4886" t="s">
        <v>272</v>
      </c>
      <c r="E4886" t="s">
        <v>2240</v>
      </c>
      <c r="F4886" t="s">
        <v>200</v>
      </c>
      <c r="G4886" t="s">
        <v>2332</v>
      </c>
      <c r="H4886" s="9">
        <v>44733</v>
      </c>
      <c r="I4886" t="s">
        <v>2130</v>
      </c>
      <c r="J4886" t="s">
        <v>0</v>
      </c>
      <c r="K4886" s="9">
        <v>44862</v>
      </c>
      <c r="L4886" t="s">
        <v>29</v>
      </c>
      <c r="M4886"/>
      <c r="N4886" s="9">
        <v>44778</v>
      </c>
      <c r="O4886" s="9">
        <v>44834</v>
      </c>
      <c r="P4886"/>
      <c r="Q4886" s="9">
        <v>44862</v>
      </c>
      <c r="R4886"/>
      <c r="S4886"/>
      <c r="T4886"/>
      <c r="U4886"/>
    </row>
    <row r="4887" spans="1:21" hidden="1">
      <c r="A4887" s="7" t="s">
        <v>8857</v>
      </c>
      <c r="B4887" s="7" t="s">
        <v>5699</v>
      </c>
      <c r="C4887" s="8" t="s">
        <v>5319</v>
      </c>
      <c r="D4887" t="s">
        <v>272</v>
      </c>
      <c r="E4887" t="s">
        <v>2240</v>
      </c>
      <c r="F4887" t="s">
        <v>200</v>
      </c>
      <c r="G4887" t="s">
        <v>2333</v>
      </c>
      <c r="H4887" s="9">
        <v>44733</v>
      </c>
      <c r="I4887" t="s">
        <v>2130</v>
      </c>
      <c r="J4887" t="s">
        <v>0</v>
      </c>
      <c r="K4887" s="9">
        <v>44862</v>
      </c>
      <c r="L4887" t="s">
        <v>29</v>
      </c>
      <c r="M4887"/>
      <c r="N4887" s="9">
        <v>44778</v>
      </c>
      <c r="O4887" s="9">
        <v>44834</v>
      </c>
      <c r="P4887"/>
      <c r="Q4887" s="9">
        <v>44862</v>
      </c>
      <c r="R4887"/>
      <c r="S4887"/>
      <c r="T4887"/>
      <c r="U4887"/>
    </row>
    <row r="4888" spans="1:21" hidden="1">
      <c r="A4888" s="7" t="s">
        <v>8857</v>
      </c>
      <c r="B4888" s="7" t="s">
        <v>5699</v>
      </c>
      <c r="C4888" s="8" t="s">
        <v>5319</v>
      </c>
      <c r="D4888" t="s">
        <v>272</v>
      </c>
      <c r="E4888" t="s">
        <v>2240</v>
      </c>
      <c r="F4888" t="s">
        <v>200</v>
      </c>
      <c r="G4888" t="s">
        <v>2334</v>
      </c>
      <c r="H4888" s="9">
        <v>44733</v>
      </c>
      <c r="I4888" t="s">
        <v>2130</v>
      </c>
      <c r="J4888" t="s">
        <v>0</v>
      </c>
      <c r="K4888" s="9">
        <v>44862</v>
      </c>
      <c r="L4888" t="s">
        <v>29</v>
      </c>
      <c r="M4888"/>
      <c r="N4888" s="9">
        <v>44778</v>
      </c>
      <c r="O4888" s="9">
        <v>44834</v>
      </c>
      <c r="P4888"/>
      <c r="Q4888" s="9">
        <v>44862</v>
      </c>
      <c r="R4888"/>
      <c r="S4888"/>
      <c r="T4888"/>
      <c r="U4888"/>
    </row>
    <row r="4889" spans="1:21" hidden="1">
      <c r="A4889" s="7" t="s">
        <v>8857</v>
      </c>
      <c r="B4889" s="7" t="s">
        <v>5699</v>
      </c>
      <c r="C4889" s="8" t="s">
        <v>5319</v>
      </c>
      <c r="D4889" t="s">
        <v>272</v>
      </c>
      <c r="E4889" t="s">
        <v>2240</v>
      </c>
      <c r="F4889" t="s">
        <v>200</v>
      </c>
      <c r="G4889" t="s">
        <v>2335</v>
      </c>
      <c r="H4889" s="9">
        <v>44733</v>
      </c>
      <c r="I4889" t="s">
        <v>2130</v>
      </c>
      <c r="J4889" t="s">
        <v>0</v>
      </c>
      <c r="K4889" s="9">
        <v>44862</v>
      </c>
      <c r="L4889" t="s">
        <v>29</v>
      </c>
      <c r="M4889"/>
      <c r="N4889" s="9">
        <v>44778</v>
      </c>
      <c r="O4889" s="9">
        <v>44834</v>
      </c>
      <c r="P4889"/>
      <c r="Q4889" s="9">
        <v>44862</v>
      </c>
      <c r="R4889"/>
      <c r="S4889"/>
      <c r="T4889"/>
      <c r="U4889"/>
    </row>
    <row r="4890" spans="1:21" hidden="1">
      <c r="A4890" s="7" t="s">
        <v>8857</v>
      </c>
      <c r="B4890" s="7" t="s">
        <v>5699</v>
      </c>
      <c r="C4890" s="8" t="s">
        <v>5319</v>
      </c>
      <c r="D4890" t="s">
        <v>272</v>
      </c>
      <c r="E4890" t="s">
        <v>2240</v>
      </c>
      <c r="F4890" t="s">
        <v>200</v>
      </c>
      <c r="G4890" t="s">
        <v>2336</v>
      </c>
      <c r="H4890" s="9">
        <v>44733</v>
      </c>
      <c r="I4890" t="s">
        <v>2130</v>
      </c>
      <c r="J4890" t="s">
        <v>0</v>
      </c>
      <c r="K4890" s="9">
        <v>44862</v>
      </c>
      <c r="L4890" t="s">
        <v>29</v>
      </c>
      <c r="M4890"/>
      <c r="N4890" s="9">
        <v>44778</v>
      </c>
      <c r="O4890" s="9">
        <v>44834</v>
      </c>
      <c r="P4890"/>
      <c r="Q4890" s="9">
        <v>44862</v>
      </c>
      <c r="R4890"/>
      <c r="S4890"/>
      <c r="T4890"/>
      <c r="U4890"/>
    </row>
    <row r="4891" spans="1:21" hidden="1">
      <c r="A4891" s="7" t="s">
        <v>8857</v>
      </c>
      <c r="B4891" s="7" t="s">
        <v>5699</v>
      </c>
      <c r="C4891" s="8" t="s">
        <v>5319</v>
      </c>
      <c r="D4891" t="s">
        <v>272</v>
      </c>
      <c r="E4891" t="s">
        <v>2240</v>
      </c>
      <c r="F4891" t="s">
        <v>200</v>
      </c>
      <c r="G4891" t="s">
        <v>2337</v>
      </c>
      <c r="H4891" s="9">
        <v>44733</v>
      </c>
      <c r="I4891" t="s">
        <v>2130</v>
      </c>
      <c r="J4891" t="s">
        <v>0</v>
      </c>
      <c r="K4891" s="9">
        <v>44862</v>
      </c>
      <c r="L4891" t="s">
        <v>29</v>
      </c>
      <c r="M4891"/>
      <c r="N4891" s="9">
        <v>44778</v>
      </c>
      <c r="O4891" s="9">
        <v>44834</v>
      </c>
      <c r="P4891"/>
      <c r="Q4891" s="9">
        <v>44862</v>
      </c>
      <c r="R4891"/>
      <c r="S4891"/>
      <c r="T4891"/>
      <c r="U4891"/>
    </row>
    <row r="4892" spans="1:21" hidden="1">
      <c r="A4892" s="7" t="s">
        <v>8714</v>
      </c>
      <c r="B4892" s="7" t="s">
        <v>6017</v>
      </c>
      <c r="C4892" s="8" t="s">
        <v>5319</v>
      </c>
      <c r="D4892" t="s">
        <v>272</v>
      </c>
      <c r="E4892" t="s">
        <v>74</v>
      </c>
      <c r="F4892" t="s">
        <v>75</v>
      </c>
      <c r="G4892" t="s">
        <v>2338</v>
      </c>
      <c r="H4892" s="9">
        <v>44733</v>
      </c>
      <c r="I4892" t="s">
        <v>77</v>
      </c>
      <c r="J4892" t="s">
        <v>2</v>
      </c>
      <c r="K4892" s="9">
        <v>44834</v>
      </c>
      <c r="L4892" t="s">
        <v>29</v>
      </c>
      <c r="M4892" t="s">
        <v>5331</v>
      </c>
      <c r="N4892" s="9">
        <v>44778</v>
      </c>
      <c r="O4892" s="9">
        <v>44834</v>
      </c>
      <c r="P4892"/>
      <c r="Q4892"/>
      <c r="R4892"/>
      <c r="S4892"/>
      <c r="T4892"/>
      <c r="U4892"/>
    </row>
    <row r="4893" spans="1:21" hidden="1">
      <c r="A4893" s="7" t="s">
        <v>8714</v>
      </c>
      <c r="B4893" s="7" t="s">
        <v>6017</v>
      </c>
      <c r="C4893" s="8" t="s">
        <v>5319</v>
      </c>
      <c r="D4893" t="s">
        <v>272</v>
      </c>
      <c r="E4893" t="s">
        <v>74</v>
      </c>
      <c r="F4893" t="s">
        <v>75</v>
      </c>
      <c r="G4893" t="s">
        <v>2339</v>
      </c>
      <c r="H4893" s="9">
        <v>44733</v>
      </c>
      <c r="I4893" t="s">
        <v>77</v>
      </c>
      <c r="J4893" t="s">
        <v>2</v>
      </c>
      <c r="K4893" s="9">
        <v>44834</v>
      </c>
      <c r="L4893" t="s">
        <v>29</v>
      </c>
      <c r="M4893" t="s">
        <v>5331</v>
      </c>
      <c r="N4893" s="9">
        <v>44778</v>
      </c>
      <c r="O4893" s="9">
        <v>44834</v>
      </c>
      <c r="P4893"/>
      <c r="Q4893"/>
      <c r="R4893"/>
      <c r="S4893"/>
      <c r="T4893"/>
      <c r="U4893"/>
    </row>
    <row r="4894" spans="1:21" hidden="1">
      <c r="A4894" s="7" t="s">
        <v>8825</v>
      </c>
      <c r="B4894" s="7" t="s">
        <v>5405</v>
      </c>
      <c r="C4894" s="8" t="s">
        <v>5319</v>
      </c>
      <c r="D4894" t="s">
        <v>272</v>
      </c>
      <c r="E4894" t="s">
        <v>25</v>
      </c>
      <c r="F4894" t="s">
        <v>111</v>
      </c>
      <c r="G4894" t="s">
        <v>2340</v>
      </c>
      <c r="H4894" s="9">
        <v>44733</v>
      </c>
      <c r="I4894" t="s">
        <v>8634</v>
      </c>
      <c r="J4894" t="s">
        <v>2</v>
      </c>
      <c r="K4894" s="9">
        <v>44834</v>
      </c>
      <c r="L4894" t="s">
        <v>29</v>
      </c>
      <c r="M4894" t="s">
        <v>5331</v>
      </c>
      <c r="N4894" s="9">
        <v>44778</v>
      </c>
      <c r="O4894" s="9">
        <v>44834</v>
      </c>
      <c r="P4894"/>
      <c r="Q4894"/>
      <c r="R4894"/>
      <c r="S4894"/>
      <c r="T4894"/>
      <c r="U4894"/>
    </row>
    <row r="4895" spans="1:21" hidden="1">
      <c r="A4895" s="7" t="s">
        <v>8758</v>
      </c>
      <c r="B4895" s="7" t="s">
        <v>5405</v>
      </c>
      <c r="C4895" s="8" t="s">
        <v>5319</v>
      </c>
      <c r="D4895" t="s">
        <v>272</v>
      </c>
      <c r="E4895" t="s">
        <v>25</v>
      </c>
      <c r="F4895" t="s">
        <v>493</v>
      </c>
      <c r="G4895" t="s">
        <v>1409</v>
      </c>
      <c r="H4895" s="9">
        <v>44733</v>
      </c>
      <c r="I4895" t="s">
        <v>8634</v>
      </c>
      <c r="J4895" t="s">
        <v>0</v>
      </c>
      <c r="K4895" s="9">
        <v>44862</v>
      </c>
      <c r="L4895" t="s">
        <v>29</v>
      </c>
      <c r="M4895"/>
      <c r="N4895" s="9">
        <v>44778</v>
      </c>
      <c r="O4895" s="9">
        <v>44834</v>
      </c>
      <c r="P4895"/>
      <c r="Q4895" s="9">
        <v>44862</v>
      </c>
      <c r="R4895"/>
      <c r="S4895"/>
      <c r="T4895"/>
      <c r="U4895"/>
    </row>
    <row r="4896" spans="1:21" hidden="1">
      <c r="A4896" s="7" t="s">
        <v>8758</v>
      </c>
      <c r="B4896" s="7" t="s">
        <v>5405</v>
      </c>
      <c r="C4896" s="8" t="s">
        <v>5319</v>
      </c>
      <c r="D4896" t="s">
        <v>272</v>
      </c>
      <c r="E4896" t="s">
        <v>25</v>
      </c>
      <c r="F4896" t="s">
        <v>493</v>
      </c>
      <c r="G4896" t="s">
        <v>1411</v>
      </c>
      <c r="H4896" s="9">
        <v>44733</v>
      </c>
      <c r="I4896" t="s">
        <v>8634</v>
      </c>
      <c r="J4896" t="s">
        <v>0</v>
      </c>
      <c r="K4896" s="9">
        <v>44862</v>
      </c>
      <c r="L4896" t="s">
        <v>29</v>
      </c>
      <c r="M4896"/>
      <c r="N4896" s="9">
        <v>44778</v>
      </c>
      <c r="O4896" s="9">
        <v>44834</v>
      </c>
      <c r="P4896"/>
      <c r="Q4896" s="9">
        <v>44862</v>
      </c>
      <c r="R4896"/>
      <c r="S4896"/>
      <c r="T4896"/>
      <c r="U4896"/>
    </row>
    <row r="4897" spans="1:21" hidden="1">
      <c r="A4897" s="7" t="s">
        <v>8758</v>
      </c>
      <c r="B4897" s="7" t="s">
        <v>5405</v>
      </c>
      <c r="C4897" s="8" t="s">
        <v>5319</v>
      </c>
      <c r="D4897" t="s">
        <v>272</v>
      </c>
      <c r="E4897" t="s">
        <v>25</v>
      </c>
      <c r="F4897" t="s">
        <v>493</v>
      </c>
      <c r="G4897" t="s">
        <v>1413</v>
      </c>
      <c r="H4897" s="9">
        <v>44733</v>
      </c>
      <c r="I4897" t="s">
        <v>8634</v>
      </c>
      <c r="J4897" t="s">
        <v>0</v>
      </c>
      <c r="K4897" s="9">
        <v>44862</v>
      </c>
      <c r="L4897" t="s">
        <v>29</v>
      </c>
      <c r="M4897"/>
      <c r="N4897" s="9">
        <v>44778</v>
      </c>
      <c r="O4897" s="9">
        <v>44834</v>
      </c>
      <c r="P4897"/>
      <c r="Q4897" s="9">
        <v>44862</v>
      </c>
      <c r="R4897"/>
      <c r="S4897"/>
      <c r="T4897"/>
      <c r="U4897"/>
    </row>
    <row r="4898" spans="1:21" hidden="1">
      <c r="A4898" s="7" t="s">
        <v>8758</v>
      </c>
      <c r="B4898" s="7" t="s">
        <v>5405</v>
      </c>
      <c r="C4898" s="8" t="s">
        <v>5319</v>
      </c>
      <c r="D4898" t="s">
        <v>272</v>
      </c>
      <c r="E4898" t="s">
        <v>25</v>
      </c>
      <c r="F4898" t="s">
        <v>493</v>
      </c>
      <c r="G4898" t="s">
        <v>2341</v>
      </c>
      <c r="H4898" s="9">
        <v>44733</v>
      </c>
      <c r="I4898" t="s">
        <v>8634</v>
      </c>
      <c r="J4898" t="s">
        <v>0</v>
      </c>
      <c r="K4898" s="9">
        <v>44862</v>
      </c>
      <c r="L4898" t="s">
        <v>29</v>
      </c>
      <c r="M4898"/>
      <c r="N4898" s="9">
        <v>44778</v>
      </c>
      <c r="O4898" s="9">
        <v>44834</v>
      </c>
      <c r="P4898"/>
      <c r="Q4898" s="9">
        <v>44862</v>
      </c>
      <c r="R4898"/>
      <c r="S4898"/>
      <c r="T4898"/>
      <c r="U4898"/>
    </row>
    <row r="4899" spans="1:21" hidden="1">
      <c r="A4899" s="7" t="s">
        <v>8866</v>
      </c>
      <c r="B4899" s="7" t="s">
        <v>6820</v>
      </c>
      <c r="C4899" s="8" t="s">
        <v>5319</v>
      </c>
      <c r="D4899" t="s">
        <v>272</v>
      </c>
      <c r="E4899" t="s">
        <v>892</v>
      </c>
      <c r="F4899" t="s">
        <v>75</v>
      </c>
      <c r="G4899" t="s">
        <v>2342</v>
      </c>
      <c r="H4899" s="9">
        <v>44733</v>
      </c>
      <c r="I4899" t="s">
        <v>99</v>
      </c>
      <c r="J4899" t="s">
        <v>2</v>
      </c>
      <c r="K4899" s="9">
        <v>44834</v>
      </c>
      <c r="L4899" t="s">
        <v>29</v>
      </c>
      <c r="M4899" t="s">
        <v>5331</v>
      </c>
      <c r="N4899" s="9">
        <v>44778</v>
      </c>
      <c r="O4899" s="9">
        <v>44834</v>
      </c>
      <c r="P4899"/>
      <c r="Q4899"/>
      <c r="R4899"/>
      <c r="S4899"/>
      <c r="T4899"/>
      <c r="U4899"/>
    </row>
    <row r="4900" spans="1:21" hidden="1">
      <c r="A4900" s="7" t="s">
        <v>8866</v>
      </c>
      <c r="B4900" s="7" t="s">
        <v>6820</v>
      </c>
      <c r="C4900" s="8" t="s">
        <v>5319</v>
      </c>
      <c r="D4900" t="s">
        <v>272</v>
      </c>
      <c r="E4900" t="s">
        <v>892</v>
      </c>
      <c r="F4900" t="s">
        <v>75</v>
      </c>
      <c r="G4900" t="s">
        <v>2343</v>
      </c>
      <c r="H4900" s="9">
        <v>44733</v>
      </c>
      <c r="I4900" t="s">
        <v>99</v>
      </c>
      <c r="J4900" t="s">
        <v>2</v>
      </c>
      <c r="K4900" s="9">
        <v>44834</v>
      </c>
      <c r="L4900" t="s">
        <v>29</v>
      </c>
      <c r="M4900" t="s">
        <v>5331</v>
      </c>
      <c r="N4900" s="9">
        <v>44778</v>
      </c>
      <c r="O4900" s="9">
        <v>44834</v>
      </c>
      <c r="P4900"/>
      <c r="Q4900"/>
      <c r="R4900"/>
      <c r="S4900"/>
      <c r="T4900"/>
      <c r="U4900"/>
    </row>
    <row r="4901" spans="1:21" hidden="1">
      <c r="A4901" s="7" t="s">
        <v>8866</v>
      </c>
      <c r="B4901" s="7" t="s">
        <v>6820</v>
      </c>
      <c r="C4901" s="8" t="s">
        <v>5319</v>
      </c>
      <c r="D4901" t="s">
        <v>272</v>
      </c>
      <c r="E4901" t="s">
        <v>892</v>
      </c>
      <c r="F4901" t="s">
        <v>75</v>
      </c>
      <c r="G4901" t="s">
        <v>2344</v>
      </c>
      <c r="H4901" s="9">
        <v>44733</v>
      </c>
      <c r="I4901" t="s">
        <v>99</v>
      </c>
      <c r="J4901" t="s">
        <v>2</v>
      </c>
      <c r="K4901" s="9">
        <v>44834</v>
      </c>
      <c r="L4901" t="s">
        <v>29</v>
      </c>
      <c r="M4901" t="s">
        <v>5331</v>
      </c>
      <c r="N4901" s="9">
        <v>44778</v>
      </c>
      <c r="O4901" s="9">
        <v>44834</v>
      </c>
      <c r="P4901"/>
      <c r="Q4901"/>
      <c r="R4901"/>
      <c r="S4901"/>
      <c r="T4901"/>
      <c r="U4901"/>
    </row>
    <row r="4902" spans="1:21" hidden="1">
      <c r="A4902" s="7" t="s">
        <v>8866</v>
      </c>
      <c r="B4902" s="7" t="s">
        <v>6820</v>
      </c>
      <c r="C4902" s="8" t="s">
        <v>5319</v>
      </c>
      <c r="D4902" t="s">
        <v>272</v>
      </c>
      <c r="E4902" t="s">
        <v>892</v>
      </c>
      <c r="F4902" t="s">
        <v>75</v>
      </c>
      <c r="G4902" t="s">
        <v>2345</v>
      </c>
      <c r="H4902" s="9">
        <v>44733</v>
      </c>
      <c r="I4902" t="s">
        <v>99</v>
      </c>
      <c r="J4902" t="s">
        <v>2</v>
      </c>
      <c r="K4902" s="9">
        <v>44834</v>
      </c>
      <c r="L4902" t="s">
        <v>29</v>
      </c>
      <c r="M4902" t="s">
        <v>5331</v>
      </c>
      <c r="N4902" s="9">
        <v>44778</v>
      </c>
      <c r="O4902" s="9">
        <v>44834</v>
      </c>
      <c r="P4902"/>
      <c r="Q4902"/>
      <c r="R4902"/>
      <c r="S4902"/>
      <c r="T4902"/>
      <c r="U4902"/>
    </row>
    <row r="4903" spans="1:21" hidden="1">
      <c r="A4903" s="7" t="s">
        <v>8866</v>
      </c>
      <c r="B4903" s="7" t="s">
        <v>6820</v>
      </c>
      <c r="C4903" s="8" t="s">
        <v>5319</v>
      </c>
      <c r="D4903" t="s">
        <v>272</v>
      </c>
      <c r="E4903" t="s">
        <v>892</v>
      </c>
      <c r="F4903" t="s">
        <v>75</v>
      </c>
      <c r="G4903" t="s">
        <v>2346</v>
      </c>
      <c r="H4903" s="9">
        <v>44733</v>
      </c>
      <c r="I4903" t="s">
        <v>99</v>
      </c>
      <c r="J4903" t="s">
        <v>2</v>
      </c>
      <c r="K4903" s="9">
        <v>44834</v>
      </c>
      <c r="L4903" t="s">
        <v>29</v>
      </c>
      <c r="M4903" t="s">
        <v>5331</v>
      </c>
      <c r="N4903" s="9">
        <v>44778</v>
      </c>
      <c r="O4903" s="9">
        <v>44834</v>
      </c>
      <c r="P4903"/>
      <c r="Q4903"/>
      <c r="R4903"/>
      <c r="S4903"/>
      <c r="T4903"/>
      <c r="U4903"/>
    </row>
    <row r="4904" spans="1:21" hidden="1">
      <c r="A4904" s="7" t="s">
        <v>8866</v>
      </c>
      <c r="B4904" s="7" t="s">
        <v>6820</v>
      </c>
      <c r="C4904" s="8" t="s">
        <v>5319</v>
      </c>
      <c r="D4904" t="s">
        <v>272</v>
      </c>
      <c r="E4904" t="s">
        <v>892</v>
      </c>
      <c r="F4904" t="s">
        <v>75</v>
      </c>
      <c r="G4904" t="s">
        <v>2347</v>
      </c>
      <c r="H4904" s="9">
        <v>44733</v>
      </c>
      <c r="I4904" t="s">
        <v>99</v>
      </c>
      <c r="J4904" t="s">
        <v>2</v>
      </c>
      <c r="K4904" s="9">
        <v>44834</v>
      </c>
      <c r="L4904" t="s">
        <v>29</v>
      </c>
      <c r="M4904" t="s">
        <v>5331</v>
      </c>
      <c r="N4904" s="9">
        <v>44778</v>
      </c>
      <c r="O4904" s="9">
        <v>44834</v>
      </c>
      <c r="P4904"/>
      <c r="Q4904"/>
      <c r="R4904"/>
      <c r="S4904"/>
      <c r="T4904"/>
      <c r="U4904"/>
    </row>
    <row r="4905" spans="1:21" hidden="1">
      <c r="A4905" s="7" t="s">
        <v>8850</v>
      </c>
      <c r="B4905" s="7" t="s">
        <v>6668</v>
      </c>
      <c r="C4905" s="8" t="s">
        <v>5319</v>
      </c>
      <c r="D4905" t="s">
        <v>272</v>
      </c>
      <c r="E4905" t="s">
        <v>2183</v>
      </c>
      <c r="F4905" t="s">
        <v>2184</v>
      </c>
      <c r="G4905" t="s">
        <v>2348</v>
      </c>
      <c r="H4905" s="9">
        <v>44733</v>
      </c>
      <c r="I4905" t="s">
        <v>758</v>
      </c>
      <c r="J4905" t="s">
        <v>0</v>
      </c>
      <c r="K4905" s="9">
        <v>44792</v>
      </c>
      <c r="L4905" t="s">
        <v>29</v>
      </c>
      <c r="M4905"/>
      <c r="N4905" s="9">
        <v>44778</v>
      </c>
      <c r="O4905"/>
      <c r="P4905"/>
      <c r="Q4905" s="9">
        <v>44792</v>
      </c>
      <c r="R4905"/>
      <c r="S4905"/>
      <c r="T4905"/>
      <c r="U4905"/>
    </row>
    <row r="4906" spans="1:21" hidden="1">
      <c r="A4906" s="7" t="s">
        <v>8752</v>
      </c>
      <c r="B4906" s="7" t="s">
        <v>6707</v>
      </c>
      <c r="C4906" s="8" t="s">
        <v>5319</v>
      </c>
      <c r="D4906" t="s">
        <v>272</v>
      </c>
      <c r="E4906" t="s">
        <v>439</v>
      </c>
      <c r="F4906" t="s">
        <v>117</v>
      </c>
      <c r="G4906" t="s">
        <v>2349</v>
      </c>
      <c r="H4906" s="9">
        <v>44733</v>
      </c>
      <c r="I4906" t="s">
        <v>181</v>
      </c>
      <c r="J4906" t="s">
        <v>2</v>
      </c>
      <c r="K4906" s="9">
        <v>44834</v>
      </c>
      <c r="L4906" t="s">
        <v>29</v>
      </c>
      <c r="M4906" t="s">
        <v>5331</v>
      </c>
      <c r="N4906" s="9">
        <v>44778</v>
      </c>
      <c r="O4906" s="9">
        <v>44834</v>
      </c>
      <c r="P4906"/>
      <c r="Q4906" s="9">
        <v>44872</v>
      </c>
      <c r="R4906"/>
      <c r="S4906"/>
      <c r="T4906"/>
      <c r="U4906"/>
    </row>
    <row r="4907" spans="1:21" hidden="1">
      <c r="A4907" s="7" t="s">
        <v>8752</v>
      </c>
      <c r="B4907" s="7" t="s">
        <v>6707</v>
      </c>
      <c r="C4907" s="8" t="s">
        <v>5319</v>
      </c>
      <c r="D4907" t="s">
        <v>272</v>
      </c>
      <c r="E4907" t="s">
        <v>439</v>
      </c>
      <c r="F4907" t="s">
        <v>117</v>
      </c>
      <c r="G4907" t="s">
        <v>446</v>
      </c>
      <c r="H4907" s="9">
        <v>44733</v>
      </c>
      <c r="I4907" t="s">
        <v>181</v>
      </c>
      <c r="J4907" t="s">
        <v>2</v>
      </c>
      <c r="K4907" s="9">
        <v>44834</v>
      </c>
      <c r="L4907" t="s">
        <v>29</v>
      </c>
      <c r="M4907" t="s">
        <v>5331</v>
      </c>
      <c r="N4907" s="9">
        <v>44778</v>
      </c>
      <c r="O4907" s="9">
        <v>44834</v>
      </c>
      <c r="P4907"/>
      <c r="Q4907" s="9">
        <v>44872</v>
      </c>
      <c r="R4907"/>
      <c r="S4907"/>
      <c r="T4907"/>
      <c r="U4907"/>
    </row>
    <row r="4908" spans="1:21" hidden="1">
      <c r="A4908" s="7" t="s">
        <v>8861</v>
      </c>
      <c r="B4908" s="7" t="s">
        <v>8218</v>
      </c>
      <c r="C4908" s="8" t="s">
        <v>5319</v>
      </c>
      <c r="D4908" t="s">
        <v>272</v>
      </c>
      <c r="E4908" t="s">
        <v>2260</v>
      </c>
      <c r="F4908" t="s">
        <v>117</v>
      </c>
      <c r="G4908" t="s">
        <v>2350</v>
      </c>
      <c r="H4908" s="9">
        <v>44733</v>
      </c>
      <c r="I4908" t="s">
        <v>2262</v>
      </c>
      <c r="J4908" t="s">
        <v>276</v>
      </c>
      <c r="K4908" s="9">
        <v>44879.706469907404</v>
      </c>
      <c r="L4908" t="s">
        <v>29</v>
      </c>
      <c r="M4908" t="s">
        <v>5331</v>
      </c>
      <c r="N4908" s="9">
        <v>44778</v>
      </c>
      <c r="O4908" s="9">
        <v>44834</v>
      </c>
      <c r="P4908"/>
      <c r="Q4908" s="9">
        <v>44882</v>
      </c>
      <c r="R4908" s="9">
        <v>44879.703275462998</v>
      </c>
      <c r="S4908"/>
      <c r="T4908"/>
      <c r="U4908"/>
    </row>
    <row r="4909" spans="1:21" hidden="1">
      <c r="A4909" s="7" t="s">
        <v>8861</v>
      </c>
      <c r="B4909" s="7" t="s">
        <v>8218</v>
      </c>
      <c r="C4909" s="8" t="s">
        <v>5319</v>
      </c>
      <c r="D4909" t="s">
        <v>272</v>
      </c>
      <c r="E4909" t="s">
        <v>2260</v>
      </c>
      <c r="F4909" t="s">
        <v>117</v>
      </c>
      <c r="G4909" t="s">
        <v>2351</v>
      </c>
      <c r="H4909" s="9">
        <v>44733</v>
      </c>
      <c r="I4909" t="s">
        <v>2262</v>
      </c>
      <c r="J4909" t="s">
        <v>276</v>
      </c>
      <c r="K4909" s="9">
        <v>44879.706469907404</v>
      </c>
      <c r="L4909" t="s">
        <v>29</v>
      </c>
      <c r="M4909" t="s">
        <v>5331</v>
      </c>
      <c r="N4909" s="9">
        <v>44778</v>
      </c>
      <c r="O4909" s="9">
        <v>44834</v>
      </c>
      <c r="P4909"/>
      <c r="Q4909" s="9">
        <v>44882</v>
      </c>
      <c r="R4909" s="9">
        <v>44879.703275462998</v>
      </c>
      <c r="S4909"/>
      <c r="T4909"/>
      <c r="U4909"/>
    </row>
    <row r="4910" spans="1:21" hidden="1">
      <c r="A4910" s="7" t="s">
        <v>8768</v>
      </c>
      <c r="B4910" s="7" t="s">
        <v>6720</v>
      </c>
      <c r="C4910" s="8" t="s">
        <v>5319</v>
      </c>
      <c r="D4910" t="s">
        <v>272</v>
      </c>
      <c r="E4910" t="s">
        <v>750</v>
      </c>
      <c r="F4910" t="s">
        <v>103</v>
      </c>
      <c r="G4910" t="s">
        <v>2352</v>
      </c>
      <c r="H4910" s="9">
        <v>44733</v>
      </c>
      <c r="I4910" t="s">
        <v>43</v>
      </c>
      <c r="J4910" t="s">
        <v>0</v>
      </c>
      <c r="K4910" s="9">
        <v>44846</v>
      </c>
      <c r="L4910" t="s">
        <v>29</v>
      </c>
      <c r="M4910"/>
      <c r="N4910" s="9">
        <v>44778</v>
      </c>
      <c r="O4910" s="9">
        <v>44834</v>
      </c>
      <c r="P4910"/>
      <c r="Q4910" s="9">
        <v>44846</v>
      </c>
      <c r="R4910"/>
      <c r="S4910"/>
      <c r="T4910"/>
      <c r="U4910"/>
    </row>
    <row r="4911" spans="1:21" hidden="1">
      <c r="A4911" s="7" t="s">
        <v>8768</v>
      </c>
      <c r="B4911" s="7" t="s">
        <v>6720</v>
      </c>
      <c r="C4911" s="8" t="s">
        <v>5319</v>
      </c>
      <c r="D4911" t="s">
        <v>272</v>
      </c>
      <c r="E4911" t="s">
        <v>750</v>
      </c>
      <c r="F4911" t="s">
        <v>103</v>
      </c>
      <c r="G4911" t="s">
        <v>2353</v>
      </c>
      <c r="H4911" s="9">
        <v>44733</v>
      </c>
      <c r="I4911" t="s">
        <v>43</v>
      </c>
      <c r="J4911" t="s">
        <v>0</v>
      </c>
      <c r="K4911" s="9">
        <v>44846</v>
      </c>
      <c r="L4911" t="s">
        <v>29</v>
      </c>
      <c r="M4911"/>
      <c r="N4911" s="9">
        <v>44778</v>
      </c>
      <c r="O4911" s="9">
        <v>44834</v>
      </c>
      <c r="P4911"/>
      <c r="Q4911" s="9">
        <v>44846</v>
      </c>
      <c r="R4911"/>
      <c r="S4911"/>
      <c r="T4911"/>
      <c r="U4911"/>
    </row>
    <row r="4912" spans="1:21" hidden="1">
      <c r="A4912" s="7" t="s">
        <v>8768</v>
      </c>
      <c r="B4912" s="7" t="s">
        <v>6720</v>
      </c>
      <c r="C4912" s="8" t="s">
        <v>5319</v>
      </c>
      <c r="D4912" t="s">
        <v>272</v>
      </c>
      <c r="E4912" t="s">
        <v>750</v>
      </c>
      <c r="F4912" t="s">
        <v>103</v>
      </c>
      <c r="G4912" t="s">
        <v>2354</v>
      </c>
      <c r="H4912" s="9">
        <v>44733</v>
      </c>
      <c r="I4912" t="s">
        <v>43</v>
      </c>
      <c r="J4912" t="s">
        <v>0</v>
      </c>
      <c r="K4912" s="9">
        <v>44846</v>
      </c>
      <c r="L4912" t="s">
        <v>29</v>
      </c>
      <c r="M4912"/>
      <c r="N4912" s="9">
        <v>44778</v>
      </c>
      <c r="O4912" s="9">
        <v>44834</v>
      </c>
      <c r="P4912"/>
      <c r="Q4912" s="9">
        <v>44846</v>
      </c>
      <c r="R4912"/>
      <c r="S4912"/>
      <c r="T4912"/>
      <c r="U4912"/>
    </row>
    <row r="4913" spans="1:21" hidden="1">
      <c r="A4913" s="7" t="s">
        <v>8768</v>
      </c>
      <c r="B4913" s="7" t="s">
        <v>6720</v>
      </c>
      <c r="C4913" s="8" t="s">
        <v>5319</v>
      </c>
      <c r="D4913" t="s">
        <v>272</v>
      </c>
      <c r="E4913" t="s">
        <v>750</v>
      </c>
      <c r="F4913" t="s">
        <v>103</v>
      </c>
      <c r="G4913" t="s">
        <v>2355</v>
      </c>
      <c r="H4913" s="9">
        <v>44733</v>
      </c>
      <c r="I4913" t="s">
        <v>43</v>
      </c>
      <c r="J4913" t="s">
        <v>0</v>
      </c>
      <c r="K4913" s="9">
        <v>44846</v>
      </c>
      <c r="L4913" t="s">
        <v>29</v>
      </c>
      <c r="M4913"/>
      <c r="N4913" s="9">
        <v>44778</v>
      </c>
      <c r="O4913" s="9">
        <v>44834</v>
      </c>
      <c r="P4913"/>
      <c r="Q4913" s="9">
        <v>44846</v>
      </c>
      <c r="R4913"/>
      <c r="S4913"/>
      <c r="T4913"/>
      <c r="U4913"/>
    </row>
    <row r="4914" spans="1:21" hidden="1">
      <c r="A4914" s="7" t="s">
        <v>8768</v>
      </c>
      <c r="B4914" s="7" t="s">
        <v>6720</v>
      </c>
      <c r="C4914" s="8" t="s">
        <v>5319</v>
      </c>
      <c r="D4914" t="s">
        <v>272</v>
      </c>
      <c r="E4914" t="s">
        <v>750</v>
      </c>
      <c r="F4914" t="s">
        <v>103</v>
      </c>
      <c r="G4914" t="s">
        <v>2356</v>
      </c>
      <c r="H4914" s="9">
        <v>44733</v>
      </c>
      <c r="I4914" t="s">
        <v>43</v>
      </c>
      <c r="J4914" t="s">
        <v>0</v>
      </c>
      <c r="K4914" s="9">
        <v>44846</v>
      </c>
      <c r="L4914" t="s">
        <v>29</v>
      </c>
      <c r="M4914"/>
      <c r="N4914" s="9">
        <v>44778</v>
      </c>
      <c r="O4914" s="9">
        <v>44834</v>
      </c>
      <c r="P4914"/>
      <c r="Q4914" s="9">
        <v>44846</v>
      </c>
      <c r="R4914"/>
      <c r="S4914"/>
      <c r="T4914"/>
      <c r="U4914"/>
    </row>
    <row r="4915" spans="1:21" hidden="1">
      <c r="A4915" s="7" t="s">
        <v>8768</v>
      </c>
      <c r="B4915" s="7" t="s">
        <v>6720</v>
      </c>
      <c r="C4915" s="8" t="s">
        <v>5319</v>
      </c>
      <c r="D4915" t="s">
        <v>272</v>
      </c>
      <c r="E4915" t="s">
        <v>750</v>
      </c>
      <c r="F4915" t="s">
        <v>103</v>
      </c>
      <c r="G4915" t="s">
        <v>2357</v>
      </c>
      <c r="H4915" s="9">
        <v>44733</v>
      </c>
      <c r="I4915" t="s">
        <v>43</v>
      </c>
      <c r="J4915" t="s">
        <v>0</v>
      </c>
      <c r="K4915" s="9">
        <v>44846</v>
      </c>
      <c r="L4915" t="s">
        <v>29</v>
      </c>
      <c r="M4915"/>
      <c r="N4915" s="9">
        <v>44778</v>
      </c>
      <c r="O4915" s="9">
        <v>44834</v>
      </c>
      <c r="P4915"/>
      <c r="Q4915" s="9">
        <v>44846</v>
      </c>
      <c r="R4915"/>
      <c r="S4915"/>
      <c r="T4915"/>
      <c r="U4915"/>
    </row>
    <row r="4916" spans="1:21" hidden="1">
      <c r="A4916" s="7" t="s">
        <v>8768</v>
      </c>
      <c r="B4916" s="7" t="s">
        <v>6720</v>
      </c>
      <c r="C4916" s="8" t="s">
        <v>5319</v>
      </c>
      <c r="D4916" t="s">
        <v>272</v>
      </c>
      <c r="E4916" t="s">
        <v>750</v>
      </c>
      <c r="F4916" t="s">
        <v>103</v>
      </c>
      <c r="G4916" t="s">
        <v>2358</v>
      </c>
      <c r="H4916" s="9">
        <v>44733</v>
      </c>
      <c r="I4916" t="s">
        <v>43</v>
      </c>
      <c r="J4916" t="s">
        <v>0</v>
      </c>
      <c r="K4916" s="9">
        <v>44846</v>
      </c>
      <c r="L4916" t="s">
        <v>29</v>
      </c>
      <c r="M4916"/>
      <c r="N4916" s="9">
        <v>44778</v>
      </c>
      <c r="O4916" s="9">
        <v>44834</v>
      </c>
      <c r="P4916"/>
      <c r="Q4916" s="9">
        <v>44846</v>
      </c>
      <c r="R4916"/>
      <c r="S4916"/>
      <c r="T4916"/>
      <c r="U4916"/>
    </row>
    <row r="4917" spans="1:21" hidden="1">
      <c r="A4917" s="7" t="s">
        <v>8768</v>
      </c>
      <c r="B4917" s="7" t="s">
        <v>6720</v>
      </c>
      <c r="C4917" s="8" t="s">
        <v>5319</v>
      </c>
      <c r="D4917" t="s">
        <v>272</v>
      </c>
      <c r="E4917" t="s">
        <v>750</v>
      </c>
      <c r="F4917" t="s">
        <v>103</v>
      </c>
      <c r="G4917" t="s">
        <v>2359</v>
      </c>
      <c r="H4917" s="9">
        <v>44733</v>
      </c>
      <c r="I4917" t="s">
        <v>43</v>
      </c>
      <c r="J4917" t="s">
        <v>0</v>
      </c>
      <c r="K4917" s="9">
        <v>44846</v>
      </c>
      <c r="L4917" t="s">
        <v>29</v>
      </c>
      <c r="M4917"/>
      <c r="N4917" s="9">
        <v>44778</v>
      </c>
      <c r="O4917" s="9">
        <v>44834</v>
      </c>
      <c r="P4917"/>
      <c r="Q4917" s="9">
        <v>44846</v>
      </c>
      <c r="R4917"/>
      <c r="S4917"/>
      <c r="T4917"/>
      <c r="U4917"/>
    </row>
    <row r="4918" spans="1:21" hidden="1">
      <c r="A4918" s="7" t="s">
        <v>8867</v>
      </c>
      <c r="B4918" s="7" t="s">
        <v>7140</v>
      </c>
      <c r="C4918" s="8" t="s">
        <v>5319</v>
      </c>
      <c r="D4918" t="s">
        <v>272</v>
      </c>
      <c r="E4918" t="s">
        <v>2360</v>
      </c>
      <c r="F4918" t="s">
        <v>231</v>
      </c>
      <c r="G4918" t="s">
        <v>2361</v>
      </c>
      <c r="H4918" s="9">
        <v>44733</v>
      </c>
      <c r="I4918" t="s">
        <v>2362</v>
      </c>
      <c r="J4918" t="s">
        <v>2</v>
      </c>
      <c r="K4918" s="9">
        <v>44834</v>
      </c>
      <c r="L4918" t="s">
        <v>29</v>
      </c>
      <c r="M4918" t="s">
        <v>5331</v>
      </c>
      <c r="N4918" s="9">
        <v>44778</v>
      </c>
      <c r="O4918" s="9">
        <v>44834</v>
      </c>
      <c r="P4918"/>
      <c r="Q4918"/>
      <c r="R4918"/>
      <c r="S4918"/>
      <c r="T4918"/>
      <c r="U4918"/>
    </row>
    <row r="4919" spans="1:21" hidden="1">
      <c r="A4919" s="7" t="s">
        <v>8866</v>
      </c>
      <c r="B4919" s="7" t="s">
        <v>6820</v>
      </c>
      <c r="C4919" s="8" t="s">
        <v>5319</v>
      </c>
      <c r="D4919" t="s">
        <v>272</v>
      </c>
      <c r="E4919" t="s">
        <v>892</v>
      </c>
      <c r="F4919" t="s">
        <v>75</v>
      </c>
      <c r="G4919" t="s">
        <v>2363</v>
      </c>
      <c r="H4919" s="9">
        <v>44733</v>
      </c>
      <c r="I4919" t="s">
        <v>99</v>
      </c>
      <c r="J4919" t="s">
        <v>2</v>
      </c>
      <c r="K4919" s="9">
        <v>44834</v>
      </c>
      <c r="L4919" t="s">
        <v>29</v>
      </c>
      <c r="M4919" t="s">
        <v>5331</v>
      </c>
      <c r="N4919" s="9">
        <v>44778</v>
      </c>
      <c r="O4919" s="9">
        <v>44834</v>
      </c>
      <c r="P4919"/>
      <c r="Q4919"/>
      <c r="R4919"/>
      <c r="S4919"/>
      <c r="T4919"/>
      <c r="U4919"/>
    </row>
    <row r="4920" spans="1:21" hidden="1">
      <c r="A4920" s="7" t="s">
        <v>8866</v>
      </c>
      <c r="B4920" s="7" t="s">
        <v>6820</v>
      </c>
      <c r="C4920" s="8" t="s">
        <v>5319</v>
      </c>
      <c r="D4920" t="s">
        <v>272</v>
      </c>
      <c r="E4920" t="s">
        <v>892</v>
      </c>
      <c r="F4920" t="s">
        <v>75</v>
      </c>
      <c r="G4920" t="s">
        <v>2364</v>
      </c>
      <c r="H4920" s="9">
        <v>44733</v>
      </c>
      <c r="I4920" t="s">
        <v>99</v>
      </c>
      <c r="J4920" t="s">
        <v>2</v>
      </c>
      <c r="K4920" s="9">
        <v>44834</v>
      </c>
      <c r="L4920" t="s">
        <v>29</v>
      </c>
      <c r="M4920" t="s">
        <v>5331</v>
      </c>
      <c r="N4920" s="9">
        <v>44778</v>
      </c>
      <c r="O4920" s="9">
        <v>44834</v>
      </c>
      <c r="P4920"/>
      <c r="Q4920"/>
      <c r="R4920"/>
      <c r="S4920"/>
      <c r="T4920"/>
      <c r="U4920"/>
    </row>
    <row r="4921" spans="1:21" hidden="1">
      <c r="A4921" s="7" t="s">
        <v>8850</v>
      </c>
      <c r="B4921" s="7" t="s">
        <v>6668</v>
      </c>
      <c r="C4921" s="8" t="s">
        <v>5319</v>
      </c>
      <c r="D4921" t="s">
        <v>272</v>
      </c>
      <c r="E4921" t="s">
        <v>2183</v>
      </c>
      <c r="F4921" t="s">
        <v>2184</v>
      </c>
      <c r="G4921" t="s">
        <v>2365</v>
      </c>
      <c r="H4921" s="9">
        <v>44733</v>
      </c>
      <c r="I4921" t="s">
        <v>758</v>
      </c>
      <c r="J4921" t="s">
        <v>0</v>
      </c>
      <c r="K4921" s="9">
        <v>44792</v>
      </c>
      <c r="L4921" t="s">
        <v>29</v>
      </c>
      <c r="M4921"/>
      <c r="N4921" s="9">
        <v>44778</v>
      </c>
      <c r="O4921"/>
      <c r="P4921"/>
      <c r="Q4921" s="9">
        <v>44792</v>
      </c>
      <c r="R4921"/>
      <c r="S4921"/>
      <c r="T4921"/>
      <c r="U4921"/>
    </row>
    <row r="4922" spans="1:21" hidden="1">
      <c r="A4922" s="7" t="s">
        <v>8752</v>
      </c>
      <c r="B4922" s="7" t="s">
        <v>6707</v>
      </c>
      <c r="C4922" s="8" t="s">
        <v>5319</v>
      </c>
      <c r="D4922" t="s">
        <v>272</v>
      </c>
      <c r="E4922" t="s">
        <v>439</v>
      </c>
      <c r="F4922" t="s">
        <v>117</v>
      </c>
      <c r="G4922" t="s">
        <v>2366</v>
      </c>
      <c r="H4922" s="9">
        <v>44733</v>
      </c>
      <c r="I4922" t="s">
        <v>181</v>
      </c>
      <c r="J4922" t="s">
        <v>2</v>
      </c>
      <c r="K4922" s="9">
        <v>44834</v>
      </c>
      <c r="L4922" t="s">
        <v>29</v>
      </c>
      <c r="M4922" t="s">
        <v>5331</v>
      </c>
      <c r="N4922" s="9">
        <v>44778</v>
      </c>
      <c r="O4922" s="9">
        <v>44834</v>
      </c>
      <c r="P4922"/>
      <c r="Q4922" s="9">
        <v>44872</v>
      </c>
      <c r="R4922"/>
      <c r="S4922"/>
      <c r="T4922"/>
      <c r="U4922"/>
    </row>
    <row r="4923" spans="1:21" hidden="1">
      <c r="A4923" s="7" t="s">
        <v>8849</v>
      </c>
      <c r="B4923" s="7" t="s">
        <v>6805</v>
      </c>
      <c r="C4923" s="8" t="s">
        <v>5319</v>
      </c>
      <c r="D4923" t="s">
        <v>272</v>
      </c>
      <c r="E4923" t="s">
        <v>2175</v>
      </c>
      <c r="F4923" t="s">
        <v>75</v>
      </c>
      <c r="G4923" t="s">
        <v>2367</v>
      </c>
      <c r="H4923" s="9">
        <v>44733</v>
      </c>
      <c r="I4923" t="s">
        <v>488</v>
      </c>
      <c r="J4923" t="s">
        <v>2</v>
      </c>
      <c r="K4923" s="9">
        <v>44834</v>
      </c>
      <c r="L4923" t="s">
        <v>29</v>
      </c>
      <c r="M4923" t="s">
        <v>5331</v>
      </c>
      <c r="N4923" s="9">
        <v>44778</v>
      </c>
      <c r="O4923" s="9">
        <v>44834</v>
      </c>
      <c r="P4923"/>
      <c r="Q4923"/>
      <c r="R4923"/>
      <c r="S4923"/>
      <c r="T4923"/>
      <c r="U4923"/>
    </row>
    <row r="4924" spans="1:21" hidden="1">
      <c r="A4924" s="7" t="s">
        <v>8768</v>
      </c>
      <c r="B4924" s="7" t="s">
        <v>6720</v>
      </c>
      <c r="C4924" s="8" t="s">
        <v>5319</v>
      </c>
      <c r="D4924" t="s">
        <v>272</v>
      </c>
      <c r="E4924" t="s">
        <v>750</v>
      </c>
      <c r="F4924" t="s">
        <v>103</v>
      </c>
      <c r="G4924" t="s">
        <v>2368</v>
      </c>
      <c r="H4924" s="9">
        <v>44733</v>
      </c>
      <c r="I4924" t="s">
        <v>43</v>
      </c>
      <c r="J4924" t="s">
        <v>0</v>
      </c>
      <c r="K4924" s="9">
        <v>44846</v>
      </c>
      <c r="L4924" t="s">
        <v>29</v>
      </c>
      <c r="M4924"/>
      <c r="N4924" s="9">
        <v>44778</v>
      </c>
      <c r="O4924" s="9">
        <v>44834</v>
      </c>
      <c r="P4924"/>
      <c r="Q4924" s="9">
        <v>44846</v>
      </c>
      <c r="R4924"/>
      <c r="S4924"/>
      <c r="T4924"/>
      <c r="U4924"/>
    </row>
    <row r="4925" spans="1:21" hidden="1">
      <c r="A4925" s="7" t="s">
        <v>8768</v>
      </c>
      <c r="B4925" s="7" t="s">
        <v>6720</v>
      </c>
      <c r="C4925" s="8" t="s">
        <v>5319</v>
      </c>
      <c r="D4925" t="s">
        <v>272</v>
      </c>
      <c r="E4925" t="s">
        <v>750</v>
      </c>
      <c r="F4925" t="s">
        <v>103</v>
      </c>
      <c r="G4925" t="s">
        <v>2369</v>
      </c>
      <c r="H4925" s="9">
        <v>44733</v>
      </c>
      <c r="I4925" t="s">
        <v>43</v>
      </c>
      <c r="J4925" t="s">
        <v>0</v>
      </c>
      <c r="K4925" s="9">
        <v>44846</v>
      </c>
      <c r="L4925" t="s">
        <v>29</v>
      </c>
      <c r="M4925"/>
      <c r="N4925" s="9">
        <v>44778</v>
      </c>
      <c r="O4925" s="9">
        <v>44834</v>
      </c>
      <c r="P4925"/>
      <c r="Q4925" s="9">
        <v>44846</v>
      </c>
      <c r="R4925"/>
      <c r="S4925"/>
      <c r="T4925"/>
      <c r="U4925"/>
    </row>
    <row r="4926" spans="1:21" hidden="1">
      <c r="A4926" s="7" t="s">
        <v>8768</v>
      </c>
      <c r="B4926" s="7" t="s">
        <v>6720</v>
      </c>
      <c r="C4926" s="8" t="s">
        <v>5319</v>
      </c>
      <c r="D4926" t="s">
        <v>272</v>
      </c>
      <c r="E4926" t="s">
        <v>750</v>
      </c>
      <c r="F4926" t="s">
        <v>103</v>
      </c>
      <c r="G4926" t="s">
        <v>2370</v>
      </c>
      <c r="H4926" s="9">
        <v>44733</v>
      </c>
      <c r="I4926" t="s">
        <v>43</v>
      </c>
      <c r="J4926" t="s">
        <v>0</v>
      </c>
      <c r="K4926" s="9">
        <v>44846</v>
      </c>
      <c r="L4926" t="s">
        <v>29</v>
      </c>
      <c r="M4926"/>
      <c r="N4926" s="9">
        <v>44778</v>
      </c>
      <c r="O4926" s="9">
        <v>44834</v>
      </c>
      <c r="P4926"/>
      <c r="Q4926" s="9">
        <v>44846</v>
      </c>
      <c r="R4926"/>
      <c r="S4926"/>
      <c r="T4926"/>
      <c r="U4926"/>
    </row>
    <row r="4927" spans="1:21" hidden="1">
      <c r="A4927" s="7" t="s">
        <v>8768</v>
      </c>
      <c r="B4927" s="7" t="s">
        <v>6720</v>
      </c>
      <c r="C4927" s="8" t="s">
        <v>5319</v>
      </c>
      <c r="D4927" t="s">
        <v>272</v>
      </c>
      <c r="E4927" t="s">
        <v>750</v>
      </c>
      <c r="F4927" t="s">
        <v>103</v>
      </c>
      <c r="G4927" t="s">
        <v>2371</v>
      </c>
      <c r="H4927" s="9">
        <v>44733</v>
      </c>
      <c r="I4927" t="s">
        <v>43</v>
      </c>
      <c r="J4927" t="s">
        <v>0</v>
      </c>
      <c r="K4927" s="9">
        <v>44846</v>
      </c>
      <c r="L4927" t="s">
        <v>29</v>
      </c>
      <c r="M4927"/>
      <c r="N4927" s="9">
        <v>44778</v>
      </c>
      <c r="O4927" s="9">
        <v>44834</v>
      </c>
      <c r="P4927"/>
      <c r="Q4927" s="9">
        <v>44846</v>
      </c>
      <c r="R4927"/>
      <c r="S4927"/>
      <c r="T4927"/>
      <c r="U4927"/>
    </row>
    <row r="4928" spans="1:21" hidden="1">
      <c r="A4928" s="7" t="s">
        <v>8768</v>
      </c>
      <c r="B4928" s="7" t="s">
        <v>6720</v>
      </c>
      <c r="C4928" s="8" t="s">
        <v>5319</v>
      </c>
      <c r="D4928" t="s">
        <v>272</v>
      </c>
      <c r="E4928" t="s">
        <v>750</v>
      </c>
      <c r="F4928" t="s">
        <v>103</v>
      </c>
      <c r="G4928" t="s">
        <v>2372</v>
      </c>
      <c r="H4928" s="9">
        <v>44733</v>
      </c>
      <c r="I4928" t="s">
        <v>43</v>
      </c>
      <c r="J4928" t="s">
        <v>0</v>
      </c>
      <c r="K4928" s="9">
        <v>44846</v>
      </c>
      <c r="L4928" t="s">
        <v>29</v>
      </c>
      <c r="M4928"/>
      <c r="N4928" s="9">
        <v>44778</v>
      </c>
      <c r="O4928" s="9">
        <v>44834</v>
      </c>
      <c r="P4928"/>
      <c r="Q4928" s="9">
        <v>44846</v>
      </c>
      <c r="R4928"/>
      <c r="S4928"/>
      <c r="T4928"/>
      <c r="U4928"/>
    </row>
    <row r="4929" spans="1:21" hidden="1">
      <c r="A4929" s="7" t="s">
        <v>8768</v>
      </c>
      <c r="B4929" s="7" t="s">
        <v>6720</v>
      </c>
      <c r="C4929" s="8" t="s">
        <v>5319</v>
      </c>
      <c r="D4929" t="s">
        <v>272</v>
      </c>
      <c r="E4929" t="s">
        <v>750</v>
      </c>
      <c r="F4929" t="s">
        <v>103</v>
      </c>
      <c r="G4929" t="s">
        <v>2373</v>
      </c>
      <c r="H4929" s="9">
        <v>44733</v>
      </c>
      <c r="I4929" t="s">
        <v>43</v>
      </c>
      <c r="J4929" t="s">
        <v>0</v>
      </c>
      <c r="K4929" s="9">
        <v>44846</v>
      </c>
      <c r="L4929" t="s">
        <v>29</v>
      </c>
      <c r="M4929"/>
      <c r="N4929" s="9">
        <v>44778</v>
      </c>
      <c r="O4929" s="9">
        <v>44834</v>
      </c>
      <c r="P4929"/>
      <c r="Q4929" s="9">
        <v>44846</v>
      </c>
      <c r="R4929"/>
      <c r="S4929"/>
      <c r="T4929"/>
      <c r="U4929"/>
    </row>
    <row r="4930" spans="1:21" hidden="1">
      <c r="A4930" s="7" t="s">
        <v>8768</v>
      </c>
      <c r="B4930" s="7" t="s">
        <v>6720</v>
      </c>
      <c r="C4930" s="8" t="s">
        <v>5319</v>
      </c>
      <c r="D4930" t="s">
        <v>272</v>
      </c>
      <c r="E4930" t="s">
        <v>750</v>
      </c>
      <c r="F4930" t="s">
        <v>103</v>
      </c>
      <c r="G4930" t="s">
        <v>2374</v>
      </c>
      <c r="H4930" s="9">
        <v>44733</v>
      </c>
      <c r="I4930" t="s">
        <v>43</v>
      </c>
      <c r="J4930" t="s">
        <v>0</v>
      </c>
      <c r="K4930" s="9">
        <v>44846</v>
      </c>
      <c r="L4930" t="s">
        <v>29</v>
      </c>
      <c r="M4930"/>
      <c r="N4930" s="9">
        <v>44778</v>
      </c>
      <c r="O4930" s="9">
        <v>44834</v>
      </c>
      <c r="P4930"/>
      <c r="Q4930" s="9">
        <v>44846</v>
      </c>
      <c r="R4930"/>
      <c r="S4930"/>
      <c r="T4930"/>
      <c r="U4930"/>
    </row>
    <row r="4931" spans="1:21" hidden="1">
      <c r="A4931" s="7" t="s">
        <v>8768</v>
      </c>
      <c r="B4931" s="7" t="s">
        <v>6720</v>
      </c>
      <c r="C4931" s="8" t="s">
        <v>5319</v>
      </c>
      <c r="D4931" t="s">
        <v>272</v>
      </c>
      <c r="E4931" t="s">
        <v>750</v>
      </c>
      <c r="F4931" t="s">
        <v>103</v>
      </c>
      <c r="G4931" t="s">
        <v>2375</v>
      </c>
      <c r="H4931" s="9">
        <v>44733</v>
      </c>
      <c r="I4931" t="s">
        <v>43</v>
      </c>
      <c r="J4931" t="s">
        <v>0</v>
      </c>
      <c r="K4931" s="9">
        <v>44846</v>
      </c>
      <c r="L4931" t="s">
        <v>29</v>
      </c>
      <c r="M4931"/>
      <c r="N4931" s="9">
        <v>44778</v>
      </c>
      <c r="O4931" s="9">
        <v>44834</v>
      </c>
      <c r="P4931"/>
      <c r="Q4931" s="9">
        <v>44846</v>
      </c>
      <c r="R4931"/>
      <c r="S4931"/>
      <c r="T4931"/>
      <c r="U4931"/>
    </row>
    <row r="4932" spans="1:21" hidden="1">
      <c r="A4932" s="7" t="s">
        <v>8768</v>
      </c>
      <c r="B4932" s="7" t="s">
        <v>6720</v>
      </c>
      <c r="C4932" s="8" t="s">
        <v>5319</v>
      </c>
      <c r="D4932" t="s">
        <v>272</v>
      </c>
      <c r="E4932" t="s">
        <v>750</v>
      </c>
      <c r="F4932" t="s">
        <v>103</v>
      </c>
      <c r="G4932" t="s">
        <v>2376</v>
      </c>
      <c r="H4932" s="9">
        <v>44733</v>
      </c>
      <c r="I4932" t="s">
        <v>43</v>
      </c>
      <c r="J4932" t="s">
        <v>0</v>
      </c>
      <c r="K4932" s="9">
        <v>44846</v>
      </c>
      <c r="L4932" t="s">
        <v>29</v>
      </c>
      <c r="M4932"/>
      <c r="N4932" s="9">
        <v>44778</v>
      </c>
      <c r="O4932" s="9">
        <v>44834</v>
      </c>
      <c r="P4932"/>
      <c r="Q4932" s="9">
        <v>44846</v>
      </c>
      <c r="R4932"/>
      <c r="S4932"/>
      <c r="T4932"/>
      <c r="U4932"/>
    </row>
    <row r="4933" spans="1:21" hidden="1">
      <c r="A4933" s="7" t="s">
        <v>8851</v>
      </c>
      <c r="B4933" s="7" t="s">
        <v>6668</v>
      </c>
      <c r="C4933" s="8" t="s">
        <v>5319</v>
      </c>
      <c r="D4933" t="s">
        <v>272</v>
      </c>
      <c r="E4933" t="s">
        <v>2183</v>
      </c>
      <c r="F4933" t="s">
        <v>75</v>
      </c>
      <c r="G4933" t="s">
        <v>2377</v>
      </c>
      <c r="H4933" s="9">
        <v>44733</v>
      </c>
      <c r="I4933" t="s">
        <v>2187</v>
      </c>
      <c r="J4933" t="s">
        <v>0</v>
      </c>
      <c r="K4933" s="9">
        <v>44792</v>
      </c>
      <c r="L4933" t="s">
        <v>29</v>
      </c>
      <c r="M4933"/>
      <c r="N4933" s="9">
        <v>44778</v>
      </c>
      <c r="O4933"/>
      <c r="P4933"/>
      <c r="Q4933" s="9">
        <v>44792</v>
      </c>
      <c r="R4933"/>
      <c r="S4933"/>
      <c r="T4933"/>
      <c r="U4933"/>
    </row>
    <row r="4934" spans="1:21" hidden="1">
      <c r="A4934" s="7" t="s">
        <v>8851</v>
      </c>
      <c r="B4934" s="7" t="s">
        <v>6668</v>
      </c>
      <c r="C4934" s="8" t="s">
        <v>5319</v>
      </c>
      <c r="D4934" t="s">
        <v>272</v>
      </c>
      <c r="E4934" t="s">
        <v>2183</v>
      </c>
      <c r="F4934" t="s">
        <v>75</v>
      </c>
      <c r="G4934" t="s">
        <v>2378</v>
      </c>
      <c r="H4934" s="9">
        <v>44733</v>
      </c>
      <c r="I4934" t="s">
        <v>2187</v>
      </c>
      <c r="J4934" t="s">
        <v>0</v>
      </c>
      <c r="K4934" s="9">
        <v>44792</v>
      </c>
      <c r="L4934" t="s">
        <v>29</v>
      </c>
      <c r="M4934"/>
      <c r="N4934" s="9">
        <v>44778</v>
      </c>
      <c r="O4934"/>
      <c r="P4934"/>
      <c r="Q4934" s="9">
        <v>44792</v>
      </c>
      <c r="R4934"/>
      <c r="S4934"/>
      <c r="T4934"/>
      <c r="U4934"/>
    </row>
    <row r="4935" spans="1:21" hidden="1">
      <c r="A4935" s="7" t="s">
        <v>8851</v>
      </c>
      <c r="B4935" s="7" t="s">
        <v>6668</v>
      </c>
      <c r="C4935" s="8" t="s">
        <v>5319</v>
      </c>
      <c r="D4935" t="s">
        <v>272</v>
      </c>
      <c r="E4935" t="s">
        <v>2183</v>
      </c>
      <c r="F4935" t="s">
        <v>75</v>
      </c>
      <c r="G4935" t="s">
        <v>2379</v>
      </c>
      <c r="H4935" s="9">
        <v>44733</v>
      </c>
      <c r="I4935" t="s">
        <v>2187</v>
      </c>
      <c r="J4935" t="s">
        <v>0</v>
      </c>
      <c r="K4935" s="9">
        <v>44792</v>
      </c>
      <c r="L4935" t="s">
        <v>29</v>
      </c>
      <c r="M4935"/>
      <c r="N4935" s="9">
        <v>44778</v>
      </c>
      <c r="O4935"/>
      <c r="P4935"/>
      <c r="Q4935" s="9">
        <v>44792</v>
      </c>
      <c r="R4935"/>
      <c r="S4935"/>
      <c r="T4935"/>
      <c r="U4935"/>
    </row>
    <row r="4936" spans="1:21" hidden="1">
      <c r="A4936" s="7" t="s">
        <v>8851</v>
      </c>
      <c r="B4936" s="7" t="s">
        <v>6668</v>
      </c>
      <c r="C4936" s="8" t="s">
        <v>5319</v>
      </c>
      <c r="D4936" t="s">
        <v>272</v>
      </c>
      <c r="E4936" t="s">
        <v>2183</v>
      </c>
      <c r="F4936" t="s">
        <v>75</v>
      </c>
      <c r="G4936" t="s">
        <v>2380</v>
      </c>
      <c r="H4936" s="9">
        <v>44733</v>
      </c>
      <c r="I4936" t="s">
        <v>2187</v>
      </c>
      <c r="J4936" t="s">
        <v>0</v>
      </c>
      <c r="K4936" s="9">
        <v>44792</v>
      </c>
      <c r="L4936" t="s">
        <v>29</v>
      </c>
      <c r="M4936"/>
      <c r="N4936" s="9">
        <v>44778</v>
      </c>
      <c r="O4936"/>
      <c r="P4936"/>
      <c r="Q4936" s="9">
        <v>44792</v>
      </c>
      <c r="R4936"/>
      <c r="S4936"/>
      <c r="T4936"/>
      <c r="U4936"/>
    </row>
    <row r="4937" spans="1:21" hidden="1">
      <c r="A4937" s="7" t="s">
        <v>8768</v>
      </c>
      <c r="B4937" s="7" t="s">
        <v>6720</v>
      </c>
      <c r="C4937" s="8" t="s">
        <v>5319</v>
      </c>
      <c r="D4937" t="s">
        <v>272</v>
      </c>
      <c r="E4937" t="s">
        <v>750</v>
      </c>
      <c r="F4937" t="s">
        <v>103</v>
      </c>
      <c r="G4937" t="s">
        <v>2381</v>
      </c>
      <c r="H4937" s="9">
        <v>44733</v>
      </c>
      <c r="I4937" t="s">
        <v>43</v>
      </c>
      <c r="J4937" t="s">
        <v>0</v>
      </c>
      <c r="K4937" s="9">
        <v>44846</v>
      </c>
      <c r="L4937" t="s">
        <v>29</v>
      </c>
      <c r="M4937"/>
      <c r="N4937" s="9">
        <v>44778</v>
      </c>
      <c r="O4937" s="9">
        <v>44834</v>
      </c>
      <c r="P4937"/>
      <c r="Q4937" s="9">
        <v>44846</v>
      </c>
      <c r="R4937"/>
      <c r="S4937"/>
      <c r="T4937"/>
      <c r="U4937"/>
    </row>
    <row r="4938" spans="1:21" hidden="1">
      <c r="A4938" s="7" t="s">
        <v>8768</v>
      </c>
      <c r="B4938" s="7" t="s">
        <v>6720</v>
      </c>
      <c r="C4938" s="8" t="s">
        <v>5319</v>
      </c>
      <c r="D4938" t="s">
        <v>272</v>
      </c>
      <c r="E4938" t="s">
        <v>750</v>
      </c>
      <c r="F4938" t="s">
        <v>103</v>
      </c>
      <c r="G4938" t="s">
        <v>2382</v>
      </c>
      <c r="H4938" s="9">
        <v>44733</v>
      </c>
      <c r="I4938" t="s">
        <v>43</v>
      </c>
      <c r="J4938" t="s">
        <v>0</v>
      </c>
      <c r="K4938" s="9">
        <v>44846</v>
      </c>
      <c r="L4938" t="s">
        <v>29</v>
      </c>
      <c r="M4938"/>
      <c r="N4938" s="9">
        <v>44778</v>
      </c>
      <c r="O4938" s="9">
        <v>44834</v>
      </c>
      <c r="P4938"/>
      <c r="Q4938" s="9">
        <v>44846</v>
      </c>
      <c r="R4938"/>
      <c r="S4938"/>
      <c r="T4938"/>
      <c r="U4938"/>
    </row>
    <row r="4939" spans="1:21" hidden="1">
      <c r="A4939" s="7" t="s">
        <v>8768</v>
      </c>
      <c r="B4939" s="7" t="s">
        <v>6720</v>
      </c>
      <c r="C4939" s="8" t="s">
        <v>5319</v>
      </c>
      <c r="D4939" t="s">
        <v>272</v>
      </c>
      <c r="E4939" t="s">
        <v>750</v>
      </c>
      <c r="F4939" t="s">
        <v>103</v>
      </c>
      <c r="G4939" t="s">
        <v>2383</v>
      </c>
      <c r="H4939" s="9">
        <v>44733</v>
      </c>
      <c r="I4939" t="s">
        <v>43</v>
      </c>
      <c r="J4939" t="s">
        <v>0</v>
      </c>
      <c r="K4939" s="9">
        <v>44846</v>
      </c>
      <c r="L4939" t="s">
        <v>29</v>
      </c>
      <c r="M4939"/>
      <c r="N4939" s="9">
        <v>44778</v>
      </c>
      <c r="O4939" s="9">
        <v>44834</v>
      </c>
      <c r="P4939"/>
      <c r="Q4939" s="9">
        <v>44846</v>
      </c>
      <c r="R4939"/>
      <c r="S4939"/>
      <c r="T4939"/>
      <c r="U4939"/>
    </row>
    <row r="4940" spans="1:21" hidden="1">
      <c r="A4940" s="7" t="s">
        <v>8752</v>
      </c>
      <c r="B4940" s="7" t="s">
        <v>6707</v>
      </c>
      <c r="C4940" s="8" t="s">
        <v>5319</v>
      </c>
      <c r="D4940" t="s">
        <v>272</v>
      </c>
      <c r="E4940" t="s">
        <v>439</v>
      </c>
      <c r="F4940" t="s">
        <v>117</v>
      </c>
      <c r="G4940" t="s">
        <v>2384</v>
      </c>
      <c r="H4940" s="9">
        <v>44733</v>
      </c>
      <c r="I4940" t="s">
        <v>181</v>
      </c>
      <c r="J4940" t="s">
        <v>2</v>
      </c>
      <c r="K4940" s="9">
        <v>44834</v>
      </c>
      <c r="L4940" t="s">
        <v>29</v>
      </c>
      <c r="M4940" t="s">
        <v>5331</v>
      </c>
      <c r="N4940" s="9">
        <v>44778</v>
      </c>
      <c r="O4940" s="9">
        <v>44834</v>
      </c>
      <c r="P4940"/>
      <c r="Q4940" s="9">
        <v>44872</v>
      </c>
      <c r="R4940"/>
      <c r="S4940"/>
      <c r="T4940"/>
      <c r="U4940"/>
    </row>
    <row r="4941" spans="1:21" hidden="1">
      <c r="A4941" s="7" t="s">
        <v>8851</v>
      </c>
      <c r="B4941" s="7" t="s">
        <v>6668</v>
      </c>
      <c r="C4941" s="8" t="s">
        <v>5319</v>
      </c>
      <c r="D4941" t="s">
        <v>272</v>
      </c>
      <c r="E4941" t="s">
        <v>2183</v>
      </c>
      <c r="F4941" t="s">
        <v>75</v>
      </c>
      <c r="G4941" t="s">
        <v>2385</v>
      </c>
      <c r="H4941" s="9">
        <v>44733</v>
      </c>
      <c r="I4941" t="s">
        <v>2187</v>
      </c>
      <c r="J4941" t="s">
        <v>0</v>
      </c>
      <c r="K4941" s="9">
        <v>44792</v>
      </c>
      <c r="L4941" t="s">
        <v>29</v>
      </c>
      <c r="M4941"/>
      <c r="N4941" s="9">
        <v>44778</v>
      </c>
      <c r="O4941"/>
      <c r="P4941"/>
      <c r="Q4941" s="9">
        <v>44792</v>
      </c>
      <c r="R4941"/>
      <c r="S4941"/>
      <c r="T4941"/>
      <c r="U4941"/>
    </row>
    <row r="4942" spans="1:21" hidden="1">
      <c r="A4942" s="7" t="s">
        <v>8868</v>
      </c>
      <c r="B4942" s="7" t="s">
        <v>6764</v>
      </c>
      <c r="C4942" s="8" t="s">
        <v>5319</v>
      </c>
      <c r="D4942" t="s">
        <v>272</v>
      </c>
      <c r="E4942" t="s">
        <v>2386</v>
      </c>
      <c r="F4942" t="s">
        <v>83</v>
      </c>
      <c r="G4942" t="s">
        <v>2387</v>
      </c>
      <c r="H4942" s="9">
        <v>44733</v>
      </c>
      <c r="I4942" t="s">
        <v>2388</v>
      </c>
      <c r="J4942" t="s">
        <v>2</v>
      </c>
      <c r="K4942" s="9">
        <v>44834</v>
      </c>
      <c r="L4942" t="s">
        <v>29</v>
      </c>
      <c r="M4942" t="s">
        <v>5331</v>
      </c>
      <c r="N4942" s="9">
        <v>44778</v>
      </c>
      <c r="O4942" s="9">
        <v>44834</v>
      </c>
      <c r="P4942"/>
      <c r="Q4942"/>
      <c r="R4942"/>
      <c r="S4942"/>
      <c r="T4942"/>
      <c r="U4942"/>
    </row>
    <row r="4943" spans="1:21" hidden="1">
      <c r="A4943" s="7" t="s">
        <v>8868</v>
      </c>
      <c r="B4943" s="7" t="s">
        <v>6764</v>
      </c>
      <c r="C4943" s="8" t="s">
        <v>5319</v>
      </c>
      <c r="D4943" t="s">
        <v>272</v>
      </c>
      <c r="E4943" t="s">
        <v>2386</v>
      </c>
      <c r="F4943" t="s">
        <v>83</v>
      </c>
      <c r="G4943" t="s">
        <v>2389</v>
      </c>
      <c r="H4943" s="9">
        <v>44733</v>
      </c>
      <c r="I4943" t="s">
        <v>2388</v>
      </c>
      <c r="J4943" t="s">
        <v>2</v>
      </c>
      <c r="K4943" s="9">
        <v>44834</v>
      </c>
      <c r="L4943" t="s">
        <v>29</v>
      </c>
      <c r="M4943" t="s">
        <v>5331</v>
      </c>
      <c r="N4943" s="9">
        <v>44778</v>
      </c>
      <c r="O4943" s="9">
        <v>44834</v>
      </c>
      <c r="P4943"/>
      <c r="Q4943"/>
      <c r="R4943"/>
      <c r="S4943"/>
      <c r="T4943"/>
      <c r="U4943"/>
    </row>
    <row r="4944" spans="1:21" hidden="1">
      <c r="A4944" s="7" t="s">
        <v>8868</v>
      </c>
      <c r="B4944" s="7" t="s">
        <v>6764</v>
      </c>
      <c r="C4944" s="8" t="s">
        <v>5319</v>
      </c>
      <c r="D4944" t="s">
        <v>272</v>
      </c>
      <c r="E4944" t="s">
        <v>2386</v>
      </c>
      <c r="F4944" t="s">
        <v>83</v>
      </c>
      <c r="G4944" t="s">
        <v>2390</v>
      </c>
      <c r="H4944" s="9">
        <v>44733</v>
      </c>
      <c r="I4944" t="s">
        <v>2388</v>
      </c>
      <c r="J4944" t="s">
        <v>2</v>
      </c>
      <c r="K4944" s="9">
        <v>44834</v>
      </c>
      <c r="L4944" t="s">
        <v>29</v>
      </c>
      <c r="M4944" t="s">
        <v>5331</v>
      </c>
      <c r="N4944" s="9">
        <v>44778</v>
      </c>
      <c r="O4944" s="9">
        <v>44834</v>
      </c>
      <c r="P4944"/>
      <c r="Q4944"/>
      <c r="R4944"/>
      <c r="S4944"/>
      <c r="T4944"/>
      <c r="U4944"/>
    </row>
    <row r="4945" spans="1:21" hidden="1">
      <c r="A4945" s="7" t="s">
        <v>8868</v>
      </c>
      <c r="B4945" s="7" t="s">
        <v>6764</v>
      </c>
      <c r="C4945" s="8" t="s">
        <v>5319</v>
      </c>
      <c r="D4945" t="s">
        <v>272</v>
      </c>
      <c r="E4945" t="s">
        <v>2386</v>
      </c>
      <c r="F4945" t="s">
        <v>83</v>
      </c>
      <c r="G4945" t="s">
        <v>2391</v>
      </c>
      <c r="H4945" s="9">
        <v>44733</v>
      </c>
      <c r="I4945" t="s">
        <v>2388</v>
      </c>
      <c r="J4945" t="s">
        <v>2</v>
      </c>
      <c r="K4945" s="9">
        <v>44834</v>
      </c>
      <c r="L4945" t="s">
        <v>29</v>
      </c>
      <c r="M4945" t="s">
        <v>5331</v>
      </c>
      <c r="N4945" s="9">
        <v>44778</v>
      </c>
      <c r="O4945" s="9">
        <v>44834</v>
      </c>
      <c r="P4945"/>
      <c r="Q4945"/>
      <c r="R4945"/>
      <c r="S4945"/>
      <c r="T4945"/>
      <c r="U4945"/>
    </row>
    <row r="4946" spans="1:21" hidden="1">
      <c r="A4946" s="7" t="s">
        <v>8868</v>
      </c>
      <c r="B4946" s="7" t="s">
        <v>6764</v>
      </c>
      <c r="C4946" s="8" t="s">
        <v>5319</v>
      </c>
      <c r="D4946" t="s">
        <v>272</v>
      </c>
      <c r="E4946" t="s">
        <v>2386</v>
      </c>
      <c r="F4946" t="s">
        <v>83</v>
      </c>
      <c r="G4946" t="s">
        <v>2392</v>
      </c>
      <c r="H4946" s="9">
        <v>44733</v>
      </c>
      <c r="I4946" t="s">
        <v>2388</v>
      </c>
      <c r="J4946" t="s">
        <v>2</v>
      </c>
      <c r="K4946" s="9">
        <v>44834</v>
      </c>
      <c r="L4946" t="s">
        <v>29</v>
      </c>
      <c r="M4946" t="s">
        <v>5331</v>
      </c>
      <c r="N4946" s="9">
        <v>44778</v>
      </c>
      <c r="O4946" s="9">
        <v>44834</v>
      </c>
      <c r="P4946"/>
      <c r="Q4946"/>
      <c r="R4946"/>
      <c r="S4946"/>
      <c r="T4946"/>
      <c r="U4946"/>
    </row>
    <row r="4947" spans="1:21" hidden="1">
      <c r="A4947" s="7" t="s">
        <v>8868</v>
      </c>
      <c r="B4947" s="7" t="s">
        <v>6764</v>
      </c>
      <c r="C4947" s="8" t="s">
        <v>5319</v>
      </c>
      <c r="D4947" t="s">
        <v>272</v>
      </c>
      <c r="E4947" t="s">
        <v>2386</v>
      </c>
      <c r="F4947" t="s">
        <v>83</v>
      </c>
      <c r="G4947" t="s">
        <v>2393</v>
      </c>
      <c r="H4947" s="9">
        <v>44733</v>
      </c>
      <c r="I4947" t="s">
        <v>2388</v>
      </c>
      <c r="J4947" t="s">
        <v>2</v>
      </c>
      <c r="K4947" s="9">
        <v>44834</v>
      </c>
      <c r="L4947" t="s">
        <v>29</v>
      </c>
      <c r="M4947" t="s">
        <v>5331</v>
      </c>
      <c r="N4947" s="9">
        <v>44778</v>
      </c>
      <c r="O4947" s="9">
        <v>44834</v>
      </c>
      <c r="P4947"/>
      <c r="Q4947"/>
      <c r="R4947"/>
      <c r="S4947"/>
      <c r="T4947"/>
      <c r="U4947"/>
    </row>
    <row r="4948" spans="1:21" hidden="1">
      <c r="A4948" s="7" t="s">
        <v>8868</v>
      </c>
      <c r="B4948" s="7" t="s">
        <v>6764</v>
      </c>
      <c r="C4948" s="8" t="s">
        <v>5319</v>
      </c>
      <c r="D4948" t="s">
        <v>272</v>
      </c>
      <c r="E4948" t="s">
        <v>2386</v>
      </c>
      <c r="F4948" t="s">
        <v>83</v>
      </c>
      <c r="G4948" t="s">
        <v>2394</v>
      </c>
      <c r="H4948" s="9">
        <v>44733</v>
      </c>
      <c r="I4948" t="s">
        <v>2388</v>
      </c>
      <c r="J4948" t="s">
        <v>2</v>
      </c>
      <c r="K4948" s="9">
        <v>44834</v>
      </c>
      <c r="L4948" t="s">
        <v>29</v>
      </c>
      <c r="M4948" t="s">
        <v>5331</v>
      </c>
      <c r="N4948" s="9">
        <v>44778</v>
      </c>
      <c r="O4948" s="9">
        <v>44834</v>
      </c>
      <c r="P4948"/>
      <c r="Q4948"/>
      <c r="R4948"/>
      <c r="S4948"/>
      <c r="T4948"/>
      <c r="U4948"/>
    </row>
    <row r="4949" spans="1:21" hidden="1">
      <c r="A4949" s="7" t="s">
        <v>8868</v>
      </c>
      <c r="B4949" s="7" t="s">
        <v>6764</v>
      </c>
      <c r="C4949" s="8" t="s">
        <v>5319</v>
      </c>
      <c r="D4949" t="s">
        <v>272</v>
      </c>
      <c r="E4949" t="s">
        <v>2386</v>
      </c>
      <c r="F4949" t="s">
        <v>83</v>
      </c>
      <c r="G4949" t="s">
        <v>2395</v>
      </c>
      <c r="H4949" s="9">
        <v>44733</v>
      </c>
      <c r="I4949" t="s">
        <v>2388</v>
      </c>
      <c r="J4949" t="s">
        <v>2</v>
      </c>
      <c r="K4949" s="9">
        <v>44834</v>
      </c>
      <c r="L4949" t="s">
        <v>29</v>
      </c>
      <c r="M4949" t="s">
        <v>5331</v>
      </c>
      <c r="N4949" s="9">
        <v>44778</v>
      </c>
      <c r="O4949" s="9">
        <v>44834</v>
      </c>
      <c r="P4949"/>
      <c r="Q4949"/>
      <c r="R4949"/>
      <c r="S4949"/>
      <c r="T4949"/>
      <c r="U4949"/>
    </row>
    <row r="4950" spans="1:21" hidden="1">
      <c r="A4950" s="7" t="s">
        <v>8868</v>
      </c>
      <c r="B4950" s="7" t="s">
        <v>6764</v>
      </c>
      <c r="C4950" s="8" t="s">
        <v>5319</v>
      </c>
      <c r="D4950" t="s">
        <v>272</v>
      </c>
      <c r="E4950" t="s">
        <v>2386</v>
      </c>
      <c r="F4950" t="s">
        <v>83</v>
      </c>
      <c r="G4950" t="s">
        <v>2396</v>
      </c>
      <c r="H4950" s="9">
        <v>44733</v>
      </c>
      <c r="I4950" t="s">
        <v>2388</v>
      </c>
      <c r="J4950" t="s">
        <v>2</v>
      </c>
      <c r="K4950" s="9">
        <v>44834</v>
      </c>
      <c r="L4950" t="s">
        <v>29</v>
      </c>
      <c r="M4950" t="s">
        <v>5331</v>
      </c>
      <c r="N4950" s="9">
        <v>44778</v>
      </c>
      <c r="O4950" s="9">
        <v>44834</v>
      </c>
      <c r="P4950"/>
      <c r="Q4950"/>
      <c r="R4950"/>
      <c r="S4950"/>
      <c r="T4950"/>
      <c r="U4950"/>
    </row>
    <row r="4951" spans="1:21" hidden="1">
      <c r="A4951" s="7" t="s">
        <v>8868</v>
      </c>
      <c r="B4951" s="7" t="s">
        <v>6764</v>
      </c>
      <c r="C4951" s="8" t="s">
        <v>5319</v>
      </c>
      <c r="D4951" t="s">
        <v>272</v>
      </c>
      <c r="E4951" t="s">
        <v>2386</v>
      </c>
      <c r="F4951" t="s">
        <v>83</v>
      </c>
      <c r="G4951" t="s">
        <v>2397</v>
      </c>
      <c r="H4951" s="9">
        <v>44733</v>
      </c>
      <c r="I4951" t="s">
        <v>2388</v>
      </c>
      <c r="J4951" t="s">
        <v>2</v>
      </c>
      <c r="K4951" s="9">
        <v>44834</v>
      </c>
      <c r="L4951" t="s">
        <v>29</v>
      </c>
      <c r="M4951" t="s">
        <v>5331</v>
      </c>
      <c r="N4951" s="9">
        <v>44778</v>
      </c>
      <c r="O4951" s="9">
        <v>44834</v>
      </c>
      <c r="P4951"/>
      <c r="Q4951"/>
      <c r="R4951"/>
      <c r="S4951"/>
      <c r="T4951"/>
      <c r="U4951"/>
    </row>
    <row r="4952" spans="1:21" hidden="1">
      <c r="A4952" s="7" t="s">
        <v>8788</v>
      </c>
      <c r="B4952" s="7" t="s">
        <v>7708</v>
      </c>
      <c r="C4952" s="8" t="s">
        <v>5319</v>
      </c>
      <c r="D4952" t="s">
        <v>272</v>
      </c>
      <c r="E4952" t="s">
        <v>905</v>
      </c>
      <c r="F4952" t="s">
        <v>75</v>
      </c>
      <c r="G4952" t="s">
        <v>2398</v>
      </c>
      <c r="H4952" s="9">
        <v>44733</v>
      </c>
      <c r="I4952" t="s">
        <v>408</v>
      </c>
      <c r="J4952" t="s">
        <v>2</v>
      </c>
      <c r="K4952" s="9">
        <v>44834</v>
      </c>
      <c r="L4952" t="s">
        <v>29</v>
      </c>
      <c r="M4952" t="s">
        <v>5331</v>
      </c>
      <c r="N4952" s="9">
        <v>44778</v>
      </c>
      <c r="O4952" s="9">
        <v>44834</v>
      </c>
      <c r="P4952"/>
      <c r="Q4952"/>
      <c r="R4952"/>
      <c r="S4952"/>
      <c r="T4952"/>
      <c r="U4952"/>
    </row>
    <row r="4953" spans="1:21" hidden="1">
      <c r="A4953" s="7" t="s">
        <v>8788</v>
      </c>
      <c r="B4953" s="7" t="s">
        <v>7708</v>
      </c>
      <c r="C4953" s="8" t="s">
        <v>5319</v>
      </c>
      <c r="D4953" t="s">
        <v>272</v>
      </c>
      <c r="E4953" t="s">
        <v>905</v>
      </c>
      <c r="F4953" t="s">
        <v>75</v>
      </c>
      <c r="G4953" t="s">
        <v>2399</v>
      </c>
      <c r="H4953" s="9">
        <v>44733</v>
      </c>
      <c r="I4953" t="s">
        <v>408</v>
      </c>
      <c r="J4953" t="s">
        <v>2</v>
      </c>
      <c r="K4953" s="9">
        <v>44834</v>
      </c>
      <c r="L4953" t="s">
        <v>29</v>
      </c>
      <c r="M4953" t="s">
        <v>5331</v>
      </c>
      <c r="N4953" s="9">
        <v>44778</v>
      </c>
      <c r="O4953" s="9">
        <v>44834</v>
      </c>
      <c r="P4953"/>
      <c r="Q4953"/>
      <c r="R4953"/>
      <c r="S4953"/>
      <c r="T4953"/>
      <c r="U4953"/>
    </row>
    <row r="4954" spans="1:21" hidden="1">
      <c r="A4954" s="7" t="s">
        <v>8868</v>
      </c>
      <c r="B4954" s="7" t="s">
        <v>6764</v>
      </c>
      <c r="C4954" s="8" t="s">
        <v>5319</v>
      </c>
      <c r="D4954" t="s">
        <v>272</v>
      </c>
      <c r="E4954" t="s">
        <v>2386</v>
      </c>
      <c r="F4954" t="s">
        <v>83</v>
      </c>
      <c r="G4954" t="s">
        <v>2400</v>
      </c>
      <c r="H4954" s="9">
        <v>44733</v>
      </c>
      <c r="I4954" t="s">
        <v>2388</v>
      </c>
      <c r="J4954" t="s">
        <v>2</v>
      </c>
      <c r="K4954" s="9">
        <v>44834</v>
      </c>
      <c r="L4954" t="s">
        <v>29</v>
      </c>
      <c r="M4954" t="s">
        <v>5331</v>
      </c>
      <c r="N4954" s="9">
        <v>44778</v>
      </c>
      <c r="O4954" s="9">
        <v>44834</v>
      </c>
      <c r="P4954"/>
      <c r="Q4954"/>
      <c r="R4954"/>
      <c r="S4954"/>
      <c r="T4954"/>
      <c r="U4954"/>
    </row>
    <row r="4955" spans="1:21" hidden="1">
      <c r="A4955" s="7" t="s">
        <v>8868</v>
      </c>
      <c r="B4955" s="7" t="s">
        <v>6764</v>
      </c>
      <c r="C4955" s="8" t="s">
        <v>5319</v>
      </c>
      <c r="D4955" t="s">
        <v>272</v>
      </c>
      <c r="E4955" t="s">
        <v>2386</v>
      </c>
      <c r="F4955" t="s">
        <v>83</v>
      </c>
      <c r="G4955" t="s">
        <v>2401</v>
      </c>
      <c r="H4955" s="9">
        <v>44733</v>
      </c>
      <c r="I4955" t="s">
        <v>2388</v>
      </c>
      <c r="J4955" t="s">
        <v>2</v>
      </c>
      <c r="K4955" s="9">
        <v>44834</v>
      </c>
      <c r="L4955" t="s">
        <v>29</v>
      </c>
      <c r="M4955" t="s">
        <v>5331</v>
      </c>
      <c r="N4955" s="9">
        <v>44778</v>
      </c>
      <c r="O4955" s="9">
        <v>44834</v>
      </c>
      <c r="P4955"/>
      <c r="Q4955"/>
      <c r="R4955"/>
      <c r="S4955"/>
      <c r="T4955"/>
      <c r="U4955"/>
    </row>
    <row r="4956" spans="1:21" hidden="1">
      <c r="A4956" s="7" t="s">
        <v>8868</v>
      </c>
      <c r="B4956" s="7" t="s">
        <v>6764</v>
      </c>
      <c r="C4956" s="8" t="s">
        <v>5319</v>
      </c>
      <c r="D4956" t="s">
        <v>272</v>
      </c>
      <c r="E4956" t="s">
        <v>2386</v>
      </c>
      <c r="F4956" t="s">
        <v>83</v>
      </c>
      <c r="G4956" t="s">
        <v>2402</v>
      </c>
      <c r="H4956" s="9">
        <v>44733</v>
      </c>
      <c r="I4956" t="s">
        <v>2388</v>
      </c>
      <c r="J4956" t="s">
        <v>2</v>
      </c>
      <c r="K4956" s="9">
        <v>44834</v>
      </c>
      <c r="L4956" t="s">
        <v>29</v>
      </c>
      <c r="M4956" t="s">
        <v>5331</v>
      </c>
      <c r="N4956" s="9">
        <v>44778</v>
      </c>
      <c r="O4956" s="9">
        <v>44834</v>
      </c>
      <c r="P4956"/>
      <c r="Q4956"/>
      <c r="R4956"/>
      <c r="S4956"/>
      <c r="T4956"/>
      <c r="U4956"/>
    </row>
    <row r="4957" spans="1:21" hidden="1">
      <c r="A4957" s="7" t="s">
        <v>8868</v>
      </c>
      <c r="B4957" s="7" t="s">
        <v>6764</v>
      </c>
      <c r="C4957" s="8" t="s">
        <v>5319</v>
      </c>
      <c r="D4957" t="s">
        <v>272</v>
      </c>
      <c r="E4957" t="s">
        <v>2386</v>
      </c>
      <c r="F4957" t="s">
        <v>83</v>
      </c>
      <c r="G4957" t="s">
        <v>2403</v>
      </c>
      <c r="H4957" s="9">
        <v>44733</v>
      </c>
      <c r="I4957" t="s">
        <v>2388</v>
      </c>
      <c r="J4957" t="s">
        <v>2</v>
      </c>
      <c r="K4957" s="9">
        <v>44834</v>
      </c>
      <c r="L4957" t="s">
        <v>29</v>
      </c>
      <c r="M4957" t="s">
        <v>5331</v>
      </c>
      <c r="N4957" s="9">
        <v>44778</v>
      </c>
      <c r="O4957" s="9">
        <v>44834</v>
      </c>
      <c r="P4957"/>
      <c r="Q4957"/>
      <c r="R4957"/>
      <c r="S4957"/>
      <c r="T4957"/>
      <c r="U4957"/>
    </row>
    <row r="4958" spans="1:21" hidden="1">
      <c r="A4958" s="7" t="s">
        <v>8768</v>
      </c>
      <c r="B4958" s="7" t="s">
        <v>6720</v>
      </c>
      <c r="C4958" s="8" t="s">
        <v>5319</v>
      </c>
      <c r="D4958" t="s">
        <v>272</v>
      </c>
      <c r="E4958" t="s">
        <v>750</v>
      </c>
      <c r="F4958" t="s">
        <v>103</v>
      </c>
      <c r="G4958" t="s">
        <v>2404</v>
      </c>
      <c r="H4958" s="9">
        <v>44733</v>
      </c>
      <c r="I4958" t="s">
        <v>43</v>
      </c>
      <c r="J4958" t="s">
        <v>0</v>
      </c>
      <c r="K4958" s="9">
        <v>44846</v>
      </c>
      <c r="L4958" t="s">
        <v>29</v>
      </c>
      <c r="M4958"/>
      <c r="N4958" s="9">
        <v>44778</v>
      </c>
      <c r="O4958" s="9">
        <v>44834</v>
      </c>
      <c r="P4958"/>
      <c r="Q4958" s="9">
        <v>44846</v>
      </c>
      <c r="R4958"/>
      <c r="S4958"/>
      <c r="T4958"/>
      <c r="U4958"/>
    </row>
    <row r="4959" spans="1:21" hidden="1">
      <c r="A4959" s="7" t="s">
        <v>8768</v>
      </c>
      <c r="B4959" s="7" t="s">
        <v>6720</v>
      </c>
      <c r="C4959" s="8" t="s">
        <v>5319</v>
      </c>
      <c r="D4959" t="s">
        <v>272</v>
      </c>
      <c r="E4959" t="s">
        <v>750</v>
      </c>
      <c r="F4959" t="s">
        <v>103</v>
      </c>
      <c r="G4959" t="s">
        <v>2405</v>
      </c>
      <c r="H4959" s="9">
        <v>44733</v>
      </c>
      <c r="I4959" t="s">
        <v>43</v>
      </c>
      <c r="J4959" t="s">
        <v>0</v>
      </c>
      <c r="K4959" s="9">
        <v>44846</v>
      </c>
      <c r="L4959" t="s">
        <v>29</v>
      </c>
      <c r="M4959"/>
      <c r="N4959" s="9">
        <v>44778</v>
      </c>
      <c r="O4959" s="9">
        <v>44834</v>
      </c>
      <c r="P4959"/>
      <c r="Q4959" s="9">
        <v>44846</v>
      </c>
      <c r="R4959"/>
      <c r="S4959"/>
      <c r="T4959"/>
      <c r="U4959"/>
    </row>
    <row r="4960" spans="1:21" hidden="1">
      <c r="A4960" s="7" t="s">
        <v>8868</v>
      </c>
      <c r="B4960" s="7" t="s">
        <v>6764</v>
      </c>
      <c r="C4960" s="8" t="s">
        <v>5319</v>
      </c>
      <c r="D4960" t="s">
        <v>272</v>
      </c>
      <c r="E4960" t="s">
        <v>2386</v>
      </c>
      <c r="F4960" t="s">
        <v>83</v>
      </c>
      <c r="G4960" t="s">
        <v>2406</v>
      </c>
      <c r="H4960" s="9">
        <v>44733</v>
      </c>
      <c r="I4960" t="s">
        <v>2388</v>
      </c>
      <c r="J4960" t="s">
        <v>2</v>
      </c>
      <c r="K4960" s="9">
        <v>44834</v>
      </c>
      <c r="L4960" t="s">
        <v>29</v>
      </c>
      <c r="M4960" t="s">
        <v>5331</v>
      </c>
      <c r="N4960" s="9">
        <v>44778</v>
      </c>
      <c r="O4960" s="9">
        <v>44834</v>
      </c>
      <c r="P4960"/>
      <c r="Q4960"/>
      <c r="R4960"/>
      <c r="S4960"/>
      <c r="T4960"/>
      <c r="U4960"/>
    </row>
    <row r="4961" spans="1:21" hidden="1">
      <c r="A4961" s="7" t="s">
        <v>8869</v>
      </c>
      <c r="B4961" s="7" t="s">
        <v>7903</v>
      </c>
      <c r="C4961" s="8" t="s">
        <v>5319</v>
      </c>
      <c r="D4961" t="s">
        <v>272</v>
      </c>
      <c r="E4961" t="s">
        <v>2407</v>
      </c>
      <c r="F4961" t="s">
        <v>231</v>
      </c>
      <c r="G4961" t="s">
        <v>2408</v>
      </c>
      <c r="H4961" s="9">
        <v>44733</v>
      </c>
      <c r="I4961" t="s">
        <v>99</v>
      </c>
      <c r="J4961" t="s">
        <v>2</v>
      </c>
      <c r="K4961" s="9">
        <v>44839.503935185203</v>
      </c>
      <c r="L4961" t="s">
        <v>29</v>
      </c>
      <c r="M4961" t="s">
        <v>5331</v>
      </c>
      <c r="N4961" s="9">
        <v>44778</v>
      </c>
      <c r="O4961" s="9">
        <v>44834</v>
      </c>
      <c r="P4961"/>
      <c r="Q4961"/>
      <c r="R4961" s="9">
        <v>44839.494907407403</v>
      </c>
      <c r="S4961"/>
      <c r="T4961"/>
      <c r="U4961"/>
    </row>
    <row r="4962" spans="1:21" hidden="1">
      <c r="A4962" s="7" t="s">
        <v>8869</v>
      </c>
      <c r="B4962" s="7" t="s">
        <v>7903</v>
      </c>
      <c r="C4962" s="8" t="s">
        <v>5319</v>
      </c>
      <c r="D4962" t="s">
        <v>272</v>
      </c>
      <c r="E4962" t="s">
        <v>2407</v>
      </c>
      <c r="F4962" t="s">
        <v>231</v>
      </c>
      <c r="G4962" t="s">
        <v>2409</v>
      </c>
      <c r="H4962" s="9">
        <v>44733</v>
      </c>
      <c r="I4962" t="s">
        <v>99</v>
      </c>
      <c r="J4962" t="s">
        <v>2</v>
      </c>
      <c r="K4962" s="9">
        <v>44839.503935185203</v>
      </c>
      <c r="L4962" t="s">
        <v>29</v>
      </c>
      <c r="M4962" t="s">
        <v>5331</v>
      </c>
      <c r="N4962" s="9">
        <v>44778</v>
      </c>
      <c r="O4962" s="9">
        <v>44834</v>
      </c>
      <c r="P4962"/>
      <c r="Q4962"/>
      <c r="R4962" s="9">
        <v>44839.494907407403</v>
      </c>
      <c r="S4962"/>
      <c r="T4962"/>
      <c r="U4962"/>
    </row>
    <row r="4963" spans="1:21" hidden="1">
      <c r="A4963" s="7" t="s">
        <v>8869</v>
      </c>
      <c r="B4963" s="7" t="s">
        <v>7903</v>
      </c>
      <c r="C4963" s="8" t="s">
        <v>5319</v>
      </c>
      <c r="D4963" t="s">
        <v>272</v>
      </c>
      <c r="E4963" t="s">
        <v>2407</v>
      </c>
      <c r="F4963" t="s">
        <v>231</v>
      </c>
      <c r="G4963" t="s">
        <v>2410</v>
      </c>
      <c r="H4963" s="9">
        <v>44733</v>
      </c>
      <c r="I4963" t="s">
        <v>99</v>
      </c>
      <c r="J4963" t="s">
        <v>2</v>
      </c>
      <c r="K4963" s="9">
        <v>44839.503935185203</v>
      </c>
      <c r="L4963" t="s">
        <v>29</v>
      </c>
      <c r="M4963" t="s">
        <v>5331</v>
      </c>
      <c r="N4963" s="9">
        <v>44778</v>
      </c>
      <c r="O4963" s="9">
        <v>44834</v>
      </c>
      <c r="P4963"/>
      <c r="Q4963"/>
      <c r="R4963" s="9">
        <v>44839.494907407403</v>
      </c>
      <c r="S4963"/>
      <c r="T4963"/>
      <c r="U4963"/>
    </row>
    <row r="4964" spans="1:21" hidden="1">
      <c r="A4964" s="7" t="s">
        <v>8869</v>
      </c>
      <c r="B4964" s="7" t="s">
        <v>7903</v>
      </c>
      <c r="C4964" s="8" t="s">
        <v>5319</v>
      </c>
      <c r="D4964" t="s">
        <v>272</v>
      </c>
      <c r="E4964" t="s">
        <v>2407</v>
      </c>
      <c r="F4964" t="s">
        <v>231</v>
      </c>
      <c r="G4964" t="s">
        <v>2411</v>
      </c>
      <c r="H4964" s="9">
        <v>44733</v>
      </c>
      <c r="I4964" t="s">
        <v>99</v>
      </c>
      <c r="J4964" t="s">
        <v>2</v>
      </c>
      <c r="K4964" s="9">
        <v>44839.503935185203</v>
      </c>
      <c r="L4964" t="s">
        <v>29</v>
      </c>
      <c r="M4964" t="s">
        <v>5331</v>
      </c>
      <c r="N4964" s="9">
        <v>44778</v>
      </c>
      <c r="O4964" s="9">
        <v>44834</v>
      </c>
      <c r="P4964"/>
      <c r="Q4964"/>
      <c r="R4964" s="9">
        <v>44839.494907407403</v>
      </c>
      <c r="S4964"/>
      <c r="T4964"/>
      <c r="U4964"/>
    </row>
    <row r="4965" spans="1:21" hidden="1">
      <c r="A4965" s="7" t="s">
        <v>8869</v>
      </c>
      <c r="B4965" s="7" t="s">
        <v>7903</v>
      </c>
      <c r="C4965" s="8" t="s">
        <v>5319</v>
      </c>
      <c r="D4965" t="s">
        <v>272</v>
      </c>
      <c r="E4965" t="s">
        <v>2407</v>
      </c>
      <c r="F4965" t="s">
        <v>231</v>
      </c>
      <c r="G4965" t="s">
        <v>2412</v>
      </c>
      <c r="H4965" s="9">
        <v>44733</v>
      </c>
      <c r="I4965" t="s">
        <v>99</v>
      </c>
      <c r="J4965" t="s">
        <v>2</v>
      </c>
      <c r="K4965" s="9">
        <v>44839.503935185203</v>
      </c>
      <c r="L4965" t="s">
        <v>29</v>
      </c>
      <c r="M4965" t="s">
        <v>5331</v>
      </c>
      <c r="N4965" s="9">
        <v>44778</v>
      </c>
      <c r="O4965" s="9">
        <v>44834</v>
      </c>
      <c r="P4965"/>
      <c r="Q4965"/>
      <c r="R4965" s="9">
        <v>44839.494907407403</v>
      </c>
      <c r="S4965"/>
      <c r="T4965"/>
      <c r="U4965"/>
    </row>
    <row r="4966" spans="1:21" hidden="1">
      <c r="A4966" s="7" t="s">
        <v>8869</v>
      </c>
      <c r="B4966" s="7" t="s">
        <v>7903</v>
      </c>
      <c r="C4966" s="8" t="s">
        <v>5319</v>
      </c>
      <c r="D4966" t="s">
        <v>272</v>
      </c>
      <c r="E4966" t="s">
        <v>2407</v>
      </c>
      <c r="F4966" t="s">
        <v>231</v>
      </c>
      <c r="G4966" t="s">
        <v>2413</v>
      </c>
      <c r="H4966" s="9">
        <v>44733</v>
      </c>
      <c r="I4966" t="s">
        <v>99</v>
      </c>
      <c r="J4966" t="s">
        <v>2</v>
      </c>
      <c r="K4966" s="9">
        <v>44839.503935185203</v>
      </c>
      <c r="L4966" t="s">
        <v>29</v>
      </c>
      <c r="M4966" t="s">
        <v>5331</v>
      </c>
      <c r="N4966" s="9">
        <v>44778</v>
      </c>
      <c r="O4966" s="9">
        <v>44834</v>
      </c>
      <c r="P4966"/>
      <c r="Q4966"/>
      <c r="R4966" s="9">
        <v>44839.494907407403</v>
      </c>
      <c r="S4966"/>
      <c r="T4966"/>
      <c r="U4966"/>
    </row>
    <row r="4967" spans="1:21" hidden="1">
      <c r="A4967" s="7" t="s">
        <v>8851</v>
      </c>
      <c r="B4967" s="7" t="s">
        <v>6668</v>
      </c>
      <c r="C4967" s="8" t="s">
        <v>5319</v>
      </c>
      <c r="D4967" t="s">
        <v>272</v>
      </c>
      <c r="E4967" t="s">
        <v>2183</v>
      </c>
      <c r="F4967" t="s">
        <v>75</v>
      </c>
      <c r="G4967" t="s">
        <v>2414</v>
      </c>
      <c r="H4967" s="9">
        <v>44733</v>
      </c>
      <c r="I4967" t="s">
        <v>2187</v>
      </c>
      <c r="J4967" t="s">
        <v>0</v>
      </c>
      <c r="K4967" s="9">
        <v>44792</v>
      </c>
      <c r="L4967" t="s">
        <v>29</v>
      </c>
      <c r="M4967"/>
      <c r="N4967" s="9">
        <v>44778</v>
      </c>
      <c r="O4967"/>
      <c r="P4967"/>
      <c r="Q4967" s="9">
        <v>44792</v>
      </c>
      <c r="R4967"/>
      <c r="S4967"/>
      <c r="T4967"/>
      <c r="U4967"/>
    </row>
    <row r="4968" spans="1:21" hidden="1">
      <c r="A4968" s="7" t="s">
        <v>8851</v>
      </c>
      <c r="B4968" s="7" t="s">
        <v>6668</v>
      </c>
      <c r="C4968" s="8" t="s">
        <v>5319</v>
      </c>
      <c r="D4968" t="s">
        <v>272</v>
      </c>
      <c r="E4968" t="s">
        <v>2183</v>
      </c>
      <c r="F4968" t="s">
        <v>75</v>
      </c>
      <c r="G4968" t="s">
        <v>2415</v>
      </c>
      <c r="H4968" s="9">
        <v>44733</v>
      </c>
      <c r="I4968" t="s">
        <v>2187</v>
      </c>
      <c r="J4968" t="s">
        <v>0</v>
      </c>
      <c r="K4968" s="9">
        <v>44792</v>
      </c>
      <c r="L4968" t="s">
        <v>29</v>
      </c>
      <c r="M4968"/>
      <c r="N4968" s="9">
        <v>44778</v>
      </c>
      <c r="O4968"/>
      <c r="P4968"/>
      <c r="Q4968" s="9">
        <v>44792</v>
      </c>
      <c r="R4968"/>
      <c r="S4968"/>
      <c r="T4968"/>
      <c r="U4968"/>
    </row>
    <row r="4969" spans="1:21" hidden="1">
      <c r="A4969" s="7" t="s">
        <v>8851</v>
      </c>
      <c r="B4969" s="7" t="s">
        <v>6668</v>
      </c>
      <c r="C4969" s="8" t="s">
        <v>5319</v>
      </c>
      <c r="D4969" t="s">
        <v>272</v>
      </c>
      <c r="E4969" t="s">
        <v>2183</v>
      </c>
      <c r="F4969" t="s">
        <v>75</v>
      </c>
      <c r="G4969" t="s">
        <v>2416</v>
      </c>
      <c r="H4969" s="9">
        <v>44733</v>
      </c>
      <c r="I4969" t="s">
        <v>2187</v>
      </c>
      <c r="J4969" t="s">
        <v>0</v>
      </c>
      <c r="K4969" s="9">
        <v>44792</v>
      </c>
      <c r="L4969" t="s">
        <v>29</v>
      </c>
      <c r="M4969"/>
      <c r="N4969" s="9">
        <v>44778</v>
      </c>
      <c r="O4969"/>
      <c r="P4969"/>
      <c r="Q4969" s="9">
        <v>44792</v>
      </c>
      <c r="R4969"/>
      <c r="S4969"/>
      <c r="T4969"/>
      <c r="U4969"/>
    </row>
    <row r="4970" spans="1:21" hidden="1">
      <c r="A4970" s="7" t="s">
        <v>8851</v>
      </c>
      <c r="B4970" s="7" t="s">
        <v>6668</v>
      </c>
      <c r="C4970" s="8" t="s">
        <v>5319</v>
      </c>
      <c r="D4970" t="s">
        <v>272</v>
      </c>
      <c r="E4970" t="s">
        <v>2183</v>
      </c>
      <c r="F4970" t="s">
        <v>75</v>
      </c>
      <c r="G4970" t="s">
        <v>2417</v>
      </c>
      <c r="H4970" s="9">
        <v>44733</v>
      </c>
      <c r="I4970" t="s">
        <v>2187</v>
      </c>
      <c r="J4970" t="s">
        <v>0</v>
      </c>
      <c r="K4970" s="9">
        <v>44792</v>
      </c>
      <c r="L4970" t="s">
        <v>29</v>
      </c>
      <c r="M4970"/>
      <c r="N4970" s="9">
        <v>44778</v>
      </c>
      <c r="O4970"/>
      <c r="P4970"/>
      <c r="Q4970" s="9">
        <v>44792</v>
      </c>
      <c r="R4970"/>
      <c r="S4970"/>
      <c r="T4970"/>
      <c r="U4970"/>
    </row>
    <row r="4971" spans="1:21" hidden="1">
      <c r="A4971" s="7" t="s">
        <v>8851</v>
      </c>
      <c r="B4971" s="7" t="s">
        <v>6668</v>
      </c>
      <c r="C4971" s="8" t="s">
        <v>5319</v>
      </c>
      <c r="D4971" t="s">
        <v>272</v>
      </c>
      <c r="E4971" t="s">
        <v>2183</v>
      </c>
      <c r="F4971" t="s">
        <v>75</v>
      </c>
      <c r="G4971" t="s">
        <v>2418</v>
      </c>
      <c r="H4971" s="9">
        <v>44733</v>
      </c>
      <c r="I4971" t="s">
        <v>2187</v>
      </c>
      <c r="J4971" t="s">
        <v>0</v>
      </c>
      <c r="K4971" s="9">
        <v>44792</v>
      </c>
      <c r="L4971" t="s">
        <v>29</v>
      </c>
      <c r="M4971"/>
      <c r="N4971" s="9">
        <v>44778</v>
      </c>
      <c r="O4971"/>
      <c r="P4971"/>
      <c r="Q4971" s="9">
        <v>44792</v>
      </c>
      <c r="R4971"/>
      <c r="S4971"/>
      <c r="T4971"/>
      <c r="U4971"/>
    </row>
    <row r="4972" spans="1:21" hidden="1">
      <c r="A4972" s="7" t="s">
        <v>8851</v>
      </c>
      <c r="B4972" s="7" t="s">
        <v>6668</v>
      </c>
      <c r="C4972" s="8" t="s">
        <v>5319</v>
      </c>
      <c r="D4972" t="s">
        <v>272</v>
      </c>
      <c r="E4972" t="s">
        <v>2183</v>
      </c>
      <c r="F4972" t="s">
        <v>75</v>
      </c>
      <c r="G4972" t="s">
        <v>2419</v>
      </c>
      <c r="H4972" s="9">
        <v>44733</v>
      </c>
      <c r="I4972" t="s">
        <v>2187</v>
      </c>
      <c r="J4972" t="s">
        <v>0</v>
      </c>
      <c r="K4972" s="9">
        <v>44792</v>
      </c>
      <c r="L4972" t="s">
        <v>29</v>
      </c>
      <c r="M4972"/>
      <c r="N4972" s="9">
        <v>44778</v>
      </c>
      <c r="O4972"/>
      <c r="P4972"/>
      <c r="Q4972" s="9">
        <v>44792</v>
      </c>
      <c r="R4972"/>
      <c r="S4972"/>
      <c r="T4972"/>
      <c r="U4972"/>
    </row>
    <row r="4973" spans="1:21" hidden="1">
      <c r="A4973" s="7" t="s">
        <v>8851</v>
      </c>
      <c r="B4973" s="7" t="s">
        <v>6668</v>
      </c>
      <c r="C4973" s="8" t="s">
        <v>5319</v>
      </c>
      <c r="D4973" t="s">
        <v>272</v>
      </c>
      <c r="E4973" t="s">
        <v>2183</v>
      </c>
      <c r="F4973" t="s">
        <v>75</v>
      </c>
      <c r="G4973" t="s">
        <v>2420</v>
      </c>
      <c r="H4973" s="9">
        <v>44733</v>
      </c>
      <c r="I4973" t="s">
        <v>2187</v>
      </c>
      <c r="J4973" t="s">
        <v>0</v>
      </c>
      <c r="K4973" s="9">
        <v>44792</v>
      </c>
      <c r="L4973" t="s">
        <v>29</v>
      </c>
      <c r="M4973"/>
      <c r="N4973" s="9">
        <v>44778</v>
      </c>
      <c r="O4973"/>
      <c r="P4973"/>
      <c r="Q4973" s="9">
        <v>44792</v>
      </c>
      <c r="R4973"/>
      <c r="S4973"/>
      <c r="T4973"/>
      <c r="U4973"/>
    </row>
    <row r="4974" spans="1:21" hidden="1">
      <c r="A4974" s="7" t="s">
        <v>8851</v>
      </c>
      <c r="B4974" s="7" t="s">
        <v>6668</v>
      </c>
      <c r="C4974" s="8" t="s">
        <v>5319</v>
      </c>
      <c r="D4974" t="s">
        <v>272</v>
      </c>
      <c r="E4974" t="s">
        <v>2183</v>
      </c>
      <c r="F4974" t="s">
        <v>75</v>
      </c>
      <c r="G4974" t="s">
        <v>2421</v>
      </c>
      <c r="H4974" s="9">
        <v>44733</v>
      </c>
      <c r="I4974" t="s">
        <v>2187</v>
      </c>
      <c r="J4974" t="s">
        <v>0</v>
      </c>
      <c r="K4974" s="9">
        <v>44792</v>
      </c>
      <c r="L4974" t="s">
        <v>29</v>
      </c>
      <c r="M4974"/>
      <c r="N4974" s="9">
        <v>44778</v>
      </c>
      <c r="O4974"/>
      <c r="P4974"/>
      <c r="Q4974" s="9">
        <v>44792</v>
      </c>
      <c r="R4974"/>
      <c r="S4974"/>
      <c r="T4974"/>
      <c r="U4974"/>
    </row>
    <row r="4975" spans="1:21" hidden="1">
      <c r="A4975" s="7" t="s">
        <v>8851</v>
      </c>
      <c r="B4975" s="7" t="s">
        <v>6668</v>
      </c>
      <c r="C4975" s="8" t="s">
        <v>5319</v>
      </c>
      <c r="D4975" t="s">
        <v>272</v>
      </c>
      <c r="E4975" t="s">
        <v>2183</v>
      </c>
      <c r="F4975" t="s">
        <v>75</v>
      </c>
      <c r="G4975" t="s">
        <v>2422</v>
      </c>
      <c r="H4975" s="9">
        <v>44733</v>
      </c>
      <c r="I4975" t="s">
        <v>2187</v>
      </c>
      <c r="J4975" t="s">
        <v>0</v>
      </c>
      <c r="K4975" s="9">
        <v>44792</v>
      </c>
      <c r="L4975" t="s">
        <v>29</v>
      </c>
      <c r="M4975"/>
      <c r="N4975" s="9">
        <v>44778</v>
      </c>
      <c r="O4975"/>
      <c r="P4975"/>
      <c r="Q4975" s="9">
        <v>44792</v>
      </c>
      <c r="R4975"/>
      <c r="S4975"/>
      <c r="T4975"/>
      <c r="U4975"/>
    </row>
    <row r="4976" spans="1:21" hidden="1">
      <c r="A4976" s="7" t="s">
        <v>8768</v>
      </c>
      <c r="B4976" s="7" t="s">
        <v>6720</v>
      </c>
      <c r="C4976" s="8" t="s">
        <v>5319</v>
      </c>
      <c r="D4976" t="s">
        <v>272</v>
      </c>
      <c r="E4976" t="s">
        <v>750</v>
      </c>
      <c r="F4976" t="s">
        <v>103</v>
      </c>
      <c r="G4976" t="s">
        <v>2423</v>
      </c>
      <c r="H4976" s="9">
        <v>44733</v>
      </c>
      <c r="I4976" t="s">
        <v>43</v>
      </c>
      <c r="J4976" t="s">
        <v>0</v>
      </c>
      <c r="K4976" s="9">
        <v>44846</v>
      </c>
      <c r="L4976" t="s">
        <v>29</v>
      </c>
      <c r="M4976"/>
      <c r="N4976" s="9">
        <v>44778</v>
      </c>
      <c r="O4976" s="9">
        <v>44834</v>
      </c>
      <c r="P4976"/>
      <c r="Q4976" s="9">
        <v>44846</v>
      </c>
      <c r="R4976"/>
      <c r="S4976"/>
      <c r="T4976"/>
      <c r="U4976"/>
    </row>
    <row r="4977" spans="1:21" hidden="1">
      <c r="A4977" s="7" t="s">
        <v>8768</v>
      </c>
      <c r="B4977" s="7" t="s">
        <v>6720</v>
      </c>
      <c r="C4977" s="8" t="s">
        <v>5319</v>
      </c>
      <c r="D4977" t="s">
        <v>272</v>
      </c>
      <c r="E4977" t="s">
        <v>750</v>
      </c>
      <c r="F4977" t="s">
        <v>103</v>
      </c>
      <c r="G4977" t="s">
        <v>2424</v>
      </c>
      <c r="H4977" s="9">
        <v>44733</v>
      </c>
      <c r="I4977" t="s">
        <v>43</v>
      </c>
      <c r="J4977" t="s">
        <v>0</v>
      </c>
      <c r="K4977" s="9">
        <v>44846</v>
      </c>
      <c r="L4977" t="s">
        <v>29</v>
      </c>
      <c r="M4977"/>
      <c r="N4977" s="9">
        <v>44778</v>
      </c>
      <c r="O4977" s="9">
        <v>44834</v>
      </c>
      <c r="P4977"/>
      <c r="Q4977" s="9">
        <v>44846</v>
      </c>
      <c r="R4977"/>
      <c r="S4977"/>
      <c r="T4977"/>
      <c r="U4977"/>
    </row>
    <row r="4978" spans="1:21" hidden="1">
      <c r="A4978" s="7" t="s">
        <v>8768</v>
      </c>
      <c r="B4978" s="7" t="s">
        <v>6720</v>
      </c>
      <c r="C4978" s="8" t="s">
        <v>5319</v>
      </c>
      <c r="D4978" t="s">
        <v>272</v>
      </c>
      <c r="E4978" t="s">
        <v>750</v>
      </c>
      <c r="F4978" t="s">
        <v>103</v>
      </c>
      <c r="G4978" t="s">
        <v>2425</v>
      </c>
      <c r="H4978" s="9">
        <v>44733</v>
      </c>
      <c r="I4978" t="s">
        <v>43</v>
      </c>
      <c r="J4978" t="s">
        <v>0</v>
      </c>
      <c r="K4978" s="9">
        <v>44846</v>
      </c>
      <c r="L4978" t="s">
        <v>29</v>
      </c>
      <c r="M4978"/>
      <c r="N4978" s="9">
        <v>44778</v>
      </c>
      <c r="O4978" s="9">
        <v>44834</v>
      </c>
      <c r="P4978"/>
      <c r="Q4978" s="9">
        <v>44846</v>
      </c>
      <c r="R4978"/>
      <c r="S4978"/>
      <c r="T4978"/>
      <c r="U4978"/>
    </row>
    <row r="4979" spans="1:21" hidden="1">
      <c r="A4979" s="7" t="s">
        <v>8870</v>
      </c>
      <c r="B4979" s="7" t="s">
        <v>7246</v>
      </c>
      <c r="C4979" s="8" t="s">
        <v>5319</v>
      </c>
      <c r="D4979" t="s">
        <v>272</v>
      </c>
      <c r="E4979" t="s">
        <v>2426</v>
      </c>
      <c r="F4979" t="s">
        <v>117</v>
      </c>
      <c r="G4979" t="s">
        <v>2427</v>
      </c>
      <c r="H4979" s="9">
        <v>44733</v>
      </c>
      <c r="I4979" t="s">
        <v>171</v>
      </c>
      <c r="J4979" t="s">
        <v>2</v>
      </c>
      <c r="K4979" s="9">
        <v>44767</v>
      </c>
      <c r="L4979" t="s">
        <v>29</v>
      </c>
      <c r="M4979" t="s">
        <v>5331</v>
      </c>
      <c r="N4979"/>
      <c r="O4979"/>
      <c r="P4979"/>
      <c r="Q4979" s="9">
        <v>44767</v>
      </c>
      <c r="R4979"/>
      <c r="S4979"/>
      <c r="T4979"/>
      <c r="U4979"/>
    </row>
    <row r="4980" spans="1:21" hidden="1">
      <c r="A4980" s="7" t="s">
        <v>8752</v>
      </c>
      <c r="B4980" s="7" t="s">
        <v>6707</v>
      </c>
      <c r="C4980" s="8" t="s">
        <v>5319</v>
      </c>
      <c r="D4980" t="s">
        <v>272</v>
      </c>
      <c r="E4980" t="s">
        <v>439</v>
      </c>
      <c r="F4980" t="s">
        <v>117</v>
      </c>
      <c r="G4980" t="s">
        <v>463</v>
      </c>
      <c r="H4980" s="9">
        <v>44733</v>
      </c>
      <c r="I4980" t="s">
        <v>181</v>
      </c>
      <c r="J4980" t="s">
        <v>2</v>
      </c>
      <c r="K4980" s="9">
        <v>44834</v>
      </c>
      <c r="L4980" t="s">
        <v>29</v>
      </c>
      <c r="M4980" t="s">
        <v>5331</v>
      </c>
      <c r="N4980" s="9">
        <v>44778</v>
      </c>
      <c r="O4980" s="9">
        <v>44834</v>
      </c>
      <c r="P4980"/>
      <c r="Q4980" s="9">
        <v>44872</v>
      </c>
      <c r="R4980"/>
      <c r="S4980"/>
      <c r="T4980"/>
      <c r="U4980"/>
    </row>
    <row r="4981" spans="1:21" hidden="1">
      <c r="A4981" s="7" t="s">
        <v>8752</v>
      </c>
      <c r="B4981" s="7" t="s">
        <v>6707</v>
      </c>
      <c r="C4981" s="8" t="s">
        <v>5319</v>
      </c>
      <c r="D4981" t="s">
        <v>272</v>
      </c>
      <c r="E4981" t="s">
        <v>439</v>
      </c>
      <c r="F4981" t="s">
        <v>117</v>
      </c>
      <c r="G4981" t="s">
        <v>2428</v>
      </c>
      <c r="H4981" s="9">
        <v>44733</v>
      </c>
      <c r="I4981" t="s">
        <v>181</v>
      </c>
      <c r="J4981" t="s">
        <v>2</v>
      </c>
      <c r="K4981" s="9">
        <v>44834</v>
      </c>
      <c r="L4981" t="s">
        <v>29</v>
      </c>
      <c r="M4981" t="s">
        <v>5331</v>
      </c>
      <c r="N4981" s="9">
        <v>44778</v>
      </c>
      <c r="O4981" s="9">
        <v>44834</v>
      </c>
      <c r="P4981"/>
      <c r="Q4981" s="9">
        <v>44872</v>
      </c>
      <c r="R4981"/>
      <c r="S4981"/>
      <c r="T4981"/>
      <c r="U4981"/>
    </row>
    <row r="4982" spans="1:21" hidden="1">
      <c r="A4982" s="7" t="s">
        <v>8849</v>
      </c>
      <c r="B4982" s="7" t="s">
        <v>6805</v>
      </c>
      <c r="C4982" s="8" t="s">
        <v>5319</v>
      </c>
      <c r="D4982" t="s">
        <v>272</v>
      </c>
      <c r="E4982" t="s">
        <v>2175</v>
      </c>
      <c r="F4982" t="s">
        <v>75</v>
      </c>
      <c r="G4982" t="s">
        <v>2429</v>
      </c>
      <c r="H4982" s="9">
        <v>44733</v>
      </c>
      <c r="I4982" t="s">
        <v>488</v>
      </c>
      <c r="J4982" t="s">
        <v>2</v>
      </c>
      <c r="K4982" s="9">
        <v>44834</v>
      </c>
      <c r="L4982" t="s">
        <v>29</v>
      </c>
      <c r="M4982" t="s">
        <v>5331</v>
      </c>
      <c r="N4982" s="9">
        <v>44778</v>
      </c>
      <c r="O4982" s="9">
        <v>44834</v>
      </c>
      <c r="P4982"/>
      <c r="Q4982"/>
      <c r="R4982"/>
      <c r="S4982"/>
      <c r="T4982"/>
      <c r="U4982"/>
    </row>
    <row r="4983" spans="1:21" hidden="1">
      <c r="A4983" s="7" t="s">
        <v>8849</v>
      </c>
      <c r="B4983" s="7" t="s">
        <v>6805</v>
      </c>
      <c r="C4983" s="8" t="s">
        <v>5319</v>
      </c>
      <c r="D4983" t="s">
        <v>272</v>
      </c>
      <c r="E4983" t="s">
        <v>2175</v>
      </c>
      <c r="F4983" t="s">
        <v>75</v>
      </c>
      <c r="G4983" t="s">
        <v>2430</v>
      </c>
      <c r="H4983" s="9">
        <v>44733</v>
      </c>
      <c r="I4983" t="s">
        <v>488</v>
      </c>
      <c r="J4983" t="s">
        <v>2</v>
      </c>
      <c r="K4983" s="9">
        <v>44834</v>
      </c>
      <c r="L4983" t="s">
        <v>29</v>
      </c>
      <c r="M4983" t="s">
        <v>5331</v>
      </c>
      <c r="N4983" s="9">
        <v>44778</v>
      </c>
      <c r="O4983" s="9">
        <v>44834</v>
      </c>
      <c r="P4983"/>
      <c r="Q4983"/>
      <c r="R4983"/>
      <c r="S4983"/>
      <c r="T4983"/>
      <c r="U4983"/>
    </row>
    <row r="4984" spans="1:21" hidden="1">
      <c r="A4984" s="7" t="s">
        <v>8768</v>
      </c>
      <c r="B4984" s="7" t="s">
        <v>6720</v>
      </c>
      <c r="C4984" s="8" t="s">
        <v>5319</v>
      </c>
      <c r="D4984" t="s">
        <v>272</v>
      </c>
      <c r="E4984" t="s">
        <v>750</v>
      </c>
      <c r="F4984" t="s">
        <v>103</v>
      </c>
      <c r="G4984" t="s">
        <v>2431</v>
      </c>
      <c r="H4984" s="9">
        <v>44733</v>
      </c>
      <c r="I4984" t="s">
        <v>43</v>
      </c>
      <c r="J4984" t="s">
        <v>0</v>
      </c>
      <c r="K4984" s="9">
        <v>44846</v>
      </c>
      <c r="L4984" t="s">
        <v>29</v>
      </c>
      <c r="M4984"/>
      <c r="N4984" s="9">
        <v>44778</v>
      </c>
      <c r="O4984" s="9">
        <v>44834</v>
      </c>
      <c r="P4984"/>
      <c r="Q4984" s="9">
        <v>44846</v>
      </c>
      <c r="R4984"/>
      <c r="S4984"/>
      <c r="T4984"/>
      <c r="U4984"/>
    </row>
    <row r="4985" spans="1:21" hidden="1">
      <c r="A4985" s="7" t="s">
        <v>8768</v>
      </c>
      <c r="B4985" s="7" t="s">
        <v>6720</v>
      </c>
      <c r="C4985" s="8" t="s">
        <v>5319</v>
      </c>
      <c r="D4985" t="s">
        <v>272</v>
      </c>
      <c r="E4985" t="s">
        <v>750</v>
      </c>
      <c r="F4985" t="s">
        <v>103</v>
      </c>
      <c r="G4985" t="s">
        <v>2432</v>
      </c>
      <c r="H4985" s="9">
        <v>44733</v>
      </c>
      <c r="I4985" t="s">
        <v>43</v>
      </c>
      <c r="J4985" t="s">
        <v>0</v>
      </c>
      <c r="K4985" s="9">
        <v>44846</v>
      </c>
      <c r="L4985" t="s">
        <v>29</v>
      </c>
      <c r="M4985"/>
      <c r="N4985" s="9">
        <v>44778</v>
      </c>
      <c r="O4985" s="9">
        <v>44834</v>
      </c>
      <c r="P4985"/>
      <c r="Q4985" s="9">
        <v>44846</v>
      </c>
      <c r="R4985"/>
      <c r="S4985"/>
      <c r="T4985"/>
      <c r="U4985"/>
    </row>
    <row r="4986" spans="1:21" hidden="1">
      <c r="A4986" s="7" t="s">
        <v>8768</v>
      </c>
      <c r="B4986" s="7" t="s">
        <v>6720</v>
      </c>
      <c r="C4986" s="8" t="s">
        <v>5319</v>
      </c>
      <c r="D4986" t="s">
        <v>272</v>
      </c>
      <c r="E4986" t="s">
        <v>750</v>
      </c>
      <c r="F4986" t="s">
        <v>103</v>
      </c>
      <c r="G4986" t="s">
        <v>2433</v>
      </c>
      <c r="H4986" s="9">
        <v>44733</v>
      </c>
      <c r="I4986" t="s">
        <v>43</v>
      </c>
      <c r="J4986" t="s">
        <v>0</v>
      </c>
      <c r="K4986" s="9">
        <v>44846</v>
      </c>
      <c r="L4986" t="s">
        <v>29</v>
      </c>
      <c r="M4986"/>
      <c r="N4986" s="9">
        <v>44778</v>
      </c>
      <c r="O4986" s="9">
        <v>44834</v>
      </c>
      <c r="P4986"/>
      <c r="Q4986" s="9">
        <v>44846</v>
      </c>
      <c r="R4986"/>
      <c r="S4986"/>
      <c r="T4986"/>
      <c r="U4986"/>
    </row>
    <row r="4987" spans="1:21" hidden="1">
      <c r="A4987" s="7" t="s">
        <v>8768</v>
      </c>
      <c r="B4987" s="7" t="s">
        <v>6720</v>
      </c>
      <c r="C4987" s="8" t="s">
        <v>5319</v>
      </c>
      <c r="D4987" t="s">
        <v>272</v>
      </c>
      <c r="E4987" t="s">
        <v>750</v>
      </c>
      <c r="F4987" t="s">
        <v>103</v>
      </c>
      <c r="G4987" t="s">
        <v>2434</v>
      </c>
      <c r="H4987" s="9">
        <v>44733</v>
      </c>
      <c r="I4987" t="s">
        <v>43</v>
      </c>
      <c r="J4987" t="s">
        <v>0</v>
      </c>
      <c r="K4987" s="9">
        <v>44846</v>
      </c>
      <c r="L4987" t="s">
        <v>29</v>
      </c>
      <c r="M4987"/>
      <c r="N4987" s="9">
        <v>44778</v>
      </c>
      <c r="O4987" s="9">
        <v>44834</v>
      </c>
      <c r="P4987"/>
      <c r="Q4987" s="9">
        <v>44846</v>
      </c>
      <c r="R4987"/>
      <c r="S4987"/>
      <c r="T4987"/>
      <c r="U4987"/>
    </row>
    <row r="4988" spans="1:21" hidden="1">
      <c r="A4988" s="7" t="s">
        <v>8768</v>
      </c>
      <c r="B4988" s="7" t="s">
        <v>6720</v>
      </c>
      <c r="C4988" s="8" t="s">
        <v>5319</v>
      </c>
      <c r="D4988" t="s">
        <v>272</v>
      </c>
      <c r="E4988" t="s">
        <v>750</v>
      </c>
      <c r="F4988" t="s">
        <v>103</v>
      </c>
      <c r="G4988" t="s">
        <v>2435</v>
      </c>
      <c r="H4988" s="9">
        <v>44733</v>
      </c>
      <c r="I4988" t="s">
        <v>43</v>
      </c>
      <c r="J4988" t="s">
        <v>0</v>
      </c>
      <c r="K4988" s="9">
        <v>44846</v>
      </c>
      <c r="L4988" t="s">
        <v>29</v>
      </c>
      <c r="M4988"/>
      <c r="N4988" s="9">
        <v>44778</v>
      </c>
      <c r="O4988" s="9">
        <v>44834</v>
      </c>
      <c r="P4988"/>
      <c r="Q4988" s="9">
        <v>44846</v>
      </c>
      <c r="R4988"/>
      <c r="S4988"/>
      <c r="T4988"/>
      <c r="U4988"/>
    </row>
    <row r="4989" spans="1:21" hidden="1">
      <c r="A4989" s="7" t="s">
        <v>8768</v>
      </c>
      <c r="B4989" s="7" t="s">
        <v>6720</v>
      </c>
      <c r="C4989" s="8" t="s">
        <v>5319</v>
      </c>
      <c r="D4989" t="s">
        <v>272</v>
      </c>
      <c r="E4989" t="s">
        <v>750</v>
      </c>
      <c r="F4989" t="s">
        <v>103</v>
      </c>
      <c r="G4989" t="s">
        <v>2436</v>
      </c>
      <c r="H4989" s="9">
        <v>44733</v>
      </c>
      <c r="I4989" t="s">
        <v>43</v>
      </c>
      <c r="J4989" t="s">
        <v>0</v>
      </c>
      <c r="K4989" s="9">
        <v>44846</v>
      </c>
      <c r="L4989" t="s">
        <v>29</v>
      </c>
      <c r="M4989"/>
      <c r="N4989" s="9">
        <v>44778</v>
      </c>
      <c r="O4989" s="9">
        <v>44834</v>
      </c>
      <c r="P4989"/>
      <c r="Q4989" s="9">
        <v>44846</v>
      </c>
      <c r="R4989"/>
      <c r="S4989"/>
      <c r="T4989"/>
      <c r="U4989"/>
    </row>
    <row r="4990" spans="1:21" hidden="1">
      <c r="A4990" s="7" t="s">
        <v>8768</v>
      </c>
      <c r="B4990" s="7" t="s">
        <v>6720</v>
      </c>
      <c r="C4990" s="8" t="s">
        <v>5319</v>
      </c>
      <c r="D4990" t="s">
        <v>272</v>
      </c>
      <c r="E4990" t="s">
        <v>750</v>
      </c>
      <c r="F4990" t="s">
        <v>103</v>
      </c>
      <c r="G4990" t="s">
        <v>2437</v>
      </c>
      <c r="H4990" s="9">
        <v>44733</v>
      </c>
      <c r="I4990" t="s">
        <v>43</v>
      </c>
      <c r="J4990" t="s">
        <v>0</v>
      </c>
      <c r="K4990" s="9">
        <v>44846</v>
      </c>
      <c r="L4990" t="s">
        <v>29</v>
      </c>
      <c r="M4990"/>
      <c r="N4990" s="9">
        <v>44778</v>
      </c>
      <c r="O4990" s="9">
        <v>44834</v>
      </c>
      <c r="P4990"/>
      <c r="Q4990" s="9">
        <v>44846</v>
      </c>
      <c r="R4990"/>
      <c r="S4990"/>
      <c r="T4990"/>
      <c r="U4990"/>
    </row>
    <row r="4991" spans="1:21" hidden="1">
      <c r="A4991" s="7" t="s">
        <v>8768</v>
      </c>
      <c r="B4991" s="7" t="s">
        <v>6720</v>
      </c>
      <c r="C4991" s="8" t="s">
        <v>5319</v>
      </c>
      <c r="D4991" t="s">
        <v>272</v>
      </c>
      <c r="E4991" t="s">
        <v>750</v>
      </c>
      <c r="F4991" t="s">
        <v>103</v>
      </c>
      <c r="G4991" t="s">
        <v>2438</v>
      </c>
      <c r="H4991" s="9">
        <v>44733</v>
      </c>
      <c r="I4991" t="s">
        <v>43</v>
      </c>
      <c r="J4991" t="s">
        <v>0</v>
      </c>
      <c r="K4991" s="9">
        <v>44846</v>
      </c>
      <c r="L4991" t="s">
        <v>29</v>
      </c>
      <c r="M4991"/>
      <c r="N4991" s="9">
        <v>44778</v>
      </c>
      <c r="O4991" s="9">
        <v>44834</v>
      </c>
      <c r="P4991"/>
      <c r="Q4991" s="9">
        <v>44846</v>
      </c>
      <c r="R4991"/>
      <c r="S4991"/>
      <c r="T4991"/>
      <c r="U4991"/>
    </row>
    <row r="4992" spans="1:21" hidden="1">
      <c r="A4992" s="7" t="s">
        <v>8768</v>
      </c>
      <c r="B4992" s="7" t="s">
        <v>6720</v>
      </c>
      <c r="C4992" s="8" t="s">
        <v>5319</v>
      </c>
      <c r="D4992" t="s">
        <v>272</v>
      </c>
      <c r="E4992" t="s">
        <v>750</v>
      </c>
      <c r="F4992" t="s">
        <v>103</v>
      </c>
      <c r="G4992" t="s">
        <v>2439</v>
      </c>
      <c r="H4992" s="9">
        <v>44733</v>
      </c>
      <c r="I4992" t="s">
        <v>43</v>
      </c>
      <c r="J4992" t="s">
        <v>0</v>
      </c>
      <c r="K4992" s="9">
        <v>44846</v>
      </c>
      <c r="L4992" t="s">
        <v>29</v>
      </c>
      <c r="M4992"/>
      <c r="N4992" s="9">
        <v>44778</v>
      </c>
      <c r="O4992" s="9">
        <v>44834</v>
      </c>
      <c r="P4992"/>
      <c r="Q4992" s="9">
        <v>44846</v>
      </c>
      <c r="R4992"/>
      <c r="S4992"/>
      <c r="T4992"/>
      <c r="U4992"/>
    </row>
    <row r="4993" spans="1:21" hidden="1">
      <c r="A4993" s="7" t="s">
        <v>8849</v>
      </c>
      <c r="B4993" s="7" t="s">
        <v>6805</v>
      </c>
      <c r="C4993" s="8" t="s">
        <v>5319</v>
      </c>
      <c r="D4993" t="s">
        <v>272</v>
      </c>
      <c r="E4993" t="s">
        <v>2175</v>
      </c>
      <c r="F4993" t="s">
        <v>75</v>
      </c>
      <c r="G4993" t="s">
        <v>2440</v>
      </c>
      <c r="H4993" s="9">
        <v>44733</v>
      </c>
      <c r="I4993" t="s">
        <v>488</v>
      </c>
      <c r="J4993" t="s">
        <v>2</v>
      </c>
      <c r="K4993" s="9">
        <v>44834</v>
      </c>
      <c r="L4993" t="s">
        <v>29</v>
      </c>
      <c r="M4993" t="s">
        <v>5331</v>
      </c>
      <c r="N4993" s="9">
        <v>44778</v>
      </c>
      <c r="O4993" s="9">
        <v>44834</v>
      </c>
      <c r="P4993"/>
      <c r="Q4993"/>
      <c r="R4993"/>
      <c r="S4993"/>
      <c r="T4993"/>
      <c r="U4993"/>
    </row>
    <row r="4994" spans="1:21" hidden="1">
      <c r="A4994" s="7" t="s">
        <v>8768</v>
      </c>
      <c r="B4994" s="7" t="s">
        <v>6720</v>
      </c>
      <c r="C4994" s="8" t="s">
        <v>5319</v>
      </c>
      <c r="D4994" t="s">
        <v>272</v>
      </c>
      <c r="E4994" t="s">
        <v>750</v>
      </c>
      <c r="F4994" t="s">
        <v>103</v>
      </c>
      <c r="G4994" t="s">
        <v>2441</v>
      </c>
      <c r="H4994" s="9">
        <v>44733</v>
      </c>
      <c r="I4994" t="s">
        <v>43</v>
      </c>
      <c r="J4994" t="s">
        <v>0</v>
      </c>
      <c r="K4994" s="9">
        <v>44846</v>
      </c>
      <c r="L4994" t="s">
        <v>29</v>
      </c>
      <c r="M4994"/>
      <c r="N4994" s="9">
        <v>44778</v>
      </c>
      <c r="O4994" s="9">
        <v>44834</v>
      </c>
      <c r="P4994"/>
      <c r="Q4994" s="9">
        <v>44846</v>
      </c>
      <c r="R4994"/>
      <c r="S4994"/>
      <c r="T4994"/>
      <c r="U4994"/>
    </row>
    <row r="4995" spans="1:21" hidden="1">
      <c r="A4995" s="7" t="s">
        <v>8768</v>
      </c>
      <c r="B4995" s="7" t="s">
        <v>6720</v>
      </c>
      <c r="C4995" s="8" t="s">
        <v>5319</v>
      </c>
      <c r="D4995" t="s">
        <v>272</v>
      </c>
      <c r="E4995" t="s">
        <v>750</v>
      </c>
      <c r="F4995" t="s">
        <v>103</v>
      </c>
      <c r="G4995" t="s">
        <v>2442</v>
      </c>
      <c r="H4995" s="9">
        <v>44733</v>
      </c>
      <c r="I4995" t="s">
        <v>43</v>
      </c>
      <c r="J4995" t="s">
        <v>0</v>
      </c>
      <c r="K4995" s="9">
        <v>44846</v>
      </c>
      <c r="L4995" t="s">
        <v>29</v>
      </c>
      <c r="M4995"/>
      <c r="N4995" s="9">
        <v>44778</v>
      </c>
      <c r="O4995" s="9">
        <v>44834</v>
      </c>
      <c r="P4995"/>
      <c r="Q4995" s="9">
        <v>44846</v>
      </c>
      <c r="R4995"/>
      <c r="S4995"/>
      <c r="T4995"/>
      <c r="U4995"/>
    </row>
    <row r="4996" spans="1:21" hidden="1">
      <c r="A4996" s="7" t="s">
        <v>8768</v>
      </c>
      <c r="B4996" s="7" t="s">
        <v>6720</v>
      </c>
      <c r="C4996" s="8" t="s">
        <v>5319</v>
      </c>
      <c r="D4996" t="s">
        <v>272</v>
      </c>
      <c r="E4996" t="s">
        <v>750</v>
      </c>
      <c r="F4996" t="s">
        <v>103</v>
      </c>
      <c r="G4996" t="s">
        <v>2443</v>
      </c>
      <c r="H4996" s="9">
        <v>44733</v>
      </c>
      <c r="I4996" t="s">
        <v>43</v>
      </c>
      <c r="J4996" t="s">
        <v>0</v>
      </c>
      <c r="K4996" s="9">
        <v>44846</v>
      </c>
      <c r="L4996" t="s">
        <v>29</v>
      </c>
      <c r="M4996"/>
      <c r="N4996" s="9">
        <v>44778</v>
      </c>
      <c r="O4996" s="9">
        <v>44834</v>
      </c>
      <c r="P4996"/>
      <c r="Q4996" s="9">
        <v>44846</v>
      </c>
      <c r="R4996"/>
      <c r="S4996"/>
      <c r="T4996"/>
      <c r="U4996"/>
    </row>
    <row r="4997" spans="1:21" hidden="1">
      <c r="A4997" s="7" t="s">
        <v>8768</v>
      </c>
      <c r="B4997" s="7" t="s">
        <v>6720</v>
      </c>
      <c r="C4997" s="8" t="s">
        <v>5319</v>
      </c>
      <c r="D4997" t="s">
        <v>272</v>
      </c>
      <c r="E4997" t="s">
        <v>750</v>
      </c>
      <c r="F4997" t="s">
        <v>103</v>
      </c>
      <c r="G4997" t="s">
        <v>2444</v>
      </c>
      <c r="H4997" s="9">
        <v>44733</v>
      </c>
      <c r="I4997" t="s">
        <v>43</v>
      </c>
      <c r="J4997" t="s">
        <v>0</v>
      </c>
      <c r="K4997" s="9">
        <v>44846</v>
      </c>
      <c r="L4997" t="s">
        <v>29</v>
      </c>
      <c r="M4997"/>
      <c r="N4997" s="9">
        <v>44778</v>
      </c>
      <c r="O4997" s="9">
        <v>44834</v>
      </c>
      <c r="P4997"/>
      <c r="Q4997" s="9">
        <v>44846</v>
      </c>
      <c r="R4997"/>
      <c r="S4997"/>
      <c r="T4997"/>
      <c r="U4997"/>
    </row>
    <row r="4998" spans="1:21" hidden="1">
      <c r="A4998" s="7" t="s">
        <v>8768</v>
      </c>
      <c r="B4998" s="7" t="s">
        <v>6720</v>
      </c>
      <c r="C4998" s="8" t="s">
        <v>5319</v>
      </c>
      <c r="D4998" t="s">
        <v>272</v>
      </c>
      <c r="E4998" t="s">
        <v>750</v>
      </c>
      <c r="F4998" t="s">
        <v>103</v>
      </c>
      <c r="G4998" t="s">
        <v>2445</v>
      </c>
      <c r="H4998" s="9">
        <v>44733</v>
      </c>
      <c r="I4998" t="s">
        <v>43</v>
      </c>
      <c r="J4998" t="s">
        <v>0</v>
      </c>
      <c r="K4998" s="9">
        <v>44846</v>
      </c>
      <c r="L4998" t="s">
        <v>29</v>
      </c>
      <c r="M4998"/>
      <c r="N4998" s="9">
        <v>44778</v>
      </c>
      <c r="O4998" s="9">
        <v>44834</v>
      </c>
      <c r="P4998"/>
      <c r="Q4998" s="9">
        <v>44846</v>
      </c>
      <c r="R4998"/>
      <c r="S4998"/>
      <c r="T4998"/>
      <c r="U4998"/>
    </row>
    <row r="4999" spans="1:21" hidden="1">
      <c r="A4999" s="7" t="s">
        <v>8768</v>
      </c>
      <c r="B4999" s="7" t="s">
        <v>6720</v>
      </c>
      <c r="C4999" s="8" t="s">
        <v>5319</v>
      </c>
      <c r="D4999" t="s">
        <v>272</v>
      </c>
      <c r="E4999" t="s">
        <v>750</v>
      </c>
      <c r="F4999" t="s">
        <v>103</v>
      </c>
      <c r="G4999" t="s">
        <v>2446</v>
      </c>
      <c r="H4999" s="9">
        <v>44733</v>
      </c>
      <c r="I4999" t="s">
        <v>43</v>
      </c>
      <c r="J4999" t="s">
        <v>0</v>
      </c>
      <c r="K4999" s="9">
        <v>44846</v>
      </c>
      <c r="L4999" t="s">
        <v>29</v>
      </c>
      <c r="M4999"/>
      <c r="N4999" s="9">
        <v>44778</v>
      </c>
      <c r="O4999" s="9">
        <v>44834</v>
      </c>
      <c r="P4999"/>
      <c r="Q4999" s="9">
        <v>44846</v>
      </c>
      <c r="R4999"/>
      <c r="S4999"/>
      <c r="T4999"/>
      <c r="U4999"/>
    </row>
    <row r="5000" spans="1:21" hidden="1">
      <c r="A5000" s="7" t="s">
        <v>8768</v>
      </c>
      <c r="B5000" s="7" t="s">
        <v>6720</v>
      </c>
      <c r="C5000" s="8" t="s">
        <v>5319</v>
      </c>
      <c r="D5000" t="s">
        <v>272</v>
      </c>
      <c r="E5000" t="s">
        <v>750</v>
      </c>
      <c r="F5000" t="s">
        <v>103</v>
      </c>
      <c r="G5000" t="s">
        <v>2447</v>
      </c>
      <c r="H5000" s="9">
        <v>44733</v>
      </c>
      <c r="I5000" t="s">
        <v>43</v>
      </c>
      <c r="J5000" t="s">
        <v>0</v>
      </c>
      <c r="K5000" s="9">
        <v>44846</v>
      </c>
      <c r="L5000" t="s">
        <v>29</v>
      </c>
      <c r="M5000"/>
      <c r="N5000" s="9">
        <v>44778</v>
      </c>
      <c r="O5000" s="9">
        <v>44834</v>
      </c>
      <c r="P5000"/>
      <c r="Q5000" s="9">
        <v>44846</v>
      </c>
      <c r="R5000"/>
      <c r="S5000"/>
      <c r="T5000"/>
      <c r="U5000"/>
    </row>
    <row r="5001" spans="1:21" hidden="1">
      <c r="A5001" s="7" t="s">
        <v>8768</v>
      </c>
      <c r="B5001" s="7" t="s">
        <v>6720</v>
      </c>
      <c r="C5001" s="8" t="s">
        <v>5319</v>
      </c>
      <c r="D5001" t="s">
        <v>272</v>
      </c>
      <c r="E5001" t="s">
        <v>750</v>
      </c>
      <c r="F5001" t="s">
        <v>103</v>
      </c>
      <c r="G5001" t="s">
        <v>2448</v>
      </c>
      <c r="H5001" s="9">
        <v>44733</v>
      </c>
      <c r="I5001" t="s">
        <v>43</v>
      </c>
      <c r="J5001" t="s">
        <v>0</v>
      </c>
      <c r="K5001" s="9">
        <v>44846</v>
      </c>
      <c r="L5001" t="s">
        <v>29</v>
      </c>
      <c r="M5001"/>
      <c r="N5001" s="9">
        <v>44778</v>
      </c>
      <c r="O5001" s="9">
        <v>44834</v>
      </c>
      <c r="P5001"/>
      <c r="Q5001" s="9">
        <v>44846</v>
      </c>
      <c r="R5001"/>
      <c r="S5001"/>
      <c r="T5001"/>
      <c r="U5001"/>
    </row>
    <row r="5002" spans="1:21" hidden="1">
      <c r="A5002" s="7" t="s">
        <v>8768</v>
      </c>
      <c r="B5002" s="7" t="s">
        <v>6720</v>
      </c>
      <c r="C5002" s="8" t="s">
        <v>5319</v>
      </c>
      <c r="D5002" t="s">
        <v>272</v>
      </c>
      <c r="E5002" t="s">
        <v>750</v>
      </c>
      <c r="F5002" t="s">
        <v>103</v>
      </c>
      <c r="G5002" t="s">
        <v>2449</v>
      </c>
      <c r="H5002" s="9">
        <v>44733</v>
      </c>
      <c r="I5002" t="s">
        <v>43</v>
      </c>
      <c r="J5002" t="s">
        <v>0</v>
      </c>
      <c r="K5002" s="9">
        <v>44846</v>
      </c>
      <c r="L5002" t="s">
        <v>29</v>
      </c>
      <c r="M5002"/>
      <c r="N5002" s="9">
        <v>44778</v>
      </c>
      <c r="O5002" s="9">
        <v>44834</v>
      </c>
      <c r="P5002"/>
      <c r="Q5002" s="9">
        <v>44846</v>
      </c>
      <c r="R5002"/>
      <c r="S5002"/>
      <c r="T5002"/>
      <c r="U5002"/>
    </row>
    <row r="5003" spans="1:21" hidden="1">
      <c r="A5003" s="7" t="s">
        <v>8768</v>
      </c>
      <c r="B5003" s="7" t="s">
        <v>6720</v>
      </c>
      <c r="C5003" s="8" t="s">
        <v>5319</v>
      </c>
      <c r="D5003" t="s">
        <v>272</v>
      </c>
      <c r="E5003" t="s">
        <v>750</v>
      </c>
      <c r="F5003" t="s">
        <v>103</v>
      </c>
      <c r="G5003" t="s">
        <v>2450</v>
      </c>
      <c r="H5003" s="9">
        <v>44733</v>
      </c>
      <c r="I5003" t="s">
        <v>43</v>
      </c>
      <c r="J5003" t="s">
        <v>0</v>
      </c>
      <c r="K5003" s="9">
        <v>44846</v>
      </c>
      <c r="L5003" t="s">
        <v>29</v>
      </c>
      <c r="M5003"/>
      <c r="N5003" s="9">
        <v>44778</v>
      </c>
      <c r="O5003" s="9">
        <v>44834</v>
      </c>
      <c r="P5003"/>
      <c r="Q5003" s="9">
        <v>44846</v>
      </c>
      <c r="R5003"/>
      <c r="S5003"/>
      <c r="T5003"/>
      <c r="U5003"/>
    </row>
    <row r="5004" spans="1:21" hidden="1">
      <c r="A5004" s="7" t="s">
        <v>8768</v>
      </c>
      <c r="B5004" s="7" t="s">
        <v>6720</v>
      </c>
      <c r="C5004" s="8" t="s">
        <v>5319</v>
      </c>
      <c r="D5004" t="s">
        <v>272</v>
      </c>
      <c r="E5004" t="s">
        <v>750</v>
      </c>
      <c r="F5004" t="s">
        <v>103</v>
      </c>
      <c r="G5004" t="s">
        <v>2451</v>
      </c>
      <c r="H5004" s="9">
        <v>44733</v>
      </c>
      <c r="I5004" t="s">
        <v>43</v>
      </c>
      <c r="J5004" t="s">
        <v>0</v>
      </c>
      <c r="K5004" s="9">
        <v>44846</v>
      </c>
      <c r="L5004" t="s">
        <v>29</v>
      </c>
      <c r="M5004"/>
      <c r="N5004" s="9">
        <v>44778</v>
      </c>
      <c r="O5004" s="9">
        <v>44834</v>
      </c>
      <c r="P5004"/>
      <c r="Q5004" s="9">
        <v>44846</v>
      </c>
      <c r="R5004"/>
      <c r="S5004"/>
      <c r="T5004"/>
      <c r="U5004"/>
    </row>
    <row r="5005" spans="1:21" hidden="1">
      <c r="A5005" s="7" t="s">
        <v>8768</v>
      </c>
      <c r="B5005" s="7" t="s">
        <v>6720</v>
      </c>
      <c r="C5005" s="8" t="s">
        <v>5319</v>
      </c>
      <c r="D5005" t="s">
        <v>272</v>
      </c>
      <c r="E5005" t="s">
        <v>750</v>
      </c>
      <c r="F5005" t="s">
        <v>103</v>
      </c>
      <c r="G5005" t="s">
        <v>2452</v>
      </c>
      <c r="H5005" s="9">
        <v>44733</v>
      </c>
      <c r="I5005" t="s">
        <v>43</v>
      </c>
      <c r="J5005" t="s">
        <v>0</v>
      </c>
      <c r="K5005" s="9">
        <v>44846</v>
      </c>
      <c r="L5005" t="s">
        <v>29</v>
      </c>
      <c r="M5005"/>
      <c r="N5005" s="9">
        <v>44778</v>
      </c>
      <c r="O5005" s="9">
        <v>44834</v>
      </c>
      <c r="P5005"/>
      <c r="Q5005" s="9">
        <v>44846</v>
      </c>
      <c r="R5005"/>
      <c r="S5005"/>
      <c r="T5005"/>
      <c r="U5005"/>
    </row>
    <row r="5006" spans="1:21" hidden="1">
      <c r="A5006" s="7" t="s">
        <v>8768</v>
      </c>
      <c r="B5006" s="7" t="s">
        <v>6720</v>
      </c>
      <c r="C5006" s="8" t="s">
        <v>5319</v>
      </c>
      <c r="D5006" t="s">
        <v>272</v>
      </c>
      <c r="E5006" t="s">
        <v>750</v>
      </c>
      <c r="F5006" t="s">
        <v>103</v>
      </c>
      <c r="G5006" t="s">
        <v>2453</v>
      </c>
      <c r="H5006" s="9">
        <v>44733</v>
      </c>
      <c r="I5006" t="s">
        <v>43</v>
      </c>
      <c r="J5006" t="s">
        <v>0</v>
      </c>
      <c r="K5006" s="9">
        <v>44846</v>
      </c>
      <c r="L5006" t="s">
        <v>29</v>
      </c>
      <c r="M5006"/>
      <c r="N5006" s="9">
        <v>44778</v>
      </c>
      <c r="O5006" s="9">
        <v>44834</v>
      </c>
      <c r="P5006"/>
      <c r="Q5006" s="9">
        <v>44846</v>
      </c>
      <c r="R5006"/>
      <c r="S5006"/>
      <c r="T5006"/>
      <c r="U5006"/>
    </row>
    <row r="5007" spans="1:21" hidden="1">
      <c r="A5007" s="7" t="s">
        <v>8768</v>
      </c>
      <c r="B5007" s="7" t="s">
        <v>6720</v>
      </c>
      <c r="C5007" s="8" t="s">
        <v>5319</v>
      </c>
      <c r="D5007" t="s">
        <v>272</v>
      </c>
      <c r="E5007" t="s">
        <v>750</v>
      </c>
      <c r="F5007" t="s">
        <v>103</v>
      </c>
      <c r="G5007" t="s">
        <v>2454</v>
      </c>
      <c r="H5007" s="9">
        <v>44733</v>
      </c>
      <c r="I5007" t="s">
        <v>43</v>
      </c>
      <c r="J5007" t="s">
        <v>0</v>
      </c>
      <c r="K5007" s="9">
        <v>44846</v>
      </c>
      <c r="L5007" t="s">
        <v>29</v>
      </c>
      <c r="M5007"/>
      <c r="N5007" s="9">
        <v>44778</v>
      </c>
      <c r="O5007" s="9">
        <v>44834</v>
      </c>
      <c r="P5007"/>
      <c r="Q5007" s="9">
        <v>44846</v>
      </c>
      <c r="R5007"/>
      <c r="S5007"/>
      <c r="T5007"/>
      <c r="U5007"/>
    </row>
    <row r="5008" spans="1:21" hidden="1">
      <c r="A5008" s="7" t="s">
        <v>8768</v>
      </c>
      <c r="B5008" s="7" t="s">
        <v>6720</v>
      </c>
      <c r="C5008" s="8" t="s">
        <v>5319</v>
      </c>
      <c r="D5008" t="s">
        <v>272</v>
      </c>
      <c r="E5008" t="s">
        <v>750</v>
      </c>
      <c r="F5008" t="s">
        <v>103</v>
      </c>
      <c r="G5008" t="s">
        <v>2455</v>
      </c>
      <c r="H5008" s="9">
        <v>44733</v>
      </c>
      <c r="I5008" t="s">
        <v>43</v>
      </c>
      <c r="J5008" t="s">
        <v>0</v>
      </c>
      <c r="K5008" s="9">
        <v>44846</v>
      </c>
      <c r="L5008" t="s">
        <v>29</v>
      </c>
      <c r="M5008"/>
      <c r="N5008" s="9">
        <v>44778</v>
      </c>
      <c r="O5008" s="9">
        <v>44834</v>
      </c>
      <c r="P5008"/>
      <c r="Q5008" s="9">
        <v>44846</v>
      </c>
      <c r="R5008"/>
      <c r="S5008"/>
      <c r="T5008"/>
      <c r="U5008"/>
    </row>
    <row r="5009" spans="1:21" hidden="1">
      <c r="A5009" s="7" t="s">
        <v>8768</v>
      </c>
      <c r="B5009" s="7" t="s">
        <v>6720</v>
      </c>
      <c r="C5009" s="8" t="s">
        <v>5319</v>
      </c>
      <c r="D5009" t="s">
        <v>272</v>
      </c>
      <c r="E5009" t="s">
        <v>750</v>
      </c>
      <c r="F5009" t="s">
        <v>103</v>
      </c>
      <c r="G5009" t="s">
        <v>2456</v>
      </c>
      <c r="H5009" s="9">
        <v>44733</v>
      </c>
      <c r="I5009" t="s">
        <v>43</v>
      </c>
      <c r="J5009" t="s">
        <v>0</v>
      </c>
      <c r="K5009" s="9">
        <v>44846</v>
      </c>
      <c r="L5009" t="s">
        <v>29</v>
      </c>
      <c r="M5009"/>
      <c r="N5009" s="9">
        <v>44778</v>
      </c>
      <c r="O5009" s="9">
        <v>44834</v>
      </c>
      <c r="P5009"/>
      <c r="Q5009" s="9">
        <v>44846</v>
      </c>
      <c r="R5009"/>
      <c r="S5009"/>
      <c r="T5009"/>
      <c r="U5009"/>
    </row>
    <row r="5010" spans="1:21" hidden="1">
      <c r="A5010" s="7" t="s">
        <v>8768</v>
      </c>
      <c r="B5010" s="7" t="s">
        <v>6720</v>
      </c>
      <c r="C5010" s="8" t="s">
        <v>5319</v>
      </c>
      <c r="D5010" t="s">
        <v>272</v>
      </c>
      <c r="E5010" t="s">
        <v>750</v>
      </c>
      <c r="F5010" t="s">
        <v>103</v>
      </c>
      <c r="G5010" t="s">
        <v>2457</v>
      </c>
      <c r="H5010" s="9">
        <v>44733</v>
      </c>
      <c r="I5010" t="s">
        <v>43</v>
      </c>
      <c r="J5010" t="s">
        <v>0</v>
      </c>
      <c r="K5010" s="9">
        <v>44846</v>
      </c>
      <c r="L5010" t="s">
        <v>29</v>
      </c>
      <c r="M5010"/>
      <c r="N5010" s="9">
        <v>44778</v>
      </c>
      <c r="O5010" s="9">
        <v>44834</v>
      </c>
      <c r="P5010"/>
      <c r="Q5010" s="9">
        <v>44846</v>
      </c>
      <c r="R5010"/>
      <c r="S5010"/>
      <c r="T5010"/>
      <c r="U5010"/>
    </row>
    <row r="5011" spans="1:21" hidden="1">
      <c r="A5011" s="7" t="s">
        <v>8768</v>
      </c>
      <c r="B5011" s="7" t="s">
        <v>6720</v>
      </c>
      <c r="C5011" s="8" t="s">
        <v>5319</v>
      </c>
      <c r="D5011" t="s">
        <v>272</v>
      </c>
      <c r="E5011" t="s">
        <v>750</v>
      </c>
      <c r="F5011" t="s">
        <v>103</v>
      </c>
      <c r="G5011" t="s">
        <v>2458</v>
      </c>
      <c r="H5011" s="9">
        <v>44733</v>
      </c>
      <c r="I5011" t="s">
        <v>43</v>
      </c>
      <c r="J5011" t="s">
        <v>0</v>
      </c>
      <c r="K5011" s="9">
        <v>44846</v>
      </c>
      <c r="L5011" t="s">
        <v>29</v>
      </c>
      <c r="M5011"/>
      <c r="N5011" s="9">
        <v>44778</v>
      </c>
      <c r="O5011" s="9">
        <v>44834</v>
      </c>
      <c r="P5011"/>
      <c r="Q5011" s="9">
        <v>44846</v>
      </c>
      <c r="R5011"/>
      <c r="S5011"/>
      <c r="T5011"/>
      <c r="U5011"/>
    </row>
    <row r="5012" spans="1:21" hidden="1">
      <c r="A5012" s="7" t="s">
        <v>8768</v>
      </c>
      <c r="B5012" s="7" t="s">
        <v>6720</v>
      </c>
      <c r="C5012" s="8" t="s">
        <v>5319</v>
      </c>
      <c r="D5012" t="s">
        <v>272</v>
      </c>
      <c r="E5012" t="s">
        <v>750</v>
      </c>
      <c r="F5012" t="s">
        <v>103</v>
      </c>
      <c r="G5012" t="s">
        <v>2459</v>
      </c>
      <c r="H5012" s="9">
        <v>44733</v>
      </c>
      <c r="I5012" t="s">
        <v>43</v>
      </c>
      <c r="J5012" t="s">
        <v>0</v>
      </c>
      <c r="K5012" s="9">
        <v>44846</v>
      </c>
      <c r="L5012" t="s">
        <v>29</v>
      </c>
      <c r="M5012"/>
      <c r="N5012" s="9">
        <v>44778</v>
      </c>
      <c r="O5012" s="9">
        <v>44834</v>
      </c>
      <c r="P5012"/>
      <c r="Q5012" s="9">
        <v>44846</v>
      </c>
      <c r="R5012"/>
      <c r="S5012"/>
      <c r="T5012"/>
      <c r="U5012"/>
    </row>
    <row r="5013" spans="1:21" hidden="1">
      <c r="A5013" s="7" t="s">
        <v>8768</v>
      </c>
      <c r="B5013" s="7" t="s">
        <v>6720</v>
      </c>
      <c r="C5013" s="8" t="s">
        <v>5319</v>
      </c>
      <c r="D5013" t="s">
        <v>272</v>
      </c>
      <c r="E5013" t="s">
        <v>750</v>
      </c>
      <c r="F5013" t="s">
        <v>103</v>
      </c>
      <c r="G5013" t="s">
        <v>2460</v>
      </c>
      <c r="H5013" s="9">
        <v>44733</v>
      </c>
      <c r="I5013" t="s">
        <v>43</v>
      </c>
      <c r="J5013" t="s">
        <v>0</v>
      </c>
      <c r="K5013" s="9">
        <v>44846</v>
      </c>
      <c r="L5013" t="s">
        <v>29</v>
      </c>
      <c r="M5013"/>
      <c r="N5013" s="9">
        <v>44778</v>
      </c>
      <c r="O5013" s="9">
        <v>44834</v>
      </c>
      <c r="P5013"/>
      <c r="Q5013" s="9">
        <v>44846</v>
      </c>
      <c r="R5013"/>
      <c r="S5013"/>
      <c r="T5013"/>
      <c r="U5013"/>
    </row>
    <row r="5014" spans="1:21" hidden="1">
      <c r="A5014" s="7" t="s">
        <v>8768</v>
      </c>
      <c r="B5014" s="7" t="s">
        <v>6720</v>
      </c>
      <c r="C5014" s="8" t="s">
        <v>5319</v>
      </c>
      <c r="D5014" t="s">
        <v>272</v>
      </c>
      <c r="E5014" t="s">
        <v>750</v>
      </c>
      <c r="F5014" t="s">
        <v>103</v>
      </c>
      <c r="G5014" t="s">
        <v>2461</v>
      </c>
      <c r="H5014" s="9">
        <v>44733</v>
      </c>
      <c r="I5014" t="s">
        <v>43</v>
      </c>
      <c r="J5014" t="s">
        <v>0</v>
      </c>
      <c r="K5014" s="9">
        <v>44846</v>
      </c>
      <c r="L5014" t="s">
        <v>29</v>
      </c>
      <c r="M5014"/>
      <c r="N5014" s="9">
        <v>44778</v>
      </c>
      <c r="O5014" s="9">
        <v>44834</v>
      </c>
      <c r="P5014"/>
      <c r="Q5014" s="9">
        <v>44846</v>
      </c>
      <c r="R5014"/>
      <c r="S5014"/>
      <c r="T5014"/>
      <c r="U5014"/>
    </row>
    <row r="5015" spans="1:21" hidden="1">
      <c r="A5015" s="7" t="s">
        <v>8768</v>
      </c>
      <c r="B5015" s="7" t="s">
        <v>6720</v>
      </c>
      <c r="C5015" s="8" t="s">
        <v>5319</v>
      </c>
      <c r="D5015" t="s">
        <v>272</v>
      </c>
      <c r="E5015" t="s">
        <v>750</v>
      </c>
      <c r="F5015" t="s">
        <v>103</v>
      </c>
      <c r="G5015" t="s">
        <v>2462</v>
      </c>
      <c r="H5015" s="9">
        <v>44733</v>
      </c>
      <c r="I5015" t="s">
        <v>43</v>
      </c>
      <c r="J5015" t="s">
        <v>0</v>
      </c>
      <c r="K5015" s="9">
        <v>44846</v>
      </c>
      <c r="L5015" t="s">
        <v>29</v>
      </c>
      <c r="M5015"/>
      <c r="N5015" s="9">
        <v>44778</v>
      </c>
      <c r="O5015" s="9">
        <v>44834</v>
      </c>
      <c r="P5015"/>
      <c r="Q5015" s="9">
        <v>44846</v>
      </c>
      <c r="R5015"/>
      <c r="S5015"/>
      <c r="T5015"/>
      <c r="U5015"/>
    </row>
    <row r="5016" spans="1:21" hidden="1">
      <c r="A5016" s="7" t="s">
        <v>8871</v>
      </c>
      <c r="B5016" s="7" t="s">
        <v>8280</v>
      </c>
      <c r="C5016" s="8" t="s">
        <v>5319</v>
      </c>
      <c r="D5016" t="s">
        <v>272</v>
      </c>
      <c r="E5016" t="s">
        <v>2463</v>
      </c>
      <c r="F5016" t="s">
        <v>231</v>
      </c>
      <c r="G5016" t="s">
        <v>2464</v>
      </c>
      <c r="H5016" s="9">
        <v>44733</v>
      </c>
      <c r="I5016" t="s">
        <v>903</v>
      </c>
      <c r="J5016" t="s">
        <v>2</v>
      </c>
      <c r="K5016" s="9">
        <v>44806.4850925926</v>
      </c>
      <c r="L5016" t="s">
        <v>29</v>
      </c>
      <c r="M5016" t="s">
        <v>5331</v>
      </c>
      <c r="N5016" s="9">
        <v>44778</v>
      </c>
      <c r="O5016"/>
      <c r="P5016"/>
      <c r="Q5016"/>
      <c r="R5016" s="9">
        <v>44806.484525462998</v>
      </c>
      <c r="S5016"/>
      <c r="T5016"/>
      <c r="U5016"/>
    </row>
    <row r="5017" spans="1:21" hidden="1">
      <c r="A5017" s="7" t="s">
        <v>8871</v>
      </c>
      <c r="B5017" s="7" t="s">
        <v>8280</v>
      </c>
      <c r="C5017" s="8" t="s">
        <v>5319</v>
      </c>
      <c r="D5017" t="s">
        <v>272</v>
      </c>
      <c r="E5017" t="s">
        <v>2463</v>
      </c>
      <c r="F5017" t="s">
        <v>231</v>
      </c>
      <c r="G5017" t="s">
        <v>2465</v>
      </c>
      <c r="H5017" s="9">
        <v>44733</v>
      </c>
      <c r="I5017" t="s">
        <v>903</v>
      </c>
      <c r="J5017" t="s">
        <v>2</v>
      </c>
      <c r="K5017" s="9">
        <v>44806.4850925926</v>
      </c>
      <c r="L5017" t="s">
        <v>29</v>
      </c>
      <c r="M5017" t="s">
        <v>5331</v>
      </c>
      <c r="N5017" s="9">
        <v>44778</v>
      </c>
      <c r="O5017"/>
      <c r="P5017"/>
      <c r="Q5017"/>
      <c r="R5017" s="9">
        <v>44806.484525462998</v>
      </c>
      <c r="S5017"/>
      <c r="T5017"/>
      <c r="U5017"/>
    </row>
    <row r="5018" spans="1:21" hidden="1">
      <c r="A5018" s="7" t="s">
        <v>8871</v>
      </c>
      <c r="B5018" s="7" t="s">
        <v>8280</v>
      </c>
      <c r="C5018" s="8" t="s">
        <v>5319</v>
      </c>
      <c r="D5018" t="s">
        <v>272</v>
      </c>
      <c r="E5018" t="s">
        <v>2463</v>
      </c>
      <c r="F5018" t="s">
        <v>231</v>
      </c>
      <c r="G5018" t="s">
        <v>2466</v>
      </c>
      <c r="H5018" s="9">
        <v>44733</v>
      </c>
      <c r="I5018" t="s">
        <v>903</v>
      </c>
      <c r="J5018" t="s">
        <v>2</v>
      </c>
      <c r="K5018" s="9">
        <v>44806.4850925926</v>
      </c>
      <c r="L5018" t="s">
        <v>29</v>
      </c>
      <c r="M5018" t="s">
        <v>5331</v>
      </c>
      <c r="N5018" s="9">
        <v>44778</v>
      </c>
      <c r="O5018"/>
      <c r="P5018"/>
      <c r="Q5018"/>
      <c r="R5018" s="9">
        <v>44806.484525462998</v>
      </c>
      <c r="S5018"/>
      <c r="T5018"/>
      <c r="U5018"/>
    </row>
    <row r="5019" spans="1:21" hidden="1">
      <c r="A5019" s="7" t="s">
        <v>8871</v>
      </c>
      <c r="B5019" s="7" t="s">
        <v>8280</v>
      </c>
      <c r="C5019" s="8" t="s">
        <v>5319</v>
      </c>
      <c r="D5019" t="s">
        <v>272</v>
      </c>
      <c r="E5019" t="s">
        <v>2463</v>
      </c>
      <c r="F5019" t="s">
        <v>231</v>
      </c>
      <c r="G5019" t="s">
        <v>2467</v>
      </c>
      <c r="H5019" s="9">
        <v>44733</v>
      </c>
      <c r="I5019" t="s">
        <v>903</v>
      </c>
      <c r="J5019" t="s">
        <v>2</v>
      </c>
      <c r="K5019" s="9">
        <v>44806.4850925926</v>
      </c>
      <c r="L5019" t="s">
        <v>29</v>
      </c>
      <c r="M5019" t="s">
        <v>5331</v>
      </c>
      <c r="N5019" s="9">
        <v>44778</v>
      </c>
      <c r="O5019"/>
      <c r="P5019"/>
      <c r="Q5019"/>
      <c r="R5019" s="9">
        <v>44806.484525462998</v>
      </c>
      <c r="S5019"/>
      <c r="T5019"/>
      <c r="U5019"/>
    </row>
    <row r="5020" spans="1:21" hidden="1">
      <c r="A5020" s="7" t="s">
        <v>8871</v>
      </c>
      <c r="B5020" s="7" t="s">
        <v>8280</v>
      </c>
      <c r="C5020" s="8" t="s">
        <v>5319</v>
      </c>
      <c r="D5020" t="s">
        <v>272</v>
      </c>
      <c r="E5020" t="s">
        <v>2463</v>
      </c>
      <c r="F5020" t="s">
        <v>231</v>
      </c>
      <c r="G5020" t="s">
        <v>2468</v>
      </c>
      <c r="H5020" s="9">
        <v>44733</v>
      </c>
      <c r="I5020" t="s">
        <v>903</v>
      </c>
      <c r="J5020" t="s">
        <v>2</v>
      </c>
      <c r="K5020" s="9">
        <v>44806.4850925926</v>
      </c>
      <c r="L5020" t="s">
        <v>29</v>
      </c>
      <c r="M5020" t="s">
        <v>5331</v>
      </c>
      <c r="N5020" s="9">
        <v>44778</v>
      </c>
      <c r="O5020"/>
      <c r="P5020"/>
      <c r="Q5020"/>
      <c r="R5020" s="9">
        <v>44806.484525462998</v>
      </c>
      <c r="S5020"/>
      <c r="T5020"/>
      <c r="U5020"/>
    </row>
    <row r="5021" spans="1:21" hidden="1">
      <c r="A5021" s="7" t="s">
        <v>8868</v>
      </c>
      <c r="B5021" s="7" t="s">
        <v>6764</v>
      </c>
      <c r="C5021" s="8" t="s">
        <v>5319</v>
      </c>
      <c r="D5021" t="s">
        <v>272</v>
      </c>
      <c r="E5021" t="s">
        <v>2386</v>
      </c>
      <c r="F5021" t="s">
        <v>83</v>
      </c>
      <c r="G5021" t="s">
        <v>2469</v>
      </c>
      <c r="H5021" s="9">
        <v>44733</v>
      </c>
      <c r="I5021" t="s">
        <v>2388</v>
      </c>
      <c r="J5021" t="s">
        <v>2</v>
      </c>
      <c r="K5021" s="9">
        <v>44834</v>
      </c>
      <c r="L5021" t="s">
        <v>29</v>
      </c>
      <c r="M5021" t="s">
        <v>5331</v>
      </c>
      <c r="N5021" s="9">
        <v>44778</v>
      </c>
      <c r="O5021" s="9">
        <v>44834</v>
      </c>
      <c r="P5021"/>
      <c r="Q5021"/>
      <c r="R5021"/>
      <c r="S5021"/>
      <c r="T5021"/>
      <c r="U5021"/>
    </row>
    <row r="5022" spans="1:21" hidden="1">
      <c r="A5022" s="7" t="s">
        <v>8752</v>
      </c>
      <c r="B5022" s="7" t="s">
        <v>6707</v>
      </c>
      <c r="C5022" s="8" t="s">
        <v>5319</v>
      </c>
      <c r="D5022" t="s">
        <v>272</v>
      </c>
      <c r="E5022" t="s">
        <v>439</v>
      </c>
      <c r="F5022" t="s">
        <v>117</v>
      </c>
      <c r="G5022" t="s">
        <v>464</v>
      </c>
      <c r="H5022" s="9">
        <v>44733</v>
      </c>
      <c r="I5022" t="s">
        <v>181</v>
      </c>
      <c r="J5022" t="s">
        <v>2</v>
      </c>
      <c r="K5022" s="9">
        <v>44834</v>
      </c>
      <c r="L5022" t="s">
        <v>29</v>
      </c>
      <c r="M5022" t="s">
        <v>5331</v>
      </c>
      <c r="N5022" s="9">
        <v>44778</v>
      </c>
      <c r="O5022" s="9">
        <v>44834</v>
      </c>
      <c r="P5022"/>
      <c r="Q5022" s="9">
        <v>44872</v>
      </c>
      <c r="R5022"/>
      <c r="S5022"/>
      <c r="T5022"/>
      <c r="U5022"/>
    </row>
    <row r="5023" spans="1:21" hidden="1">
      <c r="A5023" s="7" t="s">
        <v>8768</v>
      </c>
      <c r="B5023" s="7" t="s">
        <v>6720</v>
      </c>
      <c r="C5023" s="8" t="s">
        <v>5319</v>
      </c>
      <c r="D5023" t="s">
        <v>272</v>
      </c>
      <c r="E5023" t="s">
        <v>750</v>
      </c>
      <c r="F5023" t="s">
        <v>103</v>
      </c>
      <c r="G5023" t="s">
        <v>2470</v>
      </c>
      <c r="H5023" s="9">
        <v>44733</v>
      </c>
      <c r="I5023" t="s">
        <v>43</v>
      </c>
      <c r="J5023" t="s">
        <v>0</v>
      </c>
      <c r="K5023" s="9">
        <v>44846</v>
      </c>
      <c r="L5023" t="s">
        <v>29</v>
      </c>
      <c r="M5023"/>
      <c r="N5023" s="9">
        <v>44778</v>
      </c>
      <c r="O5023" s="9">
        <v>44834</v>
      </c>
      <c r="P5023"/>
      <c r="Q5023" s="9">
        <v>44846</v>
      </c>
      <c r="R5023"/>
      <c r="S5023"/>
      <c r="T5023"/>
      <c r="U5023"/>
    </row>
    <row r="5024" spans="1:21" hidden="1">
      <c r="A5024" s="7" t="s">
        <v>8768</v>
      </c>
      <c r="B5024" s="7" t="s">
        <v>6720</v>
      </c>
      <c r="C5024" s="8" t="s">
        <v>5319</v>
      </c>
      <c r="D5024" t="s">
        <v>272</v>
      </c>
      <c r="E5024" t="s">
        <v>750</v>
      </c>
      <c r="F5024" t="s">
        <v>103</v>
      </c>
      <c r="G5024" t="s">
        <v>2471</v>
      </c>
      <c r="H5024" s="9">
        <v>44733</v>
      </c>
      <c r="I5024" t="s">
        <v>43</v>
      </c>
      <c r="J5024" t="s">
        <v>0</v>
      </c>
      <c r="K5024" s="9">
        <v>44846</v>
      </c>
      <c r="L5024" t="s">
        <v>29</v>
      </c>
      <c r="M5024"/>
      <c r="N5024" s="9">
        <v>44778</v>
      </c>
      <c r="O5024" s="9">
        <v>44834</v>
      </c>
      <c r="P5024"/>
      <c r="Q5024" s="9">
        <v>44846</v>
      </c>
      <c r="R5024"/>
      <c r="S5024"/>
      <c r="T5024"/>
      <c r="U5024"/>
    </row>
    <row r="5025" spans="1:21" hidden="1">
      <c r="A5025" s="7" t="s">
        <v>8768</v>
      </c>
      <c r="B5025" s="7" t="s">
        <v>6720</v>
      </c>
      <c r="C5025" s="8" t="s">
        <v>5319</v>
      </c>
      <c r="D5025" t="s">
        <v>272</v>
      </c>
      <c r="E5025" t="s">
        <v>750</v>
      </c>
      <c r="F5025" t="s">
        <v>103</v>
      </c>
      <c r="G5025" t="s">
        <v>2472</v>
      </c>
      <c r="H5025" s="9">
        <v>44733</v>
      </c>
      <c r="I5025" t="s">
        <v>43</v>
      </c>
      <c r="J5025" t="s">
        <v>0</v>
      </c>
      <c r="K5025" s="9">
        <v>44846</v>
      </c>
      <c r="L5025" t="s">
        <v>29</v>
      </c>
      <c r="M5025"/>
      <c r="N5025" s="9">
        <v>44778</v>
      </c>
      <c r="O5025" s="9">
        <v>44834</v>
      </c>
      <c r="P5025"/>
      <c r="Q5025" s="9">
        <v>44846</v>
      </c>
      <c r="R5025"/>
      <c r="S5025"/>
      <c r="T5025"/>
      <c r="U5025"/>
    </row>
    <row r="5026" spans="1:21" hidden="1">
      <c r="A5026" s="7" t="s">
        <v>8752</v>
      </c>
      <c r="B5026" s="7" t="s">
        <v>6707</v>
      </c>
      <c r="C5026" s="8" t="s">
        <v>5319</v>
      </c>
      <c r="D5026" t="s">
        <v>272</v>
      </c>
      <c r="E5026" t="s">
        <v>439</v>
      </c>
      <c r="F5026" t="s">
        <v>117</v>
      </c>
      <c r="G5026" t="s">
        <v>465</v>
      </c>
      <c r="H5026" s="9">
        <v>44733</v>
      </c>
      <c r="I5026" t="s">
        <v>181</v>
      </c>
      <c r="J5026" t="s">
        <v>2</v>
      </c>
      <c r="K5026" s="9">
        <v>44834</v>
      </c>
      <c r="L5026" t="s">
        <v>29</v>
      </c>
      <c r="M5026" t="s">
        <v>5331</v>
      </c>
      <c r="N5026" s="9">
        <v>44778</v>
      </c>
      <c r="O5026" s="9">
        <v>44834</v>
      </c>
      <c r="P5026"/>
      <c r="Q5026" s="9">
        <v>44872</v>
      </c>
      <c r="R5026"/>
      <c r="S5026"/>
      <c r="T5026"/>
      <c r="U5026"/>
    </row>
    <row r="5027" spans="1:21" hidden="1">
      <c r="A5027" s="7" t="s">
        <v>8752</v>
      </c>
      <c r="B5027" s="7" t="s">
        <v>6707</v>
      </c>
      <c r="C5027" s="8" t="s">
        <v>5319</v>
      </c>
      <c r="D5027" t="s">
        <v>272</v>
      </c>
      <c r="E5027" t="s">
        <v>439</v>
      </c>
      <c r="F5027" t="s">
        <v>117</v>
      </c>
      <c r="G5027" t="s">
        <v>2473</v>
      </c>
      <c r="H5027" s="9">
        <v>44733</v>
      </c>
      <c r="I5027" t="s">
        <v>181</v>
      </c>
      <c r="J5027" t="s">
        <v>2</v>
      </c>
      <c r="K5027" s="9">
        <v>44834</v>
      </c>
      <c r="L5027" t="s">
        <v>29</v>
      </c>
      <c r="M5027" t="s">
        <v>5331</v>
      </c>
      <c r="N5027" s="9">
        <v>44778</v>
      </c>
      <c r="O5027" s="9">
        <v>44834</v>
      </c>
      <c r="P5027"/>
      <c r="Q5027" s="9">
        <v>44872</v>
      </c>
      <c r="R5027"/>
      <c r="S5027"/>
      <c r="T5027"/>
      <c r="U5027"/>
    </row>
    <row r="5028" spans="1:21" hidden="1">
      <c r="A5028" s="7" t="s">
        <v>8752</v>
      </c>
      <c r="B5028" s="7" t="s">
        <v>6707</v>
      </c>
      <c r="C5028" s="8" t="s">
        <v>5319</v>
      </c>
      <c r="D5028" t="s">
        <v>272</v>
      </c>
      <c r="E5028" t="s">
        <v>439</v>
      </c>
      <c r="F5028" t="s">
        <v>117</v>
      </c>
      <c r="G5028" t="s">
        <v>2474</v>
      </c>
      <c r="H5028" s="9">
        <v>44733</v>
      </c>
      <c r="I5028" t="s">
        <v>181</v>
      </c>
      <c r="J5028" t="s">
        <v>2</v>
      </c>
      <c r="K5028" s="9">
        <v>44834</v>
      </c>
      <c r="L5028" t="s">
        <v>29</v>
      </c>
      <c r="M5028" t="s">
        <v>5331</v>
      </c>
      <c r="N5028" s="9">
        <v>44778</v>
      </c>
      <c r="O5028" s="9">
        <v>44834</v>
      </c>
      <c r="P5028"/>
      <c r="Q5028" s="9">
        <v>44872</v>
      </c>
      <c r="R5028"/>
      <c r="S5028"/>
      <c r="T5028"/>
      <c r="U5028"/>
    </row>
    <row r="5029" spans="1:21" hidden="1">
      <c r="A5029" s="7" t="s">
        <v>8851</v>
      </c>
      <c r="B5029" s="7" t="s">
        <v>6668</v>
      </c>
      <c r="C5029" s="8" t="s">
        <v>5319</v>
      </c>
      <c r="D5029" t="s">
        <v>272</v>
      </c>
      <c r="E5029" t="s">
        <v>2183</v>
      </c>
      <c r="F5029" t="s">
        <v>75</v>
      </c>
      <c r="G5029" t="s">
        <v>2475</v>
      </c>
      <c r="H5029" s="9">
        <v>44733</v>
      </c>
      <c r="I5029" t="s">
        <v>2187</v>
      </c>
      <c r="J5029" t="s">
        <v>0</v>
      </c>
      <c r="K5029" s="9">
        <v>44792</v>
      </c>
      <c r="L5029" t="s">
        <v>29</v>
      </c>
      <c r="M5029"/>
      <c r="N5029" s="9">
        <v>44778</v>
      </c>
      <c r="O5029"/>
      <c r="P5029"/>
      <c r="Q5029" s="9">
        <v>44792</v>
      </c>
      <c r="R5029"/>
      <c r="S5029"/>
      <c r="T5029"/>
      <c r="U5029"/>
    </row>
    <row r="5030" spans="1:21" hidden="1">
      <c r="A5030" s="7" t="s">
        <v>8851</v>
      </c>
      <c r="B5030" s="7" t="s">
        <v>6668</v>
      </c>
      <c r="C5030" s="8" t="s">
        <v>5319</v>
      </c>
      <c r="D5030" t="s">
        <v>272</v>
      </c>
      <c r="E5030" t="s">
        <v>2183</v>
      </c>
      <c r="F5030" t="s">
        <v>75</v>
      </c>
      <c r="G5030" t="s">
        <v>2476</v>
      </c>
      <c r="H5030" s="9">
        <v>44733</v>
      </c>
      <c r="I5030" t="s">
        <v>2187</v>
      </c>
      <c r="J5030" t="s">
        <v>0</v>
      </c>
      <c r="K5030" s="9">
        <v>44792</v>
      </c>
      <c r="L5030" t="s">
        <v>29</v>
      </c>
      <c r="M5030"/>
      <c r="N5030" s="9">
        <v>44778</v>
      </c>
      <c r="O5030"/>
      <c r="P5030"/>
      <c r="Q5030" s="9">
        <v>44792</v>
      </c>
      <c r="R5030"/>
      <c r="S5030"/>
      <c r="T5030"/>
      <c r="U5030"/>
    </row>
    <row r="5031" spans="1:21" hidden="1">
      <c r="A5031" s="7" t="s">
        <v>8851</v>
      </c>
      <c r="B5031" s="7" t="s">
        <v>6668</v>
      </c>
      <c r="C5031" s="8" t="s">
        <v>5319</v>
      </c>
      <c r="D5031" t="s">
        <v>272</v>
      </c>
      <c r="E5031" t="s">
        <v>2183</v>
      </c>
      <c r="F5031" t="s">
        <v>75</v>
      </c>
      <c r="G5031" t="s">
        <v>2477</v>
      </c>
      <c r="H5031" s="9">
        <v>44733</v>
      </c>
      <c r="I5031" t="s">
        <v>2187</v>
      </c>
      <c r="J5031" t="s">
        <v>0</v>
      </c>
      <c r="K5031" s="9">
        <v>44792</v>
      </c>
      <c r="L5031" t="s">
        <v>29</v>
      </c>
      <c r="M5031"/>
      <c r="N5031" s="9">
        <v>44778</v>
      </c>
      <c r="O5031"/>
      <c r="P5031"/>
      <c r="Q5031" s="9">
        <v>44792</v>
      </c>
      <c r="R5031"/>
      <c r="S5031"/>
      <c r="T5031"/>
      <c r="U5031"/>
    </row>
    <row r="5032" spans="1:21" hidden="1">
      <c r="A5032" s="7" t="s">
        <v>8851</v>
      </c>
      <c r="B5032" s="7" t="s">
        <v>6668</v>
      </c>
      <c r="C5032" s="8" t="s">
        <v>5319</v>
      </c>
      <c r="D5032" t="s">
        <v>272</v>
      </c>
      <c r="E5032" t="s">
        <v>2183</v>
      </c>
      <c r="F5032" t="s">
        <v>75</v>
      </c>
      <c r="G5032" t="s">
        <v>2478</v>
      </c>
      <c r="H5032" s="9">
        <v>44733</v>
      </c>
      <c r="I5032" t="s">
        <v>2187</v>
      </c>
      <c r="J5032" t="s">
        <v>0</v>
      </c>
      <c r="K5032" s="9">
        <v>44792</v>
      </c>
      <c r="L5032" t="s">
        <v>29</v>
      </c>
      <c r="M5032"/>
      <c r="N5032" s="9">
        <v>44778</v>
      </c>
      <c r="O5032"/>
      <c r="P5032"/>
      <c r="Q5032" s="9">
        <v>44792</v>
      </c>
      <c r="R5032"/>
      <c r="S5032"/>
      <c r="T5032"/>
      <c r="U5032"/>
    </row>
    <row r="5033" spans="1:21" hidden="1">
      <c r="A5033" s="7" t="s">
        <v>8851</v>
      </c>
      <c r="B5033" s="7" t="s">
        <v>6668</v>
      </c>
      <c r="C5033" s="8" t="s">
        <v>5319</v>
      </c>
      <c r="D5033" t="s">
        <v>272</v>
      </c>
      <c r="E5033" t="s">
        <v>2183</v>
      </c>
      <c r="F5033" t="s">
        <v>75</v>
      </c>
      <c r="G5033" t="s">
        <v>2479</v>
      </c>
      <c r="H5033" s="9">
        <v>44733</v>
      </c>
      <c r="I5033" t="s">
        <v>2187</v>
      </c>
      <c r="J5033" t="s">
        <v>0</v>
      </c>
      <c r="K5033" s="9">
        <v>44792</v>
      </c>
      <c r="L5033" t="s">
        <v>29</v>
      </c>
      <c r="M5033"/>
      <c r="N5033" s="9">
        <v>44778</v>
      </c>
      <c r="O5033"/>
      <c r="P5033"/>
      <c r="Q5033" s="9">
        <v>44792</v>
      </c>
      <c r="R5033"/>
      <c r="S5033"/>
      <c r="T5033"/>
      <c r="U5033"/>
    </row>
    <row r="5034" spans="1:21" hidden="1">
      <c r="A5034" s="7" t="s">
        <v>8851</v>
      </c>
      <c r="B5034" s="7" t="s">
        <v>6668</v>
      </c>
      <c r="C5034" s="8" t="s">
        <v>5319</v>
      </c>
      <c r="D5034" t="s">
        <v>272</v>
      </c>
      <c r="E5034" t="s">
        <v>2183</v>
      </c>
      <c r="F5034" t="s">
        <v>75</v>
      </c>
      <c r="G5034" t="s">
        <v>2480</v>
      </c>
      <c r="H5034" s="9">
        <v>44733</v>
      </c>
      <c r="I5034" t="s">
        <v>2187</v>
      </c>
      <c r="J5034" t="s">
        <v>0</v>
      </c>
      <c r="K5034" s="9">
        <v>44792</v>
      </c>
      <c r="L5034" t="s">
        <v>29</v>
      </c>
      <c r="M5034"/>
      <c r="N5034" s="9">
        <v>44778</v>
      </c>
      <c r="O5034"/>
      <c r="P5034"/>
      <c r="Q5034" s="9">
        <v>44792</v>
      </c>
      <c r="R5034"/>
      <c r="S5034"/>
      <c r="T5034"/>
      <c r="U5034"/>
    </row>
    <row r="5035" spans="1:21" hidden="1">
      <c r="A5035" s="7" t="s">
        <v>8851</v>
      </c>
      <c r="B5035" s="7" t="s">
        <v>6668</v>
      </c>
      <c r="C5035" s="8" t="s">
        <v>5319</v>
      </c>
      <c r="D5035" t="s">
        <v>272</v>
      </c>
      <c r="E5035" t="s">
        <v>2183</v>
      </c>
      <c r="F5035" t="s">
        <v>75</v>
      </c>
      <c r="G5035" t="s">
        <v>2481</v>
      </c>
      <c r="H5035" s="9">
        <v>44733</v>
      </c>
      <c r="I5035" t="s">
        <v>2187</v>
      </c>
      <c r="J5035" t="s">
        <v>0</v>
      </c>
      <c r="K5035" s="9">
        <v>44792</v>
      </c>
      <c r="L5035" t="s">
        <v>29</v>
      </c>
      <c r="M5035"/>
      <c r="N5035" s="9">
        <v>44778</v>
      </c>
      <c r="O5035"/>
      <c r="P5035"/>
      <c r="Q5035" s="9">
        <v>44792</v>
      </c>
      <c r="R5035"/>
      <c r="S5035"/>
      <c r="T5035"/>
      <c r="U5035"/>
    </row>
    <row r="5036" spans="1:21" hidden="1">
      <c r="A5036" s="7" t="s">
        <v>8851</v>
      </c>
      <c r="B5036" s="7" t="s">
        <v>6668</v>
      </c>
      <c r="C5036" s="8" t="s">
        <v>5319</v>
      </c>
      <c r="D5036" t="s">
        <v>272</v>
      </c>
      <c r="E5036" t="s">
        <v>2183</v>
      </c>
      <c r="F5036" t="s">
        <v>75</v>
      </c>
      <c r="G5036" t="s">
        <v>2482</v>
      </c>
      <c r="H5036" s="9">
        <v>44733</v>
      </c>
      <c r="I5036" t="s">
        <v>2187</v>
      </c>
      <c r="J5036" t="s">
        <v>0</v>
      </c>
      <c r="K5036" s="9">
        <v>44792</v>
      </c>
      <c r="L5036" t="s">
        <v>29</v>
      </c>
      <c r="M5036"/>
      <c r="N5036" s="9">
        <v>44778</v>
      </c>
      <c r="O5036"/>
      <c r="P5036"/>
      <c r="Q5036" s="9">
        <v>44792</v>
      </c>
      <c r="R5036"/>
      <c r="S5036"/>
      <c r="T5036"/>
      <c r="U5036"/>
    </row>
    <row r="5037" spans="1:21" hidden="1">
      <c r="A5037" s="7" t="s">
        <v>8851</v>
      </c>
      <c r="B5037" s="7" t="s">
        <v>6668</v>
      </c>
      <c r="C5037" s="8" t="s">
        <v>5319</v>
      </c>
      <c r="D5037" t="s">
        <v>272</v>
      </c>
      <c r="E5037" t="s">
        <v>2183</v>
      </c>
      <c r="F5037" t="s">
        <v>75</v>
      </c>
      <c r="G5037" t="s">
        <v>2483</v>
      </c>
      <c r="H5037" s="9">
        <v>44733</v>
      </c>
      <c r="I5037" t="s">
        <v>2187</v>
      </c>
      <c r="J5037" t="s">
        <v>0</v>
      </c>
      <c r="K5037" s="9">
        <v>44792</v>
      </c>
      <c r="L5037" t="s">
        <v>29</v>
      </c>
      <c r="M5037"/>
      <c r="N5037" s="9">
        <v>44778</v>
      </c>
      <c r="O5037"/>
      <c r="P5037"/>
      <c r="Q5037" s="9">
        <v>44792</v>
      </c>
      <c r="R5037"/>
      <c r="S5037"/>
      <c r="T5037"/>
      <c r="U5037"/>
    </row>
    <row r="5038" spans="1:21" hidden="1">
      <c r="A5038" s="7" t="s">
        <v>8851</v>
      </c>
      <c r="B5038" s="7" t="s">
        <v>6668</v>
      </c>
      <c r="C5038" s="8" t="s">
        <v>5319</v>
      </c>
      <c r="D5038" t="s">
        <v>272</v>
      </c>
      <c r="E5038" t="s">
        <v>2183</v>
      </c>
      <c r="F5038" t="s">
        <v>75</v>
      </c>
      <c r="G5038" t="s">
        <v>2484</v>
      </c>
      <c r="H5038" s="9">
        <v>44733</v>
      </c>
      <c r="I5038" t="s">
        <v>2187</v>
      </c>
      <c r="J5038" t="s">
        <v>0</v>
      </c>
      <c r="K5038" s="9">
        <v>44792</v>
      </c>
      <c r="L5038" t="s">
        <v>29</v>
      </c>
      <c r="M5038"/>
      <c r="N5038" s="9">
        <v>44778</v>
      </c>
      <c r="O5038"/>
      <c r="P5038"/>
      <c r="Q5038" s="9">
        <v>44792</v>
      </c>
      <c r="R5038"/>
      <c r="S5038"/>
      <c r="T5038"/>
      <c r="U5038"/>
    </row>
    <row r="5039" spans="1:21" hidden="1">
      <c r="A5039" s="7" t="s">
        <v>8851</v>
      </c>
      <c r="B5039" s="7" t="s">
        <v>6668</v>
      </c>
      <c r="C5039" s="8" t="s">
        <v>5319</v>
      </c>
      <c r="D5039" t="s">
        <v>272</v>
      </c>
      <c r="E5039" t="s">
        <v>2183</v>
      </c>
      <c r="F5039" t="s">
        <v>75</v>
      </c>
      <c r="G5039" t="s">
        <v>2485</v>
      </c>
      <c r="H5039" s="9">
        <v>44733</v>
      </c>
      <c r="I5039" t="s">
        <v>2187</v>
      </c>
      <c r="J5039" t="s">
        <v>0</v>
      </c>
      <c r="K5039" s="9">
        <v>44792</v>
      </c>
      <c r="L5039" t="s">
        <v>29</v>
      </c>
      <c r="M5039"/>
      <c r="N5039" s="9">
        <v>44778</v>
      </c>
      <c r="O5039"/>
      <c r="P5039"/>
      <c r="Q5039" s="9">
        <v>44792</v>
      </c>
      <c r="R5039"/>
      <c r="S5039"/>
      <c r="T5039"/>
      <c r="U5039"/>
    </row>
    <row r="5040" spans="1:21" hidden="1">
      <c r="A5040" s="7" t="s">
        <v>8844</v>
      </c>
      <c r="B5040" s="7" t="s">
        <v>5466</v>
      </c>
      <c r="C5040" s="8" t="s">
        <v>5319</v>
      </c>
      <c r="D5040" t="s">
        <v>272</v>
      </c>
      <c r="E5040" t="s">
        <v>2119</v>
      </c>
      <c r="F5040" t="s">
        <v>83</v>
      </c>
      <c r="G5040" t="s">
        <v>2486</v>
      </c>
      <c r="H5040" s="9">
        <v>44733</v>
      </c>
      <c r="I5040" t="s">
        <v>2121</v>
      </c>
      <c r="J5040" t="s">
        <v>2</v>
      </c>
      <c r="K5040" s="9">
        <v>44834</v>
      </c>
      <c r="L5040" t="s">
        <v>29</v>
      </c>
      <c r="M5040" t="s">
        <v>5331</v>
      </c>
      <c r="N5040" s="9">
        <v>44778</v>
      </c>
      <c r="O5040" s="9">
        <v>44834</v>
      </c>
      <c r="P5040"/>
      <c r="Q5040"/>
      <c r="R5040"/>
      <c r="S5040"/>
      <c r="T5040"/>
      <c r="U5040"/>
    </row>
    <row r="5041" spans="1:21" hidden="1">
      <c r="A5041" s="7" t="s">
        <v>8844</v>
      </c>
      <c r="B5041" s="7" t="s">
        <v>5466</v>
      </c>
      <c r="C5041" s="8" t="s">
        <v>5319</v>
      </c>
      <c r="D5041" t="s">
        <v>272</v>
      </c>
      <c r="E5041" t="s">
        <v>2119</v>
      </c>
      <c r="F5041" t="s">
        <v>83</v>
      </c>
      <c r="G5041" t="s">
        <v>2487</v>
      </c>
      <c r="H5041" s="9">
        <v>44733</v>
      </c>
      <c r="I5041" t="s">
        <v>2121</v>
      </c>
      <c r="J5041" t="s">
        <v>2</v>
      </c>
      <c r="K5041" s="9">
        <v>44834</v>
      </c>
      <c r="L5041" t="s">
        <v>29</v>
      </c>
      <c r="M5041" t="s">
        <v>5331</v>
      </c>
      <c r="N5041" s="9">
        <v>44778</v>
      </c>
      <c r="O5041" s="9">
        <v>44834</v>
      </c>
      <c r="P5041"/>
      <c r="Q5041"/>
      <c r="R5041"/>
      <c r="S5041"/>
      <c r="T5041"/>
      <c r="U5041"/>
    </row>
    <row r="5042" spans="1:21" hidden="1">
      <c r="A5042" s="7" t="s">
        <v>8851</v>
      </c>
      <c r="B5042" s="7" t="s">
        <v>6668</v>
      </c>
      <c r="C5042" s="8" t="s">
        <v>5319</v>
      </c>
      <c r="D5042" t="s">
        <v>272</v>
      </c>
      <c r="E5042" t="s">
        <v>2183</v>
      </c>
      <c r="F5042" t="s">
        <v>75</v>
      </c>
      <c r="G5042" t="s">
        <v>2488</v>
      </c>
      <c r="H5042" s="9">
        <v>44733</v>
      </c>
      <c r="I5042" t="s">
        <v>2187</v>
      </c>
      <c r="J5042" t="s">
        <v>0</v>
      </c>
      <c r="K5042" s="9">
        <v>44792</v>
      </c>
      <c r="L5042" t="s">
        <v>29</v>
      </c>
      <c r="M5042"/>
      <c r="N5042" s="9">
        <v>44778</v>
      </c>
      <c r="O5042"/>
      <c r="P5042"/>
      <c r="Q5042" s="9">
        <v>44792</v>
      </c>
      <c r="R5042"/>
      <c r="S5042"/>
      <c r="T5042"/>
      <c r="U5042"/>
    </row>
    <row r="5043" spans="1:21" hidden="1">
      <c r="A5043" s="7" t="s">
        <v>8752</v>
      </c>
      <c r="B5043" s="7" t="s">
        <v>6707</v>
      </c>
      <c r="C5043" s="8" t="s">
        <v>5319</v>
      </c>
      <c r="D5043" t="s">
        <v>272</v>
      </c>
      <c r="E5043" t="s">
        <v>439</v>
      </c>
      <c r="F5043" t="s">
        <v>117</v>
      </c>
      <c r="G5043" t="s">
        <v>466</v>
      </c>
      <c r="H5043" s="9">
        <v>44733</v>
      </c>
      <c r="I5043" t="s">
        <v>181</v>
      </c>
      <c r="J5043" t="s">
        <v>2</v>
      </c>
      <c r="K5043" s="9">
        <v>44834</v>
      </c>
      <c r="L5043" t="s">
        <v>29</v>
      </c>
      <c r="M5043" t="s">
        <v>5331</v>
      </c>
      <c r="N5043" s="9">
        <v>44778</v>
      </c>
      <c r="O5043" s="9">
        <v>44834</v>
      </c>
      <c r="P5043"/>
      <c r="Q5043" s="9">
        <v>44872</v>
      </c>
      <c r="R5043"/>
      <c r="S5043"/>
      <c r="T5043"/>
      <c r="U5043"/>
    </row>
    <row r="5044" spans="1:21" hidden="1">
      <c r="A5044" s="7" t="s">
        <v>8752</v>
      </c>
      <c r="B5044" s="7" t="s">
        <v>6707</v>
      </c>
      <c r="C5044" s="8" t="s">
        <v>5319</v>
      </c>
      <c r="D5044" t="s">
        <v>272</v>
      </c>
      <c r="E5044" t="s">
        <v>439</v>
      </c>
      <c r="F5044" t="s">
        <v>117</v>
      </c>
      <c r="G5044" t="s">
        <v>467</v>
      </c>
      <c r="H5044" s="9">
        <v>44733</v>
      </c>
      <c r="I5044" t="s">
        <v>181</v>
      </c>
      <c r="J5044" t="s">
        <v>2</v>
      </c>
      <c r="K5044" s="9">
        <v>44834</v>
      </c>
      <c r="L5044" t="s">
        <v>29</v>
      </c>
      <c r="M5044" t="s">
        <v>5331</v>
      </c>
      <c r="N5044" s="9">
        <v>44778</v>
      </c>
      <c r="O5044" s="9">
        <v>44834</v>
      </c>
      <c r="P5044"/>
      <c r="Q5044" s="9">
        <v>44872</v>
      </c>
      <c r="R5044"/>
      <c r="S5044"/>
      <c r="T5044"/>
      <c r="U5044"/>
    </row>
    <row r="5045" spans="1:21" hidden="1">
      <c r="A5045" s="7" t="s">
        <v>8752</v>
      </c>
      <c r="B5045" s="7" t="s">
        <v>6707</v>
      </c>
      <c r="C5045" s="8" t="s">
        <v>5319</v>
      </c>
      <c r="D5045" t="s">
        <v>272</v>
      </c>
      <c r="E5045" t="s">
        <v>439</v>
      </c>
      <c r="F5045" t="s">
        <v>117</v>
      </c>
      <c r="G5045" t="s">
        <v>468</v>
      </c>
      <c r="H5045" s="9">
        <v>44733</v>
      </c>
      <c r="I5045" t="s">
        <v>181</v>
      </c>
      <c r="J5045" t="s">
        <v>2</v>
      </c>
      <c r="K5045" s="9">
        <v>44834</v>
      </c>
      <c r="L5045" t="s">
        <v>29</v>
      </c>
      <c r="M5045" t="s">
        <v>5331</v>
      </c>
      <c r="N5045" s="9">
        <v>44778</v>
      </c>
      <c r="O5045" s="9">
        <v>44834</v>
      </c>
      <c r="P5045"/>
      <c r="Q5045" s="9">
        <v>44872</v>
      </c>
      <c r="R5045"/>
      <c r="S5045"/>
      <c r="T5045"/>
      <c r="U5045"/>
    </row>
    <row r="5046" spans="1:21" hidden="1">
      <c r="A5046" s="7" t="s">
        <v>8752</v>
      </c>
      <c r="B5046" s="7" t="s">
        <v>6707</v>
      </c>
      <c r="C5046" s="8" t="s">
        <v>5319</v>
      </c>
      <c r="D5046" t="s">
        <v>272</v>
      </c>
      <c r="E5046" t="s">
        <v>439</v>
      </c>
      <c r="F5046" t="s">
        <v>117</v>
      </c>
      <c r="G5046" t="s">
        <v>469</v>
      </c>
      <c r="H5046" s="9">
        <v>44733</v>
      </c>
      <c r="I5046" t="s">
        <v>181</v>
      </c>
      <c r="J5046" t="s">
        <v>2</v>
      </c>
      <c r="K5046" s="9">
        <v>44834</v>
      </c>
      <c r="L5046" t="s">
        <v>29</v>
      </c>
      <c r="M5046" t="s">
        <v>5331</v>
      </c>
      <c r="N5046" s="9">
        <v>44778</v>
      </c>
      <c r="O5046" s="9">
        <v>44834</v>
      </c>
      <c r="P5046"/>
      <c r="Q5046" s="9">
        <v>44872</v>
      </c>
      <c r="R5046"/>
      <c r="S5046"/>
      <c r="T5046"/>
      <c r="U5046"/>
    </row>
    <row r="5047" spans="1:21" hidden="1">
      <c r="A5047" s="7" t="s">
        <v>8868</v>
      </c>
      <c r="B5047" s="7" t="s">
        <v>6764</v>
      </c>
      <c r="C5047" s="8" t="s">
        <v>5319</v>
      </c>
      <c r="D5047" t="s">
        <v>272</v>
      </c>
      <c r="E5047" t="s">
        <v>2386</v>
      </c>
      <c r="F5047" t="s">
        <v>83</v>
      </c>
      <c r="G5047" t="s">
        <v>2489</v>
      </c>
      <c r="H5047" s="9">
        <v>44733</v>
      </c>
      <c r="I5047" t="s">
        <v>2388</v>
      </c>
      <c r="J5047" t="s">
        <v>2</v>
      </c>
      <c r="K5047" s="9">
        <v>44834</v>
      </c>
      <c r="L5047" t="s">
        <v>29</v>
      </c>
      <c r="M5047" t="s">
        <v>5331</v>
      </c>
      <c r="N5047" s="9">
        <v>44778</v>
      </c>
      <c r="O5047" s="9">
        <v>44834</v>
      </c>
      <c r="P5047"/>
      <c r="Q5047"/>
      <c r="R5047"/>
      <c r="S5047"/>
      <c r="T5047"/>
      <c r="U5047"/>
    </row>
    <row r="5048" spans="1:21" hidden="1">
      <c r="A5048" s="7" t="s">
        <v>8868</v>
      </c>
      <c r="B5048" s="7" t="s">
        <v>6764</v>
      </c>
      <c r="C5048" s="8" t="s">
        <v>5319</v>
      </c>
      <c r="D5048" t="s">
        <v>272</v>
      </c>
      <c r="E5048" t="s">
        <v>2386</v>
      </c>
      <c r="F5048" t="s">
        <v>83</v>
      </c>
      <c r="G5048" t="s">
        <v>2490</v>
      </c>
      <c r="H5048" s="9">
        <v>44733</v>
      </c>
      <c r="I5048" t="s">
        <v>2388</v>
      </c>
      <c r="J5048" t="s">
        <v>2</v>
      </c>
      <c r="K5048" s="9">
        <v>44834</v>
      </c>
      <c r="L5048" t="s">
        <v>29</v>
      </c>
      <c r="M5048" t="s">
        <v>5331</v>
      </c>
      <c r="N5048" s="9">
        <v>44778</v>
      </c>
      <c r="O5048" s="9">
        <v>44834</v>
      </c>
      <c r="P5048"/>
      <c r="Q5048"/>
      <c r="R5048"/>
      <c r="S5048"/>
      <c r="T5048"/>
      <c r="U5048"/>
    </row>
    <row r="5049" spans="1:21" hidden="1">
      <c r="A5049" s="7" t="s">
        <v>8868</v>
      </c>
      <c r="B5049" s="7" t="s">
        <v>6764</v>
      </c>
      <c r="C5049" s="8" t="s">
        <v>5319</v>
      </c>
      <c r="D5049" t="s">
        <v>272</v>
      </c>
      <c r="E5049" t="s">
        <v>2386</v>
      </c>
      <c r="F5049" t="s">
        <v>83</v>
      </c>
      <c r="G5049" t="s">
        <v>2491</v>
      </c>
      <c r="H5049" s="9">
        <v>44733</v>
      </c>
      <c r="I5049" t="s">
        <v>2388</v>
      </c>
      <c r="J5049" t="s">
        <v>2</v>
      </c>
      <c r="K5049" s="9">
        <v>44834</v>
      </c>
      <c r="L5049" t="s">
        <v>29</v>
      </c>
      <c r="M5049" t="s">
        <v>5331</v>
      </c>
      <c r="N5049" s="9">
        <v>44778</v>
      </c>
      <c r="O5049" s="9">
        <v>44834</v>
      </c>
      <c r="P5049"/>
      <c r="Q5049"/>
      <c r="R5049"/>
      <c r="S5049"/>
      <c r="T5049"/>
      <c r="U5049"/>
    </row>
    <row r="5050" spans="1:21" hidden="1">
      <c r="A5050" s="7" t="s">
        <v>8844</v>
      </c>
      <c r="B5050" s="7" t="s">
        <v>5466</v>
      </c>
      <c r="C5050" s="8" t="s">
        <v>5319</v>
      </c>
      <c r="D5050" t="s">
        <v>272</v>
      </c>
      <c r="E5050" t="s">
        <v>2119</v>
      </c>
      <c r="F5050" t="s">
        <v>83</v>
      </c>
      <c r="G5050" t="s">
        <v>2492</v>
      </c>
      <c r="H5050" s="9">
        <v>44733</v>
      </c>
      <c r="I5050" t="s">
        <v>2121</v>
      </c>
      <c r="J5050" t="s">
        <v>2</v>
      </c>
      <c r="K5050" s="9">
        <v>44834</v>
      </c>
      <c r="L5050" t="s">
        <v>29</v>
      </c>
      <c r="M5050" t="s">
        <v>5331</v>
      </c>
      <c r="N5050" s="9">
        <v>44778</v>
      </c>
      <c r="O5050" s="9">
        <v>44834</v>
      </c>
      <c r="P5050"/>
      <c r="Q5050"/>
      <c r="R5050"/>
      <c r="S5050"/>
      <c r="T5050"/>
      <c r="U5050"/>
    </row>
    <row r="5051" spans="1:21" hidden="1">
      <c r="A5051" s="7" t="s">
        <v>8844</v>
      </c>
      <c r="B5051" s="7" t="s">
        <v>5466</v>
      </c>
      <c r="C5051" s="8" t="s">
        <v>5319</v>
      </c>
      <c r="D5051" t="s">
        <v>272</v>
      </c>
      <c r="E5051" t="s">
        <v>2119</v>
      </c>
      <c r="F5051" t="s">
        <v>83</v>
      </c>
      <c r="G5051" t="s">
        <v>2493</v>
      </c>
      <c r="H5051" s="9">
        <v>44733</v>
      </c>
      <c r="I5051" t="s">
        <v>2121</v>
      </c>
      <c r="J5051" t="s">
        <v>2</v>
      </c>
      <c r="K5051" s="9">
        <v>44834</v>
      </c>
      <c r="L5051" t="s">
        <v>29</v>
      </c>
      <c r="M5051" t="s">
        <v>5331</v>
      </c>
      <c r="N5051" s="9">
        <v>44778</v>
      </c>
      <c r="O5051" s="9">
        <v>44834</v>
      </c>
      <c r="P5051"/>
      <c r="Q5051"/>
      <c r="R5051"/>
      <c r="S5051"/>
      <c r="T5051"/>
      <c r="U5051"/>
    </row>
    <row r="5052" spans="1:21" hidden="1">
      <c r="A5052" s="7" t="s">
        <v>8844</v>
      </c>
      <c r="B5052" s="7" t="s">
        <v>5466</v>
      </c>
      <c r="C5052" s="8" t="s">
        <v>5319</v>
      </c>
      <c r="D5052" t="s">
        <v>272</v>
      </c>
      <c r="E5052" t="s">
        <v>2119</v>
      </c>
      <c r="F5052" t="s">
        <v>83</v>
      </c>
      <c r="G5052" t="s">
        <v>2494</v>
      </c>
      <c r="H5052" s="9">
        <v>44733</v>
      </c>
      <c r="I5052" t="s">
        <v>2121</v>
      </c>
      <c r="J5052" t="s">
        <v>2</v>
      </c>
      <c r="K5052" s="9">
        <v>44834</v>
      </c>
      <c r="L5052" t="s">
        <v>29</v>
      </c>
      <c r="M5052" t="s">
        <v>5331</v>
      </c>
      <c r="N5052" s="9">
        <v>44778</v>
      </c>
      <c r="O5052" s="9">
        <v>44834</v>
      </c>
      <c r="P5052"/>
      <c r="Q5052"/>
      <c r="R5052"/>
      <c r="S5052"/>
      <c r="T5052"/>
      <c r="U5052"/>
    </row>
    <row r="5053" spans="1:21" hidden="1">
      <c r="A5053" s="7" t="s">
        <v>8788</v>
      </c>
      <c r="B5053" s="7" t="s">
        <v>7708</v>
      </c>
      <c r="C5053" s="8" t="s">
        <v>5319</v>
      </c>
      <c r="D5053" t="s">
        <v>272</v>
      </c>
      <c r="E5053" t="s">
        <v>905</v>
      </c>
      <c r="F5053" t="s">
        <v>75</v>
      </c>
      <c r="G5053" t="s">
        <v>2495</v>
      </c>
      <c r="H5053" s="9">
        <v>44733</v>
      </c>
      <c r="I5053" t="s">
        <v>408</v>
      </c>
      <c r="J5053" t="s">
        <v>2</v>
      </c>
      <c r="K5053" s="9">
        <v>44834</v>
      </c>
      <c r="L5053" t="s">
        <v>29</v>
      </c>
      <c r="M5053" t="s">
        <v>5331</v>
      </c>
      <c r="N5053" s="9">
        <v>44778</v>
      </c>
      <c r="O5053" s="9">
        <v>44834</v>
      </c>
      <c r="P5053"/>
      <c r="Q5053"/>
      <c r="R5053"/>
      <c r="S5053"/>
      <c r="T5053"/>
      <c r="U5053"/>
    </row>
    <row r="5054" spans="1:21" hidden="1">
      <c r="A5054" s="7" t="s">
        <v>8872</v>
      </c>
      <c r="B5054" s="7" t="s">
        <v>5428</v>
      </c>
      <c r="C5054" s="8" t="s">
        <v>5319</v>
      </c>
      <c r="D5054" t="s">
        <v>272</v>
      </c>
      <c r="E5054" t="s">
        <v>2496</v>
      </c>
      <c r="F5054" t="s">
        <v>75</v>
      </c>
      <c r="G5054" t="s">
        <v>2497</v>
      </c>
      <c r="H5054" s="9">
        <v>44733</v>
      </c>
      <c r="I5054" t="s">
        <v>408</v>
      </c>
      <c r="J5054" t="s">
        <v>2</v>
      </c>
      <c r="K5054" s="9">
        <v>44834</v>
      </c>
      <c r="L5054" t="s">
        <v>29</v>
      </c>
      <c r="M5054" t="s">
        <v>5331</v>
      </c>
      <c r="N5054" s="9">
        <v>44778</v>
      </c>
      <c r="O5054" s="9">
        <v>44834</v>
      </c>
      <c r="P5054"/>
      <c r="Q5054"/>
      <c r="R5054"/>
      <c r="S5054"/>
      <c r="T5054"/>
      <c r="U5054"/>
    </row>
    <row r="5055" spans="1:21" hidden="1">
      <c r="A5055" s="7" t="s">
        <v>8872</v>
      </c>
      <c r="B5055" s="7" t="s">
        <v>5428</v>
      </c>
      <c r="C5055" s="8" t="s">
        <v>5319</v>
      </c>
      <c r="D5055" t="s">
        <v>272</v>
      </c>
      <c r="E5055" t="s">
        <v>2496</v>
      </c>
      <c r="F5055" t="s">
        <v>75</v>
      </c>
      <c r="G5055" t="s">
        <v>2498</v>
      </c>
      <c r="H5055" s="9">
        <v>44733</v>
      </c>
      <c r="I5055" t="s">
        <v>408</v>
      </c>
      <c r="J5055" t="s">
        <v>2</v>
      </c>
      <c r="K5055" s="9">
        <v>44834</v>
      </c>
      <c r="L5055" t="s">
        <v>29</v>
      </c>
      <c r="M5055" t="s">
        <v>5331</v>
      </c>
      <c r="N5055" s="9">
        <v>44778</v>
      </c>
      <c r="O5055" s="9">
        <v>44834</v>
      </c>
      <c r="P5055"/>
      <c r="Q5055"/>
      <c r="R5055"/>
      <c r="S5055"/>
      <c r="T5055"/>
      <c r="U5055"/>
    </row>
    <row r="5056" spans="1:21" hidden="1">
      <c r="A5056" s="7" t="s">
        <v>8735</v>
      </c>
      <c r="B5056" s="7" t="s">
        <v>7743</v>
      </c>
      <c r="C5056" s="8" t="s">
        <v>5319</v>
      </c>
      <c r="D5056" t="s">
        <v>272</v>
      </c>
      <c r="E5056" t="s">
        <v>243</v>
      </c>
      <c r="F5056" t="s">
        <v>117</v>
      </c>
      <c r="G5056" t="s">
        <v>244</v>
      </c>
      <c r="H5056" s="9">
        <v>44733</v>
      </c>
      <c r="I5056" t="s">
        <v>171</v>
      </c>
      <c r="J5056" t="s">
        <v>0</v>
      </c>
      <c r="K5056" s="9">
        <v>44889</v>
      </c>
      <c r="L5056" t="s">
        <v>29</v>
      </c>
      <c r="M5056"/>
      <c r="N5056" s="9">
        <v>44778</v>
      </c>
      <c r="O5056" s="9">
        <v>44834</v>
      </c>
      <c r="P5056"/>
      <c r="Q5056" s="9">
        <v>44889</v>
      </c>
      <c r="R5056"/>
      <c r="S5056"/>
      <c r="T5056"/>
      <c r="U5056"/>
    </row>
    <row r="5057" spans="1:21" hidden="1">
      <c r="A5057" s="7" t="s">
        <v>8735</v>
      </c>
      <c r="B5057" s="7" t="s">
        <v>7743</v>
      </c>
      <c r="C5057" s="8" t="s">
        <v>5319</v>
      </c>
      <c r="D5057" t="s">
        <v>272</v>
      </c>
      <c r="E5057" t="s">
        <v>243</v>
      </c>
      <c r="F5057" t="s">
        <v>117</v>
      </c>
      <c r="G5057" t="s">
        <v>245</v>
      </c>
      <c r="H5057" s="9">
        <v>44733</v>
      </c>
      <c r="I5057" t="s">
        <v>171</v>
      </c>
      <c r="J5057" t="s">
        <v>0</v>
      </c>
      <c r="K5057" s="9">
        <v>44889</v>
      </c>
      <c r="L5057" t="s">
        <v>29</v>
      </c>
      <c r="M5057"/>
      <c r="N5057" s="9">
        <v>44778</v>
      </c>
      <c r="O5057" s="9">
        <v>44834</v>
      </c>
      <c r="P5057"/>
      <c r="Q5057" s="9">
        <v>44889</v>
      </c>
      <c r="R5057"/>
      <c r="S5057"/>
      <c r="T5057"/>
      <c r="U5057"/>
    </row>
    <row r="5058" spans="1:21" hidden="1">
      <c r="A5058" s="7" t="s">
        <v>8735</v>
      </c>
      <c r="B5058" s="7" t="s">
        <v>7743</v>
      </c>
      <c r="C5058" s="8" t="s">
        <v>5319</v>
      </c>
      <c r="D5058" t="s">
        <v>272</v>
      </c>
      <c r="E5058" t="s">
        <v>243</v>
      </c>
      <c r="F5058" t="s">
        <v>117</v>
      </c>
      <c r="G5058" t="s">
        <v>246</v>
      </c>
      <c r="H5058" s="9">
        <v>44733</v>
      </c>
      <c r="I5058" t="s">
        <v>171</v>
      </c>
      <c r="J5058" t="s">
        <v>0</v>
      </c>
      <c r="K5058" s="9">
        <v>44889</v>
      </c>
      <c r="L5058" t="s">
        <v>29</v>
      </c>
      <c r="M5058"/>
      <c r="N5058" s="9">
        <v>44778</v>
      </c>
      <c r="O5058" s="9">
        <v>44834</v>
      </c>
      <c r="P5058"/>
      <c r="Q5058" s="9">
        <v>44889</v>
      </c>
      <c r="R5058"/>
      <c r="S5058"/>
      <c r="T5058"/>
      <c r="U5058"/>
    </row>
    <row r="5059" spans="1:21" hidden="1">
      <c r="A5059" s="7" t="s">
        <v>8735</v>
      </c>
      <c r="B5059" s="7" t="s">
        <v>7743</v>
      </c>
      <c r="C5059" s="8" t="s">
        <v>5319</v>
      </c>
      <c r="D5059" t="s">
        <v>272</v>
      </c>
      <c r="E5059" t="s">
        <v>243</v>
      </c>
      <c r="F5059" t="s">
        <v>117</v>
      </c>
      <c r="G5059" t="s">
        <v>247</v>
      </c>
      <c r="H5059" s="9">
        <v>44733</v>
      </c>
      <c r="I5059" t="s">
        <v>171</v>
      </c>
      <c r="J5059" t="s">
        <v>0</v>
      </c>
      <c r="K5059" s="9">
        <v>44889</v>
      </c>
      <c r="L5059" t="s">
        <v>29</v>
      </c>
      <c r="M5059"/>
      <c r="N5059" s="9">
        <v>44778</v>
      </c>
      <c r="O5059" s="9">
        <v>44834</v>
      </c>
      <c r="P5059"/>
      <c r="Q5059" s="9">
        <v>44889</v>
      </c>
      <c r="R5059"/>
      <c r="S5059"/>
      <c r="T5059"/>
      <c r="U5059"/>
    </row>
    <row r="5060" spans="1:21" hidden="1">
      <c r="A5060" s="7" t="s">
        <v>8735</v>
      </c>
      <c r="B5060" s="7" t="s">
        <v>7743</v>
      </c>
      <c r="C5060" s="8" t="s">
        <v>5319</v>
      </c>
      <c r="D5060" t="s">
        <v>272</v>
      </c>
      <c r="E5060" t="s">
        <v>243</v>
      </c>
      <c r="F5060" t="s">
        <v>117</v>
      </c>
      <c r="G5060" t="s">
        <v>248</v>
      </c>
      <c r="H5060" s="9">
        <v>44733</v>
      </c>
      <c r="I5060" t="s">
        <v>171</v>
      </c>
      <c r="J5060" t="s">
        <v>0</v>
      </c>
      <c r="K5060" s="9">
        <v>44889</v>
      </c>
      <c r="L5060" t="s">
        <v>29</v>
      </c>
      <c r="M5060"/>
      <c r="N5060" s="9">
        <v>44778</v>
      </c>
      <c r="O5060" s="9">
        <v>44834</v>
      </c>
      <c r="P5060"/>
      <c r="Q5060" s="9">
        <v>44889</v>
      </c>
      <c r="R5060"/>
      <c r="S5060"/>
      <c r="T5060"/>
      <c r="U5060"/>
    </row>
    <row r="5061" spans="1:21" hidden="1">
      <c r="A5061" s="7" t="s">
        <v>8735</v>
      </c>
      <c r="B5061" s="7" t="s">
        <v>7743</v>
      </c>
      <c r="C5061" s="8" t="s">
        <v>5319</v>
      </c>
      <c r="D5061" t="s">
        <v>272</v>
      </c>
      <c r="E5061" t="s">
        <v>243</v>
      </c>
      <c r="F5061" t="s">
        <v>117</v>
      </c>
      <c r="G5061" t="s">
        <v>249</v>
      </c>
      <c r="H5061" s="9">
        <v>44733</v>
      </c>
      <c r="I5061" t="s">
        <v>171</v>
      </c>
      <c r="J5061" t="s">
        <v>0</v>
      </c>
      <c r="K5061" s="9">
        <v>44889</v>
      </c>
      <c r="L5061" t="s">
        <v>29</v>
      </c>
      <c r="M5061"/>
      <c r="N5061" s="9">
        <v>44778</v>
      </c>
      <c r="O5061" s="9">
        <v>44834</v>
      </c>
      <c r="P5061"/>
      <c r="Q5061" s="9">
        <v>44889</v>
      </c>
      <c r="R5061"/>
      <c r="S5061"/>
      <c r="T5061"/>
      <c r="U5061"/>
    </row>
    <row r="5062" spans="1:21" hidden="1">
      <c r="A5062" s="7" t="s">
        <v>8735</v>
      </c>
      <c r="B5062" s="7" t="s">
        <v>7743</v>
      </c>
      <c r="C5062" s="8" t="s">
        <v>5319</v>
      </c>
      <c r="D5062" t="s">
        <v>272</v>
      </c>
      <c r="E5062" t="s">
        <v>243</v>
      </c>
      <c r="F5062" t="s">
        <v>117</v>
      </c>
      <c r="G5062" t="s">
        <v>250</v>
      </c>
      <c r="H5062" s="9">
        <v>44733</v>
      </c>
      <c r="I5062" t="s">
        <v>171</v>
      </c>
      <c r="J5062" t="s">
        <v>0</v>
      </c>
      <c r="K5062" s="9">
        <v>44889</v>
      </c>
      <c r="L5062" t="s">
        <v>29</v>
      </c>
      <c r="M5062"/>
      <c r="N5062" s="9">
        <v>44778</v>
      </c>
      <c r="O5062" s="9">
        <v>44834</v>
      </c>
      <c r="P5062"/>
      <c r="Q5062" s="9">
        <v>44889</v>
      </c>
      <c r="R5062"/>
      <c r="S5062"/>
      <c r="T5062"/>
      <c r="U5062"/>
    </row>
    <row r="5063" spans="1:21" hidden="1">
      <c r="A5063" s="7" t="s">
        <v>8735</v>
      </c>
      <c r="B5063" s="7" t="s">
        <v>7743</v>
      </c>
      <c r="C5063" s="8" t="s">
        <v>5319</v>
      </c>
      <c r="D5063" t="s">
        <v>272</v>
      </c>
      <c r="E5063" t="s">
        <v>243</v>
      </c>
      <c r="F5063" t="s">
        <v>117</v>
      </c>
      <c r="G5063" t="s">
        <v>251</v>
      </c>
      <c r="H5063" s="9">
        <v>44733</v>
      </c>
      <c r="I5063" t="s">
        <v>171</v>
      </c>
      <c r="J5063" t="s">
        <v>0</v>
      </c>
      <c r="K5063" s="9">
        <v>44889</v>
      </c>
      <c r="L5063" t="s">
        <v>29</v>
      </c>
      <c r="M5063"/>
      <c r="N5063" s="9">
        <v>44778</v>
      </c>
      <c r="O5063" s="9">
        <v>44834</v>
      </c>
      <c r="P5063"/>
      <c r="Q5063" s="9">
        <v>44889</v>
      </c>
      <c r="R5063"/>
      <c r="S5063"/>
      <c r="T5063"/>
      <c r="U5063"/>
    </row>
    <row r="5064" spans="1:21" hidden="1">
      <c r="A5064" s="7" t="s">
        <v>8735</v>
      </c>
      <c r="B5064" s="7" t="s">
        <v>7743</v>
      </c>
      <c r="C5064" s="8" t="s">
        <v>5319</v>
      </c>
      <c r="D5064" t="s">
        <v>272</v>
      </c>
      <c r="E5064" t="s">
        <v>243</v>
      </c>
      <c r="F5064" t="s">
        <v>117</v>
      </c>
      <c r="G5064" t="s">
        <v>252</v>
      </c>
      <c r="H5064" s="9">
        <v>44733</v>
      </c>
      <c r="I5064" t="s">
        <v>171</v>
      </c>
      <c r="J5064" t="s">
        <v>0</v>
      </c>
      <c r="K5064" s="9">
        <v>44889</v>
      </c>
      <c r="L5064" t="s">
        <v>29</v>
      </c>
      <c r="M5064"/>
      <c r="N5064" s="9">
        <v>44778</v>
      </c>
      <c r="O5064" s="9">
        <v>44834</v>
      </c>
      <c r="P5064"/>
      <c r="Q5064" s="9">
        <v>44889</v>
      </c>
      <c r="R5064"/>
      <c r="S5064"/>
      <c r="T5064"/>
      <c r="U5064"/>
    </row>
    <row r="5065" spans="1:21" hidden="1">
      <c r="A5065" s="7" t="s">
        <v>8735</v>
      </c>
      <c r="B5065" s="7" t="s">
        <v>7743</v>
      </c>
      <c r="C5065" s="8" t="s">
        <v>5319</v>
      </c>
      <c r="D5065" t="s">
        <v>272</v>
      </c>
      <c r="E5065" t="s">
        <v>243</v>
      </c>
      <c r="F5065" t="s">
        <v>117</v>
      </c>
      <c r="G5065" t="s">
        <v>253</v>
      </c>
      <c r="H5065" s="9">
        <v>44733</v>
      </c>
      <c r="I5065" t="s">
        <v>171</v>
      </c>
      <c r="J5065" t="s">
        <v>0</v>
      </c>
      <c r="K5065" s="9">
        <v>44889</v>
      </c>
      <c r="L5065" t="s">
        <v>29</v>
      </c>
      <c r="M5065"/>
      <c r="N5065" s="9">
        <v>44778</v>
      </c>
      <c r="O5065" s="9">
        <v>44834</v>
      </c>
      <c r="P5065"/>
      <c r="Q5065" s="9">
        <v>44889</v>
      </c>
      <c r="R5065"/>
      <c r="S5065"/>
      <c r="T5065"/>
      <c r="U5065"/>
    </row>
    <row r="5066" spans="1:21" hidden="1">
      <c r="A5066" s="7" t="s">
        <v>8735</v>
      </c>
      <c r="B5066" s="7" t="s">
        <v>7743</v>
      </c>
      <c r="C5066" s="8" t="s">
        <v>5319</v>
      </c>
      <c r="D5066" t="s">
        <v>272</v>
      </c>
      <c r="E5066" t="s">
        <v>243</v>
      </c>
      <c r="F5066" t="s">
        <v>117</v>
      </c>
      <c r="G5066" t="s">
        <v>254</v>
      </c>
      <c r="H5066" s="9">
        <v>44733</v>
      </c>
      <c r="I5066" t="s">
        <v>171</v>
      </c>
      <c r="J5066" t="s">
        <v>0</v>
      </c>
      <c r="K5066" s="9">
        <v>44889</v>
      </c>
      <c r="L5066" t="s">
        <v>29</v>
      </c>
      <c r="M5066"/>
      <c r="N5066" s="9">
        <v>44778</v>
      </c>
      <c r="O5066" s="9">
        <v>44834</v>
      </c>
      <c r="P5066"/>
      <c r="Q5066" s="9">
        <v>44889</v>
      </c>
      <c r="R5066"/>
      <c r="S5066"/>
      <c r="T5066"/>
      <c r="U5066"/>
    </row>
    <row r="5067" spans="1:21" hidden="1">
      <c r="A5067" s="7" t="s">
        <v>8746</v>
      </c>
      <c r="B5067" s="7" t="s">
        <v>7556</v>
      </c>
      <c r="C5067" s="8" t="s">
        <v>5319</v>
      </c>
      <c r="D5067" t="s">
        <v>272</v>
      </c>
      <c r="E5067" t="s">
        <v>406</v>
      </c>
      <c r="F5067" t="s">
        <v>117</v>
      </c>
      <c r="G5067" t="s">
        <v>2499</v>
      </c>
      <c r="H5067" s="9">
        <v>44733</v>
      </c>
      <c r="I5067" t="s">
        <v>408</v>
      </c>
      <c r="J5067" t="s">
        <v>2</v>
      </c>
      <c r="K5067" s="9">
        <v>44860</v>
      </c>
      <c r="L5067" t="s">
        <v>29</v>
      </c>
      <c r="M5067" t="s">
        <v>5329</v>
      </c>
      <c r="N5067" s="9">
        <v>44778</v>
      </c>
      <c r="O5067"/>
      <c r="P5067"/>
      <c r="Q5067" s="9">
        <v>44867</v>
      </c>
      <c r="R5067" s="9">
        <v>44781.583344907398</v>
      </c>
      <c r="S5067"/>
      <c r="T5067"/>
      <c r="U5067"/>
    </row>
    <row r="5068" spans="1:21" hidden="1">
      <c r="A5068" s="7" t="s">
        <v>8752</v>
      </c>
      <c r="B5068" s="7" t="s">
        <v>6707</v>
      </c>
      <c r="C5068" s="8" t="s">
        <v>5319</v>
      </c>
      <c r="D5068" t="s">
        <v>272</v>
      </c>
      <c r="E5068" t="s">
        <v>439</v>
      </c>
      <c r="F5068" t="s">
        <v>117</v>
      </c>
      <c r="G5068" t="s">
        <v>479</v>
      </c>
      <c r="H5068" s="9">
        <v>44733</v>
      </c>
      <c r="I5068" t="s">
        <v>181</v>
      </c>
      <c r="J5068" t="s">
        <v>2</v>
      </c>
      <c r="K5068" s="9">
        <v>44834</v>
      </c>
      <c r="L5068" t="s">
        <v>29</v>
      </c>
      <c r="M5068" t="s">
        <v>5331</v>
      </c>
      <c r="N5068" s="9">
        <v>44778</v>
      </c>
      <c r="O5068" s="9">
        <v>44834</v>
      </c>
      <c r="P5068"/>
      <c r="Q5068" s="9">
        <v>44872</v>
      </c>
      <c r="R5068"/>
      <c r="S5068"/>
      <c r="T5068"/>
      <c r="U5068"/>
    </row>
    <row r="5069" spans="1:21" hidden="1">
      <c r="A5069" s="7" t="s">
        <v>8752</v>
      </c>
      <c r="B5069" s="7" t="s">
        <v>6707</v>
      </c>
      <c r="C5069" s="8" t="s">
        <v>5319</v>
      </c>
      <c r="D5069" t="s">
        <v>272</v>
      </c>
      <c r="E5069" t="s">
        <v>439</v>
      </c>
      <c r="F5069" t="s">
        <v>117</v>
      </c>
      <c r="G5069" t="s">
        <v>2500</v>
      </c>
      <c r="H5069" s="9">
        <v>44733</v>
      </c>
      <c r="I5069" t="s">
        <v>181</v>
      </c>
      <c r="J5069" t="s">
        <v>2</v>
      </c>
      <c r="K5069" s="9">
        <v>44834</v>
      </c>
      <c r="L5069" t="s">
        <v>29</v>
      </c>
      <c r="M5069" t="s">
        <v>5331</v>
      </c>
      <c r="N5069" s="9">
        <v>44778</v>
      </c>
      <c r="O5069" s="9">
        <v>44834</v>
      </c>
      <c r="P5069"/>
      <c r="Q5069" s="9">
        <v>44872</v>
      </c>
      <c r="R5069"/>
      <c r="S5069"/>
      <c r="T5069"/>
      <c r="U5069"/>
    </row>
    <row r="5070" spans="1:21" hidden="1">
      <c r="A5070" s="7" t="s">
        <v>8752</v>
      </c>
      <c r="B5070" s="7" t="s">
        <v>6707</v>
      </c>
      <c r="C5070" s="8" t="s">
        <v>5319</v>
      </c>
      <c r="D5070" t="s">
        <v>272</v>
      </c>
      <c r="E5070" t="s">
        <v>439</v>
      </c>
      <c r="F5070" t="s">
        <v>117</v>
      </c>
      <c r="G5070" t="s">
        <v>480</v>
      </c>
      <c r="H5070" s="9">
        <v>44733</v>
      </c>
      <c r="I5070" t="s">
        <v>181</v>
      </c>
      <c r="J5070" t="s">
        <v>2</v>
      </c>
      <c r="K5070" s="9">
        <v>44834</v>
      </c>
      <c r="L5070" t="s">
        <v>29</v>
      </c>
      <c r="M5070" t="s">
        <v>5331</v>
      </c>
      <c r="N5070" s="9">
        <v>44778</v>
      </c>
      <c r="O5070" s="9">
        <v>44834</v>
      </c>
      <c r="P5070"/>
      <c r="Q5070" s="9">
        <v>44872</v>
      </c>
      <c r="R5070"/>
      <c r="S5070"/>
      <c r="T5070"/>
      <c r="U5070"/>
    </row>
    <row r="5071" spans="1:21" hidden="1">
      <c r="A5071" s="7" t="s">
        <v>8752</v>
      </c>
      <c r="B5071" s="7" t="s">
        <v>6707</v>
      </c>
      <c r="C5071" s="8" t="s">
        <v>5319</v>
      </c>
      <c r="D5071" t="s">
        <v>272</v>
      </c>
      <c r="E5071" t="s">
        <v>439</v>
      </c>
      <c r="F5071" t="s">
        <v>117</v>
      </c>
      <c r="G5071" t="s">
        <v>2501</v>
      </c>
      <c r="H5071" s="9">
        <v>44733</v>
      </c>
      <c r="I5071" t="s">
        <v>181</v>
      </c>
      <c r="J5071" t="s">
        <v>2</v>
      </c>
      <c r="K5071" s="9">
        <v>44834</v>
      </c>
      <c r="L5071" t="s">
        <v>29</v>
      </c>
      <c r="M5071" t="s">
        <v>5331</v>
      </c>
      <c r="N5071" s="9">
        <v>44778</v>
      </c>
      <c r="O5071" s="9">
        <v>44834</v>
      </c>
      <c r="P5071"/>
      <c r="Q5071" s="9">
        <v>44872</v>
      </c>
      <c r="R5071"/>
      <c r="S5071"/>
      <c r="T5071"/>
      <c r="U5071"/>
    </row>
    <row r="5072" spans="1:21" hidden="1">
      <c r="A5072" s="7" t="s">
        <v>8873</v>
      </c>
      <c r="B5072" s="7" t="s">
        <v>7140</v>
      </c>
      <c r="C5072" s="8" t="s">
        <v>5319</v>
      </c>
      <c r="D5072" t="s">
        <v>272</v>
      </c>
      <c r="E5072" t="s">
        <v>2360</v>
      </c>
      <c r="F5072" t="s">
        <v>209</v>
      </c>
      <c r="G5072" t="s">
        <v>2502</v>
      </c>
      <c r="H5072" s="9">
        <v>44733</v>
      </c>
      <c r="I5072" t="s">
        <v>2362</v>
      </c>
      <c r="J5072" t="s">
        <v>2</v>
      </c>
      <c r="K5072" s="9">
        <v>44834</v>
      </c>
      <c r="L5072" t="s">
        <v>29</v>
      </c>
      <c r="M5072" t="s">
        <v>5331</v>
      </c>
      <c r="N5072" s="9">
        <v>44778</v>
      </c>
      <c r="O5072" s="9">
        <v>44834</v>
      </c>
      <c r="P5072"/>
      <c r="Q5072"/>
      <c r="R5072"/>
      <c r="S5072"/>
      <c r="T5072"/>
      <c r="U5072"/>
    </row>
    <row r="5073" spans="1:21" hidden="1">
      <c r="A5073" s="7" t="s">
        <v>8874</v>
      </c>
      <c r="B5073" s="7" t="s">
        <v>7053</v>
      </c>
      <c r="C5073" s="8" t="s">
        <v>5319</v>
      </c>
      <c r="D5073" t="s">
        <v>272</v>
      </c>
      <c r="E5073" t="s">
        <v>2503</v>
      </c>
      <c r="F5073" t="s">
        <v>280</v>
      </c>
      <c r="G5073" t="s">
        <v>2504</v>
      </c>
      <c r="H5073" s="9">
        <v>44733</v>
      </c>
      <c r="I5073" t="s">
        <v>903</v>
      </c>
      <c r="J5073" t="s">
        <v>2</v>
      </c>
      <c r="K5073" s="9">
        <v>44834</v>
      </c>
      <c r="L5073" t="s">
        <v>29</v>
      </c>
      <c r="M5073" t="s">
        <v>5331</v>
      </c>
      <c r="N5073" s="9">
        <v>44778</v>
      </c>
      <c r="O5073" s="9">
        <v>44834</v>
      </c>
      <c r="P5073"/>
      <c r="Q5073" s="9">
        <v>44882</v>
      </c>
      <c r="R5073"/>
      <c r="S5073"/>
      <c r="T5073"/>
      <c r="U5073"/>
    </row>
    <row r="5074" spans="1:21" hidden="1">
      <c r="A5074" s="7" t="s">
        <v>8874</v>
      </c>
      <c r="B5074" s="7" t="s">
        <v>7053</v>
      </c>
      <c r="C5074" s="8" t="s">
        <v>5319</v>
      </c>
      <c r="D5074" t="s">
        <v>272</v>
      </c>
      <c r="E5074" t="s">
        <v>2503</v>
      </c>
      <c r="F5074" t="s">
        <v>280</v>
      </c>
      <c r="G5074" t="s">
        <v>2505</v>
      </c>
      <c r="H5074" s="9">
        <v>44733</v>
      </c>
      <c r="I5074" t="s">
        <v>903</v>
      </c>
      <c r="J5074" t="s">
        <v>2</v>
      </c>
      <c r="K5074" s="9">
        <v>44834</v>
      </c>
      <c r="L5074" t="s">
        <v>29</v>
      </c>
      <c r="M5074" t="s">
        <v>5331</v>
      </c>
      <c r="N5074" s="9">
        <v>44778</v>
      </c>
      <c r="O5074" s="9">
        <v>44834</v>
      </c>
      <c r="P5074"/>
      <c r="Q5074" s="9">
        <v>44882</v>
      </c>
      <c r="R5074"/>
      <c r="S5074"/>
      <c r="T5074"/>
      <c r="U5074"/>
    </row>
    <row r="5075" spans="1:21" hidden="1">
      <c r="A5075" s="7" t="s">
        <v>8874</v>
      </c>
      <c r="B5075" s="7" t="s">
        <v>7053</v>
      </c>
      <c r="C5075" s="8" t="s">
        <v>5319</v>
      </c>
      <c r="D5075" t="s">
        <v>272</v>
      </c>
      <c r="E5075" t="s">
        <v>2503</v>
      </c>
      <c r="F5075" t="s">
        <v>280</v>
      </c>
      <c r="G5075" t="s">
        <v>2506</v>
      </c>
      <c r="H5075" s="9">
        <v>44733</v>
      </c>
      <c r="I5075" t="s">
        <v>903</v>
      </c>
      <c r="J5075" t="s">
        <v>2</v>
      </c>
      <c r="K5075" s="9">
        <v>44834</v>
      </c>
      <c r="L5075" t="s">
        <v>29</v>
      </c>
      <c r="M5075" t="s">
        <v>5331</v>
      </c>
      <c r="N5075" s="9">
        <v>44778</v>
      </c>
      <c r="O5075" s="9">
        <v>44834</v>
      </c>
      <c r="P5075"/>
      <c r="Q5075" s="9">
        <v>44882</v>
      </c>
      <c r="R5075"/>
      <c r="S5075"/>
      <c r="T5075"/>
      <c r="U5075"/>
    </row>
    <row r="5076" spans="1:21" hidden="1">
      <c r="A5076" s="7" t="s">
        <v>8868</v>
      </c>
      <c r="B5076" s="7" t="s">
        <v>6764</v>
      </c>
      <c r="C5076" s="8" t="s">
        <v>5319</v>
      </c>
      <c r="D5076" t="s">
        <v>272</v>
      </c>
      <c r="E5076" t="s">
        <v>2386</v>
      </c>
      <c r="F5076" t="s">
        <v>83</v>
      </c>
      <c r="G5076" t="s">
        <v>2507</v>
      </c>
      <c r="H5076" s="9">
        <v>44733</v>
      </c>
      <c r="I5076" t="s">
        <v>2388</v>
      </c>
      <c r="J5076" t="s">
        <v>2</v>
      </c>
      <c r="K5076" s="9">
        <v>44834</v>
      </c>
      <c r="L5076" t="s">
        <v>29</v>
      </c>
      <c r="M5076" t="s">
        <v>5331</v>
      </c>
      <c r="N5076" s="9">
        <v>44778</v>
      </c>
      <c r="O5076" s="9">
        <v>44834</v>
      </c>
      <c r="P5076"/>
      <c r="Q5076"/>
      <c r="R5076"/>
      <c r="S5076"/>
      <c r="T5076"/>
      <c r="U5076"/>
    </row>
    <row r="5077" spans="1:21" hidden="1">
      <c r="A5077" s="7" t="s">
        <v>8868</v>
      </c>
      <c r="B5077" s="7" t="s">
        <v>6764</v>
      </c>
      <c r="C5077" s="8" t="s">
        <v>5319</v>
      </c>
      <c r="D5077" t="s">
        <v>272</v>
      </c>
      <c r="E5077" t="s">
        <v>2386</v>
      </c>
      <c r="F5077" t="s">
        <v>83</v>
      </c>
      <c r="G5077" t="s">
        <v>2508</v>
      </c>
      <c r="H5077" s="9">
        <v>44733</v>
      </c>
      <c r="I5077" t="s">
        <v>2388</v>
      </c>
      <c r="J5077" t="s">
        <v>2</v>
      </c>
      <c r="K5077" s="9">
        <v>44834</v>
      </c>
      <c r="L5077" t="s">
        <v>29</v>
      </c>
      <c r="M5077" t="s">
        <v>5331</v>
      </c>
      <c r="N5077" s="9">
        <v>44778</v>
      </c>
      <c r="O5077" s="9">
        <v>44834</v>
      </c>
      <c r="P5077"/>
      <c r="Q5077"/>
      <c r="R5077"/>
      <c r="S5077"/>
      <c r="T5077"/>
      <c r="U5077"/>
    </row>
    <row r="5078" spans="1:21" hidden="1">
      <c r="A5078" s="7" t="s">
        <v>8768</v>
      </c>
      <c r="B5078" s="7" t="s">
        <v>6720</v>
      </c>
      <c r="C5078" s="8" t="s">
        <v>5319</v>
      </c>
      <c r="D5078" t="s">
        <v>272</v>
      </c>
      <c r="E5078" t="s">
        <v>750</v>
      </c>
      <c r="F5078" t="s">
        <v>103</v>
      </c>
      <c r="G5078" t="s">
        <v>2509</v>
      </c>
      <c r="H5078" s="9">
        <v>44733</v>
      </c>
      <c r="I5078" t="s">
        <v>43</v>
      </c>
      <c r="J5078" t="s">
        <v>0</v>
      </c>
      <c r="K5078" s="9">
        <v>44846</v>
      </c>
      <c r="L5078" t="s">
        <v>29</v>
      </c>
      <c r="M5078"/>
      <c r="N5078" s="9">
        <v>44778</v>
      </c>
      <c r="O5078" s="9">
        <v>44834</v>
      </c>
      <c r="P5078"/>
      <c r="Q5078" s="9">
        <v>44846</v>
      </c>
      <c r="R5078"/>
      <c r="S5078"/>
      <c r="T5078"/>
      <c r="U5078"/>
    </row>
    <row r="5079" spans="1:21" hidden="1">
      <c r="A5079" s="7" t="s">
        <v>8768</v>
      </c>
      <c r="B5079" s="7" t="s">
        <v>6720</v>
      </c>
      <c r="C5079" s="8" t="s">
        <v>5319</v>
      </c>
      <c r="D5079" t="s">
        <v>272</v>
      </c>
      <c r="E5079" t="s">
        <v>750</v>
      </c>
      <c r="F5079" t="s">
        <v>103</v>
      </c>
      <c r="G5079" t="s">
        <v>2510</v>
      </c>
      <c r="H5079" s="9">
        <v>44733</v>
      </c>
      <c r="I5079" t="s">
        <v>43</v>
      </c>
      <c r="J5079" t="s">
        <v>0</v>
      </c>
      <c r="K5079" s="9">
        <v>44846</v>
      </c>
      <c r="L5079" t="s">
        <v>29</v>
      </c>
      <c r="M5079"/>
      <c r="N5079" s="9">
        <v>44778</v>
      </c>
      <c r="O5079" s="9">
        <v>44834</v>
      </c>
      <c r="P5079"/>
      <c r="Q5079" s="9">
        <v>44846</v>
      </c>
      <c r="R5079"/>
      <c r="S5079"/>
      <c r="T5079"/>
      <c r="U5079"/>
    </row>
    <row r="5080" spans="1:21" hidden="1">
      <c r="A5080" s="7" t="s">
        <v>8768</v>
      </c>
      <c r="B5080" s="7" t="s">
        <v>6720</v>
      </c>
      <c r="C5080" s="8" t="s">
        <v>5319</v>
      </c>
      <c r="D5080" t="s">
        <v>272</v>
      </c>
      <c r="E5080" t="s">
        <v>750</v>
      </c>
      <c r="F5080" t="s">
        <v>103</v>
      </c>
      <c r="G5080" t="s">
        <v>2511</v>
      </c>
      <c r="H5080" s="9">
        <v>44733</v>
      </c>
      <c r="I5080" t="s">
        <v>43</v>
      </c>
      <c r="J5080" t="s">
        <v>0</v>
      </c>
      <c r="K5080" s="9">
        <v>44846</v>
      </c>
      <c r="L5080" t="s">
        <v>29</v>
      </c>
      <c r="M5080"/>
      <c r="N5080" s="9">
        <v>44778</v>
      </c>
      <c r="O5080" s="9">
        <v>44834</v>
      </c>
      <c r="P5080"/>
      <c r="Q5080" s="9">
        <v>44846</v>
      </c>
      <c r="R5080"/>
      <c r="S5080"/>
      <c r="T5080"/>
      <c r="U5080"/>
    </row>
    <row r="5081" spans="1:21" hidden="1">
      <c r="A5081" s="7" t="s">
        <v>8768</v>
      </c>
      <c r="B5081" s="7" t="s">
        <v>6720</v>
      </c>
      <c r="C5081" s="8" t="s">
        <v>5319</v>
      </c>
      <c r="D5081" t="s">
        <v>272</v>
      </c>
      <c r="E5081" t="s">
        <v>750</v>
      </c>
      <c r="F5081" t="s">
        <v>103</v>
      </c>
      <c r="G5081" t="s">
        <v>2512</v>
      </c>
      <c r="H5081" s="9">
        <v>44733</v>
      </c>
      <c r="I5081" t="s">
        <v>43</v>
      </c>
      <c r="J5081" t="s">
        <v>0</v>
      </c>
      <c r="K5081" s="9">
        <v>44846</v>
      </c>
      <c r="L5081" t="s">
        <v>29</v>
      </c>
      <c r="M5081"/>
      <c r="N5081" s="9">
        <v>44778</v>
      </c>
      <c r="O5081" s="9">
        <v>44834</v>
      </c>
      <c r="P5081"/>
      <c r="Q5081" s="9">
        <v>44846</v>
      </c>
      <c r="R5081"/>
      <c r="S5081"/>
      <c r="T5081"/>
      <c r="U5081"/>
    </row>
    <row r="5082" spans="1:21" hidden="1">
      <c r="A5082" s="7" t="s">
        <v>8768</v>
      </c>
      <c r="B5082" s="7" t="s">
        <v>6720</v>
      </c>
      <c r="C5082" s="8" t="s">
        <v>5319</v>
      </c>
      <c r="D5082" t="s">
        <v>272</v>
      </c>
      <c r="E5082" t="s">
        <v>750</v>
      </c>
      <c r="F5082" t="s">
        <v>103</v>
      </c>
      <c r="G5082" t="s">
        <v>2513</v>
      </c>
      <c r="H5082" s="9">
        <v>44733</v>
      </c>
      <c r="I5082" t="s">
        <v>43</v>
      </c>
      <c r="J5082" t="s">
        <v>0</v>
      </c>
      <c r="K5082" s="9">
        <v>44846</v>
      </c>
      <c r="L5082" t="s">
        <v>29</v>
      </c>
      <c r="M5082"/>
      <c r="N5082" s="9">
        <v>44778</v>
      </c>
      <c r="O5082" s="9">
        <v>44834</v>
      </c>
      <c r="P5082"/>
      <c r="Q5082" s="9">
        <v>44846</v>
      </c>
      <c r="R5082"/>
      <c r="S5082"/>
      <c r="T5082"/>
      <c r="U5082"/>
    </row>
    <row r="5083" spans="1:21" hidden="1">
      <c r="A5083" s="7" t="s">
        <v>8768</v>
      </c>
      <c r="B5083" s="7" t="s">
        <v>6720</v>
      </c>
      <c r="C5083" s="8" t="s">
        <v>5319</v>
      </c>
      <c r="D5083" t="s">
        <v>272</v>
      </c>
      <c r="E5083" t="s">
        <v>750</v>
      </c>
      <c r="F5083" t="s">
        <v>103</v>
      </c>
      <c r="G5083" t="s">
        <v>2514</v>
      </c>
      <c r="H5083" s="9">
        <v>44733</v>
      </c>
      <c r="I5083" t="s">
        <v>43</v>
      </c>
      <c r="J5083" t="s">
        <v>0</v>
      </c>
      <c r="K5083" s="9">
        <v>44846</v>
      </c>
      <c r="L5083" t="s">
        <v>29</v>
      </c>
      <c r="M5083"/>
      <c r="N5083" s="9">
        <v>44778</v>
      </c>
      <c r="O5083" s="9">
        <v>44834</v>
      </c>
      <c r="P5083"/>
      <c r="Q5083" s="9">
        <v>44846</v>
      </c>
      <c r="R5083"/>
      <c r="S5083"/>
      <c r="T5083"/>
      <c r="U5083"/>
    </row>
    <row r="5084" spans="1:21" hidden="1">
      <c r="A5084" s="7" t="s">
        <v>8768</v>
      </c>
      <c r="B5084" s="7" t="s">
        <v>6720</v>
      </c>
      <c r="C5084" s="8" t="s">
        <v>5319</v>
      </c>
      <c r="D5084" t="s">
        <v>272</v>
      </c>
      <c r="E5084" t="s">
        <v>750</v>
      </c>
      <c r="F5084" t="s">
        <v>103</v>
      </c>
      <c r="G5084" t="s">
        <v>2515</v>
      </c>
      <c r="H5084" s="9">
        <v>44733</v>
      </c>
      <c r="I5084" t="s">
        <v>43</v>
      </c>
      <c r="J5084" t="s">
        <v>0</v>
      </c>
      <c r="K5084" s="9">
        <v>44846</v>
      </c>
      <c r="L5084" t="s">
        <v>29</v>
      </c>
      <c r="M5084"/>
      <c r="N5084" s="9">
        <v>44778</v>
      </c>
      <c r="O5084" s="9">
        <v>44834</v>
      </c>
      <c r="P5084"/>
      <c r="Q5084" s="9">
        <v>44846</v>
      </c>
      <c r="R5084"/>
      <c r="S5084"/>
      <c r="T5084"/>
      <c r="U5084"/>
    </row>
    <row r="5085" spans="1:21" hidden="1">
      <c r="A5085" s="7" t="s">
        <v>8768</v>
      </c>
      <c r="B5085" s="7" t="s">
        <v>6720</v>
      </c>
      <c r="C5085" s="8" t="s">
        <v>5319</v>
      </c>
      <c r="D5085" t="s">
        <v>272</v>
      </c>
      <c r="E5085" t="s">
        <v>750</v>
      </c>
      <c r="F5085" t="s">
        <v>103</v>
      </c>
      <c r="G5085" t="s">
        <v>2516</v>
      </c>
      <c r="H5085" s="9">
        <v>44733</v>
      </c>
      <c r="I5085" t="s">
        <v>43</v>
      </c>
      <c r="J5085" t="s">
        <v>0</v>
      </c>
      <c r="K5085" s="9">
        <v>44846</v>
      </c>
      <c r="L5085" t="s">
        <v>29</v>
      </c>
      <c r="M5085"/>
      <c r="N5085" s="9">
        <v>44778</v>
      </c>
      <c r="O5085" s="9">
        <v>44834</v>
      </c>
      <c r="P5085"/>
      <c r="Q5085" s="9">
        <v>44846</v>
      </c>
      <c r="R5085"/>
      <c r="S5085"/>
      <c r="T5085"/>
      <c r="U5085"/>
    </row>
    <row r="5086" spans="1:21" hidden="1">
      <c r="A5086" s="7" t="s">
        <v>8768</v>
      </c>
      <c r="B5086" s="7" t="s">
        <v>6720</v>
      </c>
      <c r="C5086" s="8" t="s">
        <v>5319</v>
      </c>
      <c r="D5086" t="s">
        <v>272</v>
      </c>
      <c r="E5086" t="s">
        <v>750</v>
      </c>
      <c r="F5086" t="s">
        <v>103</v>
      </c>
      <c r="G5086" t="s">
        <v>2517</v>
      </c>
      <c r="H5086" s="9">
        <v>44733</v>
      </c>
      <c r="I5086" t="s">
        <v>43</v>
      </c>
      <c r="J5086" t="s">
        <v>0</v>
      </c>
      <c r="K5086" s="9">
        <v>44846</v>
      </c>
      <c r="L5086" t="s">
        <v>29</v>
      </c>
      <c r="M5086"/>
      <c r="N5086" s="9">
        <v>44778</v>
      </c>
      <c r="O5086" s="9">
        <v>44834</v>
      </c>
      <c r="P5086"/>
      <c r="Q5086" s="9">
        <v>44846</v>
      </c>
      <c r="R5086"/>
      <c r="S5086"/>
      <c r="T5086"/>
      <c r="U5086"/>
    </row>
    <row r="5087" spans="1:21" hidden="1">
      <c r="A5087" s="7" t="s">
        <v>8768</v>
      </c>
      <c r="B5087" s="7" t="s">
        <v>6720</v>
      </c>
      <c r="C5087" s="8" t="s">
        <v>5319</v>
      </c>
      <c r="D5087" t="s">
        <v>272</v>
      </c>
      <c r="E5087" t="s">
        <v>750</v>
      </c>
      <c r="F5087" t="s">
        <v>103</v>
      </c>
      <c r="G5087" t="s">
        <v>2518</v>
      </c>
      <c r="H5087" s="9">
        <v>44733</v>
      </c>
      <c r="I5087" t="s">
        <v>43</v>
      </c>
      <c r="J5087" t="s">
        <v>0</v>
      </c>
      <c r="K5087" s="9">
        <v>44846</v>
      </c>
      <c r="L5087" t="s">
        <v>29</v>
      </c>
      <c r="M5087"/>
      <c r="N5087" s="9">
        <v>44778</v>
      </c>
      <c r="O5087" s="9">
        <v>44834</v>
      </c>
      <c r="P5087"/>
      <c r="Q5087" s="9">
        <v>44846</v>
      </c>
      <c r="R5087"/>
      <c r="S5087"/>
      <c r="T5087"/>
      <c r="U5087"/>
    </row>
    <row r="5088" spans="1:21" hidden="1">
      <c r="A5088" s="7" t="s">
        <v>8768</v>
      </c>
      <c r="B5088" s="7" t="s">
        <v>6720</v>
      </c>
      <c r="C5088" s="8" t="s">
        <v>5319</v>
      </c>
      <c r="D5088" t="s">
        <v>272</v>
      </c>
      <c r="E5088" t="s">
        <v>750</v>
      </c>
      <c r="F5088" t="s">
        <v>103</v>
      </c>
      <c r="G5088" t="s">
        <v>2519</v>
      </c>
      <c r="H5088" s="9">
        <v>44733</v>
      </c>
      <c r="I5088" t="s">
        <v>43</v>
      </c>
      <c r="J5088" t="s">
        <v>0</v>
      </c>
      <c r="K5088" s="9">
        <v>44846</v>
      </c>
      <c r="L5088" t="s">
        <v>29</v>
      </c>
      <c r="M5088"/>
      <c r="N5088" s="9">
        <v>44778</v>
      </c>
      <c r="O5088" s="9">
        <v>44834</v>
      </c>
      <c r="P5088"/>
      <c r="Q5088" s="9">
        <v>44846</v>
      </c>
      <c r="R5088"/>
      <c r="S5088"/>
      <c r="T5088"/>
      <c r="U5088"/>
    </row>
    <row r="5089" spans="1:21" hidden="1">
      <c r="A5089" s="7" t="s">
        <v>8768</v>
      </c>
      <c r="B5089" s="7" t="s">
        <v>6720</v>
      </c>
      <c r="C5089" s="8" t="s">
        <v>5319</v>
      </c>
      <c r="D5089" t="s">
        <v>272</v>
      </c>
      <c r="E5089" t="s">
        <v>750</v>
      </c>
      <c r="F5089" t="s">
        <v>103</v>
      </c>
      <c r="G5089" t="s">
        <v>2520</v>
      </c>
      <c r="H5089" s="9">
        <v>44733</v>
      </c>
      <c r="I5089" t="s">
        <v>43</v>
      </c>
      <c r="J5089" t="s">
        <v>0</v>
      </c>
      <c r="K5089" s="9">
        <v>44846</v>
      </c>
      <c r="L5089" t="s">
        <v>29</v>
      </c>
      <c r="M5089"/>
      <c r="N5089" s="9">
        <v>44778</v>
      </c>
      <c r="O5089" s="9">
        <v>44834</v>
      </c>
      <c r="P5089"/>
      <c r="Q5089" s="9">
        <v>44846</v>
      </c>
      <c r="R5089"/>
      <c r="S5089"/>
      <c r="T5089"/>
      <c r="U5089"/>
    </row>
    <row r="5090" spans="1:21" hidden="1">
      <c r="A5090" s="7" t="s">
        <v>8768</v>
      </c>
      <c r="B5090" s="7" t="s">
        <v>6720</v>
      </c>
      <c r="C5090" s="8" t="s">
        <v>5319</v>
      </c>
      <c r="D5090" t="s">
        <v>272</v>
      </c>
      <c r="E5090" t="s">
        <v>750</v>
      </c>
      <c r="F5090" t="s">
        <v>103</v>
      </c>
      <c r="G5090" t="s">
        <v>2521</v>
      </c>
      <c r="H5090" s="9">
        <v>44733</v>
      </c>
      <c r="I5090" t="s">
        <v>43</v>
      </c>
      <c r="J5090" t="s">
        <v>0</v>
      </c>
      <c r="K5090" s="9">
        <v>44846</v>
      </c>
      <c r="L5090" t="s">
        <v>29</v>
      </c>
      <c r="M5090"/>
      <c r="N5090" s="9">
        <v>44778</v>
      </c>
      <c r="O5090" s="9">
        <v>44834</v>
      </c>
      <c r="P5090"/>
      <c r="Q5090" s="9">
        <v>44846</v>
      </c>
      <c r="R5090"/>
      <c r="S5090"/>
      <c r="T5090"/>
      <c r="U5090"/>
    </row>
    <row r="5091" spans="1:21" hidden="1">
      <c r="A5091" s="7" t="s">
        <v>8768</v>
      </c>
      <c r="B5091" s="7" t="s">
        <v>6720</v>
      </c>
      <c r="C5091" s="8" t="s">
        <v>5319</v>
      </c>
      <c r="D5091" t="s">
        <v>272</v>
      </c>
      <c r="E5091" t="s">
        <v>750</v>
      </c>
      <c r="F5091" t="s">
        <v>103</v>
      </c>
      <c r="G5091" t="s">
        <v>2522</v>
      </c>
      <c r="H5091" s="9">
        <v>44733</v>
      </c>
      <c r="I5091" t="s">
        <v>43</v>
      </c>
      <c r="J5091" t="s">
        <v>0</v>
      </c>
      <c r="K5091" s="9">
        <v>44846</v>
      </c>
      <c r="L5091" t="s">
        <v>29</v>
      </c>
      <c r="M5091"/>
      <c r="N5091" s="9">
        <v>44778</v>
      </c>
      <c r="O5091" s="9">
        <v>44834</v>
      </c>
      <c r="P5091"/>
      <c r="Q5091" s="9">
        <v>44846</v>
      </c>
      <c r="R5091"/>
      <c r="S5091"/>
      <c r="T5091"/>
      <c r="U5091"/>
    </row>
    <row r="5092" spans="1:21" hidden="1">
      <c r="A5092" s="7" t="s">
        <v>8768</v>
      </c>
      <c r="B5092" s="7" t="s">
        <v>6720</v>
      </c>
      <c r="C5092" s="8" t="s">
        <v>5319</v>
      </c>
      <c r="D5092" t="s">
        <v>272</v>
      </c>
      <c r="E5092" t="s">
        <v>750</v>
      </c>
      <c r="F5092" t="s">
        <v>103</v>
      </c>
      <c r="G5092" t="s">
        <v>2523</v>
      </c>
      <c r="H5092" s="9">
        <v>44733</v>
      </c>
      <c r="I5092" t="s">
        <v>43</v>
      </c>
      <c r="J5092" t="s">
        <v>0</v>
      </c>
      <c r="K5092" s="9">
        <v>44846</v>
      </c>
      <c r="L5092" t="s">
        <v>29</v>
      </c>
      <c r="M5092"/>
      <c r="N5092" s="9">
        <v>44778</v>
      </c>
      <c r="O5092" s="9">
        <v>44834</v>
      </c>
      <c r="P5092"/>
      <c r="Q5092" s="9">
        <v>44846</v>
      </c>
      <c r="R5092"/>
      <c r="S5092"/>
      <c r="T5092"/>
      <c r="U5092"/>
    </row>
    <row r="5093" spans="1:21" hidden="1">
      <c r="A5093" s="7" t="s">
        <v>8768</v>
      </c>
      <c r="B5093" s="7" t="s">
        <v>6720</v>
      </c>
      <c r="C5093" s="8" t="s">
        <v>5319</v>
      </c>
      <c r="D5093" t="s">
        <v>272</v>
      </c>
      <c r="E5093" t="s">
        <v>750</v>
      </c>
      <c r="F5093" t="s">
        <v>103</v>
      </c>
      <c r="G5093" t="s">
        <v>2524</v>
      </c>
      <c r="H5093" s="9">
        <v>44733</v>
      </c>
      <c r="I5093" t="s">
        <v>43</v>
      </c>
      <c r="J5093" t="s">
        <v>0</v>
      </c>
      <c r="K5093" s="9">
        <v>44846</v>
      </c>
      <c r="L5093" t="s">
        <v>29</v>
      </c>
      <c r="M5093"/>
      <c r="N5093" s="9">
        <v>44778</v>
      </c>
      <c r="O5093" s="9">
        <v>44834</v>
      </c>
      <c r="P5093"/>
      <c r="Q5093" s="9">
        <v>44846</v>
      </c>
      <c r="R5093"/>
      <c r="S5093"/>
      <c r="T5093"/>
      <c r="U5093"/>
    </row>
    <row r="5094" spans="1:21" hidden="1">
      <c r="A5094" s="7" t="s">
        <v>8768</v>
      </c>
      <c r="B5094" s="7" t="s">
        <v>6720</v>
      </c>
      <c r="C5094" s="8" t="s">
        <v>5319</v>
      </c>
      <c r="D5094" t="s">
        <v>272</v>
      </c>
      <c r="E5094" t="s">
        <v>750</v>
      </c>
      <c r="F5094" t="s">
        <v>103</v>
      </c>
      <c r="G5094" t="s">
        <v>2525</v>
      </c>
      <c r="H5094" s="9">
        <v>44733</v>
      </c>
      <c r="I5094" t="s">
        <v>43</v>
      </c>
      <c r="J5094" t="s">
        <v>0</v>
      </c>
      <c r="K5094" s="9">
        <v>44846</v>
      </c>
      <c r="L5094" t="s">
        <v>29</v>
      </c>
      <c r="M5094"/>
      <c r="N5094" s="9">
        <v>44778</v>
      </c>
      <c r="O5094" s="9">
        <v>44834</v>
      </c>
      <c r="P5094"/>
      <c r="Q5094" s="9">
        <v>44846</v>
      </c>
      <c r="R5094"/>
      <c r="S5094"/>
      <c r="T5094"/>
      <c r="U5094"/>
    </row>
    <row r="5095" spans="1:21" hidden="1">
      <c r="A5095" s="7" t="s">
        <v>8768</v>
      </c>
      <c r="B5095" s="7" t="s">
        <v>6720</v>
      </c>
      <c r="C5095" s="8" t="s">
        <v>5319</v>
      </c>
      <c r="D5095" t="s">
        <v>272</v>
      </c>
      <c r="E5095" t="s">
        <v>750</v>
      </c>
      <c r="F5095" t="s">
        <v>103</v>
      </c>
      <c r="G5095" t="s">
        <v>2526</v>
      </c>
      <c r="H5095" s="9">
        <v>44733</v>
      </c>
      <c r="I5095" t="s">
        <v>43</v>
      </c>
      <c r="J5095" t="s">
        <v>0</v>
      </c>
      <c r="K5095" s="9">
        <v>44846</v>
      </c>
      <c r="L5095" t="s">
        <v>29</v>
      </c>
      <c r="M5095"/>
      <c r="N5095" s="9">
        <v>44778</v>
      </c>
      <c r="O5095" s="9">
        <v>44834</v>
      </c>
      <c r="P5095"/>
      <c r="Q5095" s="9">
        <v>44846</v>
      </c>
      <c r="R5095"/>
      <c r="S5095"/>
      <c r="T5095"/>
      <c r="U5095"/>
    </row>
    <row r="5096" spans="1:21" hidden="1">
      <c r="A5096" s="7" t="s">
        <v>8768</v>
      </c>
      <c r="B5096" s="7" t="s">
        <v>6720</v>
      </c>
      <c r="C5096" s="8" t="s">
        <v>5319</v>
      </c>
      <c r="D5096" t="s">
        <v>272</v>
      </c>
      <c r="E5096" t="s">
        <v>750</v>
      </c>
      <c r="F5096" t="s">
        <v>103</v>
      </c>
      <c r="G5096" t="s">
        <v>2527</v>
      </c>
      <c r="H5096" s="9">
        <v>44733</v>
      </c>
      <c r="I5096" t="s">
        <v>43</v>
      </c>
      <c r="J5096" t="s">
        <v>0</v>
      </c>
      <c r="K5096" s="9">
        <v>44846</v>
      </c>
      <c r="L5096" t="s">
        <v>29</v>
      </c>
      <c r="M5096"/>
      <c r="N5096" s="9">
        <v>44778</v>
      </c>
      <c r="O5096" s="9">
        <v>44834</v>
      </c>
      <c r="P5096"/>
      <c r="Q5096" s="9">
        <v>44846</v>
      </c>
      <c r="R5096"/>
      <c r="S5096"/>
      <c r="T5096"/>
      <c r="U5096"/>
    </row>
    <row r="5097" spans="1:21" hidden="1">
      <c r="A5097" s="7" t="s">
        <v>8768</v>
      </c>
      <c r="B5097" s="7" t="s">
        <v>6720</v>
      </c>
      <c r="C5097" s="8" t="s">
        <v>5319</v>
      </c>
      <c r="D5097" t="s">
        <v>272</v>
      </c>
      <c r="E5097" t="s">
        <v>750</v>
      </c>
      <c r="F5097" t="s">
        <v>103</v>
      </c>
      <c r="G5097" t="s">
        <v>2528</v>
      </c>
      <c r="H5097" s="9">
        <v>44733</v>
      </c>
      <c r="I5097" t="s">
        <v>43</v>
      </c>
      <c r="J5097" t="s">
        <v>0</v>
      </c>
      <c r="K5097" s="9">
        <v>44846</v>
      </c>
      <c r="L5097" t="s">
        <v>29</v>
      </c>
      <c r="M5097"/>
      <c r="N5097" s="9">
        <v>44778</v>
      </c>
      <c r="O5097" s="9">
        <v>44834</v>
      </c>
      <c r="P5097"/>
      <c r="Q5097" s="9">
        <v>44846</v>
      </c>
      <c r="R5097"/>
      <c r="S5097"/>
      <c r="T5097"/>
      <c r="U5097"/>
    </row>
    <row r="5098" spans="1:21" hidden="1">
      <c r="A5098" s="7" t="s">
        <v>8768</v>
      </c>
      <c r="B5098" s="7" t="s">
        <v>6720</v>
      </c>
      <c r="C5098" s="8" t="s">
        <v>5319</v>
      </c>
      <c r="D5098" t="s">
        <v>272</v>
      </c>
      <c r="E5098" t="s">
        <v>750</v>
      </c>
      <c r="F5098" t="s">
        <v>103</v>
      </c>
      <c r="G5098" t="s">
        <v>2529</v>
      </c>
      <c r="H5098" s="9">
        <v>44733</v>
      </c>
      <c r="I5098" t="s">
        <v>43</v>
      </c>
      <c r="J5098" t="s">
        <v>0</v>
      </c>
      <c r="K5098" s="9">
        <v>44846</v>
      </c>
      <c r="L5098" t="s">
        <v>29</v>
      </c>
      <c r="M5098"/>
      <c r="N5098" s="9">
        <v>44778</v>
      </c>
      <c r="O5098" s="9">
        <v>44834</v>
      </c>
      <c r="P5098"/>
      <c r="Q5098" s="9">
        <v>44846</v>
      </c>
      <c r="R5098"/>
      <c r="S5098"/>
      <c r="T5098"/>
      <c r="U5098"/>
    </row>
    <row r="5099" spans="1:21" hidden="1">
      <c r="A5099" s="7" t="s">
        <v>8768</v>
      </c>
      <c r="B5099" s="7" t="s">
        <v>6720</v>
      </c>
      <c r="C5099" s="8" t="s">
        <v>5319</v>
      </c>
      <c r="D5099" t="s">
        <v>272</v>
      </c>
      <c r="E5099" t="s">
        <v>750</v>
      </c>
      <c r="F5099" t="s">
        <v>103</v>
      </c>
      <c r="G5099" t="s">
        <v>2530</v>
      </c>
      <c r="H5099" s="9">
        <v>44733</v>
      </c>
      <c r="I5099" t="s">
        <v>43</v>
      </c>
      <c r="J5099" t="s">
        <v>0</v>
      </c>
      <c r="K5099" s="9">
        <v>44846</v>
      </c>
      <c r="L5099" t="s">
        <v>29</v>
      </c>
      <c r="M5099"/>
      <c r="N5099" s="9">
        <v>44778</v>
      </c>
      <c r="O5099" s="9">
        <v>44834</v>
      </c>
      <c r="P5099"/>
      <c r="Q5099" s="9">
        <v>44846</v>
      </c>
      <c r="R5099"/>
      <c r="S5099"/>
      <c r="T5099"/>
      <c r="U5099"/>
    </row>
    <row r="5100" spans="1:21" hidden="1">
      <c r="A5100" s="7" t="s">
        <v>8768</v>
      </c>
      <c r="B5100" s="7" t="s">
        <v>6720</v>
      </c>
      <c r="C5100" s="8" t="s">
        <v>5319</v>
      </c>
      <c r="D5100" t="s">
        <v>272</v>
      </c>
      <c r="E5100" t="s">
        <v>750</v>
      </c>
      <c r="F5100" t="s">
        <v>103</v>
      </c>
      <c r="G5100" t="s">
        <v>2531</v>
      </c>
      <c r="H5100" s="9">
        <v>44733</v>
      </c>
      <c r="I5100" t="s">
        <v>43</v>
      </c>
      <c r="J5100" t="s">
        <v>0</v>
      </c>
      <c r="K5100" s="9">
        <v>44846</v>
      </c>
      <c r="L5100" t="s">
        <v>29</v>
      </c>
      <c r="M5100"/>
      <c r="N5100" s="9">
        <v>44778</v>
      </c>
      <c r="O5100" s="9">
        <v>44834</v>
      </c>
      <c r="P5100"/>
      <c r="Q5100" s="9">
        <v>44846</v>
      </c>
      <c r="R5100"/>
      <c r="S5100"/>
      <c r="T5100"/>
      <c r="U5100"/>
    </row>
    <row r="5101" spans="1:21" hidden="1">
      <c r="A5101" s="7" t="s">
        <v>8768</v>
      </c>
      <c r="B5101" s="7" t="s">
        <v>6720</v>
      </c>
      <c r="C5101" s="8" t="s">
        <v>5319</v>
      </c>
      <c r="D5101" t="s">
        <v>272</v>
      </c>
      <c r="E5101" t="s">
        <v>750</v>
      </c>
      <c r="F5101" t="s">
        <v>103</v>
      </c>
      <c r="G5101" t="s">
        <v>2532</v>
      </c>
      <c r="H5101" s="9">
        <v>44733</v>
      </c>
      <c r="I5101" t="s">
        <v>43</v>
      </c>
      <c r="J5101" t="s">
        <v>0</v>
      </c>
      <c r="K5101" s="9">
        <v>44846</v>
      </c>
      <c r="L5101" t="s">
        <v>29</v>
      </c>
      <c r="M5101"/>
      <c r="N5101" s="9">
        <v>44778</v>
      </c>
      <c r="O5101" s="9">
        <v>44834</v>
      </c>
      <c r="P5101"/>
      <c r="Q5101" s="9">
        <v>44846</v>
      </c>
      <c r="R5101"/>
      <c r="S5101"/>
      <c r="T5101"/>
      <c r="U5101"/>
    </row>
    <row r="5102" spans="1:21" hidden="1">
      <c r="A5102" s="7" t="s">
        <v>8768</v>
      </c>
      <c r="B5102" s="7" t="s">
        <v>6720</v>
      </c>
      <c r="C5102" s="8" t="s">
        <v>5319</v>
      </c>
      <c r="D5102" t="s">
        <v>272</v>
      </c>
      <c r="E5102" t="s">
        <v>750</v>
      </c>
      <c r="F5102" t="s">
        <v>103</v>
      </c>
      <c r="G5102" t="s">
        <v>2533</v>
      </c>
      <c r="H5102" s="9">
        <v>44733</v>
      </c>
      <c r="I5102" t="s">
        <v>43</v>
      </c>
      <c r="J5102" t="s">
        <v>0</v>
      </c>
      <c r="K5102" s="9">
        <v>44846</v>
      </c>
      <c r="L5102" t="s">
        <v>29</v>
      </c>
      <c r="M5102"/>
      <c r="N5102" s="9">
        <v>44778</v>
      </c>
      <c r="O5102" s="9">
        <v>44834</v>
      </c>
      <c r="P5102"/>
      <c r="Q5102" s="9">
        <v>44846</v>
      </c>
      <c r="R5102"/>
      <c r="S5102"/>
      <c r="T5102"/>
      <c r="U5102"/>
    </row>
    <row r="5103" spans="1:21" hidden="1">
      <c r="A5103" s="7" t="s">
        <v>8768</v>
      </c>
      <c r="B5103" s="7" t="s">
        <v>6720</v>
      </c>
      <c r="C5103" s="8" t="s">
        <v>5319</v>
      </c>
      <c r="D5103" t="s">
        <v>272</v>
      </c>
      <c r="E5103" t="s">
        <v>750</v>
      </c>
      <c r="F5103" t="s">
        <v>103</v>
      </c>
      <c r="G5103" t="s">
        <v>2534</v>
      </c>
      <c r="H5103" s="9">
        <v>44733</v>
      </c>
      <c r="I5103" t="s">
        <v>43</v>
      </c>
      <c r="J5103" t="s">
        <v>0</v>
      </c>
      <c r="K5103" s="9">
        <v>44846</v>
      </c>
      <c r="L5103" t="s">
        <v>29</v>
      </c>
      <c r="M5103"/>
      <c r="N5103" s="9">
        <v>44778</v>
      </c>
      <c r="O5103" s="9">
        <v>44834</v>
      </c>
      <c r="P5103"/>
      <c r="Q5103" s="9">
        <v>44846</v>
      </c>
      <c r="R5103"/>
      <c r="S5103"/>
      <c r="T5103"/>
      <c r="U5103"/>
    </row>
    <row r="5104" spans="1:21" hidden="1">
      <c r="A5104" s="7" t="s">
        <v>8768</v>
      </c>
      <c r="B5104" s="7" t="s">
        <v>6720</v>
      </c>
      <c r="C5104" s="8" t="s">
        <v>5319</v>
      </c>
      <c r="D5104" t="s">
        <v>272</v>
      </c>
      <c r="E5104" t="s">
        <v>750</v>
      </c>
      <c r="F5104" t="s">
        <v>103</v>
      </c>
      <c r="G5104" t="s">
        <v>2535</v>
      </c>
      <c r="H5104" s="9">
        <v>44733</v>
      </c>
      <c r="I5104" t="s">
        <v>43</v>
      </c>
      <c r="J5104" t="s">
        <v>0</v>
      </c>
      <c r="K5104" s="9">
        <v>44846</v>
      </c>
      <c r="L5104" t="s">
        <v>29</v>
      </c>
      <c r="M5104"/>
      <c r="N5104" s="9">
        <v>44778</v>
      </c>
      <c r="O5104" s="9">
        <v>44834</v>
      </c>
      <c r="P5104"/>
      <c r="Q5104" s="9">
        <v>44846</v>
      </c>
      <c r="R5104"/>
      <c r="S5104"/>
      <c r="T5104"/>
      <c r="U5104"/>
    </row>
    <row r="5105" spans="1:21" hidden="1">
      <c r="A5105" s="7" t="s">
        <v>8768</v>
      </c>
      <c r="B5105" s="7" t="s">
        <v>6720</v>
      </c>
      <c r="C5105" s="8" t="s">
        <v>5319</v>
      </c>
      <c r="D5105" t="s">
        <v>272</v>
      </c>
      <c r="E5105" t="s">
        <v>750</v>
      </c>
      <c r="F5105" t="s">
        <v>103</v>
      </c>
      <c r="G5105" t="s">
        <v>2536</v>
      </c>
      <c r="H5105" s="9">
        <v>44733</v>
      </c>
      <c r="I5105" t="s">
        <v>43</v>
      </c>
      <c r="J5105" t="s">
        <v>0</v>
      </c>
      <c r="K5105" s="9">
        <v>44846</v>
      </c>
      <c r="L5105" t="s">
        <v>29</v>
      </c>
      <c r="M5105"/>
      <c r="N5105" s="9">
        <v>44778</v>
      </c>
      <c r="O5105" s="9">
        <v>44834</v>
      </c>
      <c r="P5105"/>
      <c r="Q5105" s="9">
        <v>44846</v>
      </c>
      <c r="R5105"/>
      <c r="S5105"/>
      <c r="T5105"/>
      <c r="U5105"/>
    </row>
    <row r="5106" spans="1:21" hidden="1">
      <c r="A5106" s="7" t="s">
        <v>8768</v>
      </c>
      <c r="B5106" s="7" t="s">
        <v>6720</v>
      </c>
      <c r="C5106" s="8" t="s">
        <v>5319</v>
      </c>
      <c r="D5106" t="s">
        <v>272</v>
      </c>
      <c r="E5106" t="s">
        <v>750</v>
      </c>
      <c r="F5106" t="s">
        <v>103</v>
      </c>
      <c r="G5106" t="s">
        <v>2537</v>
      </c>
      <c r="H5106" s="9">
        <v>44733</v>
      </c>
      <c r="I5106" t="s">
        <v>43</v>
      </c>
      <c r="J5106" t="s">
        <v>0</v>
      </c>
      <c r="K5106" s="9">
        <v>44846</v>
      </c>
      <c r="L5106" t="s">
        <v>29</v>
      </c>
      <c r="M5106"/>
      <c r="N5106" s="9">
        <v>44778</v>
      </c>
      <c r="O5106" s="9">
        <v>44834</v>
      </c>
      <c r="P5106"/>
      <c r="Q5106" s="9">
        <v>44846</v>
      </c>
      <c r="R5106"/>
      <c r="S5106"/>
      <c r="T5106"/>
      <c r="U5106"/>
    </row>
    <row r="5107" spans="1:21" hidden="1">
      <c r="A5107" s="7" t="s">
        <v>8768</v>
      </c>
      <c r="B5107" s="7" t="s">
        <v>6720</v>
      </c>
      <c r="C5107" s="8" t="s">
        <v>5319</v>
      </c>
      <c r="D5107" t="s">
        <v>272</v>
      </c>
      <c r="E5107" t="s">
        <v>750</v>
      </c>
      <c r="F5107" t="s">
        <v>103</v>
      </c>
      <c r="G5107" t="s">
        <v>2538</v>
      </c>
      <c r="H5107" s="9">
        <v>44733</v>
      </c>
      <c r="I5107" t="s">
        <v>43</v>
      </c>
      <c r="J5107" t="s">
        <v>0</v>
      </c>
      <c r="K5107" s="9">
        <v>44846</v>
      </c>
      <c r="L5107" t="s">
        <v>29</v>
      </c>
      <c r="M5107"/>
      <c r="N5107" s="9">
        <v>44778</v>
      </c>
      <c r="O5107" s="9">
        <v>44834</v>
      </c>
      <c r="P5107"/>
      <c r="Q5107" s="9">
        <v>44846</v>
      </c>
      <c r="R5107"/>
      <c r="S5107"/>
      <c r="T5107"/>
      <c r="U5107"/>
    </row>
    <row r="5108" spans="1:21" hidden="1">
      <c r="A5108" s="7" t="s">
        <v>8768</v>
      </c>
      <c r="B5108" s="7" t="s">
        <v>6720</v>
      </c>
      <c r="C5108" s="8" t="s">
        <v>5319</v>
      </c>
      <c r="D5108" t="s">
        <v>272</v>
      </c>
      <c r="E5108" t="s">
        <v>750</v>
      </c>
      <c r="F5108" t="s">
        <v>103</v>
      </c>
      <c r="G5108" t="s">
        <v>2539</v>
      </c>
      <c r="H5108" s="9">
        <v>44733</v>
      </c>
      <c r="I5108" t="s">
        <v>43</v>
      </c>
      <c r="J5108" t="s">
        <v>0</v>
      </c>
      <c r="K5108" s="9">
        <v>44846</v>
      </c>
      <c r="L5108" t="s">
        <v>29</v>
      </c>
      <c r="M5108"/>
      <c r="N5108" s="9">
        <v>44778</v>
      </c>
      <c r="O5108" s="9">
        <v>44834</v>
      </c>
      <c r="P5108"/>
      <c r="Q5108" s="9">
        <v>44846</v>
      </c>
      <c r="R5108"/>
      <c r="S5108"/>
      <c r="T5108"/>
      <c r="U5108"/>
    </row>
    <row r="5109" spans="1:21" hidden="1">
      <c r="A5109" s="7" t="s">
        <v>8768</v>
      </c>
      <c r="B5109" s="7" t="s">
        <v>6720</v>
      </c>
      <c r="C5109" s="8" t="s">
        <v>5319</v>
      </c>
      <c r="D5109" t="s">
        <v>272</v>
      </c>
      <c r="E5109" t="s">
        <v>750</v>
      </c>
      <c r="F5109" t="s">
        <v>103</v>
      </c>
      <c r="G5109" t="s">
        <v>2540</v>
      </c>
      <c r="H5109" s="9">
        <v>44733</v>
      </c>
      <c r="I5109" t="s">
        <v>43</v>
      </c>
      <c r="J5109" t="s">
        <v>0</v>
      </c>
      <c r="K5109" s="9">
        <v>44846</v>
      </c>
      <c r="L5109" t="s">
        <v>29</v>
      </c>
      <c r="M5109"/>
      <c r="N5109" s="9">
        <v>44778</v>
      </c>
      <c r="O5109" s="9">
        <v>44834</v>
      </c>
      <c r="P5109"/>
      <c r="Q5109" s="9">
        <v>44846</v>
      </c>
      <c r="R5109"/>
      <c r="S5109"/>
      <c r="T5109"/>
      <c r="U5109"/>
    </row>
    <row r="5110" spans="1:21" hidden="1">
      <c r="A5110" s="7" t="s">
        <v>8768</v>
      </c>
      <c r="B5110" s="7" t="s">
        <v>6720</v>
      </c>
      <c r="C5110" s="8" t="s">
        <v>5319</v>
      </c>
      <c r="D5110" t="s">
        <v>272</v>
      </c>
      <c r="E5110" t="s">
        <v>750</v>
      </c>
      <c r="F5110" t="s">
        <v>103</v>
      </c>
      <c r="G5110" t="s">
        <v>2541</v>
      </c>
      <c r="H5110" s="9">
        <v>44733</v>
      </c>
      <c r="I5110" t="s">
        <v>43</v>
      </c>
      <c r="J5110" t="s">
        <v>0</v>
      </c>
      <c r="K5110" s="9">
        <v>44846</v>
      </c>
      <c r="L5110" t="s">
        <v>29</v>
      </c>
      <c r="M5110"/>
      <c r="N5110" s="9">
        <v>44778</v>
      </c>
      <c r="O5110" s="9">
        <v>44834</v>
      </c>
      <c r="P5110"/>
      <c r="Q5110" s="9">
        <v>44846</v>
      </c>
      <c r="R5110"/>
      <c r="S5110"/>
      <c r="T5110"/>
      <c r="U5110"/>
    </row>
    <row r="5111" spans="1:21" hidden="1">
      <c r="A5111" s="7" t="s">
        <v>8768</v>
      </c>
      <c r="B5111" s="7" t="s">
        <v>6720</v>
      </c>
      <c r="C5111" s="8" t="s">
        <v>5319</v>
      </c>
      <c r="D5111" t="s">
        <v>272</v>
      </c>
      <c r="E5111" t="s">
        <v>750</v>
      </c>
      <c r="F5111" t="s">
        <v>103</v>
      </c>
      <c r="G5111" t="s">
        <v>2542</v>
      </c>
      <c r="H5111" s="9">
        <v>44733</v>
      </c>
      <c r="I5111" t="s">
        <v>43</v>
      </c>
      <c r="J5111" t="s">
        <v>0</v>
      </c>
      <c r="K5111" s="9">
        <v>44846</v>
      </c>
      <c r="L5111" t="s">
        <v>29</v>
      </c>
      <c r="M5111"/>
      <c r="N5111" s="9">
        <v>44778</v>
      </c>
      <c r="O5111" s="9">
        <v>44834</v>
      </c>
      <c r="P5111"/>
      <c r="Q5111" s="9">
        <v>44846</v>
      </c>
      <c r="R5111"/>
      <c r="S5111"/>
      <c r="T5111"/>
      <c r="U5111"/>
    </row>
    <row r="5112" spans="1:21" hidden="1">
      <c r="A5112" s="7" t="s">
        <v>8768</v>
      </c>
      <c r="B5112" s="7" t="s">
        <v>6720</v>
      </c>
      <c r="C5112" s="8" t="s">
        <v>5319</v>
      </c>
      <c r="D5112" t="s">
        <v>272</v>
      </c>
      <c r="E5112" t="s">
        <v>750</v>
      </c>
      <c r="F5112" t="s">
        <v>103</v>
      </c>
      <c r="G5112" t="s">
        <v>2543</v>
      </c>
      <c r="H5112" s="9">
        <v>44733</v>
      </c>
      <c r="I5112" t="s">
        <v>43</v>
      </c>
      <c r="J5112" t="s">
        <v>0</v>
      </c>
      <c r="K5112" s="9">
        <v>44846</v>
      </c>
      <c r="L5112" t="s">
        <v>29</v>
      </c>
      <c r="M5112"/>
      <c r="N5112" s="9">
        <v>44778</v>
      </c>
      <c r="O5112" s="9">
        <v>44834</v>
      </c>
      <c r="P5112"/>
      <c r="Q5112" s="9">
        <v>44846</v>
      </c>
      <c r="R5112"/>
      <c r="S5112"/>
      <c r="T5112"/>
      <c r="U5112"/>
    </row>
    <row r="5113" spans="1:21" hidden="1">
      <c r="A5113" s="7" t="s">
        <v>8768</v>
      </c>
      <c r="B5113" s="7" t="s">
        <v>6720</v>
      </c>
      <c r="C5113" s="8" t="s">
        <v>5319</v>
      </c>
      <c r="D5113" t="s">
        <v>272</v>
      </c>
      <c r="E5113" t="s">
        <v>750</v>
      </c>
      <c r="F5113" t="s">
        <v>103</v>
      </c>
      <c r="G5113" t="s">
        <v>2544</v>
      </c>
      <c r="H5113" s="9">
        <v>44733</v>
      </c>
      <c r="I5113" t="s">
        <v>43</v>
      </c>
      <c r="J5113" t="s">
        <v>0</v>
      </c>
      <c r="K5113" s="9">
        <v>44846</v>
      </c>
      <c r="L5113" t="s">
        <v>29</v>
      </c>
      <c r="M5113"/>
      <c r="N5113" s="9">
        <v>44778</v>
      </c>
      <c r="O5113" s="9">
        <v>44834</v>
      </c>
      <c r="P5113"/>
      <c r="Q5113" s="9">
        <v>44846</v>
      </c>
      <c r="R5113"/>
      <c r="S5113"/>
      <c r="T5113"/>
      <c r="U5113"/>
    </row>
    <row r="5114" spans="1:21" hidden="1">
      <c r="A5114" s="7" t="s">
        <v>8768</v>
      </c>
      <c r="B5114" s="7" t="s">
        <v>6720</v>
      </c>
      <c r="C5114" s="8" t="s">
        <v>5319</v>
      </c>
      <c r="D5114" t="s">
        <v>272</v>
      </c>
      <c r="E5114" t="s">
        <v>750</v>
      </c>
      <c r="F5114" t="s">
        <v>103</v>
      </c>
      <c r="G5114" t="s">
        <v>2545</v>
      </c>
      <c r="H5114" s="9">
        <v>44733</v>
      </c>
      <c r="I5114" t="s">
        <v>43</v>
      </c>
      <c r="J5114" t="s">
        <v>0</v>
      </c>
      <c r="K5114" s="9">
        <v>44846</v>
      </c>
      <c r="L5114" t="s">
        <v>29</v>
      </c>
      <c r="M5114"/>
      <c r="N5114" s="9">
        <v>44778</v>
      </c>
      <c r="O5114" s="9">
        <v>44834</v>
      </c>
      <c r="P5114"/>
      <c r="Q5114" s="9">
        <v>44846</v>
      </c>
      <c r="R5114"/>
      <c r="S5114"/>
      <c r="T5114"/>
      <c r="U5114"/>
    </row>
    <row r="5115" spans="1:21" hidden="1">
      <c r="A5115" s="7" t="s">
        <v>8768</v>
      </c>
      <c r="B5115" s="7" t="s">
        <v>6720</v>
      </c>
      <c r="C5115" s="8" t="s">
        <v>5319</v>
      </c>
      <c r="D5115" t="s">
        <v>272</v>
      </c>
      <c r="E5115" t="s">
        <v>750</v>
      </c>
      <c r="F5115" t="s">
        <v>103</v>
      </c>
      <c r="G5115" t="s">
        <v>2546</v>
      </c>
      <c r="H5115" s="9">
        <v>44733</v>
      </c>
      <c r="I5115" t="s">
        <v>43</v>
      </c>
      <c r="J5115" t="s">
        <v>0</v>
      </c>
      <c r="K5115" s="9">
        <v>44846</v>
      </c>
      <c r="L5115" t="s">
        <v>29</v>
      </c>
      <c r="M5115"/>
      <c r="N5115" s="9">
        <v>44778</v>
      </c>
      <c r="O5115" s="9">
        <v>44834</v>
      </c>
      <c r="P5115"/>
      <c r="Q5115" s="9">
        <v>44846</v>
      </c>
      <c r="R5115"/>
      <c r="S5115"/>
      <c r="T5115"/>
      <c r="U5115"/>
    </row>
    <row r="5116" spans="1:21" hidden="1">
      <c r="A5116" s="7" t="s">
        <v>8868</v>
      </c>
      <c r="B5116" s="7" t="s">
        <v>6764</v>
      </c>
      <c r="C5116" s="8" t="s">
        <v>5319</v>
      </c>
      <c r="D5116" t="s">
        <v>272</v>
      </c>
      <c r="E5116" t="s">
        <v>2386</v>
      </c>
      <c r="F5116" t="s">
        <v>83</v>
      </c>
      <c r="G5116" t="s">
        <v>2547</v>
      </c>
      <c r="H5116" s="9">
        <v>44733</v>
      </c>
      <c r="I5116" t="s">
        <v>2388</v>
      </c>
      <c r="J5116" t="s">
        <v>2</v>
      </c>
      <c r="K5116" s="9">
        <v>44834</v>
      </c>
      <c r="L5116" t="s">
        <v>29</v>
      </c>
      <c r="M5116" t="s">
        <v>5331</v>
      </c>
      <c r="N5116" s="9">
        <v>44778</v>
      </c>
      <c r="O5116" s="9">
        <v>44834</v>
      </c>
      <c r="P5116"/>
      <c r="Q5116"/>
      <c r="R5116"/>
      <c r="S5116"/>
      <c r="T5116"/>
      <c r="U5116"/>
    </row>
    <row r="5117" spans="1:21" hidden="1">
      <c r="A5117" s="7" t="s">
        <v>8868</v>
      </c>
      <c r="B5117" s="7" t="s">
        <v>6764</v>
      </c>
      <c r="C5117" s="8" t="s">
        <v>5319</v>
      </c>
      <c r="D5117" t="s">
        <v>272</v>
      </c>
      <c r="E5117" t="s">
        <v>2386</v>
      </c>
      <c r="F5117" t="s">
        <v>83</v>
      </c>
      <c r="G5117" t="s">
        <v>2548</v>
      </c>
      <c r="H5117" s="9">
        <v>44733</v>
      </c>
      <c r="I5117" t="s">
        <v>2388</v>
      </c>
      <c r="J5117" t="s">
        <v>2</v>
      </c>
      <c r="K5117" s="9">
        <v>44834</v>
      </c>
      <c r="L5117" t="s">
        <v>29</v>
      </c>
      <c r="M5117" t="s">
        <v>5331</v>
      </c>
      <c r="N5117" s="9">
        <v>44778</v>
      </c>
      <c r="O5117" s="9">
        <v>44834</v>
      </c>
      <c r="P5117"/>
      <c r="Q5117"/>
      <c r="R5117"/>
      <c r="S5117"/>
      <c r="T5117"/>
      <c r="U5117"/>
    </row>
    <row r="5118" spans="1:21" hidden="1">
      <c r="A5118" s="7" t="s">
        <v>8868</v>
      </c>
      <c r="B5118" s="7" t="s">
        <v>6764</v>
      </c>
      <c r="C5118" s="8" t="s">
        <v>5319</v>
      </c>
      <c r="D5118" t="s">
        <v>272</v>
      </c>
      <c r="E5118" t="s">
        <v>2386</v>
      </c>
      <c r="F5118" t="s">
        <v>83</v>
      </c>
      <c r="G5118" t="s">
        <v>2549</v>
      </c>
      <c r="H5118" s="9">
        <v>44733</v>
      </c>
      <c r="I5118" t="s">
        <v>2388</v>
      </c>
      <c r="J5118" t="s">
        <v>2</v>
      </c>
      <c r="K5118" s="9">
        <v>44834</v>
      </c>
      <c r="L5118" t="s">
        <v>29</v>
      </c>
      <c r="M5118" t="s">
        <v>5331</v>
      </c>
      <c r="N5118" s="9">
        <v>44778</v>
      </c>
      <c r="O5118" s="9">
        <v>44834</v>
      </c>
      <c r="P5118"/>
      <c r="Q5118"/>
      <c r="R5118"/>
      <c r="S5118"/>
      <c r="T5118"/>
      <c r="U5118"/>
    </row>
    <row r="5119" spans="1:21" hidden="1">
      <c r="A5119" s="7" t="s">
        <v>8868</v>
      </c>
      <c r="B5119" s="7" t="s">
        <v>6764</v>
      </c>
      <c r="C5119" s="8" t="s">
        <v>5319</v>
      </c>
      <c r="D5119" t="s">
        <v>272</v>
      </c>
      <c r="E5119" t="s">
        <v>2386</v>
      </c>
      <c r="F5119" t="s">
        <v>83</v>
      </c>
      <c r="G5119" t="s">
        <v>2550</v>
      </c>
      <c r="H5119" s="9">
        <v>44733</v>
      </c>
      <c r="I5119" t="s">
        <v>2388</v>
      </c>
      <c r="J5119" t="s">
        <v>2</v>
      </c>
      <c r="K5119" s="9">
        <v>44834</v>
      </c>
      <c r="L5119" t="s">
        <v>29</v>
      </c>
      <c r="M5119" t="s">
        <v>5331</v>
      </c>
      <c r="N5119" s="9">
        <v>44778</v>
      </c>
      <c r="O5119" s="9">
        <v>44834</v>
      </c>
      <c r="P5119"/>
      <c r="Q5119"/>
      <c r="R5119"/>
      <c r="S5119"/>
      <c r="T5119"/>
      <c r="U5119"/>
    </row>
    <row r="5120" spans="1:21" hidden="1">
      <c r="A5120" s="7" t="s">
        <v>8758</v>
      </c>
      <c r="B5120" s="7" t="s">
        <v>5405</v>
      </c>
      <c r="C5120" s="8" t="s">
        <v>5319</v>
      </c>
      <c r="D5120" t="s">
        <v>272</v>
      </c>
      <c r="E5120" t="s">
        <v>25</v>
      </c>
      <c r="F5120" t="s">
        <v>493</v>
      </c>
      <c r="G5120" t="s">
        <v>2551</v>
      </c>
      <c r="H5120" s="9">
        <v>44733</v>
      </c>
      <c r="I5120" t="s">
        <v>8634</v>
      </c>
      <c r="J5120" t="s">
        <v>0</v>
      </c>
      <c r="K5120" s="9">
        <v>44862</v>
      </c>
      <c r="L5120" t="s">
        <v>29</v>
      </c>
      <c r="M5120"/>
      <c r="N5120" s="9">
        <v>44778</v>
      </c>
      <c r="O5120" s="9">
        <v>44834</v>
      </c>
      <c r="P5120"/>
      <c r="Q5120" s="9">
        <v>44862</v>
      </c>
      <c r="R5120"/>
      <c r="S5120"/>
      <c r="T5120"/>
      <c r="U5120"/>
    </row>
    <row r="5121" spans="1:21" hidden="1">
      <c r="A5121" s="7" t="s">
        <v>8758</v>
      </c>
      <c r="B5121" s="7" t="s">
        <v>5405</v>
      </c>
      <c r="C5121" s="8" t="s">
        <v>5319</v>
      </c>
      <c r="D5121" t="s">
        <v>272</v>
      </c>
      <c r="E5121" t="s">
        <v>25</v>
      </c>
      <c r="F5121" t="s">
        <v>493</v>
      </c>
      <c r="G5121" t="s">
        <v>2552</v>
      </c>
      <c r="H5121" s="9">
        <v>44733</v>
      </c>
      <c r="I5121" t="s">
        <v>8634</v>
      </c>
      <c r="J5121" t="s">
        <v>0</v>
      </c>
      <c r="K5121" s="9">
        <v>44862</v>
      </c>
      <c r="L5121" t="s">
        <v>29</v>
      </c>
      <c r="M5121"/>
      <c r="N5121" s="9">
        <v>44778</v>
      </c>
      <c r="O5121" s="9">
        <v>44834</v>
      </c>
      <c r="P5121"/>
      <c r="Q5121" s="9">
        <v>44862</v>
      </c>
      <c r="R5121"/>
      <c r="S5121"/>
      <c r="T5121"/>
      <c r="U5121"/>
    </row>
    <row r="5122" spans="1:21" hidden="1">
      <c r="A5122" s="7" t="s">
        <v>8758</v>
      </c>
      <c r="B5122" s="7" t="s">
        <v>5405</v>
      </c>
      <c r="C5122" s="8" t="s">
        <v>5319</v>
      </c>
      <c r="D5122" t="s">
        <v>272</v>
      </c>
      <c r="E5122" t="s">
        <v>25</v>
      </c>
      <c r="F5122" t="s">
        <v>493</v>
      </c>
      <c r="G5122" t="s">
        <v>2553</v>
      </c>
      <c r="H5122" s="9">
        <v>44733</v>
      </c>
      <c r="I5122" t="s">
        <v>8634</v>
      </c>
      <c r="J5122" t="s">
        <v>0</v>
      </c>
      <c r="K5122" s="9">
        <v>44862</v>
      </c>
      <c r="L5122" t="s">
        <v>29</v>
      </c>
      <c r="M5122"/>
      <c r="N5122" s="9">
        <v>44778</v>
      </c>
      <c r="O5122" s="9">
        <v>44834</v>
      </c>
      <c r="P5122"/>
      <c r="Q5122" s="9">
        <v>44862</v>
      </c>
      <c r="R5122"/>
      <c r="S5122"/>
      <c r="T5122"/>
      <c r="U5122"/>
    </row>
    <row r="5123" spans="1:21" hidden="1">
      <c r="A5123" s="7" t="s">
        <v>8758</v>
      </c>
      <c r="B5123" s="7" t="s">
        <v>5405</v>
      </c>
      <c r="C5123" s="8" t="s">
        <v>5319</v>
      </c>
      <c r="D5123" t="s">
        <v>272</v>
      </c>
      <c r="E5123" t="s">
        <v>25</v>
      </c>
      <c r="F5123" t="s">
        <v>493</v>
      </c>
      <c r="G5123" t="s">
        <v>2554</v>
      </c>
      <c r="H5123" s="9">
        <v>44733</v>
      </c>
      <c r="I5123" t="s">
        <v>8634</v>
      </c>
      <c r="J5123" t="s">
        <v>0</v>
      </c>
      <c r="K5123" s="9">
        <v>44862</v>
      </c>
      <c r="L5123" t="s">
        <v>29</v>
      </c>
      <c r="M5123"/>
      <c r="N5123" s="9">
        <v>44778</v>
      </c>
      <c r="O5123" s="9">
        <v>44834</v>
      </c>
      <c r="P5123"/>
      <c r="Q5123" s="9">
        <v>44862</v>
      </c>
      <c r="R5123"/>
      <c r="S5123"/>
      <c r="T5123"/>
      <c r="U5123"/>
    </row>
    <row r="5124" spans="1:21" hidden="1">
      <c r="A5124" s="7" t="s">
        <v>8758</v>
      </c>
      <c r="B5124" s="7" t="s">
        <v>5405</v>
      </c>
      <c r="C5124" s="8" t="s">
        <v>5319</v>
      </c>
      <c r="D5124" t="s">
        <v>272</v>
      </c>
      <c r="E5124" t="s">
        <v>25</v>
      </c>
      <c r="F5124" t="s">
        <v>493</v>
      </c>
      <c r="G5124" t="s">
        <v>2555</v>
      </c>
      <c r="H5124" s="9">
        <v>44733</v>
      </c>
      <c r="I5124" t="s">
        <v>8634</v>
      </c>
      <c r="J5124" t="s">
        <v>0</v>
      </c>
      <c r="K5124" s="9">
        <v>44862</v>
      </c>
      <c r="L5124" t="s">
        <v>29</v>
      </c>
      <c r="M5124"/>
      <c r="N5124" s="9">
        <v>44778</v>
      </c>
      <c r="O5124" s="9">
        <v>44834</v>
      </c>
      <c r="P5124"/>
      <c r="Q5124" s="9">
        <v>44862</v>
      </c>
      <c r="R5124"/>
      <c r="S5124"/>
      <c r="T5124"/>
      <c r="U5124"/>
    </row>
    <row r="5125" spans="1:21" hidden="1">
      <c r="A5125" s="7" t="s">
        <v>8758</v>
      </c>
      <c r="B5125" s="7" t="s">
        <v>5405</v>
      </c>
      <c r="C5125" s="8" t="s">
        <v>5319</v>
      </c>
      <c r="D5125" t="s">
        <v>272</v>
      </c>
      <c r="E5125" t="s">
        <v>25</v>
      </c>
      <c r="F5125" t="s">
        <v>493</v>
      </c>
      <c r="G5125" t="s">
        <v>2556</v>
      </c>
      <c r="H5125" s="9">
        <v>44733</v>
      </c>
      <c r="I5125" t="s">
        <v>8634</v>
      </c>
      <c r="J5125" t="s">
        <v>0</v>
      </c>
      <c r="K5125" s="9">
        <v>44862</v>
      </c>
      <c r="L5125" t="s">
        <v>29</v>
      </c>
      <c r="M5125"/>
      <c r="N5125" s="9">
        <v>44778</v>
      </c>
      <c r="O5125" s="9">
        <v>44834</v>
      </c>
      <c r="P5125"/>
      <c r="Q5125" s="9">
        <v>44862</v>
      </c>
      <c r="R5125"/>
      <c r="S5125"/>
      <c r="T5125"/>
      <c r="U5125"/>
    </row>
    <row r="5126" spans="1:21" hidden="1">
      <c r="A5126" s="7" t="s">
        <v>8758</v>
      </c>
      <c r="B5126" s="7" t="s">
        <v>5405</v>
      </c>
      <c r="C5126" s="8" t="s">
        <v>5319</v>
      </c>
      <c r="D5126" t="s">
        <v>272</v>
      </c>
      <c r="E5126" t="s">
        <v>25</v>
      </c>
      <c r="F5126" t="s">
        <v>493</v>
      </c>
      <c r="G5126" t="s">
        <v>2557</v>
      </c>
      <c r="H5126" s="9">
        <v>44733</v>
      </c>
      <c r="I5126" t="s">
        <v>8634</v>
      </c>
      <c r="J5126" t="s">
        <v>0</v>
      </c>
      <c r="K5126" s="9">
        <v>44862</v>
      </c>
      <c r="L5126" t="s">
        <v>29</v>
      </c>
      <c r="M5126"/>
      <c r="N5126" s="9">
        <v>44778</v>
      </c>
      <c r="O5126" s="9">
        <v>44834</v>
      </c>
      <c r="P5126"/>
      <c r="Q5126" s="9">
        <v>44862</v>
      </c>
      <c r="R5126"/>
      <c r="S5126"/>
      <c r="T5126"/>
      <c r="U5126"/>
    </row>
    <row r="5127" spans="1:21" hidden="1">
      <c r="A5127" s="7" t="s">
        <v>8825</v>
      </c>
      <c r="B5127" s="7" t="s">
        <v>5405</v>
      </c>
      <c r="C5127" s="8" t="s">
        <v>5319</v>
      </c>
      <c r="D5127" t="s">
        <v>272</v>
      </c>
      <c r="E5127" t="s">
        <v>25</v>
      </c>
      <c r="F5127" t="s">
        <v>111</v>
      </c>
      <c r="G5127" t="s">
        <v>2558</v>
      </c>
      <c r="H5127" s="9">
        <v>44733</v>
      </c>
      <c r="I5127" t="s">
        <v>8634</v>
      </c>
      <c r="J5127" t="s">
        <v>0</v>
      </c>
      <c r="K5127" s="9">
        <v>44881</v>
      </c>
      <c r="L5127" t="s">
        <v>29</v>
      </c>
      <c r="M5127"/>
      <c r="N5127" s="9">
        <v>44778</v>
      </c>
      <c r="O5127" s="9">
        <v>44834</v>
      </c>
      <c r="P5127"/>
      <c r="Q5127" s="9">
        <v>44881</v>
      </c>
      <c r="R5127"/>
      <c r="S5127"/>
      <c r="T5127"/>
      <c r="U5127"/>
    </row>
    <row r="5128" spans="1:21" hidden="1">
      <c r="A5128" s="7" t="s">
        <v>8825</v>
      </c>
      <c r="B5128" s="7" t="s">
        <v>5405</v>
      </c>
      <c r="C5128" s="8" t="s">
        <v>5319</v>
      </c>
      <c r="D5128" t="s">
        <v>272</v>
      </c>
      <c r="E5128" t="s">
        <v>25</v>
      </c>
      <c r="F5128" t="s">
        <v>111</v>
      </c>
      <c r="G5128" t="s">
        <v>2559</v>
      </c>
      <c r="H5128" s="9">
        <v>44733</v>
      </c>
      <c r="I5128" t="s">
        <v>8634</v>
      </c>
      <c r="J5128" t="s">
        <v>0</v>
      </c>
      <c r="K5128" s="9">
        <v>44881</v>
      </c>
      <c r="L5128" t="s">
        <v>29</v>
      </c>
      <c r="M5128"/>
      <c r="N5128" s="9">
        <v>44778</v>
      </c>
      <c r="O5128" s="9">
        <v>44834</v>
      </c>
      <c r="P5128"/>
      <c r="Q5128" s="9">
        <v>44881</v>
      </c>
      <c r="R5128"/>
      <c r="S5128"/>
      <c r="T5128"/>
      <c r="U5128"/>
    </row>
    <row r="5129" spans="1:21" hidden="1">
      <c r="A5129" s="7" t="s">
        <v>8758</v>
      </c>
      <c r="B5129" s="7" t="s">
        <v>5405</v>
      </c>
      <c r="C5129" s="8" t="s">
        <v>5319</v>
      </c>
      <c r="D5129" t="s">
        <v>272</v>
      </c>
      <c r="E5129" t="s">
        <v>25</v>
      </c>
      <c r="F5129" t="s">
        <v>493</v>
      </c>
      <c r="G5129" t="s">
        <v>2560</v>
      </c>
      <c r="H5129" s="9">
        <v>44733</v>
      </c>
      <c r="I5129" t="s">
        <v>8634</v>
      </c>
      <c r="J5129" t="s">
        <v>0</v>
      </c>
      <c r="K5129" s="9">
        <v>44862</v>
      </c>
      <c r="L5129" t="s">
        <v>29</v>
      </c>
      <c r="M5129"/>
      <c r="N5129" s="9">
        <v>44778</v>
      </c>
      <c r="O5129" s="9">
        <v>44834</v>
      </c>
      <c r="P5129"/>
      <c r="Q5129" s="9">
        <v>44862</v>
      </c>
      <c r="R5129"/>
      <c r="S5129"/>
      <c r="T5129"/>
      <c r="U5129"/>
    </row>
    <row r="5130" spans="1:21" hidden="1">
      <c r="A5130" s="7" t="s">
        <v>8758</v>
      </c>
      <c r="B5130" s="7" t="s">
        <v>5405</v>
      </c>
      <c r="C5130" s="8" t="s">
        <v>5319</v>
      </c>
      <c r="D5130" t="s">
        <v>272</v>
      </c>
      <c r="E5130" t="s">
        <v>25</v>
      </c>
      <c r="F5130" t="s">
        <v>493</v>
      </c>
      <c r="G5130" t="s">
        <v>2561</v>
      </c>
      <c r="H5130" s="9">
        <v>44733</v>
      </c>
      <c r="I5130" t="s">
        <v>8634</v>
      </c>
      <c r="J5130" t="s">
        <v>0</v>
      </c>
      <c r="K5130" s="9">
        <v>44862</v>
      </c>
      <c r="L5130" t="s">
        <v>29</v>
      </c>
      <c r="M5130"/>
      <c r="N5130" s="9">
        <v>44778</v>
      </c>
      <c r="O5130" s="9">
        <v>44834</v>
      </c>
      <c r="P5130"/>
      <c r="Q5130" s="9">
        <v>44862</v>
      </c>
      <c r="R5130"/>
      <c r="S5130"/>
      <c r="T5130"/>
      <c r="U5130"/>
    </row>
    <row r="5131" spans="1:21" hidden="1">
      <c r="A5131" s="7" t="s">
        <v>8758</v>
      </c>
      <c r="B5131" s="7" t="s">
        <v>5405</v>
      </c>
      <c r="C5131" s="8" t="s">
        <v>5319</v>
      </c>
      <c r="D5131" t="s">
        <v>272</v>
      </c>
      <c r="E5131" t="s">
        <v>25</v>
      </c>
      <c r="F5131" t="s">
        <v>493</v>
      </c>
      <c r="G5131" t="s">
        <v>2562</v>
      </c>
      <c r="H5131" s="9">
        <v>44733</v>
      </c>
      <c r="I5131" t="s">
        <v>8634</v>
      </c>
      <c r="J5131" t="s">
        <v>0</v>
      </c>
      <c r="K5131" s="9">
        <v>44862</v>
      </c>
      <c r="L5131" t="s">
        <v>29</v>
      </c>
      <c r="M5131"/>
      <c r="N5131" s="9">
        <v>44778</v>
      </c>
      <c r="O5131" s="9">
        <v>44834</v>
      </c>
      <c r="P5131"/>
      <c r="Q5131" s="9">
        <v>44862</v>
      </c>
      <c r="R5131"/>
      <c r="S5131"/>
      <c r="T5131"/>
      <c r="U5131"/>
    </row>
    <row r="5132" spans="1:21" hidden="1">
      <c r="A5132" s="7" t="s">
        <v>8758</v>
      </c>
      <c r="B5132" s="7" t="s">
        <v>5405</v>
      </c>
      <c r="C5132" s="8" t="s">
        <v>5319</v>
      </c>
      <c r="D5132" t="s">
        <v>272</v>
      </c>
      <c r="E5132" t="s">
        <v>25</v>
      </c>
      <c r="F5132" t="s">
        <v>493</v>
      </c>
      <c r="G5132" t="s">
        <v>2563</v>
      </c>
      <c r="H5132" s="9">
        <v>44733</v>
      </c>
      <c r="I5132" t="s">
        <v>8634</v>
      </c>
      <c r="J5132" t="s">
        <v>0</v>
      </c>
      <c r="K5132" s="9">
        <v>44862</v>
      </c>
      <c r="L5132" t="s">
        <v>29</v>
      </c>
      <c r="M5132"/>
      <c r="N5132" s="9">
        <v>44778</v>
      </c>
      <c r="O5132" s="9">
        <v>44834</v>
      </c>
      <c r="P5132"/>
      <c r="Q5132" s="9">
        <v>44862</v>
      </c>
      <c r="R5132"/>
      <c r="S5132"/>
      <c r="T5132"/>
      <c r="U5132"/>
    </row>
    <row r="5133" spans="1:21" hidden="1">
      <c r="A5133" s="7" t="s">
        <v>8758</v>
      </c>
      <c r="B5133" s="7" t="s">
        <v>5405</v>
      </c>
      <c r="C5133" s="8" t="s">
        <v>5319</v>
      </c>
      <c r="D5133" t="s">
        <v>272</v>
      </c>
      <c r="E5133" t="s">
        <v>25</v>
      </c>
      <c r="F5133" t="s">
        <v>493</v>
      </c>
      <c r="G5133" t="s">
        <v>2564</v>
      </c>
      <c r="H5133" s="9">
        <v>44733</v>
      </c>
      <c r="I5133" t="s">
        <v>8634</v>
      </c>
      <c r="J5133" t="s">
        <v>0</v>
      </c>
      <c r="K5133" s="9">
        <v>44862</v>
      </c>
      <c r="L5133" t="s">
        <v>29</v>
      </c>
      <c r="M5133"/>
      <c r="N5133" s="9">
        <v>44778</v>
      </c>
      <c r="O5133" s="9">
        <v>44834</v>
      </c>
      <c r="P5133"/>
      <c r="Q5133" s="9">
        <v>44862</v>
      </c>
      <c r="R5133"/>
      <c r="S5133"/>
      <c r="T5133"/>
      <c r="U5133"/>
    </row>
    <row r="5134" spans="1:21" hidden="1">
      <c r="A5134" s="7" t="s">
        <v>8825</v>
      </c>
      <c r="B5134" s="7" t="s">
        <v>5405</v>
      </c>
      <c r="C5134" s="8" t="s">
        <v>5319</v>
      </c>
      <c r="D5134" t="s">
        <v>272</v>
      </c>
      <c r="E5134" t="s">
        <v>25</v>
      </c>
      <c r="F5134" t="s">
        <v>111</v>
      </c>
      <c r="G5134" t="s">
        <v>2565</v>
      </c>
      <c r="H5134" s="9">
        <v>44733</v>
      </c>
      <c r="I5134" t="s">
        <v>8634</v>
      </c>
      <c r="J5134" t="s">
        <v>0</v>
      </c>
      <c r="K5134" s="9">
        <v>44881</v>
      </c>
      <c r="L5134" t="s">
        <v>29</v>
      </c>
      <c r="M5134"/>
      <c r="N5134" s="9">
        <v>44778</v>
      </c>
      <c r="O5134" s="9">
        <v>44834</v>
      </c>
      <c r="P5134"/>
      <c r="Q5134" s="9">
        <v>44881</v>
      </c>
      <c r="R5134"/>
      <c r="S5134"/>
      <c r="T5134"/>
      <c r="U5134"/>
    </row>
    <row r="5135" spans="1:21" hidden="1">
      <c r="A5135" s="7" t="s">
        <v>8825</v>
      </c>
      <c r="B5135" s="7" t="s">
        <v>5405</v>
      </c>
      <c r="C5135" s="8" t="s">
        <v>5319</v>
      </c>
      <c r="D5135" t="s">
        <v>272</v>
      </c>
      <c r="E5135" t="s">
        <v>25</v>
      </c>
      <c r="F5135" t="s">
        <v>111</v>
      </c>
      <c r="G5135" t="s">
        <v>2566</v>
      </c>
      <c r="H5135" s="9">
        <v>44733</v>
      </c>
      <c r="I5135" t="s">
        <v>8634</v>
      </c>
      <c r="J5135" t="s">
        <v>0</v>
      </c>
      <c r="K5135" s="9">
        <v>44881</v>
      </c>
      <c r="L5135" t="s">
        <v>29</v>
      </c>
      <c r="M5135"/>
      <c r="N5135" s="9">
        <v>44778</v>
      </c>
      <c r="O5135" s="9">
        <v>44834</v>
      </c>
      <c r="P5135"/>
      <c r="Q5135" s="9">
        <v>44881</v>
      </c>
      <c r="R5135"/>
      <c r="S5135"/>
      <c r="T5135"/>
      <c r="U5135"/>
    </row>
    <row r="5136" spans="1:21" hidden="1">
      <c r="A5136" s="7" t="s">
        <v>8758</v>
      </c>
      <c r="B5136" s="7" t="s">
        <v>5405</v>
      </c>
      <c r="C5136" s="8" t="s">
        <v>5319</v>
      </c>
      <c r="D5136" t="s">
        <v>272</v>
      </c>
      <c r="E5136" t="s">
        <v>25</v>
      </c>
      <c r="F5136" t="s">
        <v>493</v>
      </c>
      <c r="G5136" t="s">
        <v>2567</v>
      </c>
      <c r="H5136" s="9">
        <v>44733</v>
      </c>
      <c r="I5136" t="s">
        <v>8634</v>
      </c>
      <c r="J5136" t="s">
        <v>2</v>
      </c>
      <c r="K5136" s="9">
        <v>44834</v>
      </c>
      <c r="L5136" t="s">
        <v>29</v>
      </c>
      <c r="M5136" t="s">
        <v>5331</v>
      </c>
      <c r="N5136" s="9">
        <v>44778</v>
      </c>
      <c r="O5136" s="9">
        <v>44834</v>
      </c>
      <c r="P5136"/>
      <c r="Q5136"/>
      <c r="R5136"/>
      <c r="S5136"/>
      <c r="T5136"/>
      <c r="U5136"/>
    </row>
    <row r="5137" spans="1:21" hidden="1">
      <c r="A5137" s="7" t="s">
        <v>8861</v>
      </c>
      <c r="B5137" s="7" t="s">
        <v>8218</v>
      </c>
      <c r="C5137" s="8" t="s">
        <v>5319</v>
      </c>
      <c r="D5137" t="s">
        <v>272</v>
      </c>
      <c r="E5137" t="s">
        <v>2260</v>
      </c>
      <c r="F5137" t="s">
        <v>117</v>
      </c>
      <c r="G5137" t="s">
        <v>2568</v>
      </c>
      <c r="H5137" s="9">
        <v>44733</v>
      </c>
      <c r="I5137" t="s">
        <v>2262</v>
      </c>
      <c r="J5137" t="s">
        <v>276</v>
      </c>
      <c r="K5137" s="9">
        <v>44879.706469907404</v>
      </c>
      <c r="L5137" t="s">
        <v>29</v>
      </c>
      <c r="M5137" t="s">
        <v>5331</v>
      </c>
      <c r="N5137" s="9">
        <v>44778</v>
      </c>
      <c r="O5137" s="9">
        <v>44834</v>
      </c>
      <c r="P5137"/>
      <c r="Q5137" s="9">
        <v>44882</v>
      </c>
      <c r="R5137" s="9">
        <v>44879.703275462998</v>
      </c>
      <c r="S5137"/>
      <c r="T5137"/>
      <c r="U5137"/>
    </row>
    <row r="5138" spans="1:21" hidden="1">
      <c r="A5138" s="7" t="s">
        <v>8861</v>
      </c>
      <c r="B5138" s="7" t="s">
        <v>8218</v>
      </c>
      <c r="C5138" s="8" t="s">
        <v>5319</v>
      </c>
      <c r="D5138" t="s">
        <v>272</v>
      </c>
      <c r="E5138" t="s">
        <v>2260</v>
      </c>
      <c r="F5138" t="s">
        <v>117</v>
      </c>
      <c r="G5138" t="s">
        <v>2569</v>
      </c>
      <c r="H5138" s="9">
        <v>44733</v>
      </c>
      <c r="I5138" t="s">
        <v>2262</v>
      </c>
      <c r="J5138" t="s">
        <v>276</v>
      </c>
      <c r="K5138" s="9">
        <v>44879.706469907404</v>
      </c>
      <c r="L5138" t="s">
        <v>29</v>
      </c>
      <c r="M5138" t="s">
        <v>5331</v>
      </c>
      <c r="N5138" s="9">
        <v>44778</v>
      </c>
      <c r="O5138" s="9">
        <v>44834</v>
      </c>
      <c r="P5138"/>
      <c r="Q5138" s="9">
        <v>44882</v>
      </c>
      <c r="R5138" s="9">
        <v>44879.703275462998</v>
      </c>
      <c r="S5138"/>
      <c r="T5138"/>
      <c r="U5138"/>
    </row>
    <row r="5139" spans="1:21" hidden="1">
      <c r="A5139" s="7" t="s">
        <v>8861</v>
      </c>
      <c r="B5139" s="7" t="s">
        <v>8218</v>
      </c>
      <c r="C5139" s="8" t="s">
        <v>5319</v>
      </c>
      <c r="D5139" t="s">
        <v>272</v>
      </c>
      <c r="E5139" t="s">
        <v>2260</v>
      </c>
      <c r="F5139" t="s">
        <v>117</v>
      </c>
      <c r="G5139" t="s">
        <v>2570</v>
      </c>
      <c r="H5139" s="9">
        <v>44733</v>
      </c>
      <c r="I5139" t="s">
        <v>2262</v>
      </c>
      <c r="J5139" t="s">
        <v>276</v>
      </c>
      <c r="K5139" s="9">
        <v>44879.706469907404</v>
      </c>
      <c r="L5139" t="s">
        <v>29</v>
      </c>
      <c r="M5139" t="s">
        <v>5331</v>
      </c>
      <c r="N5139" s="9">
        <v>44778</v>
      </c>
      <c r="O5139" s="9">
        <v>44834</v>
      </c>
      <c r="P5139"/>
      <c r="Q5139" s="9">
        <v>44882</v>
      </c>
      <c r="R5139" s="9">
        <v>44879.703275462998</v>
      </c>
      <c r="S5139"/>
      <c r="T5139"/>
      <c r="U5139"/>
    </row>
    <row r="5140" spans="1:21" hidden="1">
      <c r="A5140" s="7" t="s">
        <v>8861</v>
      </c>
      <c r="B5140" s="7" t="s">
        <v>8218</v>
      </c>
      <c r="C5140" s="8" t="s">
        <v>5319</v>
      </c>
      <c r="D5140" t="s">
        <v>272</v>
      </c>
      <c r="E5140" t="s">
        <v>2260</v>
      </c>
      <c r="F5140" t="s">
        <v>117</v>
      </c>
      <c r="G5140" t="s">
        <v>2571</v>
      </c>
      <c r="H5140" s="9">
        <v>44733</v>
      </c>
      <c r="I5140" t="s">
        <v>2262</v>
      </c>
      <c r="J5140" t="s">
        <v>276</v>
      </c>
      <c r="K5140" s="9">
        <v>44879.706469907404</v>
      </c>
      <c r="L5140" t="s">
        <v>29</v>
      </c>
      <c r="M5140" t="s">
        <v>5331</v>
      </c>
      <c r="N5140" s="9">
        <v>44778</v>
      </c>
      <c r="O5140" s="9">
        <v>44834</v>
      </c>
      <c r="P5140"/>
      <c r="Q5140" s="9">
        <v>44882</v>
      </c>
      <c r="R5140" s="9">
        <v>44879.703275462998</v>
      </c>
      <c r="S5140"/>
      <c r="T5140"/>
      <c r="U5140"/>
    </row>
    <row r="5141" spans="1:21" hidden="1">
      <c r="A5141" s="7" t="s">
        <v>8861</v>
      </c>
      <c r="B5141" s="7" t="s">
        <v>8218</v>
      </c>
      <c r="C5141" s="8" t="s">
        <v>5319</v>
      </c>
      <c r="D5141" t="s">
        <v>272</v>
      </c>
      <c r="E5141" t="s">
        <v>2260</v>
      </c>
      <c r="F5141" t="s">
        <v>117</v>
      </c>
      <c r="G5141" t="s">
        <v>2572</v>
      </c>
      <c r="H5141" s="9">
        <v>44733</v>
      </c>
      <c r="I5141" t="s">
        <v>2262</v>
      </c>
      <c r="J5141" t="s">
        <v>276</v>
      </c>
      <c r="K5141" s="9">
        <v>44879.706469907404</v>
      </c>
      <c r="L5141" t="s">
        <v>29</v>
      </c>
      <c r="M5141" t="s">
        <v>5331</v>
      </c>
      <c r="N5141" s="9">
        <v>44778</v>
      </c>
      <c r="O5141" s="9">
        <v>44834</v>
      </c>
      <c r="P5141"/>
      <c r="Q5141" s="9">
        <v>44882</v>
      </c>
      <c r="R5141" s="9">
        <v>44879.703275462998</v>
      </c>
      <c r="S5141"/>
      <c r="T5141"/>
      <c r="U5141"/>
    </row>
    <row r="5142" spans="1:21" hidden="1">
      <c r="A5142" s="7" t="s">
        <v>8764</v>
      </c>
      <c r="B5142" s="7" t="s">
        <v>5405</v>
      </c>
      <c r="C5142" s="8" t="s">
        <v>5319</v>
      </c>
      <c r="D5142" t="s">
        <v>272</v>
      </c>
      <c r="E5142" t="s">
        <v>25</v>
      </c>
      <c r="F5142" t="s">
        <v>75</v>
      </c>
      <c r="G5142" t="s">
        <v>2573</v>
      </c>
      <c r="H5142" s="9">
        <v>44733</v>
      </c>
      <c r="I5142" t="s">
        <v>8634</v>
      </c>
      <c r="J5142" t="s">
        <v>2</v>
      </c>
      <c r="K5142" s="9">
        <v>44834</v>
      </c>
      <c r="L5142" t="s">
        <v>29</v>
      </c>
      <c r="M5142" t="s">
        <v>5331</v>
      </c>
      <c r="N5142" s="9">
        <v>44778</v>
      </c>
      <c r="O5142" s="9">
        <v>44834</v>
      </c>
      <c r="P5142"/>
      <c r="Q5142"/>
      <c r="R5142"/>
      <c r="S5142"/>
      <c r="T5142"/>
      <c r="U5142"/>
    </row>
    <row r="5143" spans="1:21" hidden="1">
      <c r="A5143" s="7" t="s">
        <v>8742</v>
      </c>
      <c r="B5143" s="7" t="s">
        <v>6943</v>
      </c>
      <c r="C5143" s="8" t="s">
        <v>5319</v>
      </c>
      <c r="D5143" t="s">
        <v>272</v>
      </c>
      <c r="E5143" t="s">
        <v>324</v>
      </c>
      <c r="F5143" t="s">
        <v>75</v>
      </c>
      <c r="G5143" t="s">
        <v>2574</v>
      </c>
      <c r="H5143" s="9">
        <v>44733</v>
      </c>
      <c r="I5143" t="s">
        <v>282</v>
      </c>
      <c r="J5143" t="s">
        <v>2</v>
      </c>
      <c r="K5143" s="9">
        <v>44817</v>
      </c>
      <c r="L5143" t="s">
        <v>29</v>
      </c>
      <c r="M5143" t="s">
        <v>5331</v>
      </c>
      <c r="N5143" s="9">
        <v>44778</v>
      </c>
      <c r="O5143"/>
      <c r="P5143"/>
      <c r="Q5143" s="9">
        <v>44817</v>
      </c>
      <c r="R5143" s="9">
        <v>44816.486284722203</v>
      </c>
      <c r="S5143"/>
      <c r="T5143"/>
      <c r="U5143"/>
    </row>
    <row r="5144" spans="1:21" hidden="1">
      <c r="A5144" s="7" t="s">
        <v>8758</v>
      </c>
      <c r="B5144" s="7" t="s">
        <v>5405</v>
      </c>
      <c r="C5144" s="8" t="s">
        <v>5319</v>
      </c>
      <c r="D5144" t="s">
        <v>272</v>
      </c>
      <c r="E5144" t="s">
        <v>25</v>
      </c>
      <c r="F5144" t="s">
        <v>493</v>
      </c>
      <c r="G5144" t="s">
        <v>505</v>
      </c>
      <c r="H5144" s="9">
        <v>44733</v>
      </c>
      <c r="I5144" t="s">
        <v>8634</v>
      </c>
      <c r="J5144" t="s">
        <v>2</v>
      </c>
      <c r="K5144" s="9">
        <v>44834</v>
      </c>
      <c r="L5144" t="s">
        <v>29</v>
      </c>
      <c r="M5144" t="s">
        <v>5331</v>
      </c>
      <c r="N5144" s="9">
        <v>44778</v>
      </c>
      <c r="O5144" s="9">
        <v>44834</v>
      </c>
      <c r="P5144"/>
      <c r="Q5144"/>
      <c r="R5144"/>
      <c r="S5144"/>
      <c r="T5144"/>
      <c r="U5144"/>
    </row>
    <row r="5145" spans="1:21" hidden="1">
      <c r="A5145" s="7" t="s">
        <v>8875</v>
      </c>
      <c r="B5145" s="7" t="s">
        <v>6942</v>
      </c>
      <c r="C5145" s="8" t="s">
        <v>5319</v>
      </c>
      <c r="D5145" t="s">
        <v>272</v>
      </c>
      <c r="E5145" t="s">
        <v>2575</v>
      </c>
      <c r="F5145" t="s">
        <v>75</v>
      </c>
      <c r="G5145" t="s">
        <v>2576</v>
      </c>
      <c r="H5145" s="9">
        <v>44733</v>
      </c>
      <c r="I5145" t="s">
        <v>1435</v>
      </c>
      <c r="J5145" t="s">
        <v>2</v>
      </c>
      <c r="K5145" s="9">
        <v>44834</v>
      </c>
      <c r="L5145" t="s">
        <v>29</v>
      </c>
      <c r="M5145" t="s">
        <v>5331</v>
      </c>
      <c r="N5145" s="9">
        <v>44778</v>
      </c>
      <c r="O5145" s="9">
        <v>44834</v>
      </c>
      <c r="P5145"/>
      <c r="Q5145"/>
      <c r="R5145"/>
      <c r="S5145"/>
      <c r="T5145"/>
      <c r="U5145"/>
    </row>
    <row r="5146" spans="1:21" hidden="1">
      <c r="A5146" s="7" t="s">
        <v>8875</v>
      </c>
      <c r="B5146" s="7" t="s">
        <v>6942</v>
      </c>
      <c r="C5146" s="8" t="s">
        <v>5319</v>
      </c>
      <c r="D5146" t="s">
        <v>272</v>
      </c>
      <c r="E5146" t="s">
        <v>2575</v>
      </c>
      <c r="F5146" t="s">
        <v>75</v>
      </c>
      <c r="G5146" t="s">
        <v>2577</v>
      </c>
      <c r="H5146" s="9">
        <v>44733</v>
      </c>
      <c r="I5146" t="s">
        <v>1435</v>
      </c>
      <c r="J5146" t="s">
        <v>2</v>
      </c>
      <c r="K5146" s="9">
        <v>44834</v>
      </c>
      <c r="L5146" t="s">
        <v>29</v>
      </c>
      <c r="M5146" t="s">
        <v>5331</v>
      </c>
      <c r="N5146" s="9">
        <v>44778</v>
      </c>
      <c r="O5146" s="9">
        <v>44834</v>
      </c>
      <c r="P5146"/>
      <c r="Q5146"/>
      <c r="R5146"/>
      <c r="S5146"/>
      <c r="T5146"/>
      <c r="U5146"/>
    </row>
    <row r="5147" spans="1:21" hidden="1">
      <c r="A5147" s="7" t="s">
        <v>8875</v>
      </c>
      <c r="B5147" s="7" t="s">
        <v>6942</v>
      </c>
      <c r="C5147" s="8" t="s">
        <v>5319</v>
      </c>
      <c r="D5147" t="s">
        <v>272</v>
      </c>
      <c r="E5147" t="s">
        <v>2575</v>
      </c>
      <c r="F5147" t="s">
        <v>75</v>
      </c>
      <c r="G5147" t="s">
        <v>2578</v>
      </c>
      <c r="H5147" s="9">
        <v>44733</v>
      </c>
      <c r="I5147" t="s">
        <v>1435</v>
      </c>
      <c r="J5147" t="s">
        <v>2</v>
      </c>
      <c r="K5147" s="9">
        <v>44834</v>
      </c>
      <c r="L5147" t="s">
        <v>29</v>
      </c>
      <c r="M5147" t="s">
        <v>5331</v>
      </c>
      <c r="N5147" s="9">
        <v>44778</v>
      </c>
      <c r="O5147" s="9">
        <v>44834</v>
      </c>
      <c r="P5147"/>
      <c r="Q5147"/>
      <c r="R5147"/>
      <c r="S5147"/>
      <c r="T5147"/>
      <c r="U5147"/>
    </row>
    <row r="5148" spans="1:21" hidden="1">
      <c r="A5148" s="7" t="s">
        <v>8875</v>
      </c>
      <c r="B5148" s="7" t="s">
        <v>6942</v>
      </c>
      <c r="C5148" s="8" t="s">
        <v>5319</v>
      </c>
      <c r="D5148" t="s">
        <v>272</v>
      </c>
      <c r="E5148" t="s">
        <v>2575</v>
      </c>
      <c r="F5148" t="s">
        <v>75</v>
      </c>
      <c r="G5148" t="s">
        <v>2579</v>
      </c>
      <c r="H5148" s="9">
        <v>44733</v>
      </c>
      <c r="I5148" t="s">
        <v>1435</v>
      </c>
      <c r="J5148" t="s">
        <v>2</v>
      </c>
      <c r="K5148" s="9">
        <v>44834</v>
      </c>
      <c r="L5148" t="s">
        <v>29</v>
      </c>
      <c r="M5148" t="s">
        <v>5331</v>
      </c>
      <c r="N5148" s="9">
        <v>44778</v>
      </c>
      <c r="O5148" s="9">
        <v>44834</v>
      </c>
      <c r="P5148"/>
      <c r="Q5148"/>
      <c r="R5148"/>
      <c r="S5148"/>
      <c r="T5148"/>
      <c r="U5148"/>
    </row>
    <row r="5149" spans="1:21" hidden="1">
      <c r="A5149" s="7" t="s">
        <v>8875</v>
      </c>
      <c r="B5149" s="7" t="s">
        <v>6942</v>
      </c>
      <c r="C5149" s="8" t="s">
        <v>5319</v>
      </c>
      <c r="D5149" t="s">
        <v>272</v>
      </c>
      <c r="E5149" t="s">
        <v>2575</v>
      </c>
      <c r="F5149" t="s">
        <v>75</v>
      </c>
      <c r="G5149" t="s">
        <v>2580</v>
      </c>
      <c r="H5149" s="9">
        <v>44733</v>
      </c>
      <c r="I5149" t="s">
        <v>1435</v>
      </c>
      <c r="J5149" t="s">
        <v>2</v>
      </c>
      <c r="K5149" s="9">
        <v>44834</v>
      </c>
      <c r="L5149" t="s">
        <v>29</v>
      </c>
      <c r="M5149" t="s">
        <v>5331</v>
      </c>
      <c r="N5149" s="9">
        <v>44778</v>
      </c>
      <c r="O5149" s="9">
        <v>44834</v>
      </c>
      <c r="P5149"/>
      <c r="Q5149"/>
      <c r="R5149"/>
      <c r="S5149"/>
      <c r="T5149"/>
      <c r="U5149"/>
    </row>
    <row r="5150" spans="1:21" hidden="1">
      <c r="A5150" s="7" t="s">
        <v>8875</v>
      </c>
      <c r="B5150" s="7" t="s">
        <v>6942</v>
      </c>
      <c r="C5150" s="8" t="s">
        <v>5319</v>
      </c>
      <c r="D5150" t="s">
        <v>272</v>
      </c>
      <c r="E5150" t="s">
        <v>2575</v>
      </c>
      <c r="F5150" t="s">
        <v>75</v>
      </c>
      <c r="G5150" t="s">
        <v>2581</v>
      </c>
      <c r="H5150" s="9">
        <v>44733</v>
      </c>
      <c r="I5150" t="s">
        <v>1435</v>
      </c>
      <c r="J5150" t="s">
        <v>2</v>
      </c>
      <c r="K5150" s="9">
        <v>44834</v>
      </c>
      <c r="L5150" t="s">
        <v>29</v>
      </c>
      <c r="M5150" t="s">
        <v>5331</v>
      </c>
      <c r="N5150" s="9">
        <v>44778</v>
      </c>
      <c r="O5150" s="9">
        <v>44834</v>
      </c>
      <c r="P5150"/>
      <c r="Q5150"/>
      <c r="R5150"/>
      <c r="S5150"/>
      <c r="T5150"/>
      <c r="U5150"/>
    </row>
    <row r="5151" spans="1:21" hidden="1">
      <c r="A5151" s="7" t="s">
        <v>8875</v>
      </c>
      <c r="B5151" s="7" t="s">
        <v>6942</v>
      </c>
      <c r="C5151" s="8" t="s">
        <v>5319</v>
      </c>
      <c r="D5151" t="s">
        <v>272</v>
      </c>
      <c r="E5151" t="s">
        <v>2575</v>
      </c>
      <c r="F5151" t="s">
        <v>75</v>
      </c>
      <c r="G5151" t="s">
        <v>2582</v>
      </c>
      <c r="H5151" s="9">
        <v>44733</v>
      </c>
      <c r="I5151" t="s">
        <v>1435</v>
      </c>
      <c r="J5151" t="s">
        <v>2</v>
      </c>
      <c r="K5151" s="9">
        <v>44834</v>
      </c>
      <c r="L5151" t="s">
        <v>29</v>
      </c>
      <c r="M5151" t="s">
        <v>5331</v>
      </c>
      <c r="N5151" s="9">
        <v>44778</v>
      </c>
      <c r="O5151" s="9">
        <v>44834</v>
      </c>
      <c r="P5151"/>
      <c r="Q5151"/>
      <c r="R5151"/>
      <c r="S5151"/>
      <c r="T5151"/>
      <c r="U5151"/>
    </row>
    <row r="5152" spans="1:21" hidden="1">
      <c r="A5152" s="7" t="s">
        <v>8875</v>
      </c>
      <c r="B5152" s="7" t="s">
        <v>6942</v>
      </c>
      <c r="C5152" s="8" t="s">
        <v>5319</v>
      </c>
      <c r="D5152" t="s">
        <v>272</v>
      </c>
      <c r="E5152" t="s">
        <v>2575</v>
      </c>
      <c r="F5152" t="s">
        <v>75</v>
      </c>
      <c r="G5152" t="s">
        <v>2583</v>
      </c>
      <c r="H5152" s="9">
        <v>44733</v>
      </c>
      <c r="I5152" t="s">
        <v>1435</v>
      </c>
      <c r="J5152" t="s">
        <v>2</v>
      </c>
      <c r="K5152" s="9">
        <v>44834</v>
      </c>
      <c r="L5152" t="s">
        <v>29</v>
      </c>
      <c r="M5152" t="s">
        <v>5331</v>
      </c>
      <c r="N5152" s="9">
        <v>44778</v>
      </c>
      <c r="O5152" s="9">
        <v>44834</v>
      </c>
      <c r="P5152"/>
      <c r="Q5152"/>
      <c r="R5152"/>
      <c r="S5152"/>
      <c r="T5152"/>
      <c r="U5152"/>
    </row>
    <row r="5153" spans="1:21" hidden="1">
      <c r="A5153" s="7" t="s">
        <v>8875</v>
      </c>
      <c r="B5153" s="7" t="s">
        <v>6942</v>
      </c>
      <c r="C5153" s="8" t="s">
        <v>5319</v>
      </c>
      <c r="D5153" t="s">
        <v>272</v>
      </c>
      <c r="E5153" t="s">
        <v>2575</v>
      </c>
      <c r="F5153" t="s">
        <v>75</v>
      </c>
      <c r="G5153" t="s">
        <v>2584</v>
      </c>
      <c r="H5153" s="9">
        <v>44733</v>
      </c>
      <c r="I5153" t="s">
        <v>1435</v>
      </c>
      <c r="J5153" t="s">
        <v>2</v>
      </c>
      <c r="K5153" s="9">
        <v>44834</v>
      </c>
      <c r="L5153" t="s">
        <v>29</v>
      </c>
      <c r="M5153" t="s">
        <v>5331</v>
      </c>
      <c r="N5153" s="9">
        <v>44778</v>
      </c>
      <c r="O5153" s="9">
        <v>44834</v>
      </c>
      <c r="P5153"/>
      <c r="Q5153"/>
      <c r="R5153"/>
      <c r="S5153"/>
      <c r="T5153"/>
      <c r="U5153"/>
    </row>
    <row r="5154" spans="1:21" hidden="1">
      <c r="A5154" s="7" t="s">
        <v>8875</v>
      </c>
      <c r="B5154" s="7" t="s">
        <v>6942</v>
      </c>
      <c r="C5154" s="8" t="s">
        <v>5319</v>
      </c>
      <c r="D5154" t="s">
        <v>272</v>
      </c>
      <c r="E5154" t="s">
        <v>2575</v>
      </c>
      <c r="F5154" t="s">
        <v>75</v>
      </c>
      <c r="G5154" t="s">
        <v>2585</v>
      </c>
      <c r="H5154" s="9">
        <v>44733</v>
      </c>
      <c r="I5154" t="s">
        <v>1435</v>
      </c>
      <c r="J5154" t="s">
        <v>2</v>
      </c>
      <c r="K5154" s="9">
        <v>44834</v>
      </c>
      <c r="L5154" t="s">
        <v>29</v>
      </c>
      <c r="M5154" t="s">
        <v>5331</v>
      </c>
      <c r="N5154" s="9">
        <v>44778</v>
      </c>
      <c r="O5154" s="9">
        <v>44834</v>
      </c>
      <c r="P5154"/>
      <c r="Q5154"/>
      <c r="R5154"/>
      <c r="S5154"/>
      <c r="T5154"/>
      <c r="U5154"/>
    </row>
    <row r="5155" spans="1:21" hidden="1">
      <c r="A5155" s="7" t="s">
        <v>8875</v>
      </c>
      <c r="B5155" s="7" t="s">
        <v>6942</v>
      </c>
      <c r="C5155" s="8" t="s">
        <v>5319</v>
      </c>
      <c r="D5155" t="s">
        <v>272</v>
      </c>
      <c r="E5155" t="s">
        <v>2575</v>
      </c>
      <c r="F5155" t="s">
        <v>75</v>
      </c>
      <c r="G5155" t="s">
        <v>2586</v>
      </c>
      <c r="H5155" s="9">
        <v>44733</v>
      </c>
      <c r="I5155" t="s">
        <v>1435</v>
      </c>
      <c r="J5155" t="s">
        <v>2</v>
      </c>
      <c r="K5155" s="9">
        <v>44834</v>
      </c>
      <c r="L5155" t="s">
        <v>29</v>
      </c>
      <c r="M5155" t="s">
        <v>5331</v>
      </c>
      <c r="N5155" s="9">
        <v>44778</v>
      </c>
      <c r="O5155" s="9">
        <v>44834</v>
      </c>
      <c r="P5155"/>
      <c r="Q5155"/>
      <c r="R5155"/>
      <c r="S5155"/>
      <c r="T5155"/>
      <c r="U5155"/>
    </row>
    <row r="5156" spans="1:21" hidden="1">
      <c r="A5156" s="7" t="s">
        <v>8875</v>
      </c>
      <c r="B5156" s="7" t="s">
        <v>6942</v>
      </c>
      <c r="C5156" s="8" t="s">
        <v>5319</v>
      </c>
      <c r="D5156" t="s">
        <v>272</v>
      </c>
      <c r="E5156" t="s">
        <v>2575</v>
      </c>
      <c r="F5156" t="s">
        <v>75</v>
      </c>
      <c r="G5156" t="s">
        <v>2587</v>
      </c>
      <c r="H5156" s="9">
        <v>44733</v>
      </c>
      <c r="I5156" t="s">
        <v>1435</v>
      </c>
      <c r="J5156" t="s">
        <v>2</v>
      </c>
      <c r="K5156" s="9">
        <v>44834</v>
      </c>
      <c r="L5156" t="s">
        <v>29</v>
      </c>
      <c r="M5156" t="s">
        <v>5331</v>
      </c>
      <c r="N5156" s="9">
        <v>44778</v>
      </c>
      <c r="O5156" s="9">
        <v>44834</v>
      </c>
      <c r="P5156"/>
      <c r="Q5156"/>
      <c r="R5156"/>
      <c r="S5156"/>
      <c r="T5156"/>
      <c r="U5156"/>
    </row>
    <row r="5157" spans="1:21" hidden="1">
      <c r="A5157" s="7" t="s">
        <v>8875</v>
      </c>
      <c r="B5157" s="7" t="s">
        <v>6942</v>
      </c>
      <c r="C5157" s="8" t="s">
        <v>5319</v>
      </c>
      <c r="D5157" t="s">
        <v>272</v>
      </c>
      <c r="E5157" t="s">
        <v>2575</v>
      </c>
      <c r="F5157" t="s">
        <v>75</v>
      </c>
      <c r="G5157" t="s">
        <v>2588</v>
      </c>
      <c r="H5157" s="9">
        <v>44733</v>
      </c>
      <c r="I5157" t="s">
        <v>1435</v>
      </c>
      <c r="J5157" t="s">
        <v>2</v>
      </c>
      <c r="K5157" s="9">
        <v>44834</v>
      </c>
      <c r="L5157" t="s">
        <v>29</v>
      </c>
      <c r="M5157" t="s">
        <v>5331</v>
      </c>
      <c r="N5157" s="9">
        <v>44778</v>
      </c>
      <c r="O5157" s="9">
        <v>44834</v>
      </c>
      <c r="P5157"/>
      <c r="Q5157"/>
      <c r="R5157"/>
      <c r="S5157"/>
      <c r="T5157"/>
      <c r="U5157"/>
    </row>
    <row r="5158" spans="1:21" hidden="1">
      <c r="A5158" s="7" t="s">
        <v>8875</v>
      </c>
      <c r="B5158" s="7" t="s">
        <v>6942</v>
      </c>
      <c r="C5158" s="8" t="s">
        <v>5319</v>
      </c>
      <c r="D5158" t="s">
        <v>272</v>
      </c>
      <c r="E5158" t="s">
        <v>2575</v>
      </c>
      <c r="F5158" t="s">
        <v>75</v>
      </c>
      <c r="G5158" t="s">
        <v>2589</v>
      </c>
      <c r="H5158" s="9">
        <v>44733</v>
      </c>
      <c r="I5158" t="s">
        <v>1435</v>
      </c>
      <c r="J5158" t="s">
        <v>2</v>
      </c>
      <c r="K5158" s="9">
        <v>44834</v>
      </c>
      <c r="L5158" t="s">
        <v>29</v>
      </c>
      <c r="M5158" t="s">
        <v>5331</v>
      </c>
      <c r="N5158" s="9">
        <v>44778</v>
      </c>
      <c r="O5158" s="9">
        <v>44834</v>
      </c>
      <c r="P5158"/>
      <c r="Q5158"/>
      <c r="R5158"/>
      <c r="S5158"/>
      <c r="T5158"/>
      <c r="U5158"/>
    </row>
    <row r="5159" spans="1:21" hidden="1">
      <c r="A5159" s="7" t="s">
        <v>8875</v>
      </c>
      <c r="B5159" s="7" t="s">
        <v>6942</v>
      </c>
      <c r="C5159" s="8" t="s">
        <v>5319</v>
      </c>
      <c r="D5159" t="s">
        <v>272</v>
      </c>
      <c r="E5159" t="s">
        <v>2575</v>
      </c>
      <c r="F5159" t="s">
        <v>75</v>
      </c>
      <c r="G5159" t="s">
        <v>2590</v>
      </c>
      <c r="H5159" s="9">
        <v>44733</v>
      </c>
      <c r="I5159" t="s">
        <v>1435</v>
      </c>
      <c r="J5159" t="s">
        <v>2</v>
      </c>
      <c r="K5159" s="9">
        <v>44834</v>
      </c>
      <c r="L5159" t="s">
        <v>29</v>
      </c>
      <c r="M5159" t="s">
        <v>5331</v>
      </c>
      <c r="N5159" s="9">
        <v>44778</v>
      </c>
      <c r="O5159" s="9">
        <v>44834</v>
      </c>
      <c r="P5159"/>
      <c r="Q5159"/>
      <c r="R5159"/>
      <c r="S5159"/>
      <c r="T5159"/>
      <c r="U5159"/>
    </row>
    <row r="5160" spans="1:21" hidden="1">
      <c r="A5160" s="7" t="s">
        <v>8875</v>
      </c>
      <c r="B5160" s="7" t="s">
        <v>6942</v>
      </c>
      <c r="C5160" s="8" t="s">
        <v>5319</v>
      </c>
      <c r="D5160" t="s">
        <v>272</v>
      </c>
      <c r="E5160" t="s">
        <v>2575</v>
      </c>
      <c r="F5160" t="s">
        <v>75</v>
      </c>
      <c r="G5160" t="s">
        <v>2591</v>
      </c>
      <c r="H5160" s="9">
        <v>44733</v>
      </c>
      <c r="I5160" t="s">
        <v>1435</v>
      </c>
      <c r="J5160" t="s">
        <v>2</v>
      </c>
      <c r="K5160" s="9">
        <v>44834</v>
      </c>
      <c r="L5160" t="s">
        <v>29</v>
      </c>
      <c r="M5160" t="s">
        <v>5331</v>
      </c>
      <c r="N5160" s="9">
        <v>44778</v>
      </c>
      <c r="O5160" s="9">
        <v>44834</v>
      </c>
      <c r="P5160"/>
      <c r="Q5160"/>
      <c r="R5160"/>
      <c r="S5160"/>
      <c r="T5160"/>
      <c r="U5160"/>
    </row>
    <row r="5161" spans="1:21" hidden="1">
      <c r="A5161" s="7" t="s">
        <v>8875</v>
      </c>
      <c r="B5161" s="7" t="s">
        <v>6942</v>
      </c>
      <c r="C5161" s="8" t="s">
        <v>5319</v>
      </c>
      <c r="D5161" t="s">
        <v>272</v>
      </c>
      <c r="E5161" t="s">
        <v>2575</v>
      </c>
      <c r="F5161" t="s">
        <v>75</v>
      </c>
      <c r="G5161" t="s">
        <v>2592</v>
      </c>
      <c r="H5161" s="9">
        <v>44733</v>
      </c>
      <c r="I5161" t="s">
        <v>1435</v>
      </c>
      <c r="J5161" t="s">
        <v>2</v>
      </c>
      <c r="K5161" s="9">
        <v>44834</v>
      </c>
      <c r="L5161" t="s">
        <v>29</v>
      </c>
      <c r="M5161" t="s">
        <v>5331</v>
      </c>
      <c r="N5161" s="9">
        <v>44778</v>
      </c>
      <c r="O5161" s="9">
        <v>44834</v>
      </c>
      <c r="P5161"/>
      <c r="Q5161"/>
      <c r="R5161"/>
      <c r="S5161"/>
      <c r="T5161"/>
      <c r="U5161"/>
    </row>
    <row r="5162" spans="1:21" hidden="1">
      <c r="A5162" s="7" t="s">
        <v>8741</v>
      </c>
      <c r="B5162" s="7" t="s">
        <v>6723</v>
      </c>
      <c r="C5162" s="8" t="s">
        <v>5319</v>
      </c>
      <c r="D5162" t="s">
        <v>272</v>
      </c>
      <c r="E5162" t="s">
        <v>320</v>
      </c>
      <c r="F5162" t="s">
        <v>231</v>
      </c>
      <c r="G5162" t="s">
        <v>2593</v>
      </c>
      <c r="H5162" s="9">
        <v>44733</v>
      </c>
      <c r="I5162" t="s">
        <v>322</v>
      </c>
      <c r="J5162" t="s">
        <v>2</v>
      </c>
      <c r="K5162" s="9">
        <v>44834</v>
      </c>
      <c r="L5162" t="s">
        <v>29</v>
      </c>
      <c r="M5162" t="s">
        <v>5331</v>
      </c>
      <c r="N5162" s="9">
        <v>44778</v>
      </c>
      <c r="O5162" s="9">
        <v>44834</v>
      </c>
      <c r="P5162"/>
      <c r="Q5162"/>
      <c r="R5162"/>
      <c r="S5162"/>
      <c r="T5162"/>
      <c r="U5162"/>
    </row>
    <row r="5163" spans="1:21" hidden="1">
      <c r="A5163" s="7" t="s">
        <v>8741</v>
      </c>
      <c r="B5163" s="7" t="s">
        <v>6723</v>
      </c>
      <c r="C5163" s="8" t="s">
        <v>5319</v>
      </c>
      <c r="D5163" t="s">
        <v>272</v>
      </c>
      <c r="E5163" t="s">
        <v>320</v>
      </c>
      <c r="F5163" t="s">
        <v>231</v>
      </c>
      <c r="G5163" t="s">
        <v>2594</v>
      </c>
      <c r="H5163" s="9">
        <v>44733</v>
      </c>
      <c r="I5163" t="s">
        <v>322</v>
      </c>
      <c r="J5163" t="s">
        <v>2</v>
      </c>
      <c r="K5163" s="9">
        <v>44834</v>
      </c>
      <c r="L5163" t="s">
        <v>29</v>
      </c>
      <c r="M5163" t="s">
        <v>5331</v>
      </c>
      <c r="N5163" s="9">
        <v>44778</v>
      </c>
      <c r="O5163" s="9">
        <v>44834</v>
      </c>
      <c r="P5163"/>
      <c r="Q5163"/>
      <c r="R5163"/>
      <c r="S5163"/>
      <c r="T5163"/>
      <c r="U5163"/>
    </row>
    <row r="5164" spans="1:21" hidden="1">
      <c r="A5164" s="7" t="s">
        <v>8741</v>
      </c>
      <c r="B5164" s="7" t="s">
        <v>6723</v>
      </c>
      <c r="C5164" s="8" t="s">
        <v>5319</v>
      </c>
      <c r="D5164" t="s">
        <v>272</v>
      </c>
      <c r="E5164" t="s">
        <v>320</v>
      </c>
      <c r="F5164" t="s">
        <v>231</v>
      </c>
      <c r="G5164" t="s">
        <v>2595</v>
      </c>
      <c r="H5164" s="9">
        <v>44733</v>
      </c>
      <c r="I5164" t="s">
        <v>322</v>
      </c>
      <c r="J5164" t="s">
        <v>2</v>
      </c>
      <c r="K5164" s="9">
        <v>44834</v>
      </c>
      <c r="L5164" t="s">
        <v>29</v>
      </c>
      <c r="M5164" t="s">
        <v>5331</v>
      </c>
      <c r="N5164" s="9">
        <v>44778</v>
      </c>
      <c r="O5164" s="9">
        <v>44834</v>
      </c>
      <c r="P5164"/>
      <c r="Q5164"/>
      <c r="R5164"/>
      <c r="S5164"/>
      <c r="T5164"/>
      <c r="U5164"/>
    </row>
    <row r="5165" spans="1:21" hidden="1">
      <c r="A5165" s="7" t="s">
        <v>8741</v>
      </c>
      <c r="B5165" s="7" t="s">
        <v>6723</v>
      </c>
      <c r="C5165" s="8" t="s">
        <v>5319</v>
      </c>
      <c r="D5165" t="s">
        <v>272</v>
      </c>
      <c r="E5165" t="s">
        <v>320</v>
      </c>
      <c r="F5165" t="s">
        <v>231</v>
      </c>
      <c r="G5165" t="s">
        <v>2596</v>
      </c>
      <c r="H5165" s="9">
        <v>44733</v>
      </c>
      <c r="I5165" t="s">
        <v>322</v>
      </c>
      <c r="J5165" t="s">
        <v>2</v>
      </c>
      <c r="K5165" s="9">
        <v>44834</v>
      </c>
      <c r="L5165" t="s">
        <v>29</v>
      </c>
      <c r="M5165" t="s">
        <v>5331</v>
      </c>
      <c r="N5165" s="9">
        <v>44778</v>
      </c>
      <c r="O5165" s="9">
        <v>44834</v>
      </c>
      <c r="P5165"/>
      <c r="Q5165"/>
      <c r="R5165"/>
      <c r="S5165"/>
      <c r="T5165"/>
      <c r="U5165"/>
    </row>
    <row r="5166" spans="1:21" hidden="1">
      <c r="A5166" s="7" t="s">
        <v>8741</v>
      </c>
      <c r="B5166" s="7" t="s">
        <v>6723</v>
      </c>
      <c r="C5166" s="8" t="s">
        <v>5319</v>
      </c>
      <c r="D5166" t="s">
        <v>272</v>
      </c>
      <c r="E5166" t="s">
        <v>320</v>
      </c>
      <c r="F5166" t="s">
        <v>231</v>
      </c>
      <c r="G5166" t="s">
        <v>2597</v>
      </c>
      <c r="H5166" s="9">
        <v>44733</v>
      </c>
      <c r="I5166" t="s">
        <v>322</v>
      </c>
      <c r="J5166" t="s">
        <v>2</v>
      </c>
      <c r="K5166" s="9">
        <v>44834</v>
      </c>
      <c r="L5166" t="s">
        <v>29</v>
      </c>
      <c r="M5166" t="s">
        <v>5331</v>
      </c>
      <c r="N5166" s="9">
        <v>44778</v>
      </c>
      <c r="O5166" s="9">
        <v>44834</v>
      </c>
      <c r="P5166"/>
      <c r="Q5166"/>
      <c r="R5166"/>
      <c r="S5166"/>
      <c r="T5166"/>
      <c r="U5166"/>
    </row>
    <row r="5167" spans="1:21" hidden="1">
      <c r="A5167" s="7" t="s">
        <v>8741</v>
      </c>
      <c r="B5167" s="7" t="s">
        <v>6723</v>
      </c>
      <c r="C5167" s="8" t="s">
        <v>5319</v>
      </c>
      <c r="D5167" t="s">
        <v>272</v>
      </c>
      <c r="E5167" t="s">
        <v>320</v>
      </c>
      <c r="F5167" t="s">
        <v>231</v>
      </c>
      <c r="G5167" t="s">
        <v>2598</v>
      </c>
      <c r="H5167" s="9">
        <v>44733</v>
      </c>
      <c r="I5167" t="s">
        <v>322</v>
      </c>
      <c r="J5167" t="s">
        <v>2</v>
      </c>
      <c r="K5167" s="9">
        <v>44834</v>
      </c>
      <c r="L5167" t="s">
        <v>29</v>
      </c>
      <c r="M5167" t="s">
        <v>5331</v>
      </c>
      <c r="N5167" s="9">
        <v>44778</v>
      </c>
      <c r="O5167" s="9">
        <v>44834</v>
      </c>
      <c r="P5167"/>
      <c r="Q5167"/>
      <c r="R5167"/>
      <c r="S5167"/>
      <c r="T5167"/>
      <c r="U5167"/>
    </row>
    <row r="5168" spans="1:21" hidden="1">
      <c r="A5168" s="7" t="s">
        <v>8741</v>
      </c>
      <c r="B5168" s="7" t="s">
        <v>6723</v>
      </c>
      <c r="C5168" s="8" t="s">
        <v>5319</v>
      </c>
      <c r="D5168" t="s">
        <v>272</v>
      </c>
      <c r="E5168" t="s">
        <v>320</v>
      </c>
      <c r="F5168" t="s">
        <v>231</v>
      </c>
      <c r="G5168" t="s">
        <v>2599</v>
      </c>
      <c r="H5168" s="9">
        <v>44733</v>
      </c>
      <c r="I5168" t="s">
        <v>322</v>
      </c>
      <c r="J5168" t="s">
        <v>2</v>
      </c>
      <c r="K5168" s="9">
        <v>44834</v>
      </c>
      <c r="L5168" t="s">
        <v>29</v>
      </c>
      <c r="M5168" t="s">
        <v>5331</v>
      </c>
      <c r="N5168" s="9">
        <v>44778</v>
      </c>
      <c r="O5168" s="9">
        <v>44834</v>
      </c>
      <c r="P5168"/>
      <c r="Q5168"/>
      <c r="R5168"/>
      <c r="S5168"/>
      <c r="T5168"/>
      <c r="U5168"/>
    </row>
    <row r="5169" spans="1:21" hidden="1">
      <c r="A5169" s="7" t="s">
        <v>8741</v>
      </c>
      <c r="B5169" s="7" t="s">
        <v>6723</v>
      </c>
      <c r="C5169" s="8" t="s">
        <v>5319</v>
      </c>
      <c r="D5169" t="s">
        <v>272</v>
      </c>
      <c r="E5169" t="s">
        <v>320</v>
      </c>
      <c r="F5169" t="s">
        <v>231</v>
      </c>
      <c r="G5169" t="s">
        <v>2600</v>
      </c>
      <c r="H5169" s="9">
        <v>44733</v>
      </c>
      <c r="I5169" t="s">
        <v>322</v>
      </c>
      <c r="J5169" t="s">
        <v>2</v>
      </c>
      <c r="K5169" s="9">
        <v>44834</v>
      </c>
      <c r="L5169" t="s">
        <v>29</v>
      </c>
      <c r="M5169" t="s">
        <v>5331</v>
      </c>
      <c r="N5169" s="9">
        <v>44778</v>
      </c>
      <c r="O5169" s="9">
        <v>44834</v>
      </c>
      <c r="P5169"/>
      <c r="Q5169"/>
      <c r="R5169"/>
      <c r="S5169"/>
      <c r="T5169"/>
      <c r="U5169"/>
    </row>
    <row r="5170" spans="1:21" hidden="1">
      <c r="A5170" s="7" t="s">
        <v>8841</v>
      </c>
      <c r="B5170" s="7" t="s">
        <v>7703</v>
      </c>
      <c r="C5170" s="8" t="s">
        <v>5319</v>
      </c>
      <c r="D5170" t="s">
        <v>272</v>
      </c>
      <c r="E5170" t="s">
        <v>2095</v>
      </c>
      <c r="F5170" t="s">
        <v>117</v>
      </c>
      <c r="G5170" t="s">
        <v>2601</v>
      </c>
      <c r="H5170" s="9">
        <v>44733</v>
      </c>
      <c r="I5170" t="s">
        <v>509</v>
      </c>
      <c r="J5170" t="s">
        <v>276</v>
      </c>
      <c r="K5170" s="9">
        <v>44883.786504629599</v>
      </c>
      <c r="L5170" t="s">
        <v>29</v>
      </c>
      <c r="M5170" t="s">
        <v>5331</v>
      </c>
      <c r="N5170" s="9">
        <v>44778</v>
      </c>
      <c r="O5170" s="9">
        <v>44834</v>
      </c>
      <c r="P5170"/>
      <c r="Q5170"/>
      <c r="R5170" s="9">
        <v>44883.785590277803</v>
      </c>
      <c r="S5170"/>
      <c r="T5170"/>
      <c r="U5170"/>
    </row>
    <row r="5171" spans="1:21" hidden="1">
      <c r="A5171" s="7" t="s">
        <v>8759</v>
      </c>
      <c r="B5171" s="7" t="s">
        <v>7777</v>
      </c>
      <c r="C5171" s="8" t="s">
        <v>5319</v>
      </c>
      <c r="D5171" t="s">
        <v>272</v>
      </c>
      <c r="E5171" t="s">
        <v>507</v>
      </c>
      <c r="F5171" t="s">
        <v>117</v>
      </c>
      <c r="G5171" t="s">
        <v>2602</v>
      </c>
      <c r="H5171" s="9">
        <v>44733</v>
      </c>
      <c r="I5171" t="s">
        <v>509</v>
      </c>
      <c r="J5171" t="s">
        <v>2</v>
      </c>
      <c r="K5171" s="9">
        <v>44834</v>
      </c>
      <c r="L5171" t="s">
        <v>29</v>
      </c>
      <c r="M5171" t="s">
        <v>5331</v>
      </c>
      <c r="N5171" s="9">
        <v>44778</v>
      </c>
      <c r="O5171" s="9">
        <v>44834</v>
      </c>
      <c r="P5171"/>
      <c r="Q5171"/>
      <c r="R5171"/>
      <c r="S5171"/>
      <c r="T5171"/>
      <c r="U5171"/>
    </row>
    <row r="5172" spans="1:21" hidden="1">
      <c r="A5172" s="7" t="s">
        <v>8712</v>
      </c>
      <c r="B5172" s="7" t="s">
        <v>5405</v>
      </c>
      <c r="C5172" s="8" t="s">
        <v>5319</v>
      </c>
      <c r="D5172" t="s">
        <v>272</v>
      </c>
      <c r="E5172" t="s">
        <v>25</v>
      </c>
      <c r="F5172" t="s">
        <v>26</v>
      </c>
      <c r="G5172" t="s">
        <v>2603</v>
      </c>
      <c r="H5172" s="9">
        <v>44733</v>
      </c>
      <c r="I5172" t="s">
        <v>8634</v>
      </c>
      <c r="J5172" t="s">
        <v>0</v>
      </c>
      <c r="K5172" s="9">
        <v>44882</v>
      </c>
      <c r="L5172" t="s">
        <v>29</v>
      </c>
      <c r="M5172"/>
      <c r="N5172" s="9">
        <v>44778</v>
      </c>
      <c r="O5172"/>
      <c r="P5172"/>
      <c r="Q5172" s="9">
        <v>44882</v>
      </c>
      <c r="R5172"/>
      <c r="S5172"/>
      <c r="T5172"/>
      <c r="U5172"/>
    </row>
    <row r="5173" spans="1:21" hidden="1">
      <c r="A5173" s="7" t="s">
        <v>8728</v>
      </c>
      <c r="B5173" s="7" t="s">
        <v>5405</v>
      </c>
      <c r="C5173" s="8" t="s">
        <v>5319</v>
      </c>
      <c r="D5173" t="s">
        <v>272</v>
      </c>
      <c r="E5173" t="s">
        <v>25</v>
      </c>
      <c r="F5173" t="s">
        <v>200</v>
      </c>
      <c r="G5173" t="s">
        <v>2604</v>
      </c>
      <c r="H5173" s="9">
        <v>44733</v>
      </c>
      <c r="I5173" t="s">
        <v>8634</v>
      </c>
      <c r="J5173" t="s">
        <v>0</v>
      </c>
      <c r="K5173" s="9">
        <v>44862</v>
      </c>
      <c r="L5173" t="s">
        <v>29</v>
      </c>
      <c r="M5173"/>
      <c r="N5173" s="9">
        <v>44778</v>
      </c>
      <c r="O5173"/>
      <c r="P5173"/>
      <c r="Q5173" s="9">
        <v>44862</v>
      </c>
      <c r="R5173"/>
      <c r="S5173"/>
      <c r="T5173"/>
      <c r="U5173"/>
    </row>
    <row r="5174" spans="1:21" hidden="1">
      <c r="A5174" s="7" t="s">
        <v>8876</v>
      </c>
      <c r="B5174" s="7" t="s">
        <v>7184</v>
      </c>
      <c r="C5174" s="8" t="s">
        <v>5319</v>
      </c>
      <c r="D5174" t="s">
        <v>272</v>
      </c>
      <c r="E5174" t="s">
        <v>2605</v>
      </c>
      <c r="F5174" t="s">
        <v>209</v>
      </c>
      <c r="G5174" t="s">
        <v>2606</v>
      </c>
      <c r="H5174" s="9">
        <v>44733</v>
      </c>
      <c r="I5174" t="s">
        <v>758</v>
      </c>
      <c r="J5174" t="s">
        <v>0</v>
      </c>
      <c r="K5174" s="9">
        <v>44743</v>
      </c>
      <c r="L5174" t="s">
        <v>29</v>
      </c>
      <c r="M5174"/>
      <c r="N5174"/>
      <c r="O5174"/>
      <c r="P5174"/>
      <c r="Q5174" s="9">
        <v>44743</v>
      </c>
      <c r="R5174"/>
      <c r="S5174"/>
      <c r="T5174"/>
      <c r="U5174"/>
    </row>
    <row r="5175" spans="1:21" hidden="1">
      <c r="A5175" s="7" t="s">
        <v>8876</v>
      </c>
      <c r="B5175" s="7" t="s">
        <v>7184</v>
      </c>
      <c r="C5175" s="8" t="s">
        <v>5319</v>
      </c>
      <c r="D5175" t="s">
        <v>272</v>
      </c>
      <c r="E5175" t="s">
        <v>2605</v>
      </c>
      <c r="F5175" t="s">
        <v>209</v>
      </c>
      <c r="G5175" t="s">
        <v>2607</v>
      </c>
      <c r="H5175" s="9">
        <v>44733</v>
      </c>
      <c r="I5175" t="s">
        <v>758</v>
      </c>
      <c r="J5175" t="s">
        <v>0</v>
      </c>
      <c r="K5175" s="9">
        <v>44743</v>
      </c>
      <c r="L5175" t="s">
        <v>29</v>
      </c>
      <c r="M5175"/>
      <c r="N5175"/>
      <c r="O5175"/>
      <c r="P5175"/>
      <c r="Q5175" s="9">
        <v>44743</v>
      </c>
      <c r="R5175"/>
      <c r="S5175"/>
      <c r="T5175"/>
      <c r="U5175"/>
    </row>
    <row r="5176" spans="1:21" hidden="1">
      <c r="A5176" s="7" t="s">
        <v>8876</v>
      </c>
      <c r="B5176" s="7" t="s">
        <v>7184</v>
      </c>
      <c r="C5176" s="8" t="s">
        <v>5319</v>
      </c>
      <c r="D5176" t="s">
        <v>272</v>
      </c>
      <c r="E5176" t="s">
        <v>2605</v>
      </c>
      <c r="F5176" t="s">
        <v>209</v>
      </c>
      <c r="G5176" t="s">
        <v>2608</v>
      </c>
      <c r="H5176" s="9">
        <v>44733</v>
      </c>
      <c r="I5176" t="s">
        <v>758</v>
      </c>
      <c r="J5176" t="s">
        <v>0</v>
      </c>
      <c r="K5176" s="9">
        <v>44743</v>
      </c>
      <c r="L5176" t="s">
        <v>29</v>
      </c>
      <c r="M5176"/>
      <c r="N5176"/>
      <c r="O5176"/>
      <c r="P5176"/>
      <c r="Q5176" s="9">
        <v>44743</v>
      </c>
      <c r="R5176"/>
      <c r="S5176"/>
      <c r="T5176"/>
      <c r="U5176"/>
    </row>
    <row r="5177" spans="1:21" hidden="1">
      <c r="A5177" s="7" t="s">
        <v>8877</v>
      </c>
      <c r="B5177" s="7" t="s">
        <v>8360</v>
      </c>
      <c r="C5177" s="8" t="s">
        <v>5319</v>
      </c>
      <c r="D5177" t="s">
        <v>272</v>
      </c>
      <c r="E5177" t="s">
        <v>2609</v>
      </c>
      <c r="F5177" t="s">
        <v>117</v>
      </c>
      <c r="G5177" t="s">
        <v>2610</v>
      </c>
      <c r="H5177" s="9">
        <v>44733</v>
      </c>
      <c r="I5177" t="s">
        <v>322</v>
      </c>
      <c r="J5177" t="s">
        <v>2</v>
      </c>
      <c r="K5177" s="9">
        <v>44834</v>
      </c>
      <c r="L5177" t="s">
        <v>29</v>
      </c>
      <c r="M5177" t="s">
        <v>5331</v>
      </c>
      <c r="N5177" s="9">
        <v>44778</v>
      </c>
      <c r="O5177" s="9">
        <v>44834</v>
      </c>
      <c r="P5177"/>
      <c r="Q5177"/>
      <c r="R5177"/>
      <c r="S5177"/>
      <c r="T5177"/>
      <c r="U5177"/>
    </row>
    <row r="5178" spans="1:21" hidden="1">
      <c r="A5178" s="7" t="s">
        <v>8878</v>
      </c>
      <c r="B5178" s="7" t="s">
        <v>7298</v>
      </c>
      <c r="C5178" s="8" t="s">
        <v>5319</v>
      </c>
      <c r="D5178" t="s">
        <v>272</v>
      </c>
      <c r="E5178" t="s">
        <v>2611</v>
      </c>
      <c r="F5178" t="s">
        <v>117</v>
      </c>
      <c r="G5178" t="s">
        <v>2612</v>
      </c>
      <c r="H5178" s="9">
        <v>44733</v>
      </c>
      <c r="I5178" t="s">
        <v>85</v>
      </c>
      <c r="J5178" t="s">
        <v>0</v>
      </c>
      <c r="K5178" s="9">
        <v>44810</v>
      </c>
      <c r="L5178" t="s">
        <v>29</v>
      </c>
      <c r="M5178"/>
      <c r="N5178" s="9">
        <v>44778</v>
      </c>
      <c r="O5178"/>
      <c r="P5178"/>
      <c r="Q5178" s="9">
        <v>44810</v>
      </c>
      <c r="R5178" s="9">
        <v>44789.589328703703</v>
      </c>
      <c r="S5178"/>
      <c r="T5178"/>
      <c r="U5178"/>
    </row>
    <row r="5179" spans="1:21" hidden="1">
      <c r="A5179" s="7" t="s">
        <v>8878</v>
      </c>
      <c r="B5179" s="7" t="s">
        <v>7298</v>
      </c>
      <c r="C5179" s="8" t="s">
        <v>5319</v>
      </c>
      <c r="D5179" t="s">
        <v>272</v>
      </c>
      <c r="E5179" t="s">
        <v>2611</v>
      </c>
      <c r="F5179" t="s">
        <v>117</v>
      </c>
      <c r="G5179" t="s">
        <v>2613</v>
      </c>
      <c r="H5179" s="9">
        <v>44733</v>
      </c>
      <c r="I5179" t="s">
        <v>85</v>
      </c>
      <c r="J5179" t="s">
        <v>0</v>
      </c>
      <c r="K5179" s="9">
        <v>44810</v>
      </c>
      <c r="L5179" t="s">
        <v>29</v>
      </c>
      <c r="M5179"/>
      <c r="N5179" s="9">
        <v>44778</v>
      </c>
      <c r="O5179"/>
      <c r="P5179"/>
      <c r="Q5179" s="9">
        <v>44810</v>
      </c>
      <c r="R5179"/>
      <c r="S5179"/>
      <c r="T5179"/>
      <c r="U5179"/>
    </row>
    <row r="5180" spans="1:21" hidden="1">
      <c r="A5180" s="7" t="s">
        <v>8832</v>
      </c>
      <c r="B5180" s="7" t="s">
        <v>8356</v>
      </c>
      <c r="C5180" s="8" t="s">
        <v>5319</v>
      </c>
      <c r="D5180" t="s">
        <v>272</v>
      </c>
      <c r="E5180" t="s">
        <v>1780</v>
      </c>
      <c r="F5180" t="s">
        <v>117</v>
      </c>
      <c r="G5180" t="s">
        <v>1782</v>
      </c>
      <c r="H5180" s="9">
        <v>44733</v>
      </c>
      <c r="I5180" t="s">
        <v>330</v>
      </c>
      <c r="J5180" t="s">
        <v>2</v>
      </c>
      <c r="K5180" s="9">
        <v>44834</v>
      </c>
      <c r="L5180" t="s">
        <v>29</v>
      </c>
      <c r="M5180" t="s">
        <v>5331</v>
      </c>
      <c r="N5180" s="9">
        <v>44778</v>
      </c>
      <c r="O5180" s="9">
        <v>44834</v>
      </c>
      <c r="P5180"/>
      <c r="Q5180" s="9">
        <v>44882</v>
      </c>
      <c r="R5180"/>
      <c r="S5180"/>
      <c r="T5180"/>
      <c r="U5180"/>
    </row>
    <row r="5181" spans="1:21" hidden="1">
      <c r="A5181" s="7" t="s">
        <v>8832</v>
      </c>
      <c r="B5181" s="7" t="s">
        <v>8356</v>
      </c>
      <c r="C5181" s="8" t="s">
        <v>5319</v>
      </c>
      <c r="D5181" t="s">
        <v>272</v>
      </c>
      <c r="E5181" t="s">
        <v>1780</v>
      </c>
      <c r="F5181" t="s">
        <v>117</v>
      </c>
      <c r="G5181" t="s">
        <v>2614</v>
      </c>
      <c r="H5181" s="9">
        <v>44733</v>
      </c>
      <c r="I5181" t="s">
        <v>330</v>
      </c>
      <c r="J5181" t="s">
        <v>2</v>
      </c>
      <c r="K5181" s="9">
        <v>44834</v>
      </c>
      <c r="L5181" t="s">
        <v>29</v>
      </c>
      <c r="M5181" t="s">
        <v>5331</v>
      </c>
      <c r="N5181" s="9">
        <v>44778</v>
      </c>
      <c r="O5181" s="9">
        <v>44834</v>
      </c>
      <c r="P5181"/>
      <c r="Q5181" s="9">
        <v>44882</v>
      </c>
      <c r="R5181"/>
      <c r="S5181"/>
      <c r="T5181"/>
      <c r="U5181"/>
    </row>
    <row r="5182" spans="1:21" hidden="1">
      <c r="A5182" s="7" t="s">
        <v>8832</v>
      </c>
      <c r="B5182" s="7" t="s">
        <v>8356</v>
      </c>
      <c r="C5182" s="8" t="s">
        <v>5319</v>
      </c>
      <c r="D5182" t="s">
        <v>272</v>
      </c>
      <c r="E5182" t="s">
        <v>1780</v>
      </c>
      <c r="F5182" t="s">
        <v>117</v>
      </c>
      <c r="G5182" t="s">
        <v>1786</v>
      </c>
      <c r="H5182" s="9">
        <v>44733</v>
      </c>
      <c r="I5182" t="s">
        <v>330</v>
      </c>
      <c r="J5182" t="s">
        <v>2</v>
      </c>
      <c r="K5182" s="9">
        <v>44834</v>
      </c>
      <c r="L5182" t="s">
        <v>29</v>
      </c>
      <c r="M5182" t="s">
        <v>5331</v>
      </c>
      <c r="N5182" s="9">
        <v>44778</v>
      </c>
      <c r="O5182" s="9">
        <v>44834</v>
      </c>
      <c r="P5182"/>
      <c r="Q5182" s="9">
        <v>44882</v>
      </c>
      <c r="R5182"/>
      <c r="S5182"/>
      <c r="T5182"/>
      <c r="U5182"/>
    </row>
    <row r="5183" spans="1:21" hidden="1">
      <c r="A5183" s="7" t="s">
        <v>8832</v>
      </c>
      <c r="B5183" s="7" t="s">
        <v>8356</v>
      </c>
      <c r="C5183" s="8" t="s">
        <v>5319</v>
      </c>
      <c r="D5183" t="s">
        <v>272</v>
      </c>
      <c r="E5183" t="s">
        <v>1780</v>
      </c>
      <c r="F5183" t="s">
        <v>117</v>
      </c>
      <c r="G5183" t="s">
        <v>1787</v>
      </c>
      <c r="H5183" s="9">
        <v>44733</v>
      </c>
      <c r="I5183" t="s">
        <v>330</v>
      </c>
      <c r="J5183" t="s">
        <v>2</v>
      </c>
      <c r="K5183" s="9">
        <v>44834</v>
      </c>
      <c r="L5183" t="s">
        <v>29</v>
      </c>
      <c r="M5183" t="s">
        <v>5331</v>
      </c>
      <c r="N5183" s="9">
        <v>44778</v>
      </c>
      <c r="O5183" s="9">
        <v>44834</v>
      </c>
      <c r="P5183"/>
      <c r="Q5183" s="9">
        <v>44882</v>
      </c>
      <c r="R5183"/>
      <c r="S5183"/>
      <c r="T5183"/>
      <c r="U5183"/>
    </row>
    <row r="5184" spans="1:21" hidden="1">
      <c r="A5184" s="7" t="s">
        <v>8832</v>
      </c>
      <c r="B5184" s="7" t="s">
        <v>8356</v>
      </c>
      <c r="C5184" s="8" t="s">
        <v>5319</v>
      </c>
      <c r="D5184" t="s">
        <v>272</v>
      </c>
      <c r="E5184" t="s">
        <v>1780</v>
      </c>
      <c r="F5184" t="s">
        <v>117</v>
      </c>
      <c r="G5184" t="s">
        <v>1788</v>
      </c>
      <c r="H5184" s="9">
        <v>44733</v>
      </c>
      <c r="I5184" t="s">
        <v>330</v>
      </c>
      <c r="J5184" t="s">
        <v>2</v>
      </c>
      <c r="K5184" s="9">
        <v>44834</v>
      </c>
      <c r="L5184" t="s">
        <v>29</v>
      </c>
      <c r="M5184" t="s">
        <v>5331</v>
      </c>
      <c r="N5184" s="9">
        <v>44778</v>
      </c>
      <c r="O5184" s="9">
        <v>44834</v>
      </c>
      <c r="P5184"/>
      <c r="Q5184" s="9">
        <v>44882</v>
      </c>
      <c r="R5184"/>
      <c r="S5184"/>
      <c r="T5184"/>
      <c r="U5184"/>
    </row>
    <row r="5185" spans="1:21" hidden="1">
      <c r="A5185" s="7" t="s">
        <v>8832</v>
      </c>
      <c r="B5185" s="7" t="s">
        <v>8356</v>
      </c>
      <c r="C5185" s="8" t="s">
        <v>5319</v>
      </c>
      <c r="D5185" t="s">
        <v>272</v>
      </c>
      <c r="E5185" t="s">
        <v>1780</v>
      </c>
      <c r="F5185" t="s">
        <v>117</v>
      </c>
      <c r="G5185" t="s">
        <v>1789</v>
      </c>
      <c r="H5185" s="9">
        <v>44733</v>
      </c>
      <c r="I5185" t="s">
        <v>330</v>
      </c>
      <c r="J5185" t="s">
        <v>2</v>
      </c>
      <c r="K5185" s="9">
        <v>44834</v>
      </c>
      <c r="L5185" t="s">
        <v>29</v>
      </c>
      <c r="M5185" t="s">
        <v>5331</v>
      </c>
      <c r="N5185" s="9">
        <v>44778</v>
      </c>
      <c r="O5185" s="9">
        <v>44834</v>
      </c>
      <c r="P5185"/>
      <c r="Q5185" s="9">
        <v>44882</v>
      </c>
      <c r="R5185"/>
      <c r="S5185"/>
      <c r="T5185"/>
      <c r="U5185"/>
    </row>
    <row r="5186" spans="1:21" hidden="1">
      <c r="A5186" s="7" t="s">
        <v>8765</v>
      </c>
      <c r="B5186" s="7" t="s">
        <v>5405</v>
      </c>
      <c r="C5186" s="8" t="s">
        <v>5319</v>
      </c>
      <c r="D5186" t="s">
        <v>272</v>
      </c>
      <c r="E5186" t="s">
        <v>25</v>
      </c>
      <c r="F5186" t="s">
        <v>231</v>
      </c>
      <c r="G5186" t="s">
        <v>2615</v>
      </c>
      <c r="H5186" s="9">
        <v>44733</v>
      </c>
      <c r="I5186" t="s">
        <v>8634</v>
      </c>
      <c r="J5186" t="s">
        <v>2</v>
      </c>
      <c r="K5186" s="9">
        <v>44862</v>
      </c>
      <c r="L5186" t="s">
        <v>29</v>
      </c>
      <c r="M5186" t="s">
        <v>5331</v>
      </c>
      <c r="N5186" s="9">
        <v>44778</v>
      </c>
      <c r="O5186"/>
      <c r="P5186"/>
      <c r="Q5186" s="9">
        <v>44862</v>
      </c>
      <c r="R5186"/>
      <c r="S5186"/>
      <c r="T5186"/>
      <c r="U5186"/>
    </row>
    <row r="5187" spans="1:21" hidden="1">
      <c r="A5187" s="7" t="s">
        <v>8765</v>
      </c>
      <c r="B5187" s="7" t="s">
        <v>5405</v>
      </c>
      <c r="C5187" s="8" t="s">
        <v>5319</v>
      </c>
      <c r="D5187" t="s">
        <v>272</v>
      </c>
      <c r="E5187" t="s">
        <v>25</v>
      </c>
      <c r="F5187" t="s">
        <v>231</v>
      </c>
      <c r="G5187" t="s">
        <v>2616</v>
      </c>
      <c r="H5187" s="9">
        <v>44733</v>
      </c>
      <c r="I5187" t="s">
        <v>8634</v>
      </c>
      <c r="J5187" t="s">
        <v>2</v>
      </c>
      <c r="K5187" s="9">
        <v>44862</v>
      </c>
      <c r="L5187" t="s">
        <v>29</v>
      </c>
      <c r="M5187" t="s">
        <v>5331</v>
      </c>
      <c r="N5187" s="9">
        <v>44778</v>
      </c>
      <c r="O5187"/>
      <c r="P5187"/>
      <c r="Q5187" s="9">
        <v>44862</v>
      </c>
      <c r="R5187"/>
      <c r="S5187"/>
      <c r="T5187"/>
      <c r="U5187"/>
    </row>
    <row r="5188" spans="1:21" hidden="1">
      <c r="A5188" s="7" t="s">
        <v>8840</v>
      </c>
      <c r="B5188" s="7" t="s">
        <v>7494</v>
      </c>
      <c r="C5188" s="8" t="s">
        <v>5319</v>
      </c>
      <c r="D5188" t="s">
        <v>272</v>
      </c>
      <c r="E5188" t="s">
        <v>1957</v>
      </c>
      <c r="F5188" t="s">
        <v>75</v>
      </c>
      <c r="G5188" t="s">
        <v>2617</v>
      </c>
      <c r="H5188" s="9">
        <v>44733</v>
      </c>
      <c r="I5188" t="s">
        <v>509</v>
      </c>
      <c r="J5188" t="s">
        <v>0</v>
      </c>
      <c r="K5188" s="9">
        <v>44844</v>
      </c>
      <c r="L5188" t="s">
        <v>29</v>
      </c>
      <c r="M5188"/>
      <c r="N5188" s="9">
        <v>44778</v>
      </c>
      <c r="O5188" s="9">
        <v>44834</v>
      </c>
      <c r="P5188"/>
      <c r="Q5188" s="9">
        <v>44844</v>
      </c>
      <c r="R5188"/>
      <c r="S5188"/>
      <c r="T5188"/>
      <c r="U5188"/>
    </row>
    <row r="5189" spans="1:21" hidden="1">
      <c r="A5189" s="7" t="s">
        <v>8840</v>
      </c>
      <c r="B5189" s="7" t="s">
        <v>7494</v>
      </c>
      <c r="C5189" s="8" t="s">
        <v>5319</v>
      </c>
      <c r="D5189" t="s">
        <v>272</v>
      </c>
      <c r="E5189" t="s">
        <v>1957</v>
      </c>
      <c r="F5189" t="s">
        <v>75</v>
      </c>
      <c r="G5189" t="s">
        <v>2618</v>
      </c>
      <c r="H5189" s="9">
        <v>44733</v>
      </c>
      <c r="I5189" t="s">
        <v>509</v>
      </c>
      <c r="J5189" t="s">
        <v>0</v>
      </c>
      <c r="K5189" s="9">
        <v>44844</v>
      </c>
      <c r="L5189" t="s">
        <v>29</v>
      </c>
      <c r="M5189"/>
      <c r="N5189" s="9">
        <v>44778</v>
      </c>
      <c r="O5189" s="9">
        <v>44834</v>
      </c>
      <c r="P5189"/>
      <c r="Q5189" s="9">
        <v>44844</v>
      </c>
      <c r="R5189"/>
      <c r="S5189"/>
      <c r="T5189"/>
      <c r="U5189"/>
    </row>
    <row r="5190" spans="1:21" hidden="1">
      <c r="A5190" s="7" t="s">
        <v>8840</v>
      </c>
      <c r="B5190" s="7" t="s">
        <v>7494</v>
      </c>
      <c r="C5190" s="8" t="s">
        <v>5319</v>
      </c>
      <c r="D5190" t="s">
        <v>272</v>
      </c>
      <c r="E5190" t="s">
        <v>1957</v>
      </c>
      <c r="F5190" t="s">
        <v>75</v>
      </c>
      <c r="G5190" t="s">
        <v>2619</v>
      </c>
      <c r="H5190" s="9">
        <v>44733</v>
      </c>
      <c r="I5190" t="s">
        <v>509</v>
      </c>
      <c r="J5190" t="s">
        <v>0</v>
      </c>
      <c r="K5190" s="9">
        <v>44844</v>
      </c>
      <c r="L5190" t="s">
        <v>29</v>
      </c>
      <c r="M5190"/>
      <c r="N5190" s="9">
        <v>44778</v>
      </c>
      <c r="O5190" s="9">
        <v>44834</v>
      </c>
      <c r="P5190"/>
      <c r="Q5190" s="9">
        <v>44844</v>
      </c>
      <c r="R5190"/>
      <c r="S5190"/>
      <c r="T5190"/>
      <c r="U5190"/>
    </row>
    <row r="5191" spans="1:21" hidden="1">
      <c r="A5191" s="7" t="s">
        <v>8840</v>
      </c>
      <c r="B5191" s="7" t="s">
        <v>7494</v>
      </c>
      <c r="C5191" s="8" t="s">
        <v>5319</v>
      </c>
      <c r="D5191" t="s">
        <v>272</v>
      </c>
      <c r="E5191" t="s">
        <v>1957</v>
      </c>
      <c r="F5191" t="s">
        <v>75</v>
      </c>
      <c r="G5191" t="s">
        <v>2620</v>
      </c>
      <c r="H5191" s="9">
        <v>44733</v>
      </c>
      <c r="I5191" t="s">
        <v>509</v>
      </c>
      <c r="J5191" t="s">
        <v>0</v>
      </c>
      <c r="K5191" s="9">
        <v>44844</v>
      </c>
      <c r="L5191" t="s">
        <v>29</v>
      </c>
      <c r="M5191"/>
      <c r="N5191" s="9">
        <v>44778</v>
      </c>
      <c r="O5191" s="9">
        <v>44834</v>
      </c>
      <c r="P5191"/>
      <c r="Q5191" s="9">
        <v>44844</v>
      </c>
      <c r="R5191"/>
      <c r="S5191"/>
      <c r="T5191"/>
      <c r="U5191"/>
    </row>
    <row r="5192" spans="1:21" hidden="1">
      <c r="A5192" s="7" t="s">
        <v>8758</v>
      </c>
      <c r="B5192" s="7" t="s">
        <v>5405</v>
      </c>
      <c r="C5192" s="8" t="s">
        <v>5319</v>
      </c>
      <c r="D5192" t="s">
        <v>272</v>
      </c>
      <c r="E5192" t="s">
        <v>25</v>
      </c>
      <c r="F5192" t="s">
        <v>493</v>
      </c>
      <c r="G5192" t="s">
        <v>796</v>
      </c>
      <c r="H5192" s="9">
        <v>44733</v>
      </c>
      <c r="I5192" t="s">
        <v>8634</v>
      </c>
      <c r="J5192" t="s">
        <v>0</v>
      </c>
      <c r="K5192" s="9">
        <v>44862</v>
      </c>
      <c r="L5192" t="s">
        <v>29</v>
      </c>
      <c r="M5192"/>
      <c r="N5192" s="9">
        <v>44778</v>
      </c>
      <c r="O5192"/>
      <c r="P5192"/>
      <c r="Q5192" s="9">
        <v>44862</v>
      </c>
      <c r="R5192"/>
      <c r="S5192"/>
      <c r="T5192"/>
      <c r="U5192"/>
    </row>
    <row r="5193" spans="1:21" hidden="1">
      <c r="A5193" s="7" t="s">
        <v>8758</v>
      </c>
      <c r="B5193" s="7" t="s">
        <v>5405</v>
      </c>
      <c r="C5193" s="8" t="s">
        <v>5319</v>
      </c>
      <c r="D5193" t="s">
        <v>272</v>
      </c>
      <c r="E5193" t="s">
        <v>25</v>
      </c>
      <c r="F5193" t="s">
        <v>493</v>
      </c>
      <c r="G5193" t="s">
        <v>797</v>
      </c>
      <c r="H5193" s="9">
        <v>44733</v>
      </c>
      <c r="I5193" t="s">
        <v>8634</v>
      </c>
      <c r="J5193" t="s">
        <v>0</v>
      </c>
      <c r="K5193" s="9">
        <v>44862</v>
      </c>
      <c r="L5193" t="s">
        <v>29</v>
      </c>
      <c r="M5193"/>
      <c r="N5193" s="9">
        <v>44778</v>
      </c>
      <c r="O5193"/>
      <c r="P5193"/>
      <c r="Q5193" s="9">
        <v>44862</v>
      </c>
      <c r="R5193"/>
      <c r="S5193"/>
      <c r="T5193"/>
      <c r="U5193"/>
    </row>
    <row r="5194" spans="1:21" hidden="1">
      <c r="A5194" s="7" t="s">
        <v>8731</v>
      </c>
      <c r="B5194" s="7" t="s">
        <v>7478</v>
      </c>
      <c r="C5194" s="8" t="s">
        <v>5319</v>
      </c>
      <c r="D5194" t="s">
        <v>272</v>
      </c>
      <c r="E5194" t="s">
        <v>218</v>
      </c>
      <c r="F5194" t="s">
        <v>117</v>
      </c>
      <c r="G5194" t="s">
        <v>224</v>
      </c>
      <c r="H5194" s="9">
        <v>44735</v>
      </c>
      <c r="I5194" t="s">
        <v>2621</v>
      </c>
      <c r="J5194" t="s">
        <v>2</v>
      </c>
      <c r="K5194" s="9">
        <v>44834</v>
      </c>
      <c r="L5194" t="s">
        <v>29</v>
      </c>
      <c r="M5194" t="s">
        <v>5331</v>
      </c>
      <c r="N5194" s="9">
        <v>44778</v>
      </c>
      <c r="O5194" s="9">
        <v>44834</v>
      </c>
      <c r="P5194"/>
      <c r="Q5194"/>
      <c r="R5194"/>
      <c r="S5194"/>
      <c r="T5194"/>
      <c r="U5194"/>
    </row>
    <row r="5195" spans="1:21" hidden="1">
      <c r="A5195" s="7" t="s">
        <v>8879</v>
      </c>
      <c r="B5195" s="7" t="s">
        <v>6044</v>
      </c>
      <c r="C5195" s="8" t="s">
        <v>5319</v>
      </c>
      <c r="D5195" t="s">
        <v>272</v>
      </c>
      <c r="E5195" t="s">
        <v>2622</v>
      </c>
      <c r="F5195" t="s">
        <v>280</v>
      </c>
      <c r="G5195" t="s">
        <v>2623</v>
      </c>
      <c r="H5195" s="9">
        <v>44733</v>
      </c>
      <c r="I5195" t="s">
        <v>28</v>
      </c>
      <c r="J5195" t="s">
        <v>2</v>
      </c>
      <c r="K5195" s="9">
        <v>44834</v>
      </c>
      <c r="L5195" t="s">
        <v>29</v>
      </c>
      <c r="M5195" t="s">
        <v>5331</v>
      </c>
      <c r="N5195" s="9">
        <v>44778</v>
      </c>
      <c r="O5195" s="9">
        <v>44834</v>
      </c>
      <c r="P5195"/>
      <c r="Q5195"/>
      <c r="R5195"/>
      <c r="S5195"/>
      <c r="T5195"/>
      <c r="U5195"/>
    </row>
    <row r="5196" spans="1:21" hidden="1">
      <c r="A5196" s="7" t="s">
        <v>8879</v>
      </c>
      <c r="B5196" s="7" t="s">
        <v>6044</v>
      </c>
      <c r="C5196" s="8" t="s">
        <v>5319</v>
      </c>
      <c r="D5196" t="s">
        <v>272</v>
      </c>
      <c r="E5196" t="s">
        <v>2622</v>
      </c>
      <c r="F5196" t="s">
        <v>280</v>
      </c>
      <c r="G5196" t="s">
        <v>2624</v>
      </c>
      <c r="H5196" s="9">
        <v>44733</v>
      </c>
      <c r="I5196" t="s">
        <v>28</v>
      </c>
      <c r="J5196" t="s">
        <v>2</v>
      </c>
      <c r="K5196" s="9">
        <v>44834</v>
      </c>
      <c r="L5196" t="s">
        <v>29</v>
      </c>
      <c r="M5196" t="s">
        <v>5331</v>
      </c>
      <c r="N5196" s="9">
        <v>44778</v>
      </c>
      <c r="O5196" s="9">
        <v>44834</v>
      </c>
      <c r="P5196"/>
      <c r="Q5196"/>
      <c r="R5196"/>
      <c r="S5196"/>
      <c r="T5196"/>
      <c r="U5196"/>
    </row>
    <row r="5197" spans="1:21" hidden="1">
      <c r="A5197" s="7" t="s">
        <v>8879</v>
      </c>
      <c r="B5197" s="7" t="s">
        <v>6044</v>
      </c>
      <c r="C5197" s="8" t="s">
        <v>5319</v>
      </c>
      <c r="D5197" t="s">
        <v>272</v>
      </c>
      <c r="E5197" t="s">
        <v>2622</v>
      </c>
      <c r="F5197" t="s">
        <v>280</v>
      </c>
      <c r="G5197" t="s">
        <v>2625</v>
      </c>
      <c r="H5197" s="9">
        <v>44733</v>
      </c>
      <c r="I5197" t="s">
        <v>28</v>
      </c>
      <c r="J5197" t="s">
        <v>2</v>
      </c>
      <c r="K5197" s="9">
        <v>44834</v>
      </c>
      <c r="L5197" t="s">
        <v>29</v>
      </c>
      <c r="M5197" t="s">
        <v>5331</v>
      </c>
      <c r="N5197" s="9">
        <v>44778</v>
      </c>
      <c r="O5197" s="9">
        <v>44834</v>
      </c>
      <c r="P5197"/>
      <c r="Q5197"/>
      <c r="R5197"/>
      <c r="S5197"/>
      <c r="T5197"/>
      <c r="U5197"/>
    </row>
    <row r="5198" spans="1:21" hidden="1">
      <c r="A5198" s="7" t="s">
        <v>8879</v>
      </c>
      <c r="B5198" s="7" t="s">
        <v>6044</v>
      </c>
      <c r="C5198" s="8" t="s">
        <v>5319</v>
      </c>
      <c r="D5198" t="s">
        <v>272</v>
      </c>
      <c r="E5198" t="s">
        <v>2622</v>
      </c>
      <c r="F5198" t="s">
        <v>280</v>
      </c>
      <c r="G5198" t="s">
        <v>2626</v>
      </c>
      <c r="H5198" s="9">
        <v>44733</v>
      </c>
      <c r="I5198" t="s">
        <v>28</v>
      </c>
      <c r="J5198" t="s">
        <v>2</v>
      </c>
      <c r="K5198" s="9">
        <v>44834</v>
      </c>
      <c r="L5198" t="s">
        <v>29</v>
      </c>
      <c r="M5198" t="s">
        <v>5331</v>
      </c>
      <c r="N5198" s="9">
        <v>44778</v>
      </c>
      <c r="O5198" s="9">
        <v>44834</v>
      </c>
      <c r="P5198"/>
      <c r="Q5198"/>
      <c r="R5198"/>
      <c r="S5198"/>
      <c r="T5198"/>
      <c r="U5198"/>
    </row>
    <row r="5199" spans="1:21" hidden="1">
      <c r="A5199" s="7" t="s">
        <v>8879</v>
      </c>
      <c r="B5199" s="7" t="s">
        <v>6044</v>
      </c>
      <c r="C5199" s="8" t="s">
        <v>5319</v>
      </c>
      <c r="D5199" t="s">
        <v>272</v>
      </c>
      <c r="E5199" t="s">
        <v>2622</v>
      </c>
      <c r="F5199" t="s">
        <v>280</v>
      </c>
      <c r="G5199" t="s">
        <v>2627</v>
      </c>
      <c r="H5199" s="9">
        <v>44733</v>
      </c>
      <c r="I5199" t="s">
        <v>28</v>
      </c>
      <c r="J5199" t="s">
        <v>2</v>
      </c>
      <c r="K5199" s="9">
        <v>44834</v>
      </c>
      <c r="L5199" t="s">
        <v>29</v>
      </c>
      <c r="M5199" t="s">
        <v>5331</v>
      </c>
      <c r="N5199" s="9">
        <v>44778</v>
      </c>
      <c r="O5199" s="9">
        <v>44834</v>
      </c>
      <c r="P5199"/>
      <c r="Q5199"/>
      <c r="R5199"/>
      <c r="S5199"/>
      <c r="T5199"/>
      <c r="U5199"/>
    </row>
    <row r="5200" spans="1:21" hidden="1">
      <c r="A5200" s="7" t="s">
        <v>8879</v>
      </c>
      <c r="B5200" s="7" t="s">
        <v>6044</v>
      </c>
      <c r="C5200" s="8" t="s">
        <v>5319</v>
      </c>
      <c r="D5200" t="s">
        <v>272</v>
      </c>
      <c r="E5200" t="s">
        <v>2622</v>
      </c>
      <c r="F5200" t="s">
        <v>280</v>
      </c>
      <c r="G5200" t="s">
        <v>2628</v>
      </c>
      <c r="H5200" s="9">
        <v>44733</v>
      </c>
      <c r="I5200" t="s">
        <v>28</v>
      </c>
      <c r="J5200" t="s">
        <v>2</v>
      </c>
      <c r="K5200" s="9">
        <v>44834</v>
      </c>
      <c r="L5200" t="s">
        <v>29</v>
      </c>
      <c r="M5200" t="s">
        <v>5331</v>
      </c>
      <c r="N5200" s="9">
        <v>44778</v>
      </c>
      <c r="O5200" s="9">
        <v>44834</v>
      </c>
      <c r="P5200"/>
      <c r="Q5200"/>
      <c r="R5200"/>
      <c r="S5200"/>
      <c r="T5200"/>
      <c r="U5200"/>
    </row>
    <row r="5201" spans="1:21" hidden="1">
      <c r="A5201" s="7" t="s">
        <v>8880</v>
      </c>
      <c r="B5201" s="7" t="s">
        <v>6940</v>
      </c>
      <c r="C5201" s="8" t="s">
        <v>5319</v>
      </c>
      <c r="D5201" t="s">
        <v>272</v>
      </c>
      <c r="E5201" t="s">
        <v>2629</v>
      </c>
      <c r="F5201" t="s">
        <v>75</v>
      </c>
      <c r="G5201" t="s">
        <v>2630</v>
      </c>
      <c r="H5201" s="9">
        <v>44733</v>
      </c>
      <c r="I5201" t="s">
        <v>85</v>
      </c>
      <c r="J5201" t="s">
        <v>2</v>
      </c>
      <c r="K5201" s="9">
        <v>44804.500659722202</v>
      </c>
      <c r="L5201" t="s">
        <v>29</v>
      </c>
      <c r="M5201" t="s">
        <v>5331</v>
      </c>
      <c r="N5201" s="9">
        <v>44778</v>
      </c>
      <c r="O5201"/>
      <c r="P5201"/>
      <c r="Q5201"/>
      <c r="R5201" s="9">
        <v>44804.499444444402</v>
      </c>
      <c r="S5201"/>
      <c r="T5201"/>
      <c r="U5201"/>
    </row>
    <row r="5202" spans="1:21" hidden="1">
      <c r="A5202" s="7" t="s">
        <v>8845</v>
      </c>
      <c r="B5202" s="7" t="s">
        <v>6307</v>
      </c>
      <c r="C5202" s="8" t="s">
        <v>5319</v>
      </c>
      <c r="D5202" t="s">
        <v>272</v>
      </c>
      <c r="E5202" t="s">
        <v>78</v>
      </c>
      <c r="F5202" t="s">
        <v>2123</v>
      </c>
      <c r="G5202" t="s">
        <v>2631</v>
      </c>
      <c r="H5202" s="9">
        <v>44733</v>
      </c>
      <c r="I5202" t="s">
        <v>81</v>
      </c>
      <c r="J5202" t="s">
        <v>2</v>
      </c>
      <c r="K5202" s="9">
        <v>44858</v>
      </c>
      <c r="L5202" t="s">
        <v>29</v>
      </c>
      <c r="M5202" t="s">
        <v>5329</v>
      </c>
      <c r="N5202" s="9">
        <v>44778</v>
      </c>
      <c r="O5202" s="9">
        <v>44834</v>
      </c>
      <c r="P5202"/>
      <c r="Q5202"/>
      <c r="R5202"/>
      <c r="S5202"/>
      <c r="T5202"/>
      <c r="U5202"/>
    </row>
    <row r="5203" spans="1:21" hidden="1">
      <c r="A5203" s="7" t="s">
        <v>8758</v>
      </c>
      <c r="B5203" s="7" t="s">
        <v>5405</v>
      </c>
      <c r="C5203" s="8" t="s">
        <v>5319</v>
      </c>
      <c r="D5203" t="s">
        <v>272</v>
      </c>
      <c r="E5203" t="s">
        <v>25</v>
      </c>
      <c r="F5203" t="s">
        <v>493</v>
      </c>
      <c r="G5203" t="s">
        <v>2632</v>
      </c>
      <c r="H5203" s="9">
        <v>44733</v>
      </c>
      <c r="I5203" t="s">
        <v>8634</v>
      </c>
      <c r="J5203" t="s">
        <v>0</v>
      </c>
      <c r="K5203" s="9">
        <v>44862</v>
      </c>
      <c r="L5203" t="s">
        <v>29</v>
      </c>
      <c r="M5203"/>
      <c r="N5203" s="9">
        <v>44778</v>
      </c>
      <c r="O5203"/>
      <c r="P5203"/>
      <c r="Q5203" s="9">
        <v>44862</v>
      </c>
      <c r="R5203"/>
      <c r="S5203"/>
      <c r="T5203"/>
      <c r="U5203"/>
    </row>
    <row r="5204" spans="1:21" hidden="1">
      <c r="A5204" s="7" t="s">
        <v>8732</v>
      </c>
      <c r="B5204" s="7" t="s">
        <v>6619</v>
      </c>
      <c r="C5204" s="8" t="s">
        <v>5319</v>
      </c>
      <c r="D5204" t="s">
        <v>272</v>
      </c>
      <c r="E5204" t="s">
        <v>226</v>
      </c>
      <c r="F5204" t="s">
        <v>227</v>
      </c>
      <c r="G5204" t="s">
        <v>2633</v>
      </c>
      <c r="H5204" s="9">
        <v>44733</v>
      </c>
      <c r="I5204" t="s">
        <v>229</v>
      </c>
      <c r="J5204" t="s">
        <v>0</v>
      </c>
      <c r="K5204" s="9">
        <v>44748</v>
      </c>
      <c r="L5204" t="s">
        <v>29</v>
      </c>
      <c r="M5204"/>
      <c r="N5204"/>
      <c r="O5204"/>
      <c r="P5204"/>
      <c r="Q5204" s="9">
        <v>44748</v>
      </c>
      <c r="R5204"/>
      <c r="S5204"/>
      <c r="T5204"/>
      <c r="U5204"/>
    </row>
    <row r="5205" spans="1:21" hidden="1">
      <c r="A5205" s="7" t="s">
        <v>8732</v>
      </c>
      <c r="B5205" s="7" t="s">
        <v>6619</v>
      </c>
      <c r="C5205" s="8" t="s">
        <v>5319</v>
      </c>
      <c r="D5205" t="s">
        <v>272</v>
      </c>
      <c r="E5205" t="s">
        <v>226</v>
      </c>
      <c r="F5205" t="s">
        <v>227</v>
      </c>
      <c r="G5205" t="s">
        <v>2634</v>
      </c>
      <c r="H5205" s="9">
        <v>44733</v>
      </c>
      <c r="I5205" t="s">
        <v>229</v>
      </c>
      <c r="J5205" t="s">
        <v>0</v>
      </c>
      <c r="K5205" s="9">
        <v>44748</v>
      </c>
      <c r="L5205" t="s">
        <v>29</v>
      </c>
      <c r="M5205"/>
      <c r="N5205"/>
      <c r="O5205"/>
      <c r="P5205"/>
      <c r="Q5205" s="9">
        <v>44748</v>
      </c>
      <c r="R5205"/>
      <c r="S5205"/>
      <c r="T5205"/>
      <c r="U5205"/>
    </row>
    <row r="5206" spans="1:21" hidden="1">
      <c r="A5206" s="7" t="s">
        <v>8732</v>
      </c>
      <c r="B5206" s="7" t="s">
        <v>6619</v>
      </c>
      <c r="C5206" s="8" t="s">
        <v>5319</v>
      </c>
      <c r="D5206" t="s">
        <v>272</v>
      </c>
      <c r="E5206" t="s">
        <v>226</v>
      </c>
      <c r="F5206" t="s">
        <v>227</v>
      </c>
      <c r="G5206" t="s">
        <v>2635</v>
      </c>
      <c r="H5206" s="9">
        <v>44733</v>
      </c>
      <c r="I5206" t="s">
        <v>229</v>
      </c>
      <c r="J5206" t="s">
        <v>0</v>
      </c>
      <c r="K5206" s="9">
        <v>44748</v>
      </c>
      <c r="L5206" t="s">
        <v>29</v>
      </c>
      <c r="M5206"/>
      <c r="N5206"/>
      <c r="O5206"/>
      <c r="P5206"/>
      <c r="Q5206" s="9">
        <v>44748</v>
      </c>
      <c r="R5206"/>
      <c r="S5206"/>
      <c r="T5206"/>
      <c r="U5206"/>
    </row>
    <row r="5207" spans="1:21" hidden="1">
      <c r="A5207" s="7" t="s">
        <v>8732</v>
      </c>
      <c r="B5207" s="7" t="s">
        <v>6619</v>
      </c>
      <c r="C5207" s="8" t="s">
        <v>5319</v>
      </c>
      <c r="D5207" t="s">
        <v>272</v>
      </c>
      <c r="E5207" t="s">
        <v>226</v>
      </c>
      <c r="F5207" t="s">
        <v>227</v>
      </c>
      <c r="G5207" t="s">
        <v>228</v>
      </c>
      <c r="H5207" s="9">
        <v>44733</v>
      </c>
      <c r="I5207" t="s">
        <v>229</v>
      </c>
      <c r="J5207" t="s">
        <v>0</v>
      </c>
      <c r="K5207" s="9">
        <v>44748</v>
      </c>
      <c r="L5207" t="s">
        <v>29</v>
      </c>
      <c r="M5207"/>
      <c r="N5207"/>
      <c r="O5207"/>
      <c r="P5207"/>
      <c r="Q5207" s="9">
        <v>44748</v>
      </c>
      <c r="R5207"/>
      <c r="S5207"/>
      <c r="T5207"/>
      <c r="U5207"/>
    </row>
    <row r="5208" spans="1:21" hidden="1">
      <c r="A5208" s="7" t="s">
        <v>8732</v>
      </c>
      <c r="B5208" s="7" t="s">
        <v>6619</v>
      </c>
      <c r="C5208" s="8" t="s">
        <v>5319</v>
      </c>
      <c r="D5208" t="s">
        <v>272</v>
      </c>
      <c r="E5208" t="s">
        <v>226</v>
      </c>
      <c r="F5208" t="s">
        <v>227</v>
      </c>
      <c r="G5208" t="s">
        <v>2636</v>
      </c>
      <c r="H5208" s="9">
        <v>44733</v>
      </c>
      <c r="I5208" t="s">
        <v>229</v>
      </c>
      <c r="J5208" t="s">
        <v>0</v>
      </c>
      <c r="K5208" s="9">
        <v>44748</v>
      </c>
      <c r="L5208" t="s">
        <v>29</v>
      </c>
      <c r="M5208"/>
      <c r="N5208"/>
      <c r="O5208"/>
      <c r="P5208"/>
      <c r="Q5208" s="9">
        <v>44748</v>
      </c>
      <c r="R5208"/>
      <c r="S5208"/>
      <c r="T5208"/>
      <c r="U5208"/>
    </row>
    <row r="5209" spans="1:21" hidden="1">
      <c r="A5209" s="7" t="s">
        <v>8732</v>
      </c>
      <c r="B5209" s="7" t="s">
        <v>6619</v>
      </c>
      <c r="C5209" s="8" t="s">
        <v>5319</v>
      </c>
      <c r="D5209" t="s">
        <v>272</v>
      </c>
      <c r="E5209" t="s">
        <v>226</v>
      </c>
      <c r="F5209" t="s">
        <v>227</v>
      </c>
      <c r="G5209" t="s">
        <v>2637</v>
      </c>
      <c r="H5209" s="9">
        <v>44733</v>
      </c>
      <c r="I5209" t="s">
        <v>229</v>
      </c>
      <c r="J5209" t="s">
        <v>0</v>
      </c>
      <c r="K5209" s="9">
        <v>44748</v>
      </c>
      <c r="L5209" t="s">
        <v>29</v>
      </c>
      <c r="M5209"/>
      <c r="N5209"/>
      <c r="O5209"/>
      <c r="P5209"/>
      <c r="Q5209" s="9">
        <v>44748</v>
      </c>
      <c r="R5209"/>
      <c r="S5209"/>
      <c r="T5209"/>
      <c r="U5209"/>
    </row>
    <row r="5210" spans="1:21" hidden="1">
      <c r="A5210" s="7" t="s">
        <v>8732</v>
      </c>
      <c r="B5210" s="7" t="s">
        <v>6619</v>
      </c>
      <c r="C5210" s="8" t="s">
        <v>5319</v>
      </c>
      <c r="D5210" t="s">
        <v>272</v>
      </c>
      <c r="E5210" t="s">
        <v>226</v>
      </c>
      <c r="F5210" t="s">
        <v>227</v>
      </c>
      <c r="G5210" t="s">
        <v>2638</v>
      </c>
      <c r="H5210" s="9">
        <v>44733</v>
      </c>
      <c r="I5210" t="s">
        <v>229</v>
      </c>
      <c r="J5210" t="s">
        <v>0</v>
      </c>
      <c r="K5210" s="9">
        <v>44748</v>
      </c>
      <c r="L5210" t="s">
        <v>29</v>
      </c>
      <c r="M5210"/>
      <c r="N5210"/>
      <c r="O5210"/>
      <c r="P5210"/>
      <c r="Q5210" s="9">
        <v>44748</v>
      </c>
      <c r="R5210"/>
      <c r="S5210"/>
      <c r="T5210"/>
      <c r="U5210"/>
    </row>
    <row r="5211" spans="1:21" hidden="1">
      <c r="A5211" s="7" t="s">
        <v>8732</v>
      </c>
      <c r="B5211" s="7" t="s">
        <v>6619</v>
      </c>
      <c r="C5211" s="8" t="s">
        <v>5319</v>
      </c>
      <c r="D5211" t="s">
        <v>272</v>
      </c>
      <c r="E5211" t="s">
        <v>226</v>
      </c>
      <c r="F5211" t="s">
        <v>227</v>
      </c>
      <c r="G5211" t="s">
        <v>2639</v>
      </c>
      <c r="H5211" s="9">
        <v>44733</v>
      </c>
      <c r="I5211" t="s">
        <v>229</v>
      </c>
      <c r="J5211" t="s">
        <v>0</v>
      </c>
      <c r="K5211" s="9">
        <v>44748</v>
      </c>
      <c r="L5211" t="s">
        <v>29</v>
      </c>
      <c r="M5211"/>
      <c r="N5211"/>
      <c r="O5211"/>
      <c r="P5211"/>
      <c r="Q5211" s="9">
        <v>44748</v>
      </c>
      <c r="R5211"/>
      <c r="S5211"/>
      <c r="T5211"/>
      <c r="U5211"/>
    </row>
    <row r="5212" spans="1:21" hidden="1">
      <c r="A5212" s="7" t="s">
        <v>8732</v>
      </c>
      <c r="B5212" s="7" t="s">
        <v>6619</v>
      </c>
      <c r="C5212" s="8" t="s">
        <v>5319</v>
      </c>
      <c r="D5212" t="s">
        <v>272</v>
      </c>
      <c r="E5212" t="s">
        <v>226</v>
      </c>
      <c r="F5212" t="s">
        <v>227</v>
      </c>
      <c r="G5212" t="s">
        <v>2640</v>
      </c>
      <c r="H5212" s="9">
        <v>44733</v>
      </c>
      <c r="I5212" t="s">
        <v>229</v>
      </c>
      <c r="J5212" t="s">
        <v>0</v>
      </c>
      <c r="K5212" s="9">
        <v>44748</v>
      </c>
      <c r="L5212" t="s">
        <v>29</v>
      </c>
      <c r="M5212"/>
      <c r="N5212"/>
      <c r="O5212"/>
      <c r="P5212"/>
      <c r="Q5212" s="9">
        <v>44748</v>
      </c>
      <c r="R5212"/>
      <c r="S5212"/>
      <c r="T5212"/>
      <c r="U5212"/>
    </row>
    <row r="5213" spans="1:21" hidden="1">
      <c r="A5213" s="7" t="s">
        <v>8732</v>
      </c>
      <c r="B5213" s="7" t="s">
        <v>6619</v>
      </c>
      <c r="C5213" s="8" t="s">
        <v>5319</v>
      </c>
      <c r="D5213" t="s">
        <v>272</v>
      </c>
      <c r="E5213" t="s">
        <v>226</v>
      </c>
      <c r="F5213" t="s">
        <v>227</v>
      </c>
      <c r="G5213" t="s">
        <v>2641</v>
      </c>
      <c r="H5213" s="9">
        <v>44733</v>
      </c>
      <c r="I5213" t="s">
        <v>229</v>
      </c>
      <c r="J5213" t="s">
        <v>0</v>
      </c>
      <c r="K5213" s="9">
        <v>44748</v>
      </c>
      <c r="L5213" t="s">
        <v>29</v>
      </c>
      <c r="M5213"/>
      <c r="N5213"/>
      <c r="O5213"/>
      <c r="P5213"/>
      <c r="Q5213" s="9">
        <v>44748</v>
      </c>
      <c r="R5213"/>
      <c r="S5213"/>
      <c r="T5213"/>
      <c r="U5213"/>
    </row>
    <row r="5214" spans="1:21" hidden="1">
      <c r="A5214" s="7" t="s">
        <v>8732</v>
      </c>
      <c r="B5214" s="7" t="s">
        <v>6619</v>
      </c>
      <c r="C5214" s="8" t="s">
        <v>5319</v>
      </c>
      <c r="D5214" t="s">
        <v>272</v>
      </c>
      <c r="E5214" t="s">
        <v>226</v>
      </c>
      <c r="F5214" t="s">
        <v>227</v>
      </c>
      <c r="G5214" t="s">
        <v>2642</v>
      </c>
      <c r="H5214" s="9">
        <v>44733</v>
      </c>
      <c r="I5214" t="s">
        <v>229</v>
      </c>
      <c r="J5214" t="s">
        <v>0</v>
      </c>
      <c r="K5214" s="9">
        <v>44748</v>
      </c>
      <c r="L5214" t="s">
        <v>29</v>
      </c>
      <c r="M5214"/>
      <c r="N5214"/>
      <c r="O5214"/>
      <c r="P5214"/>
      <c r="Q5214" s="9">
        <v>44748</v>
      </c>
      <c r="R5214"/>
      <c r="S5214"/>
      <c r="T5214"/>
      <c r="U5214"/>
    </row>
    <row r="5215" spans="1:21" hidden="1">
      <c r="A5215" s="7" t="s">
        <v>8732</v>
      </c>
      <c r="B5215" s="7" t="s">
        <v>6619</v>
      </c>
      <c r="C5215" s="8" t="s">
        <v>5319</v>
      </c>
      <c r="D5215" t="s">
        <v>272</v>
      </c>
      <c r="E5215" t="s">
        <v>226</v>
      </c>
      <c r="F5215" t="s">
        <v>227</v>
      </c>
      <c r="G5215" t="s">
        <v>2643</v>
      </c>
      <c r="H5215" s="9">
        <v>44733</v>
      </c>
      <c r="I5215" t="s">
        <v>229</v>
      </c>
      <c r="J5215" t="s">
        <v>2</v>
      </c>
      <c r="K5215" s="9">
        <v>44748.355254629598</v>
      </c>
      <c r="L5215" t="s">
        <v>29</v>
      </c>
      <c r="M5215" t="s">
        <v>5331</v>
      </c>
      <c r="N5215"/>
      <c r="O5215"/>
      <c r="P5215"/>
      <c r="Q5215"/>
      <c r="R5215" s="9">
        <v>44748.352858796301</v>
      </c>
      <c r="S5215"/>
      <c r="T5215"/>
      <c r="U5215"/>
    </row>
    <row r="5216" spans="1:21" hidden="1">
      <c r="A5216" s="7" t="s">
        <v>8760</v>
      </c>
      <c r="B5216" s="7" t="s">
        <v>8350</v>
      </c>
      <c r="C5216" s="8" t="s">
        <v>5319</v>
      </c>
      <c r="D5216" t="s">
        <v>272</v>
      </c>
      <c r="E5216" t="s">
        <v>512</v>
      </c>
      <c r="F5216" t="s">
        <v>117</v>
      </c>
      <c r="G5216" t="s">
        <v>2644</v>
      </c>
      <c r="H5216" s="9">
        <v>44733</v>
      </c>
      <c r="I5216" t="s">
        <v>171</v>
      </c>
      <c r="J5216" t="s">
        <v>2</v>
      </c>
      <c r="K5216" s="9">
        <v>44798.373368055603</v>
      </c>
      <c r="L5216" t="s">
        <v>29</v>
      </c>
      <c r="M5216" t="s">
        <v>5331</v>
      </c>
      <c r="N5216"/>
      <c r="O5216"/>
      <c r="P5216"/>
      <c r="Q5216" s="9">
        <v>44873</v>
      </c>
      <c r="R5216" s="9">
        <v>44798.372175925899</v>
      </c>
      <c r="S5216"/>
      <c r="T5216"/>
      <c r="U5216"/>
    </row>
    <row r="5217" spans="1:21" hidden="1">
      <c r="A5217" s="7" t="s">
        <v>8760</v>
      </c>
      <c r="B5217" s="7" t="s">
        <v>8350</v>
      </c>
      <c r="C5217" s="8" t="s">
        <v>5319</v>
      </c>
      <c r="D5217" t="s">
        <v>272</v>
      </c>
      <c r="E5217" t="s">
        <v>512</v>
      </c>
      <c r="F5217" t="s">
        <v>117</v>
      </c>
      <c r="G5217" t="s">
        <v>2645</v>
      </c>
      <c r="H5217" s="9">
        <v>44733</v>
      </c>
      <c r="I5217" t="s">
        <v>171</v>
      </c>
      <c r="J5217" t="s">
        <v>2</v>
      </c>
      <c r="K5217" s="9">
        <v>44798.373368055603</v>
      </c>
      <c r="L5217" t="s">
        <v>29</v>
      </c>
      <c r="M5217" t="s">
        <v>5331</v>
      </c>
      <c r="N5217"/>
      <c r="O5217"/>
      <c r="P5217"/>
      <c r="Q5217" s="9">
        <v>44873</v>
      </c>
      <c r="R5217" s="9">
        <v>44798.372175925899</v>
      </c>
      <c r="S5217"/>
      <c r="T5217"/>
      <c r="U5217"/>
    </row>
    <row r="5218" spans="1:21" hidden="1">
      <c r="A5218" s="7" t="s">
        <v>8760</v>
      </c>
      <c r="B5218" s="7" t="s">
        <v>8350</v>
      </c>
      <c r="C5218" s="8" t="s">
        <v>5319</v>
      </c>
      <c r="D5218" t="s">
        <v>272</v>
      </c>
      <c r="E5218" t="s">
        <v>512</v>
      </c>
      <c r="F5218" t="s">
        <v>117</v>
      </c>
      <c r="G5218" t="s">
        <v>2646</v>
      </c>
      <c r="H5218" s="9">
        <v>44733</v>
      </c>
      <c r="I5218" t="s">
        <v>171</v>
      </c>
      <c r="J5218" t="s">
        <v>2</v>
      </c>
      <c r="K5218" s="9">
        <v>44798.373368055603</v>
      </c>
      <c r="L5218" t="s">
        <v>29</v>
      </c>
      <c r="M5218" t="s">
        <v>5331</v>
      </c>
      <c r="N5218"/>
      <c r="O5218"/>
      <c r="P5218"/>
      <c r="Q5218" s="9">
        <v>44873</v>
      </c>
      <c r="R5218" s="9">
        <v>44798.372175925899</v>
      </c>
      <c r="S5218"/>
      <c r="T5218"/>
      <c r="U5218"/>
    </row>
    <row r="5219" spans="1:21" hidden="1">
      <c r="A5219" s="7" t="s">
        <v>8760</v>
      </c>
      <c r="B5219" s="7" t="s">
        <v>8350</v>
      </c>
      <c r="C5219" s="8" t="s">
        <v>5319</v>
      </c>
      <c r="D5219" t="s">
        <v>272</v>
      </c>
      <c r="E5219" t="s">
        <v>512</v>
      </c>
      <c r="F5219" t="s">
        <v>117</v>
      </c>
      <c r="G5219" t="s">
        <v>2647</v>
      </c>
      <c r="H5219" s="9">
        <v>44733</v>
      </c>
      <c r="I5219" t="s">
        <v>171</v>
      </c>
      <c r="J5219" t="s">
        <v>2</v>
      </c>
      <c r="K5219" s="9">
        <v>44798.373368055603</v>
      </c>
      <c r="L5219" t="s">
        <v>29</v>
      </c>
      <c r="M5219" t="s">
        <v>5331</v>
      </c>
      <c r="N5219"/>
      <c r="O5219"/>
      <c r="P5219"/>
      <c r="Q5219" s="9">
        <v>44873</v>
      </c>
      <c r="R5219" s="9">
        <v>44798.372175925899</v>
      </c>
      <c r="S5219"/>
      <c r="T5219"/>
      <c r="U5219"/>
    </row>
    <row r="5220" spans="1:21" hidden="1">
      <c r="A5220" s="7" t="s">
        <v>8760</v>
      </c>
      <c r="B5220" s="7" t="s">
        <v>8350</v>
      </c>
      <c r="C5220" s="8" t="s">
        <v>5319</v>
      </c>
      <c r="D5220" t="s">
        <v>272</v>
      </c>
      <c r="E5220" t="s">
        <v>512</v>
      </c>
      <c r="F5220" t="s">
        <v>117</v>
      </c>
      <c r="G5220" t="s">
        <v>2648</v>
      </c>
      <c r="H5220" s="9">
        <v>44733</v>
      </c>
      <c r="I5220" t="s">
        <v>171</v>
      </c>
      <c r="J5220" t="s">
        <v>2</v>
      </c>
      <c r="K5220" s="9">
        <v>44798.373368055603</v>
      </c>
      <c r="L5220" t="s">
        <v>29</v>
      </c>
      <c r="M5220" t="s">
        <v>5331</v>
      </c>
      <c r="N5220"/>
      <c r="O5220"/>
      <c r="P5220"/>
      <c r="Q5220" s="9">
        <v>44873</v>
      </c>
      <c r="R5220" s="9">
        <v>44798.372175925899</v>
      </c>
      <c r="S5220"/>
      <c r="T5220"/>
      <c r="U5220"/>
    </row>
    <row r="5221" spans="1:21" hidden="1">
      <c r="A5221" s="7" t="s">
        <v>8760</v>
      </c>
      <c r="B5221" s="7" t="s">
        <v>8350</v>
      </c>
      <c r="C5221" s="8" t="s">
        <v>5319</v>
      </c>
      <c r="D5221" t="s">
        <v>272</v>
      </c>
      <c r="E5221" t="s">
        <v>512</v>
      </c>
      <c r="F5221" t="s">
        <v>117</v>
      </c>
      <c r="G5221" t="s">
        <v>2649</v>
      </c>
      <c r="H5221" s="9">
        <v>44733</v>
      </c>
      <c r="I5221" t="s">
        <v>171</v>
      </c>
      <c r="J5221" t="s">
        <v>2</v>
      </c>
      <c r="K5221" s="9">
        <v>44798.373368055603</v>
      </c>
      <c r="L5221" t="s">
        <v>29</v>
      </c>
      <c r="M5221" t="s">
        <v>5331</v>
      </c>
      <c r="N5221"/>
      <c r="O5221"/>
      <c r="P5221"/>
      <c r="Q5221" s="9">
        <v>44873</v>
      </c>
      <c r="R5221" s="9">
        <v>44798.372175925899</v>
      </c>
      <c r="S5221"/>
      <c r="T5221"/>
      <c r="U5221"/>
    </row>
    <row r="5222" spans="1:21" hidden="1">
      <c r="A5222" s="7" t="s">
        <v>8760</v>
      </c>
      <c r="B5222" s="7" t="s">
        <v>8350</v>
      </c>
      <c r="C5222" s="8" t="s">
        <v>5319</v>
      </c>
      <c r="D5222" t="s">
        <v>272</v>
      </c>
      <c r="E5222" t="s">
        <v>512</v>
      </c>
      <c r="F5222" t="s">
        <v>117</v>
      </c>
      <c r="G5222" t="s">
        <v>2650</v>
      </c>
      <c r="H5222" s="9">
        <v>44733</v>
      </c>
      <c r="I5222" t="s">
        <v>171</v>
      </c>
      <c r="J5222" t="s">
        <v>2</v>
      </c>
      <c r="K5222" s="9">
        <v>44798.373368055603</v>
      </c>
      <c r="L5222" t="s">
        <v>29</v>
      </c>
      <c r="M5222" t="s">
        <v>5331</v>
      </c>
      <c r="N5222"/>
      <c r="O5222"/>
      <c r="P5222"/>
      <c r="Q5222" s="9">
        <v>44873</v>
      </c>
      <c r="R5222" s="9">
        <v>44798.372175925899</v>
      </c>
      <c r="S5222"/>
      <c r="T5222"/>
      <c r="U5222"/>
    </row>
    <row r="5223" spans="1:21" hidden="1">
      <c r="A5223" s="7" t="s">
        <v>8760</v>
      </c>
      <c r="B5223" s="7" t="s">
        <v>8350</v>
      </c>
      <c r="C5223" s="8" t="s">
        <v>5319</v>
      </c>
      <c r="D5223" t="s">
        <v>272</v>
      </c>
      <c r="E5223" t="s">
        <v>512</v>
      </c>
      <c r="F5223" t="s">
        <v>117</v>
      </c>
      <c r="G5223" t="s">
        <v>2651</v>
      </c>
      <c r="H5223" s="9">
        <v>44733</v>
      </c>
      <c r="I5223" t="s">
        <v>171</v>
      </c>
      <c r="J5223" t="s">
        <v>2</v>
      </c>
      <c r="K5223" s="9">
        <v>44798.373368055603</v>
      </c>
      <c r="L5223" t="s">
        <v>29</v>
      </c>
      <c r="M5223" t="s">
        <v>5331</v>
      </c>
      <c r="N5223"/>
      <c r="O5223"/>
      <c r="P5223"/>
      <c r="Q5223" s="9">
        <v>44873</v>
      </c>
      <c r="R5223" s="9">
        <v>44798.372175925899</v>
      </c>
      <c r="S5223"/>
      <c r="T5223"/>
      <c r="U5223"/>
    </row>
    <row r="5224" spans="1:21" hidden="1">
      <c r="A5224" s="7" t="s">
        <v>8760</v>
      </c>
      <c r="B5224" s="7" t="s">
        <v>8350</v>
      </c>
      <c r="C5224" s="8" t="s">
        <v>5319</v>
      </c>
      <c r="D5224" t="s">
        <v>272</v>
      </c>
      <c r="E5224" t="s">
        <v>512</v>
      </c>
      <c r="F5224" t="s">
        <v>117</v>
      </c>
      <c r="G5224" t="s">
        <v>2652</v>
      </c>
      <c r="H5224" s="9">
        <v>44733</v>
      </c>
      <c r="I5224" t="s">
        <v>171</v>
      </c>
      <c r="J5224" t="s">
        <v>2</v>
      </c>
      <c r="K5224" s="9">
        <v>44798.373368055603</v>
      </c>
      <c r="L5224" t="s">
        <v>29</v>
      </c>
      <c r="M5224" t="s">
        <v>5331</v>
      </c>
      <c r="N5224"/>
      <c r="O5224"/>
      <c r="P5224"/>
      <c r="Q5224" s="9">
        <v>44873</v>
      </c>
      <c r="R5224" s="9">
        <v>44798.372175925899</v>
      </c>
      <c r="S5224"/>
      <c r="T5224"/>
      <c r="U5224"/>
    </row>
    <row r="5225" spans="1:21" hidden="1">
      <c r="A5225" s="7" t="s">
        <v>8760</v>
      </c>
      <c r="B5225" s="7" t="s">
        <v>8350</v>
      </c>
      <c r="C5225" s="8" t="s">
        <v>5319</v>
      </c>
      <c r="D5225" t="s">
        <v>272</v>
      </c>
      <c r="E5225" t="s">
        <v>512</v>
      </c>
      <c r="F5225" t="s">
        <v>117</v>
      </c>
      <c r="G5225" t="s">
        <v>1453</v>
      </c>
      <c r="H5225" s="9">
        <v>44733</v>
      </c>
      <c r="I5225" t="s">
        <v>171</v>
      </c>
      <c r="J5225" t="s">
        <v>2</v>
      </c>
      <c r="K5225" s="9">
        <v>44798.373368055603</v>
      </c>
      <c r="L5225" t="s">
        <v>29</v>
      </c>
      <c r="M5225" t="s">
        <v>5331</v>
      </c>
      <c r="N5225"/>
      <c r="O5225"/>
      <c r="P5225"/>
      <c r="Q5225" s="9">
        <v>44873</v>
      </c>
      <c r="R5225" s="9">
        <v>44798.372175925899</v>
      </c>
      <c r="S5225"/>
      <c r="T5225"/>
      <c r="U5225"/>
    </row>
    <row r="5226" spans="1:21" hidden="1">
      <c r="A5226" s="7" t="s">
        <v>8760</v>
      </c>
      <c r="B5226" s="7" t="s">
        <v>8350</v>
      </c>
      <c r="C5226" s="8" t="s">
        <v>5319</v>
      </c>
      <c r="D5226" t="s">
        <v>272</v>
      </c>
      <c r="E5226" t="s">
        <v>512</v>
      </c>
      <c r="F5226" t="s">
        <v>117</v>
      </c>
      <c r="G5226" t="s">
        <v>1454</v>
      </c>
      <c r="H5226" s="9">
        <v>44733</v>
      </c>
      <c r="I5226" t="s">
        <v>171</v>
      </c>
      <c r="J5226" t="s">
        <v>2</v>
      </c>
      <c r="K5226" s="9">
        <v>44798.373368055603</v>
      </c>
      <c r="L5226" t="s">
        <v>29</v>
      </c>
      <c r="M5226" t="s">
        <v>5331</v>
      </c>
      <c r="N5226"/>
      <c r="O5226"/>
      <c r="P5226"/>
      <c r="Q5226" s="9">
        <v>44873</v>
      </c>
      <c r="R5226" s="9">
        <v>44798.372175925899</v>
      </c>
      <c r="S5226"/>
      <c r="T5226"/>
      <c r="U5226"/>
    </row>
    <row r="5227" spans="1:21" hidden="1">
      <c r="A5227" s="7" t="s">
        <v>8760</v>
      </c>
      <c r="B5227" s="7" t="s">
        <v>8350</v>
      </c>
      <c r="C5227" s="8" t="s">
        <v>5319</v>
      </c>
      <c r="D5227" t="s">
        <v>272</v>
      </c>
      <c r="E5227" t="s">
        <v>512</v>
      </c>
      <c r="F5227" t="s">
        <v>117</v>
      </c>
      <c r="G5227" t="s">
        <v>1456</v>
      </c>
      <c r="H5227" s="9">
        <v>44733</v>
      </c>
      <c r="I5227" t="s">
        <v>171</v>
      </c>
      <c r="J5227" t="s">
        <v>2</v>
      </c>
      <c r="K5227" s="9">
        <v>44798.373368055603</v>
      </c>
      <c r="L5227" t="s">
        <v>29</v>
      </c>
      <c r="M5227" t="s">
        <v>5331</v>
      </c>
      <c r="N5227"/>
      <c r="O5227"/>
      <c r="P5227"/>
      <c r="Q5227" s="9">
        <v>44873</v>
      </c>
      <c r="R5227" s="9">
        <v>44798.372175925899</v>
      </c>
      <c r="S5227"/>
      <c r="T5227"/>
      <c r="U5227"/>
    </row>
    <row r="5228" spans="1:21" hidden="1">
      <c r="A5228" s="7" t="s">
        <v>8760</v>
      </c>
      <c r="B5228" s="7" t="s">
        <v>8350</v>
      </c>
      <c r="C5228" s="8" t="s">
        <v>5319</v>
      </c>
      <c r="D5228" t="s">
        <v>272</v>
      </c>
      <c r="E5228" t="s">
        <v>512</v>
      </c>
      <c r="F5228" t="s">
        <v>117</v>
      </c>
      <c r="G5228" t="s">
        <v>513</v>
      </c>
      <c r="H5228" s="9">
        <v>44733</v>
      </c>
      <c r="I5228" t="s">
        <v>171</v>
      </c>
      <c r="J5228" t="s">
        <v>2</v>
      </c>
      <c r="K5228" s="9">
        <v>44798.373368055603</v>
      </c>
      <c r="L5228" t="s">
        <v>29</v>
      </c>
      <c r="M5228" t="s">
        <v>5331</v>
      </c>
      <c r="N5228"/>
      <c r="O5228"/>
      <c r="P5228"/>
      <c r="Q5228" s="9">
        <v>44873</v>
      </c>
      <c r="R5228" s="9">
        <v>44798.372175925899</v>
      </c>
      <c r="S5228"/>
      <c r="T5228"/>
      <c r="U5228"/>
    </row>
    <row r="5229" spans="1:21" hidden="1">
      <c r="A5229" s="7" t="s">
        <v>8760</v>
      </c>
      <c r="B5229" s="7" t="s">
        <v>8350</v>
      </c>
      <c r="C5229" s="8" t="s">
        <v>5319</v>
      </c>
      <c r="D5229" t="s">
        <v>272</v>
      </c>
      <c r="E5229" t="s">
        <v>512</v>
      </c>
      <c r="F5229" t="s">
        <v>117</v>
      </c>
      <c r="G5229" t="s">
        <v>2653</v>
      </c>
      <c r="H5229" s="9">
        <v>44733</v>
      </c>
      <c r="I5229" t="s">
        <v>171</v>
      </c>
      <c r="J5229" t="s">
        <v>2</v>
      </c>
      <c r="K5229" s="9">
        <v>44798.373368055603</v>
      </c>
      <c r="L5229" t="s">
        <v>29</v>
      </c>
      <c r="M5229" t="s">
        <v>5331</v>
      </c>
      <c r="N5229"/>
      <c r="O5229"/>
      <c r="P5229"/>
      <c r="Q5229" s="9">
        <v>44873</v>
      </c>
      <c r="R5229" s="9">
        <v>44798.372175925899</v>
      </c>
      <c r="S5229"/>
      <c r="T5229"/>
      <c r="U5229"/>
    </row>
    <row r="5230" spans="1:21" hidden="1">
      <c r="A5230" s="7" t="s">
        <v>8760</v>
      </c>
      <c r="B5230" s="7" t="s">
        <v>8350</v>
      </c>
      <c r="C5230" s="8" t="s">
        <v>5319</v>
      </c>
      <c r="D5230" t="s">
        <v>272</v>
      </c>
      <c r="E5230" t="s">
        <v>512</v>
      </c>
      <c r="F5230" t="s">
        <v>117</v>
      </c>
      <c r="G5230" t="s">
        <v>514</v>
      </c>
      <c r="H5230" s="9">
        <v>44733</v>
      </c>
      <c r="I5230" t="s">
        <v>171</v>
      </c>
      <c r="J5230" t="s">
        <v>2</v>
      </c>
      <c r="K5230" s="9">
        <v>44798.373368055603</v>
      </c>
      <c r="L5230" t="s">
        <v>29</v>
      </c>
      <c r="M5230" t="s">
        <v>5331</v>
      </c>
      <c r="N5230"/>
      <c r="O5230"/>
      <c r="P5230"/>
      <c r="Q5230" s="9">
        <v>44873</v>
      </c>
      <c r="R5230" s="9">
        <v>44798.372175925899</v>
      </c>
      <c r="S5230"/>
      <c r="T5230"/>
      <c r="U5230"/>
    </row>
    <row r="5231" spans="1:21" hidden="1">
      <c r="A5231" s="7" t="s">
        <v>8760</v>
      </c>
      <c r="B5231" s="7" t="s">
        <v>8350</v>
      </c>
      <c r="C5231" s="8" t="s">
        <v>5319</v>
      </c>
      <c r="D5231" t="s">
        <v>272</v>
      </c>
      <c r="E5231" t="s">
        <v>512</v>
      </c>
      <c r="F5231" t="s">
        <v>117</v>
      </c>
      <c r="G5231" t="s">
        <v>1457</v>
      </c>
      <c r="H5231" s="9">
        <v>44733</v>
      </c>
      <c r="I5231" t="s">
        <v>171</v>
      </c>
      <c r="J5231" t="s">
        <v>2</v>
      </c>
      <c r="K5231" s="9">
        <v>44798.373368055603</v>
      </c>
      <c r="L5231" t="s">
        <v>29</v>
      </c>
      <c r="M5231" t="s">
        <v>5331</v>
      </c>
      <c r="N5231"/>
      <c r="O5231"/>
      <c r="P5231"/>
      <c r="Q5231" s="9">
        <v>44873</v>
      </c>
      <c r="R5231" s="9">
        <v>44798.372175925899</v>
      </c>
      <c r="S5231"/>
      <c r="T5231"/>
      <c r="U5231"/>
    </row>
    <row r="5232" spans="1:21" hidden="1">
      <c r="A5232" s="7" t="s">
        <v>8760</v>
      </c>
      <c r="B5232" s="7" t="s">
        <v>8350</v>
      </c>
      <c r="C5232" s="8" t="s">
        <v>5319</v>
      </c>
      <c r="D5232" t="s">
        <v>272</v>
      </c>
      <c r="E5232" t="s">
        <v>512</v>
      </c>
      <c r="F5232" t="s">
        <v>117</v>
      </c>
      <c r="G5232" t="s">
        <v>2654</v>
      </c>
      <c r="H5232" s="9">
        <v>44733</v>
      </c>
      <c r="I5232" t="s">
        <v>171</v>
      </c>
      <c r="J5232" t="s">
        <v>2</v>
      </c>
      <c r="K5232" s="9">
        <v>44798.373368055603</v>
      </c>
      <c r="L5232" t="s">
        <v>29</v>
      </c>
      <c r="M5232" t="s">
        <v>5331</v>
      </c>
      <c r="N5232"/>
      <c r="O5232"/>
      <c r="P5232"/>
      <c r="Q5232" s="9">
        <v>44873</v>
      </c>
      <c r="R5232" s="9">
        <v>44798.372175925899</v>
      </c>
      <c r="S5232"/>
      <c r="T5232"/>
      <c r="U5232"/>
    </row>
    <row r="5233" spans="1:21" hidden="1">
      <c r="A5233" s="7" t="s">
        <v>8760</v>
      </c>
      <c r="B5233" s="7" t="s">
        <v>8350</v>
      </c>
      <c r="C5233" s="8" t="s">
        <v>5319</v>
      </c>
      <c r="D5233" t="s">
        <v>272</v>
      </c>
      <c r="E5233" t="s">
        <v>512</v>
      </c>
      <c r="F5233" t="s">
        <v>117</v>
      </c>
      <c r="G5233" t="s">
        <v>2655</v>
      </c>
      <c r="H5233" s="9">
        <v>44733</v>
      </c>
      <c r="I5233" t="s">
        <v>171</v>
      </c>
      <c r="J5233" t="s">
        <v>2</v>
      </c>
      <c r="K5233" s="9">
        <v>44798.373368055603</v>
      </c>
      <c r="L5233" t="s">
        <v>29</v>
      </c>
      <c r="M5233" t="s">
        <v>5331</v>
      </c>
      <c r="N5233"/>
      <c r="O5233"/>
      <c r="P5233"/>
      <c r="Q5233" s="9">
        <v>44873</v>
      </c>
      <c r="R5233" s="9">
        <v>44798.372175925899</v>
      </c>
      <c r="S5233"/>
      <c r="T5233"/>
      <c r="U5233"/>
    </row>
    <row r="5234" spans="1:21" hidden="1">
      <c r="A5234" s="7" t="s">
        <v>8760</v>
      </c>
      <c r="B5234" s="7" t="s">
        <v>8350</v>
      </c>
      <c r="C5234" s="8" t="s">
        <v>5319</v>
      </c>
      <c r="D5234" t="s">
        <v>272</v>
      </c>
      <c r="E5234" t="s">
        <v>512</v>
      </c>
      <c r="F5234" t="s">
        <v>117</v>
      </c>
      <c r="G5234" t="s">
        <v>2656</v>
      </c>
      <c r="H5234" s="9">
        <v>44733</v>
      </c>
      <c r="I5234" t="s">
        <v>171</v>
      </c>
      <c r="J5234" t="s">
        <v>2</v>
      </c>
      <c r="K5234" s="9">
        <v>44798.373368055603</v>
      </c>
      <c r="L5234" t="s">
        <v>29</v>
      </c>
      <c r="M5234" t="s">
        <v>5331</v>
      </c>
      <c r="N5234"/>
      <c r="O5234"/>
      <c r="P5234"/>
      <c r="Q5234" s="9">
        <v>44873</v>
      </c>
      <c r="R5234" s="9">
        <v>44798.372175925899</v>
      </c>
      <c r="S5234"/>
      <c r="T5234"/>
      <c r="U5234"/>
    </row>
    <row r="5235" spans="1:21" hidden="1">
      <c r="A5235" s="7" t="s">
        <v>8760</v>
      </c>
      <c r="B5235" s="7" t="s">
        <v>8350</v>
      </c>
      <c r="C5235" s="8" t="s">
        <v>5319</v>
      </c>
      <c r="D5235" t="s">
        <v>272</v>
      </c>
      <c r="E5235" t="s">
        <v>512</v>
      </c>
      <c r="F5235" t="s">
        <v>117</v>
      </c>
      <c r="G5235" t="s">
        <v>2657</v>
      </c>
      <c r="H5235" s="9">
        <v>44733</v>
      </c>
      <c r="I5235" t="s">
        <v>171</v>
      </c>
      <c r="J5235" t="s">
        <v>2</v>
      </c>
      <c r="K5235" s="9">
        <v>44798.373368055603</v>
      </c>
      <c r="L5235" t="s">
        <v>29</v>
      </c>
      <c r="M5235" t="s">
        <v>5331</v>
      </c>
      <c r="N5235"/>
      <c r="O5235"/>
      <c r="P5235"/>
      <c r="Q5235" s="9">
        <v>44873</v>
      </c>
      <c r="R5235" s="9">
        <v>44798.372175925899</v>
      </c>
      <c r="S5235"/>
      <c r="T5235"/>
      <c r="U5235"/>
    </row>
    <row r="5236" spans="1:21" hidden="1">
      <c r="A5236" s="7" t="s">
        <v>8760</v>
      </c>
      <c r="B5236" s="7" t="s">
        <v>8350</v>
      </c>
      <c r="C5236" s="8" t="s">
        <v>5319</v>
      </c>
      <c r="D5236" t="s">
        <v>272</v>
      </c>
      <c r="E5236" t="s">
        <v>512</v>
      </c>
      <c r="F5236" t="s">
        <v>117</v>
      </c>
      <c r="G5236" t="s">
        <v>2658</v>
      </c>
      <c r="H5236" s="9">
        <v>44733</v>
      </c>
      <c r="I5236" t="s">
        <v>171</v>
      </c>
      <c r="J5236" t="s">
        <v>2</v>
      </c>
      <c r="K5236" s="9">
        <v>44798.373368055603</v>
      </c>
      <c r="L5236" t="s">
        <v>29</v>
      </c>
      <c r="M5236" t="s">
        <v>5331</v>
      </c>
      <c r="N5236"/>
      <c r="O5236"/>
      <c r="P5236"/>
      <c r="Q5236" s="9">
        <v>44873</v>
      </c>
      <c r="R5236" s="9">
        <v>44798.372175925899</v>
      </c>
      <c r="S5236"/>
      <c r="T5236"/>
      <c r="U5236"/>
    </row>
    <row r="5237" spans="1:21" hidden="1">
      <c r="A5237" s="7" t="s">
        <v>8760</v>
      </c>
      <c r="B5237" s="7" t="s">
        <v>8350</v>
      </c>
      <c r="C5237" s="8" t="s">
        <v>5319</v>
      </c>
      <c r="D5237" t="s">
        <v>272</v>
      </c>
      <c r="E5237" t="s">
        <v>512</v>
      </c>
      <c r="F5237" t="s">
        <v>117</v>
      </c>
      <c r="G5237" t="s">
        <v>2659</v>
      </c>
      <c r="H5237" s="9">
        <v>44733</v>
      </c>
      <c r="I5237" t="s">
        <v>171</v>
      </c>
      <c r="J5237" t="s">
        <v>2</v>
      </c>
      <c r="K5237" s="9">
        <v>44798.373368055603</v>
      </c>
      <c r="L5237" t="s">
        <v>29</v>
      </c>
      <c r="M5237" t="s">
        <v>5331</v>
      </c>
      <c r="N5237"/>
      <c r="O5237"/>
      <c r="P5237"/>
      <c r="Q5237" s="9">
        <v>44873</v>
      </c>
      <c r="R5237" s="9">
        <v>44798.372175925899</v>
      </c>
      <c r="S5237"/>
      <c r="T5237"/>
      <c r="U5237"/>
    </row>
    <row r="5238" spans="1:21" hidden="1">
      <c r="A5238" s="7" t="s">
        <v>8760</v>
      </c>
      <c r="B5238" s="7" t="s">
        <v>8350</v>
      </c>
      <c r="C5238" s="8" t="s">
        <v>5319</v>
      </c>
      <c r="D5238" t="s">
        <v>272</v>
      </c>
      <c r="E5238" t="s">
        <v>512</v>
      </c>
      <c r="F5238" t="s">
        <v>117</v>
      </c>
      <c r="G5238" t="s">
        <v>2660</v>
      </c>
      <c r="H5238" s="9">
        <v>44733</v>
      </c>
      <c r="I5238" t="s">
        <v>171</v>
      </c>
      <c r="J5238" t="s">
        <v>2</v>
      </c>
      <c r="K5238" s="9">
        <v>44798.373368055603</v>
      </c>
      <c r="L5238" t="s">
        <v>29</v>
      </c>
      <c r="M5238" t="s">
        <v>5331</v>
      </c>
      <c r="N5238"/>
      <c r="O5238"/>
      <c r="P5238"/>
      <c r="Q5238" s="9">
        <v>44873</v>
      </c>
      <c r="R5238" s="9">
        <v>44798.372175925899</v>
      </c>
      <c r="S5238"/>
      <c r="T5238"/>
      <c r="U5238"/>
    </row>
    <row r="5239" spans="1:21" hidden="1">
      <c r="A5239" s="7" t="s">
        <v>8760</v>
      </c>
      <c r="B5239" s="7" t="s">
        <v>8350</v>
      </c>
      <c r="C5239" s="8" t="s">
        <v>5319</v>
      </c>
      <c r="D5239" t="s">
        <v>272</v>
      </c>
      <c r="E5239" t="s">
        <v>512</v>
      </c>
      <c r="F5239" t="s">
        <v>117</v>
      </c>
      <c r="G5239" t="s">
        <v>2661</v>
      </c>
      <c r="H5239" s="9">
        <v>44733</v>
      </c>
      <c r="I5239" t="s">
        <v>171</v>
      </c>
      <c r="J5239" t="s">
        <v>2</v>
      </c>
      <c r="K5239" s="9">
        <v>44798.373368055603</v>
      </c>
      <c r="L5239" t="s">
        <v>29</v>
      </c>
      <c r="M5239" t="s">
        <v>5331</v>
      </c>
      <c r="N5239"/>
      <c r="O5239"/>
      <c r="P5239"/>
      <c r="Q5239" s="9">
        <v>44873</v>
      </c>
      <c r="R5239" s="9">
        <v>44798.372175925899</v>
      </c>
      <c r="S5239"/>
      <c r="T5239"/>
      <c r="U5239"/>
    </row>
    <row r="5240" spans="1:21" hidden="1">
      <c r="A5240" s="7" t="s">
        <v>8760</v>
      </c>
      <c r="B5240" s="7" t="s">
        <v>8350</v>
      </c>
      <c r="C5240" s="8" t="s">
        <v>5319</v>
      </c>
      <c r="D5240" t="s">
        <v>272</v>
      </c>
      <c r="E5240" t="s">
        <v>512</v>
      </c>
      <c r="F5240" t="s">
        <v>117</v>
      </c>
      <c r="G5240" t="s">
        <v>2662</v>
      </c>
      <c r="H5240" s="9">
        <v>44733</v>
      </c>
      <c r="I5240" t="s">
        <v>171</v>
      </c>
      <c r="J5240" t="s">
        <v>2</v>
      </c>
      <c r="K5240" s="9">
        <v>44798.373368055603</v>
      </c>
      <c r="L5240" t="s">
        <v>29</v>
      </c>
      <c r="M5240" t="s">
        <v>5331</v>
      </c>
      <c r="N5240"/>
      <c r="O5240"/>
      <c r="P5240"/>
      <c r="Q5240" s="9">
        <v>44873</v>
      </c>
      <c r="R5240" s="9">
        <v>44798.372175925899</v>
      </c>
      <c r="S5240"/>
      <c r="T5240"/>
      <c r="U5240"/>
    </row>
    <row r="5241" spans="1:21" hidden="1">
      <c r="A5241" s="7" t="s">
        <v>8760</v>
      </c>
      <c r="B5241" s="7" t="s">
        <v>8350</v>
      </c>
      <c r="C5241" s="8" t="s">
        <v>5319</v>
      </c>
      <c r="D5241" t="s">
        <v>272</v>
      </c>
      <c r="E5241" t="s">
        <v>512</v>
      </c>
      <c r="F5241" t="s">
        <v>117</v>
      </c>
      <c r="G5241" t="s">
        <v>2663</v>
      </c>
      <c r="H5241" s="9">
        <v>44733</v>
      </c>
      <c r="I5241" t="s">
        <v>171</v>
      </c>
      <c r="J5241" t="s">
        <v>2</v>
      </c>
      <c r="K5241" s="9">
        <v>44798.373368055603</v>
      </c>
      <c r="L5241" t="s">
        <v>29</v>
      </c>
      <c r="M5241" t="s">
        <v>5331</v>
      </c>
      <c r="N5241"/>
      <c r="O5241"/>
      <c r="P5241"/>
      <c r="Q5241" s="9">
        <v>44873</v>
      </c>
      <c r="R5241" s="9">
        <v>44798.372175925899</v>
      </c>
      <c r="S5241"/>
      <c r="T5241"/>
      <c r="U5241"/>
    </row>
    <row r="5242" spans="1:21" hidden="1">
      <c r="A5242" s="7" t="s">
        <v>8760</v>
      </c>
      <c r="B5242" s="7" t="s">
        <v>8350</v>
      </c>
      <c r="C5242" s="8" t="s">
        <v>5319</v>
      </c>
      <c r="D5242" t="s">
        <v>272</v>
      </c>
      <c r="E5242" t="s">
        <v>512</v>
      </c>
      <c r="F5242" t="s">
        <v>117</v>
      </c>
      <c r="G5242" t="s">
        <v>2664</v>
      </c>
      <c r="H5242" s="9">
        <v>44733</v>
      </c>
      <c r="I5242" t="s">
        <v>171</v>
      </c>
      <c r="J5242" t="s">
        <v>2</v>
      </c>
      <c r="K5242" s="9">
        <v>44798.373368055603</v>
      </c>
      <c r="L5242" t="s">
        <v>29</v>
      </c>
      <c r="M5242" t="s">
        <v>5331</v>
      </c>
      <c r="N5242"/>
      <c r="O5242"/>
      <c r="P5242"/>
      <c r="Q5242" s="9">
        <v>44873</v>
      </c>
      <c r="R5242" s="9">
        <v>44798.372175925899</v>
      </c>
      <c r="S5242"/>
      <c r="T5242"/>
      <c r="U5242"/>
    </row>
    <row r="5243" spans="1:21" hidden="1">
      <c r="A5243" s="7" t="s">
        <v>8760</v>
      </c>
      <c r="B5243" s="7" t="s">
        <v>8350</v>
      </c>
      <c r="C5243" s="8" t="s">
        <v>5319</v>
      </c>
      <c r="D5243" t="s">
        <v>272</v>
      </c>
      <c r="E5243" t="s">
        <v>512</v>
      </c>
      <c r="F5243" t="s">
        <v>117</v>
      </c>
      <c r="G5243" t="s">
        <v>2665</v>
      </c>
      <c r="H5243" s="9">
        <v>44733</v>
      </c>
      <c r="I5243" t="s">
        <v>171</v>
      </c>
      <c r="J5243" t="s">
        <v>2</v>
      </c>
      <c r="K5243" s="9">
        <v>44798.373368055603</v>
      </c>
      <c r="L5243" t="s">
        <v>29</v>
      </c>
      <c r="M5243" t="s">
        <v>5331</v>
      </c>
      <c r="N5243"/>
      <c r="O5243"/>
      <c r="P5243"/>
      <c r="Q5243" s="9">
        <v>44873</v>
      </c>
      <c r="R5243" s="9">
        <v>44798.372175925899</v>
      </c>
      <c r="S5243"/>
      <c r="T5243"/>
      <c r="U5243"/>
    </row>
    <row r="5244" spans="1:21" hidden="1">
      <c r="A5244" s="7" t="s">
        <v>8760</v>
      </c>
      <c r="B5244" s="7" t="s">
        <v>8350</v>
      </c>
      <c r="C5244" s="8" t="s">
        <v>5319</v>
      </c>
      <c r="D5244" t="s">
        <v>272</v>
      </c>
      <c r="E5244" t="s">
        <v>512</v>
      </c>
      <c r="F5244" t="s">
        <v>117</v>
      </c>
      <c r="G5244" t="s">
        <v>2666</v>
      </c>
      <c r="H5244" s="9">
        <v>44733</v>
      </c>
      <c r="I5244" t="s">
        <v>171</v>
      </c>
      <c r="J5244" t="s">
        <v>2</v>
      </c>
      <c r="K5244" s="9">
        <v>44798.373368055603</v>
      </c>
      <c r="L5244" t="s">
        <v>29</v>
      </c>
      <c r="M5244" t="s">
        <v>5331</v>
      </c>
      <c r="N5244"/>
      <c r="O5244"/>
      <c r="P5244"/>
      <c r="Q5244" s="9">
        <v>44873</v>
      </c>
      <c r="R5244" s="9">
        <v>44798.372175925899</v>
      </c>
      <c r="S5244"/>
      <c r="T5244"/>
      <c r="U5244"/>
    </row>
    <row r="5245" spans="1:21" hidden="1">
      <c r="A5245" s="7" t="s">
        <v>8760</v>
      </c>
      <c r="B5245" s="7" t="s">
        <v>8350</v>
      </c>
      <c r="C5245" s="8" t="s">
        <v>5319</v>
      </c>
      <c r="D5245" t="s">
        <v>272</v>
      </c>
      <c r="E5245" t="s">
        <v>512</v>
      </c>
      <c r="F5245" t="s">
        <v>117</v>
      </c>
      <c r="G5245" t="s">
        <v>2667</v>
      </c>
      <c r="H5245" s="9">
        <v>44733</v>
      </c>
      <c r="I5245" t="s">
        <v>171</v>
      </c>
      <c r="J5245" t="s">
        <v>2</v>
      </c>
      <c r="K5245" s="9">
        <v>44798.373368055603</v>
      </c>
      <c r="L5245" t="s">
        <v>29</v>
      </c>
      <c r="M5245" t="s">
        <v>5331</v>
      </c>
      <c r="N5245"/>
      <c r="O5245"/>
      <c r="P5245"/>
      <c r="Q5245" s="9">
        <v>44873</v>
      </c>
      <c r="R5245" s="9">
        <v>44798.372175925899</v>
      </c>
      <c r="S5245"/>
      <c r="T5245"/>
      <c r="U5245"/>
    </row>
    <row r="5246" spans="1:21" hidden="1">
      <c r="A5246" s="7" t="s">
        <v>8760</v>
      </c>
      <c r="B5246" s="7" t="s">
        <v>8350</v>
      </c>
      <c r="C5246" s="8" t="s">
        <v>5319</v>
      </c>
      <c r="D5246" t="s">
        <v>272</v>
      </c>
      <c r="E5246" t="s">
        <v>512</v>
      </c>
      <c r="F5246" t="s">
        <v>117</v>
      </c>
      <c r="G5246" t="s">
        <v>2668</v>
      </c>
      <c r="H5246" s="9">
        <v>44733</v>
      </c>
      <c r="I5246" t="s">
        <v>171</v>
      </c>
      <c r="J5246" t="s">
        <v>2</v>
      </c>
      <c r="K5246" s="9">
        <v>44798.373368055603</v>
      </c>
      <c r="L5246" t="s">
        <v>29</v>
      </c>
      <c r="M5246" t="s">
        <v>5331</v>
      </c>
      <c r="N5246"/>
      <c r="O5246"/>
      <c r="P5246"/>
      <c r="Q5246" s="9">
        <v>44873</v>
      </c>
      <c r="R5246" s="9">
        <v>44798.372175925899</v>
      </c>
      <c r="S5246"/>
      <c r="T5246"/>
      <c r="U5246"/>
    </row>
    <row r="5247" spans="1:21" hidden="1">
      <c r="A5247" s="7" t="s">
        <v>8760</v>
      </c>
      <c r="B5247" s="7" t="s">
        <v>8350</v>
      </c>
      <c r="C5247" s="8" t="s">
        <v>5319</v>
      </c>
      <c r="D5247" t="s">
        <v>272</v>
      </c>
      <c r="E5247" t="s">
        <v>512</v>
      </c>
      <c r="F5247" t="s">
        <v>117</v>
      </c>
      <c r="G5247" t="s">
        <v>2669</v>
      </c>
      <c r="H5247" s="9">
        <v>44733</v>
      </c>
      <c r="I5247" t="s">
        <v>171</v>
      </c>
      <c r="J5247" t="s">
        <v>2</v>
      </c>
      <c r="K5247" s="9">
        <v>44798.373368055603</v>
      </c>
      <c r="L5247" t="s">
        <v>29</v>
      </c>
      <c r="M5247" t="s">
        <v>5331</v>
      </c>
      <c r="N5247"/>
      <c r="O5247"/>
      <c r="P5247"/>
      <c r="Q5247" s="9">
        <v>44873</v>
      </c>
      <c r="R5247" s="9">
        <v>44798.372175925899</v>
      </c>
      <c r="S5247"/>
      <c r="T5247"/>
      <c r="U5247"/>
    </row>
    <row r="5248" spans="1:21" hidden="1">
      <c r="A5248" s="7" t="s">
        <v>8760</v>
      </c>
      <c r="B5248" s="7" t="s">
        <v>8350</v>
      </c>
      <c r="C5248" s="8" t="s">
        <v>5319</v>
      </c>
      <c r="D5248" t="s">
        <v>272</v>
      </c>
      <c r="E5248" t="s">
        <v>512</v>
      </c>
      <c r="F5248" t="s">
        <v>117</v>
      </c>
      <c r="G5248" t="s">
        <v>2670</v>
      </c>
      <c r="H5248" s="9">
        <v>44733</v>
      </c>
      <c r="I5248" t="s">
        <v>171</v>
      </c>
      <c r="J5248" t="s">
        <v>2</v>
      </c>
      <c r="K5248" s="9">
        <v>44798.373368055603</v>
      </c>
      <c r="L5248" t="s">
        <v>29</v>
      </c>
      <c r="M5248" t="s">
        <v>5331</v>
      </c>
      <c r="N5248"/>
      <c r="O5248"/>
      <c r="P5248"/>
      <c r="Q5248" s="9">
        <v>44873</v>
      </c>
      <c r="R5248" s="9">
        <v>44798.372175925899</v>
      </c>
      <c r="S5248"/>
      <c r="T5248"/>
      <c r="U5248"/>
    </row>
    <row r="5249" spans="1:21" hidden="1">
      <c r="A5249" s="7" t="s">
        <v>8760</v>
      </c>
      <c r="B5249" s="7" t="s">
        <v>8350</v>
      </c>
      <c r="C5249" s="8" t="s">
        <v>5319</v>
      </c>
      <c r="D5249" t="s">
        <v>272</v>
      </c>
      <c r="E5249" t="s">
        <v>512</v>
      </c>
      <c r="F5249" t="s">
        <v>117</v>
      </c>
      <c r="G5249" t="s">
        <v>2671</v>
      </c>
      <c r="H5249" s="9">
        <v>44733</v>
      </c>
      <c r="I5249" t="s">
        <v>171</v>
      </c>
      <c r="J5249" t="s">
        <v>2</v>
      </c>
      <c r="K5249" s="9">
        <v>44798.373368055603</v>
      </c>
      <c r="L5249" t="s">
        <v>29</v>
      </c>
      <c r="M5249" t="s">
        <v>5331</v>
      </c>
      <c r="N5249"/>
      <c r="O5249"/>
      <c r="P5249"/>
      <c r="Q5249" s="9">
        <v>44873</v>
      </c>
      <c r="R5249" s="9">
        <v>44798.372175925899</v>
      </c>
      <c r="S5249"/>
      <c r="T5249"/>
      <c r="U5249"/>
    </row>
    <row r="5250" spans="1:21" hidden="1">
      <c r="A5250" s="7" t="s">
        <v>8760</v>
      </c>
      <c r="B5250" s="7" t="s">
        <v>8350</v>
      </c>
      <c r="C5250" s="8" t="s">
        <v>5319</v>
      </c>
      <c r="D5250" t="s">
        <v>272</v>
      </c>
      <c r="E5250" t="s">
        <v>512</v>
      </c>
      <c r="F5250" t="s">
        <v>117</v>
      </c>
      <c r="G5250" t="s">
        <v>2672</v>
      </c>
      <c r="H5250" s="9">
        <v>44733</v>
      </c>
      <c r="I5250" t="s">
        <v>171</v>
      </c>
      <c r="J5250" t="s">
        <v>2</v>
      </c>
      <c r="K5250" s="9">
        <v>44798.373368055603</v>
      </c>
      <c r="L5250" t="s">
        <v>29</v>
      </c>
      <c r="M5250" t="s">
        <v>5331</v>
      </c>
      <c r="N5250"/>
      <c r="O5250"/>
      <c r="P5250"/>
      <c r="Q5250" s="9">
        <v>44873</v>
      </c>
      <c r="R5250" s="9">
        <v>44798.372175925899</v>
      </c>
      <c r="S5250"/>
      <c r="T5250"/>
      <c r="U5250"/>
    </row>
    <row r="5251" spans="1:21" hidden="1">
      <c r="A5251" s="7" t="s">
        <v>8760</v>
      </c>
      <c r="B5251" s="7" t="s">
        <v>8350</v>
      </c>
      <c r="C5251" s="8" t="s">
        <v>5319</v>
      </c>
      <c r="D5251" t="s">
        <v>272</v>
      </c>
      <c r="E5251" t="s">
        <v>512</v>
      </c>
      <c r="F5251" t="s">
        <v>117</v>
      </c>
      <c r="G5251" t="s">
        <v>2673</v>
      </c>
      <c r="H5251" s="9">
        <v>44733</v>
      </c>
      <c r="I5251" t="s">
        <v>171</v>
      </c>
      <c r="J5251" t="s">
        <v>2</v>
      </c>
      <c r="K5251" s="9">
        <v>44798.373368055603</v>
      </c>
      <c r="L5251" t="s">
        <v>29</v>
      </c>
      <c r="M5251" t="s">
        <v>5331</v>
      </c>
      <c r="N5251"/>
      <c r="O5251"/>
      <c r="P5251"/>
      <c r="Q5251" s="9">
        <v>44873</v>
      </c>
      <c r="R5251" s="9">
        <v>44798.372175925899</v>
      </c>
      <c r="S5251"/>
      <c r="T5251"/>
      <c r="U5251"/>
    </row>
    <row r="5252" spans="1:21" hidden="1">
      <c r="A5252" s="7" t="s">
        <v>8760</v>
      </c>
      <c r="B5252" s="7" t="s">
        <v>8350</v>
      </c>
      <c r="C5252" s="8" t="s">
        <v>5319</v>
      </c>
      <c r="D5252" t="s">
        <v>272</v>
      </c>
      <c r="E5252" t="s">
        <v>512</v>
      </c>
      <c r="F5252" t="s">
        <v>117</v>
      </c>
      <c r="G5252" t="s">
        <v>2674</v>
      </c>
      <c r="H5252" s="9">
        <v>44733</v>
      </c>
      <c r="I5252" t="s">
        <v>171</v>
      </c>
      <c r="J5252" t="s">
        <v>2</v>
      </c>
      <c r="K5252" s="9">
        <v>44798.373368055603</v>
      </c>
      <c r="L5252" t="s">
        <v>29</v>
      </c>
      <c r="M5252" t="s">
        <v>5331</v>
      </c>
      <c r="N5252"/>
      <c r="O5252"/>
      <c r="P5252"/>
      <c r="Q5252" s="9">
        <v>44873</v>
      </c>
      <c r="R5252" s="9">
        <v>44798.372175925899</v>
      </c>
      <c r="S5252"/>
      <c r="T5252"/>
      <c r="U5252"/>
    </row>
    <row r="5253" spans="1:21" hidden="1">
      <c r="A5253" s="7" t="s">
        <v>8760</v>
      </c>
      <c r="B5253" s="7" t="s">
        <v>8350</v>
      </c>
      <c r="C5253" s="8" t="s">
        <v>5319</v>
      </c>
      <c r="D5253" t="s">
        <v>272</v>
      </c>
      <c r="E5253" t="s">
        <v>512</v>
      </c>
      <c r="F5253" t="s">
        <v>117</v>
      </c>
      <c r="G5253" t="s">
        <v>2675</v>
      </c>
      <c r="H5253" s="9">
        <v>44733</v>
      </c>
      <c r="I5253" t="s">
        <v>171</v>
      </c>
      <c r="J5253" t="s">
        <v>2</v>
      </c>
      <c r="K5253" s="9">
        <v>44798.373368055603</v>
      </c>
      <c r="L5253" t="s">
        <v>29</v>
      </c>
      <c r="M5253" t="s">
        <v>5331</v>
      </c>
      <c r="N5253"/>
      <c r="O5253"/>
      <c r="P5253"/>
      <c r="Q5253" s="9">
        <v>44873</v>
      </c>
      <c r="R5253" s="9">
        <v>44798.372175925899</v>
      </c>
      <c r="S5253"/>
      <c r="T5253"/>
      <c r="U5253"/>
    </row>
    <row r="5254" spans="1:21" hidden="1">
      <c r="A5254" s="7" t="s">
        <v>8760</v>
      </c>
      <c r="B5254" s="7" t="s">
        <v>8350</v>
      </c>
      <c r="C5254" s="8" t="s">
        <v>5319</v>
      </c>
      <c r="D5254" t="s">
        <v>272</v>
      </c>
      <c r="E5254" t="s">
        <v>512</v>
      </c>
      <c r="F5254" t="s">
        <v>117</v>
      </c>
      <c r="G5254" t="s">
        <v>2676</v>
      </c>
      <c r="H5254" s="9">
        <v>44733</v>
      </c>
      <c r="I5254" t="s">
        <v>171</v>
      </c>
      <c r="J5254" t="s">
        <v>2</v>
      </c>
      <c r="K5254" s="9">
        <v>44798.373368055603</v>
      </c>
      <c r="L5254" t="s">
        <v>29</v>
      </c>
      <c r="M5254" t="s">
        <v>5331</v>
      </c>
      <c r="N5254"/>
      <c r="O5254"/>
      <c r="P5254"/>
      <c r="Q5254" s="9">
        <v>44873</v>
      </c>
      <c r="R5254" s="9">
        <v>44798.372175925899</v>
      </c>
      <c r="S5254"/>
      <c r="T5254"/>
      <c r="U5254"/>
    </row>
    <row r="5255" spans="1:21" hidden="1">
      <c r="A5255" s="7" t="s">
        <v>8760</v>
      </c>
      <c r="B5255" s="7" t="s">
        <v>8350</v>
      </c>
      <c r="C5255" s="8" t="s">
        <v>5319</v>
      </c>
      <c r="D5255" t="s">
        <v>272</v>
      </c>
      <c r="E5255" t="s">
        <v>512</v>
      </c>
      <c r="F5255" t="s">
        <v>117</v>
      </c>
      <c r="G5255" t="s">
        <v>2677</v>
      </c>
      <c r="H5255" s="9">
        <v>44733</v>
      </c>
      <c r="I5255" t="s">
        <v>171</v>
      </c>
      <c r="J5255" t="s">
        <v>2</v>
      </c>
      <c r="K5255" s="9">
        <v>44798.373368055603</v>
      </c>
      <c r="L5255" t="s">
        <v>29</v>
      </c>
      <c r="M5255" t="s">
        <v>5331</v>
      </c>
      <c r="N5255"/>
      <c r="O5255"/>
      <c r="P5255"/>
      <c r="Q5255" s="9">
        <v>44873</v>
      </c>
      <c r="R5255" s="9">
        <v>44798.372175925899</v>
      </c>
      <c r="S5255"/>
      <c r="T5255"/>
      <c r="U5255"/>
    </row>
    <row r="5256" spans="1:21" hidden="1">
      <c r="A5256" s="7" t="s">
        <v>8881</v>
      </c>
      <c r="B5256" s="7" t="s">
        <v>6927</v>
      </c>
      <c r="C5256" s="8" t="s">
        <v>5319</v>
      </c>
      <c r="D5256" t="s">
        <v>272</v>
      </c>
      <c r="E5256" t="s">
        <v>2678</v>
      </c>
      <c r="F5256" t="s">
        <v>209</v>
      </c>
      <c r="G5256" t="s">
        <v>2679</v>
      </c>
      <c r="H5256" s="9">
        <v>44733</v>
      </c>
      <c r="I5256" t="s">
        <v>2187</v>
      </c>
      <c r="J5256" t="s">
        <v>276</v>
      </c>
      <c r="K5256" s="9">
        <v>44879.706689814797</v>
      </c>
      <c r="L5256" t="s">
        <v>29</v>
      </c>
      <c r="M5256" t="s">
        <v>5331</v>
      </c>
      <c r="N5256" s="9">
        <v>44778</v>
      </c>
      <c r="O5256" s="9">
        <v>44834</v>
      </c>
      <c r="P5256"/>
      <c r="Q5256" s="9">
        <v>44882</v>
      </c>
      <c r="R5256" s="9">
        <v>44879.704282407401</v>
      </c>
      <c r="S5256"/>
      <c r="T5256"/>
      <c r="U5256"/>
    </row>
    <row r="5257" spans="1:21" hidden="1">
      <c r="A5257" s="7" t="s">
        <v>8881</v>
      </c>
      <c r="B5257" s="7" t="s">
        <v>6927</v>
      </c>
      <c r="C5257" s="8" t="s">
        <v>5319</v>
      </c>
      <c r="D5257" t="s">
        <v>272</v>
      </c>
      <c r="E5257" t="s">
        <v>2678</v>
      </c>
      <c r="F5257" t="s">
        <v>209</v>
      </c>
      <c r="G5257" t="s">
        <v>2680</v>
      </c>
      <c r="H5257" s="9">
        <v>44733</v>
      </c>
      <c r="I5257" t="s">
        <v>2187</v>
      </c>
      <c r="J5257" t="s">
        <v>276</v>
      </c>
      <c r="K5257" s="9">
        <v>44879.706689814797</v>
      </c>
      <c r="L5257" t="s">
        <v>29</v>
      </c>
      <c r="M5257" t="s">
        <v>5331</v>
      </c>
      <c r="N5257" s="9">
        <v>44778</v>
      </c>
      <c r="O5257" s="9">
        <v>44834</v>
      </c>
      <c r="P5257"/>
      <c r="Q5257" s="9">
        <v>44882</v>
      </c>
      <c r="R5257" s="9">
        <v>44879.704282407401</v>
      </c>
      <c r="S5257"/>
      <c r="T5257"/>
      <c r="U5257"/>
    </row>
    <row r="5258" spans="1:21" hidden="1">
      <c r="A5258" s="7" t="s">
        <v>8881</v>
      </c>
      <c r="B5258" s="7" t="s">
        <v>6927</v>
      </c>
      <c r="C5258" s="8" t="s">
        <v>5319</v>
      </c>
      <c r="D5258" t="s">
        <v>272</v>
      </c>
      <c r="E5258" t="s">
        <v>2678</v>
      </c>
      <c r="F5258" t="s">
        <v>209</v>
      </c>
      <c r="G5258" t="s">
        <v>2681</v>
      </c>
      <c r="H5258" s="9">
        <v>44733</v>
      </c>
      <c r="I5258" t="s">
        <v>2187</v>
      </c>
      <c r="J5258" t="s">
        <v>276</v>
      </c>
      <c r="K5258" s="9">
        <v>44879.706689814797</v>
      </c>
      <c r="L5258" t="s">
        <v>29</v>
      </c>
      <c r="M5258" t="s">
        <v>5331</v>
      </c>
      <c r="N5258" s="9">
        <v>44778</v>
      </c>
      <c r="O5258" s="9">
        <v>44834</v>
      </c>
      <c r="P5258"/>
      <c r="Q5258" s="9">
        <v>44882</v>
      </c>
      <c r="R5258" s="9">
        <v>44879.704282407401</v>
      </c>
      <c r="S5258"/>
      <c r="T5258"/>
      <c r="U5258"/>
    </row>
    <row r="5259" spans="1:21" hidden="1">
      <c r="A5259" s="7" t="s">
        <v>8881</v>
      </c>
      <c r="B5259" s="7" t="s">
        <v>6927</v>
      </c>
      <c r="C5259" s="8" t="s">
        <v>5319</v>
      </c>
      <c r="D5259" t="s">
        <v>272</v>
      </c>
      <c r="E5259" t="s">
        <v>2678</v>
      </c>
      <c r="F5259" t="s">
        <v>209</v>
      </c>
      <c r="G5259" t="s">
        <v>2682</v>
      </c>
      <c r="H5259" s="9">
        <v>44733</v>
      </c>
      <c r="I5259" t="s">
        <v>2187</v>
      </c>
      <c r="J5259" t="s">
        <v>276</v>
      </c>
      <c r="K5259" s="9">
        <v>44879.706689814797</v>
      </c>
      <c r="L5259" t="s">
        <v>29</v>
      </c>
      <c r="M5259" t="s">
        <v>5331</v>
      </c>
      <c r="N5259" s="9">
        <v>44778</v>
      </c>
      <c r="O5259" s="9">
        <v>44834</v>
      </c>
      <c r="P5259"/>
      <c r="Q5259" s="9">
        <v>44882</v>
      </c>
      <c r="R5259" s="9">
        <v>44879.704282407401</v>
      </c>
      <c r="S5259"/>
      <c r="T5259"/>
      <c r="U5259"/>
    </row>
    <row r="5260" spans="1:21" hidden="1">
      <c r="A5260" s="7" t="s">
        <v>8881</v>
      </c>
      <c r="B5260" s="7" t="s">
        <v>6927</v>
      </c>
      <c r="C5260" s="8" t="s">
        <v>5319</v>
      </c>
      <c r="D5260" t="s">
        <v>272</v>
      </c>
      <c r="E5260" t="s">
        <v>2678</v>
      </c>
      <c r="F5260" t="s">
        <v>209</v>
      </c>
      <c r="G5260" t="s">
        <v>2683</v>
      </c>
      <c r="H5260" s="9">
        <v>44733</v>
      </c>
      <c r="I5260" t="s">
        <v>2187</v>
      </c>
      <c r="J5260" t="s">
        <v>276</v>
      </c>
      <c r="K5260" s="9">
        <v>44879.706689814797</v>
      </c>
      <c r="L5260" t="s">
        <v>29</v>
      </c>
      <c r="M5260" t="s">
        <v>5331</v>
      </c>
      <c r="N5260" s="9">
        <v>44778</v>
      </c>
      <c r="O5260" s="9">
        <v>44834</v>
      </c>
      <c r="P5260"/>
      <c r="Q5260" s="9">
        <v>44882</v>
      </c>
      <c r="R5260" s="9">
        <v>44879.704282407401</v>
      </c>
      <c r="S5260"/>
      <c r="T5260"/>
      <c r="U5260"/>
    </row>
    <row r="5261" spans="1:21" hidden="1">
      <c r="A5261" s="7" t="s">
        <v>8881</v>
      </c>
      <c r="B5261" s="7" t="s">
        <v>6927</v>
      </c>
      <c r="C5261" s="8" t="s">
        <v>5319</v>
      </c>
      <c r="D5261" t="s">
        <v>272</v>
      </c>
      <c r="E5261" t="s">
        <v>2678</v>
      </c>
      <c r="F5261" t="s">
        <v>209</v>
      </c>
      <c r="G5261" t="s">
        <v>2684</v>
      </c>
      <c r="H5261" s="9">
        <v>44733</v>
      </c>
      <c r="I5261" t="s">
        <v>2187</v>
      </c>
      <c r="J5261" t="s">
        <v>276</v>
      </c>
      <c r="K5261" s="9">
        <v>44879.706689814797</v>
      </c>
      <c r="L5261" t="s">
        <v>29</v>
      </c>
      <c r="M5261" t="s">
        <v>5331</v>
      </c>
      <c r="N5261" s="9">
        <v>44778</v>
      </c>
      <c r="O5261" s="9">
        <v>44834</v>
      </c>
      <c r="P5261"/>
      <c r="Q5261" s="9">
        <v>44882</v>
      </c>
      <c r="R5261" s="9">
        <v>44879.704282407401</v>
      </c>
      <c r="S5261"/>
      <c r="T5261"/>
      <c r="U5261"/>
    </row>
    <row r="5262" spans="1:21" hidden="1">
      <c r="A5262" s="7" t="s">
        <v>8881</v>
      </c>
      <c r="B5262" s="7" t="s">
        <v>6927</v>
      </c>
      <c r="C5262" s="8" t="s">
        <v>5319</v>
      </c>
      <c r="D5262" t="s">
        <v>272</v>
      </c>
      <c r="E5262" t="s">
        <v>2678</v>
      </c>
      <c r="F5262" t="s">
        <v>209</v>
      </c>
      <c r="G5262" t="s">
        <v>2685</v>
      </c>
      <c r="H5262" s="9">
        <v>44733</v>
      </c>
      <c r="I5262" t="s">
        <v>2187</v>
      </c>
      <c r="J5262" t="s">
        <v>276</v>
      </c>
      <c r="K5262" s="9">
        <v>44879.706689814797</v>
      </c>
      <c r="L5262" t="s">
        <v>29</v>
      </c>
      <c r="M5262" t="s">
        <v>5331</v>
      </c>
      <c r="N5262" s="9">
        <v>44778</v>
      </c>
      <c r="O5262" s="9">
        <v>44834</v>
      </c>
      <c r="P5262"/>
      <c r="Q5262" s="9">
        <v>44882</v>
      </c>
      <c r="R5262" s="9">
        <v>44879.704282407401</v>
      </c>
      <c r="S5262"/>
      <c r="T5262"/>
      <c r="U5262"/>
    </row>
    <row r="5263" spans="1:21" hidden="1">
      <c r="A5263" s="7" t="s">
        <v>8881</v>
      </c>
      <c r="B5263" s="7" t="s">
        <v>6927</v>
      </c>
      <c r="C5263" s="8" t="s">
        <v>5319</v>
      </c>
      <c r="D5263" t="s">
        <v>272</v>
      </c>
      <c r="E5263" t="s">
        <v>2678</v>
      </c>
      <c r="F5263" t="s">
        <v>209</v>
      </c>
      <c r="G5263" t="s">
        <v>2686</v>
      </c>
      <c r="H5263" s="9">
        <v>44733</v>
      </c>
      <c r="I5263" t="s">
        <v>2187</v>
      </c>
      <c r="J5263" t="s">
        <v>276</v>
      </c>
      <c r="K5263" s="9">
        <v>44879.706689814797</v>
      </c>
      <c r="L5263" t="s">
        <v>29</v>
      </c>
      <c r="M5263" t="s">
        <v>5331</v>
      </c>
      <c r="N5263" s="9">
        <v>44778</v>
      </c>
      <c r="O5263" s="9">
        <v>44834</v>
      </c>
      <c r="P5263"/>
      <c r="Q5263" s="9">
        <v>44882</v>
      </c>
      <c r="R5263" s="9">
        <v>44879.704282407401</v>
      </c>
      <c r="S5263"/>
      <c r="T5263"/>
      <c r="U5263"/>
    </row>
    <row r="5264" spans="1:21" hidden="1">
      <c r="A5264" s="7" t="s">
        <v>8881</v>
      </c>
      <c r="B5264" s="7" t="s">
        <v>6927</v>
      </c>
      <c r="C5264" s="8" t="s">
        <v>5319</v>
      </c>
      <c r="D5264" t="s">
        <v>272</v>
      </c>
      <c r="E5264" t="s">
        <v>2678</v>
      </c>
      <c r="F5264" t="s">
        <v>209</v>
      </c>
      <c r="G5264" t="s">
        <v>2687</v>
      </c>
      <c r="H5264" s="9">
        <v>44733</v>
      </c>
      <c r="I5264" t="s">
        <v>2187</v>
      </c>
      <c r="J5264" t="s">
        <v>276</v>
      </c>
      <c r="K5264" s="9">
        <v>44879.706689814797</v>
      </c>
      <c r="L5264" t="s">
        <v>29</v>
      </c>
      <c r="M5264" t="s">
        <v>5331</v>
      </c>
      <c r="N5264" s="9">
        <v>44778</v>
      </c>
      <c r="O5264" s="9">
        <v>44834</v>
      </c>
      <c r="P5264"/>
      <c r="Q5264" s="9">
        <v>44882</v>
      </c>
      <c r="R5264" s="9">
        <v>44879.704282407401</v>
      </c>
      <c r="S5264"/>
      <c r="T5264"/>
      <c r="U5264"/>
    </row>
    <row r="5265" spans="1:21" hidden="1">
      <c r="A5265" s="7" t="s">
        <v>8881</v>
      </c>
      <c r="B5265" s="7" t="s">
        <v>6927</v>
      </c>
      <c r="C5265" s="8" t="s">
        <v>5319</v>
      </c>
      <c r="D5265" t="s">
        <v>272</v>
      </c>
      <c r="E5265" t="s">
        <v>2678</v>
      </c>
      <c r="F5265" t="s">
        <v>209</v>
      </c>
      <c r="G5265" t="s">
        <v>2688</v>
      </c>
      <c r="H5265" s="9">
        <v>44733</v>
      </c>
      <c r="I5265" t="s">
        <v>2187</v>
      </c>
      <c r="J5265" t="s">
        <v>276</v>
      </c>
      <c r="K5265" s="9">
        <v>44879.706689814797</v>
      </c>
      <c r="L5265" t="s">
        <v>29</v>
      </c>
      <c r="M5265" t="s">
        <v>5331</v>
      </c>
      <c r="N5265" s="9">
        <v>44778</v>
      </c>
      <c r="O5265" s="9">
        <v>44834</v>
      </c>
      <c r="P5265"/>
      <c r="Q5265" s="9">
        <v>44882</v>
      </c>
      <c r="R5265" s="9">
        <v>44879.704282407401</v>
      </c>
      <c r="S5265"/>
      <c r="T5265"/>
      <c r="U5265"/>
    </row>
    <row r="5266" spans="1:21" hidden="1">
      <c r="A5266" s="7" t="s">
        <v>8881</v>
      </c>
      <c r="B5266" s="7" t="s">
        <v>6927</v>
      </c>
      <c r="C5266" s="8" t="s">
        <v>5319</v>
      </c>
      <c r="D5266" t="s">
        <v>272</v>
      </c>
      <c r="E5266" t="s">
        <v>2678</v>
      </c>
      <c r="F5266" t="s">
        <v>209</v>
      </c>
      <c r="G5266" t="s">
        <v>2689</v>
      </c>
      <c r="H5266" s="9">
        <v>44733</v>
      </c>
      <c r="I5266" t="s">
        <v>2187</v>
      </c>
      <c r="J5266" t="s">
        <v>276</v>
      </c>
      <c r="K5266" s="9">
        <v>44879.706689814797</v>
      </c>
      <c r="L5266" t="s">
        <v>29</v>
      </c>
      <c r="M5266" t="s">
        <v>5331</v>
      </c>
      <c r="N5266" s="9">
        <v>44778</v>
      </c>
      <c r="O5266" s="9">
        <v>44834</v>
      </c>
      <c r="P5266"/>
      <c r="Q5266" s="9">
        <v>44882</v>
      </c>
      <c r="R5266" s="9">
        <v>44879.704282407401</v>
      </c>
      <c r="S5266"/>
      <c r="T5266"/>
      <c r="U5266"/>
    </row>
    <row r="5267" spans="1:21" hidden="1">
      <c r="A5267" s="7" t="s">
        <v>8881</v>
      </c>
      <c r="B5267" s="7" t="s">
        <v>6927</v>
      </c>
      <c r="C5267" s="8" t="s">
        <v>5319</v>
      </c>
      <c r="D5267" t="s">
        <v>272</v>
      </c>
      <c r="E5267" t="s">
        <v>2678</v>
      </c>
      <c r="F5267" t="s">
        <v>209</v>
      </c>
      <c r="G5267" t="s">
        <v>2690</v>
      </c>
      <c r="H5267" s="9">
        <v>44733</v>
      </c>
      <c r="I5267" t="s">
        <v>2187</v>
      </c>
      <c r="J5267" t="s">
        <v>276</v>
      </c>
      <c r="K5267" s="9">
        <v>44879.706689814797</v>
      </c>
      <c r="L5267" t="s">
        <v>29</v>
      </c>
      <c r="M5267" t="s">
        <v>5331</v>
      </c>
      <c r="N5267" s="9">
        <v>44778</v>
      </c>
      <c r="O5267" s="9">
        <v>44834</v>
      </c>
      <c r="P5267"/>
      <c r="Q5267" s="9">
        <v>44882</v>
      </c>
      <c r="R5267" s="9">
        <v>44879.704282407401</v>
      </c>
      <c r="S5267"/>
      <c r="T5267"/>
      <c r="U5267"/>
    </row>
    <row r="5268" spans="1:21" hidden="1">
      <c r="A5268" s="7" t="s">
        <v>8758</v>
      </c>
      <c r="B5268" s="7" t="s">
        <v>5405</v>
      </c>
      <c r="C5268" s="8" t="s">
        <v>5319</v>
      </c>
      <c r="D5268" t="s">
        <v>272</v>
      </c>
      <c r="E5268" t="s">
        <v>25</v>
      </c>
      <c r="F5268" t="s">
        <v>493</v>
      </c>
      <c r="G5268" t="s">
        <v>1461</v>
      </c>
      <c r="H5268" s="9">
        <v>44733</v>
      </c>
      <c r="I5268" t="s">
        <v>8634</v>
      </c>
      <c r="J5268" t="s">
        <v>2</v>
      </c>
      <c r="K5268" s="9">
        <v>44834</v>
      </c>
      <c r="L5268" t="s">
        <v>29</v>
      </c>
      <c r="M5268" t="s">
        <v>5331</v>
      </c>
      <c r="N5268" s="9">
        <v>44778</v>
      </c>
      <c r="O5268" s="9">
        <v>44834</v>
      </c>
      <c r="P5268"/>
      <c r="Q5268"/>
      <c r="R5268"/>
      <c r="S5268"/>
      <c r="T5268"/>
      <c r="U5268"/>
    </row>
    <row r="5269" spans="1:21" hidden="1">
      <c r="A5269" s="7" t="s">
        <v>8882</v>
      </c>
      <c r="B5269" s="7" t="s">
        <v>6881</v>
      </c>
      <c r="C5269" s="8" t="s">
        <v>5319</v>
      </c>
      <c r="D5269" t="s">
        <v>272</v>
      </c>
      <c r="E5269" t="s">
        <v>2691</v>
      </c>
      <c r="F5269" t="s">
        <v>231</v>
      </c>
      <c r="G5269" t="s">
        <v>2692</v>
      </c>
      <c r="H5269" s="9">
        <v>44733</v>
      </c>
      <c r="I5269" t="s">
        <v>85</v>
      </c>
      <c r="J5269" t="s">
        <v>2</v>
      </c>
      <c r="K5269" s="9">
        <v>44834</v>
      </c>
      <c r="L5269" t="s">
        <v>29</v>
      </c>
      <c r="M5269" t="s">
        <v>5331</v>
      </c>
      <c r="N5269" s="9">
        <v>44778</v>
      </c>
      <c r="O5269" s="9">
        <v>44834</v>
      </c>
      <c r="P5269"/>
      <c r="Q5269"/>
      <c r="R5269"/>
      <c r="S5269"/>
      <c r="T5269"/>
      <c r="U5269"/>
    </row>
    <row r="5270" spans="1:21" hidden="1">
      <c r="A5270" s="7" t="s">
        <v>8883</v>
      </c>
      <c r="B5270" s="7" t="s">
        <v>6806</v>
      </c>
      <c r="C5270" s="8" t="s">
        <v>5319</v>
      </c>
      <c r="D5270" t="s">
        <v>272</v>
      </c>
      <c r="E5270" t="s">
        <v>2693</v>
      </c>
      <c r="F5270" t="s">
        <v>117</v>
      </c>
      <c r="G5270" t="s">
        <v>2694</v>
      </c>
      <c r="H5270" s="9">
        <v>44733</v>
      </c>
      <c r="I5270" t="s">
        <v>211</v>
      </c>
      <c r="J5270" t="s">
        <v>2</v>
      </c>
      <c r="K5270" s="9">
        <v>44834</v>
      </c>
      <c r="L5270" t="s">
        <v>29</v>
      </c>
      <c r="M5270" t="s">
        <v>5331</v>
      </c>
      <c r="N5270" s="9">
        <v>44778</v>
      </c>
      <c r="O5270" s="9">
        <v>44834</v>
      </c>
      <c r="P5270"/>
      <c r="Q5270"/>
      <c r="R5270"/>
      <c r="S5270"/>
      <c r="T5270"/>
      <c r="U5270"/>
    </row>
    <row r="5271" spans="1:21" hidden="1">
      <c r="A5271" s="7" t="s">
        <v>8883</v>
      </c>
      <c r="B5271" s="7" t="s">
        <v>6806</v>
      </c>
      <c r="C5271" s="8" t="s">
        <v>5319</v>
      </c>
      <c r="D5271" t="s">
        <v>272</v>
      </c>
      <c r="E5271" t="s">
        <v>2693</v>
      </c>
      <c r="F5271" t="s">
        <v>117</v>
      </c>
      <c r="G5271" t="s">
        <v>2695</v>
      </c>
      <c r="H5271" s="9">
        <v>44733</v>
      </c>
      <c r="I5271" t="s">
        <v>211</v>
      </c>
      <c r="J5271" t="s">
        <v>2</v>
      </c>
      <c r="K5271" s="9">
        <v>44834</v>
      </c>
      <c r="L5271" t="s">
        <v>29</v>
      </c>
      <c r="M5271" t="s">
        <v>5331</v>
      </c>
      <c r="N5271" s="9">
        <v>44778</v>
      </c>
      <c r="O5271" s="9">
        <v>44834</v>
      </c>
      <c r="P5271"/>
      <c r="Q5271"/>
      <c r="R5271"/>
      <c r="S5271"/>
      <c r="T5271"/>
      <c r="U5271"/>
    </row>
    <row r="5272" spans="1:21" hidden="1">
      <c r="A5272" s="7" t="s">
        <v>8883</v>
      </c>
      <c r="B5272" s="7" t="s">
        <v>6806</v>
      </c>
      <c r="C5272" s="8" t="s">
        <v>5319</v>
      </c>
      <c r="D5272" t="s">
        <v>272</v>
      </c>
      <c r="E5272" t="s">
        <v>2693</v>
      </c>
      <c r="F5272" t="s">
        <v>117</v>
      </c>
      <c r="G5272" t="s">
        <v>2696</v>
      </c>
      <c r="H5272" s="9">
        <v>44733</v>
      </c>
      <c r="I5272" t="s">
        <v>211</v>
      </c>
      <c r="J5272" t="s">
        <v>2</v>
      </c>
      <c r="K5272" s="9">
        <v>44834</v>
      </c>
      <c r="L5272" t="s">
        <v>29</v>
      </c>
      <c r="M5272" t="s">
        <v>5331</v>
      </c>
      <c r="N5272" s="9">
        <v>44778</v>
      </c>
      <c r="O5272" s="9">
        <v>44834</v>
      </c>
      <c r="P5272"/>
      <c r="Q5272"/>
      <c r="R5272"/>
      <c r="S5272"/>
      <c r="T5272"/>
      <c r="U5272"/>
    </row>
    <row r="5273" spans="1:21" hidden="1">
      <c r="A5273" s="7" t="s">
        <v>8883</v>
      </c>
      <c r="B5273" s="7" t="s">
        <v>6806</v>
      </c>
      <c r="C5273" s="8" t="s">
        <v>5319</v>
      </c>
      <c r="D5273" t="s">
        <v>272</v>
      </c>
      <c r="E5273" t="s">
        <v>2693</v>
      </c>
      <c r="F5273" t="s">
        <v>117</v>
      </c>
      <c r="G5273" t="s">
        <v>2697</v>
      </c>
      <c r="H5273" s="9">
        <v>44733</v>
      </c>
      <c r="I5273" t="s">
        <v>211</v>
      </c>
      <c r="J5273" t="s">
        <v>2</v>
      </c>
      <c r="K5273" s="9">
        <v>44834</v>
      </c>
      <c r="L5273" t="s">
        <v>29</v>
      </c>
      <c r="M5273" t="s">
        <v>5331</v>
      </c>
      <c r="N5273" s="9">
        <v>44778</v>
      </c>
      <c r="O5273" s="9">
        <v>44834</v>
      </c>
      <c r="P5273"/>
      <c r="Q5273"/>
      <c r="R5273"/>
      <c r="S5273"/>
      <c r="T5273"/>
      <c r="U5273"/>
    </row>
    <row r="5274" spans="1:21" hidden="1">
      <c r="A5274" s="7" t="s">
        <v>8883</v>
      </c>
      <c r="B5274" s="7" t="s">
        <v>6806</v>
      </c>
      <c r="C5274" s="8" t="s">
        <v>5319</v>
      </c>
      <c r="D5274" t="s">
        <v>272</v>
      </c>
      <c r="E5274" t="s">
        <v>2693</v>
      </c>
      <c r="F5274" t="s">
        <v>117</v>
      </c>
      <c r="G5274" t="s">
        <v>2698</v>
      </c>
      <c r="H5274" s="9">
        <v>44733</v>
      </c>
      <c r="I5274" t="s">
        <v>211</v>
      </c>
      <c r="J5274" t="s">
        <v>2</v>
      </c>
      <c r="K5274" s="9">
        <v>44834</v>
      </c>
      <c r="L5274" t="s">
        <v>29</v>
      </c>
      <c r="M5274" t="s">
        <v>5331</v>
      </c>
      <c r="N5274" s="9">
        <v>44778</v>
      </c>
      <c r="O5274" s="9">
        <v>44834</v>
      </c>
      <c r="P5274"/>
      <c r="Q5274"/>
      <c r="R5274"/>
      <c r="S5274"/>
      <c r="T5274"/>
      <c r="U5274"/>
    </row>
    <row r="5275" spans="1:21" hidden="1">
      <c r="A5275" s="7" t="s">
        <v>8883</v>
      </c>
      <c r="B5275" s="7" t="s">
        <v>6806</v>
      </c>
      <c r="C5275" s="8" t="s">
        <v>5319</v>
      </c>
      <c r="D5275" t="s">
        <v>272</v>
      </c>
      <c r="E5275" t="s">
        <v>2693</v>
      </c>
      <c r="F5275" t="s">
        <v>117</v>
      </c>
      <c r="G5275" t="s">
        <v>2699</v>
      </c>
      <c r="H5275" s="9">
        <v>44733</v>
      </c>
      <c r="I5275" t="s">
        <v>211</v>
      </c>
      <c r="J5275" t="s">
        <v>2</v>
      </c>
      <c r="K5275" s="9">
        <v>44834</v>
      </c>
      <c r="L5275" t="s">
        <v>29</v>
      </c>
      <c r="M5275" t="s">
        <v>5331</v>
      </c>
      <c r="N5275" s="9">
        <v>44778</v>
      </c>
      <c r="O5275" s="9">
        <v>44834</v>
      </c>
      <c r="P5275"/>
      <c r="Q5275"/>
      <c r="R5275"/>
      <c r="S5275"/>
      <c r="T5275"/>
      <c r="U5275"/>
    </row>
    <row r="5276" spans="1:21" hidden="1">
      <c r="A5276" s="7" t="s">
        <v>8883</v>
      </c>
      <c r="B5276" s="7" t="s">
        <v>6806</v>
      </c>
      <c r="C5276" s="8" t="s">
        <v>5319</v>
      </c>
      <c r="D5276" t="s">
        <v>272</v>
      </c>
      <c r="E5276" t="s">
        <v>2693</v>
      </c>
      <c r="F5276" t="s">
        <v>117</v>
      </c>
      <c r="G5276" t="s">
        <v>2700</v>
      </c>
      <c r="H5276" s="9">
        <v>44733</v>
      </c>
      <c r="I5276" t="s">
        <v>211</v>
      </c>
      <c r="J5276" t="s">
        <v>2</v>
      </c>
      <c r="K5276" s="9">
        <v>44834</v>
      </c>
      <c r="L5276" t="s">
        <v>29</v>
      </c>
      <c r="M5276" t="s">
        <v>5331</v>
      </c>
      <c r="N5276" s="9">
        <v>44778</v>
      </c>
      <c r="O5276" s="9">
        <v>44834</v>
      </c>
      <c r="P5276"/>
      <c r="Q5276"/>
      <c r="R5276"/>
      <c r="S5276"/>
      <c r="T5276"/>
      <c r="U5276"/>
    </row>
    <row r="5277" spans="1:21" hidden="1">
      <c r="A5277" s="7" t="s">
        <v>8883</v>
      </c>
      <c r="B5277" s="7" t="s">
        <v>6806</v>
      </c>
      <c r="C5277" s="8" t="s">
        <v>5319</v>
      </c>
      <c r="D5277" t="s">
        <v>272</v>
      </c>
      <c r="E5277" t="s">
        <v>2693</v>
      </c>
      <c r="F5277" t="s">
        <v>117</v>
      </c>
      <c r="G5277" t="s">
        <v>2701</v>
      </c>
      <c r="H5277" s="9">
        <v>44733</v>
      </c>
      <c r="I5277" t="s">
        <v>211</v>
      </c>
      <c r="J5277" t="s">
        <v>2</v>
      </c>
      <c r="K5277" s="9">
        <v>44834</v>
      </c>
      <c r="L5277" t="s">
        <v>29</v>
      </c>
      <c r="M5277" t="s">
        <v>5331</v>
      </c>
      <c r="N5277" s="9">
        <v>44778</v>
      </c>
      <c r="O5277" s="9">
        <v>44834</v>
      </c>
      <c r="P5277"/>
      <c r="Q5277"/>
      <c r="R5277"/>
      <c r="S5277"/>
      <c r="T5277"/>
      <c r="U5277"/>
    </row>
    <row r="5278" spans="1:21" hidden="1">
      <c r="A5278" s="7" t="s">
        <v>8883</v>
      </c>
      <c r="B5278" s="7" t="s">
        <v>6806</v>
      </c>
      <c r="C5278" s="8" t="s">
        <v>5319</v>
      </c>
      <c r="D5278" t="s">
        <v>272</v>
      </c>
      <c r="E5278" t="s">
        <v>2693</v>
      </c>
      <c r="F5278" t="s">
        <v>117</v>
      </c>
      <c r="G5278" t="s">
        <v>2702</v>
      </c>
      <c r="H5278" s="9">
        <v>44733</v>
      </c>
      <c r="I5278" t="s">
        <v>211</v>
      </c>
      <c r="J5278" t="s">
        <v>2</v>
      </c>
      <c r="K5278" s="9">
        <v>44834</v>
      </c>
      <c r="L5278" t="s">
        <v>29</v>
      </c>
      <c r="M5278" t="s">
        <v>5331</v>
      </c>
      <c r="N5278" s="9">
        <v>44778</v>
      </c>
      <c r="O5278" s="9">
        <v>44834</v>
      </c>
      <c r="P5278"/>
      <c r="Q5278"/>
      <c r="R5278"/>
      <c r="S5278"/>
      <c r="T5278"/>
      <c r="U5278"/>
    </row>
    <row r="5279" spans="1:21" hidden="1">
      <c r="A5279" s="7" t="s">
        <v>8883</v>
      </c>
      <c r="B5279" s="7" t="s">
        <v>6806</v>
      </c>
      <c r="C5279" s="8" t="s">
        <v>5319</v>
      </c>
      <c r="D5279" t="s">
        <v>272</v>
      </c>
      <c r="E5279" t="s">
        <v>2693</v>
      </c>
      <c r="F5279" t="s">
        <v>117</v>
      </c>
      <c r="G5279" t="s">
        <v>2703</v>
      </c>
      <c r="H5279" s="9">
        <v>44733</v>
      </c>
      <c r="I5279" t="s">
        <v>211</v>
      </c>
      <c r="J5279" t="s">
        <v>2</v>
      </c>
      <c r="K5279" s="9">
        <v>44834</v>
      </c>
      <c r="L5279" t="s">
        <v>29</v>
      </c>
      <c r="M5279" t="s">
        <v>5331</v>
      </c>
      <c r="N5279" s="9">
        <v>44778</v>
      </c>
      <c r="O5279" s="9">
        <v>44834</v>
      </c>
      <c r="P5279"/>
      <c r="Q5279"/>
      <c r="R5279"/>
      <c r="S5279"/>
      <c r="T5279"/>
      <c r="U5279"/>
    </row>
    <row r="5280" spans="1:21" hidden="1">
      <c r="A5280" s="7" t="s">
        <v>8883</v>
      </c>
      <c r="B5280" s="7" t="s">
        <v>6806</v>
      </c>
      <c r="C5280" s="8" t="s">
        <v>5319</v>
      </c>
      <c r="D5280" t="s">
        <v>272</v>
      </c>
      <c r="E5280" t="s">
        <v>2693</v>
      </c>
      <c r="F5280" t="s">
        <v>117</v>
      </c>
      <c r="G5280" t="s">
        <v>2704</v>
      </c>
      <c r="H5280" s="9">
        <v>44733</v>
      </c>
      <c r="I5280" t="s">
        <v>211</v>
      </c>
      <c r="J5280" t="s">
        <v>2</v>
      </c>
      <c r="K5280" s="9">
        <v>44834</v>
      </c>
      <c r="L5280" t="s">
        <v>29</v>
      </c>
      <c r="M5280" t="s">
        <v>5331</v>
      </c>
      <c r="N5280" s="9">
        <v>44778</v>
      </c>
      <c r="O5280" s="9">
        <v>44834</v>
      </c>
      <c r="P5280"/>
      <c r="Q5280"/>
      <c r="R5280"/>
      <c r="S5280"/>
      <c r="T5280"/>
      <c r="U5280"/>
    </row>
    <row r="5281" spans="1:21" hidden="1">
      <c r="A5281" s="7" t="s">
        <v>8883</v>
      </c>
      <c r="B5281" s="7" t="s">
        <v>6806</v>
      </c>
      <c r="C5281" s="8" t="s">
        <v>5319</v>
      </c>
      <c r="D5281" t="s">
        <v>272</v>
      </c>
      <c r="E5281" t="s">
        <v>2693</v>
      </c>
      <c r="F5281" t="s">
        <v>117</v>
      </c>
      <c r="G5281" t="s">
        <v>2705</v>
      </c>
      <c r="H5281" s="9">
        <v>44733</v>
      </c>
      <c r="I5281" t="s">
        <v>211</v>
      </c>
      <c r="J5281" t="s">
        <v>2</v>
      </c>
      <c r="K5281" s="9">
        <v>44834</v>
      </c>
      <c r="L5281" t="s">
        <v>29</v>
      </c>
      <c r="M5281" t="s">
        <v>5331</v>
      </c>
      <c r="N5281" s="9">
        <v>44778</v>
      </c>
      <c r="O5281" s="9">
        <v>44834</v>
      </c>
      <c r="P5281"/>
      <c r="Q5281"/>
      <c r="R5281"/>
      <c r="S5281"/>
      <c r="T5281"/>
      <c r="U5281"/>
    </row>
    <row r="5282" spans="1:21" hidden="1">
      <c r="A5282" s="7" t="s">
        <v>8883</v>
      </c>
      <c r="B5282" s="7" t="s">
        <v>6806</v>
      </c>
      <c r="C5282" s="8" t="s">
        <v>5319</v>
      </c>
      <c r="D5282" t="s">
        <v>272</v>
      </c>
      <c r="E5282" t="s">
        <v>2693</v>
      </c>
      <c r="F5282" t="s">
        <v>117</v>
      </c>
      <c r="G5282" t="s">
        <v>2706</v>
      </c>
      <c r="H5282" s="9">
        <v>44733</v>
      </c>
      <c r="I5282" t="s">
        <v>211</v>
      </c>
      <c r="J5282" t="s">
        <v>2</v>
      </c>
      <c r="K5282" s="9">
        <v>44834</v>
      </c>
      <c r="L5282" t="s">
        <v>29</v>
      </c>
      <c r="M5282" t="s">
        <v>5331</v>
      </c>
      <c r="N5282" s="9">
        <v>44778</v>
      </c>
      <c r="O5282" s="9">
        <v>44834</v>
      </c>
      <c r="P5282"/>
      <c r="Q5282"/>
      <c r="R5282"/>
      <c r="S5282"/>
      <c r="T5282"/>
      <c r="U5282"/>
    </row>
    <row r="5283" spans="1:21" hidden="1">
      <c r="A5283" s="7" t="s">
        <v>8883</v>
      </c>
      <c r="B5283" s="7" t="s">
        <v>6806</v>
      </c>
      <c r="C5283" s="8" t="s">
        <v>5319</v>
      </c>
      <c r="D5283" t="s">
        <v>272</v>
      </c>
      <c r="E5283" t="s">
        <v>2693</v>
      </c>
      <c r="F5283" t="s">
        <v>117</v>
      </c>
      <c r="G5283" t="s">
        <v>2707</v>
      </c>
      <c r="H5283" s="9">
        <v>44733</v>
      </c>
      <c r="I5283" t="s">
        <v>211</v>
      </c>
      <c r="J5283" t="s">
        <v>2</v>
      </c>
      <c r="K5283" s="9">
        <v>44834</v>
      </c>
      <c r="L5283" t="s">
        <v>29</v>
      </c>
      <c r="M5283" t="s">
        <v>5331</v>
      </c>
      <c r="N5283" s="9">
        <v>44778</v>
      </c>
      <c r="O5283" s="9">
        <v>44834</v>
      </c>
      <c r="P5283"/>
      <c r="Q5283"/>
      <c r="R5283"/>
      <c r="S5283"/>
      <c r="T5283"/>
      <c r="U5283"/>
    </row>
    <row r="5284" spans="1:21" hidden="1">
      <c r="A5284" s="7" t="s">
        <v>8883</v>
      </c>
      <c r="B5284" s="7" t="s">
        <v>6806</v>
      </c>
      <c r="C5284" s="8" t="s">
        <v>5319</v>
      </c>
      <c r="D5284" t="s">
        <v>272</v>
      </c>
      <c r="E5284" t="s">
        <v>2693</v>
      </c>
      <c r="F5284" t="s">
        <v>117</v>
      </c>
      <c r="G5284" t="s">
        <v>2708</v>
      </c>
      <c r="H5284" s="9">
        <v>44733</v>
      </c>
      <c r="I5284" t="s">
        <v>211</v>
      </c>
      <c r="J5284" t="s">
        <v>2</v>
      </c>
      <c r="K5284" s="9">
        <v>44834</v>
      </c>
      <c r="L5284" t="s">
        <v>29</v>
      </c>
      <c r="M5284" t="s">
        <v>5331</v>
      </c>
      <c r="N5284" s="9">
        <v>44778</v>
      </c>
      <c r="O5284" s="9">
        <v>44834</v>
      </c>
      <c r="P5284"/>
      <c r="Q5284"/>
      <c r="R5284"/>
      <c r="S5284"/>
      <c r="T5284"/>
      <c r="U5284"/>
    </row>
    <row r="5285" spans="1:21" hidden="1">
      <c r="A5285" s="7" t="s">
        <v>8883</v>
      </c>
      <c r="B5285" s="7" t="s">
        <v>6806</v>
      </c>
      <c r="C5285" s="8" t="s">
        <v>5319</v>
      </c>
      <c r="D5285" t="s">
        <v>272</v>
      </c>
      <c r="E5285" t="s">
        <v>2693</v>
      </c>
      <c r="F5285" t="s">
        <v>117</v>
      </c>
      <c r="G5285" t="s">
        <v>2709</v>
      </c>
      <c r="H5285" s="9">
        <v>44733</v>
      </c>
      <c r="I5285" t="s">
        <v>211</v>
      </c>
      <c r="J5285" t="s">
        <v>2</v>
      </c>
      <c r="K5285" s="9">
        <v>44834</v>
      </c>
      <c r="L5285" t="s">
        <v>29</v>
      </c>
      <c r="M5285" t="s">
        <v>5331</v>
      </c>
      <c r="N5285" s="9">
        <v>44778</v>
      </c>
      <c r="O5285" s="9">
        <v>44834</v>
      </c>
      <c r="P5285"/>
      <c r="Q5285"/>
      <c r="R5285"/>
      <c r="S5285"/>
      <c r="T5285"/>
      <c r="U5285"/>
    </row>
    <row r="5286" spans="1:21" hidden="1">
      <c r="A5286" s="7" t="s">
        <v>8883</v>
      </c>
      <c r="B5286" s="7" t="s">
        <v>6806</v>
      </c>
      <c r="C5286" s="8" t="s">
        <v>5319</v>
      </c>
      <c r="D5286" t="s">
        <v>272</v>
      </c>
      <c r="E5286" t="s">
        <v>2693</v>
      </c>
      <c r="F5286" t="s">
        <v>117</v>
      </c>
      <c r="G5286" t="s">
        <v>2710</v>
      </c>
      <c r="H5286" s="9">
        <v>44733</v>
      </c>
      <c r="I5286" t="s">
        <v>211</v>
      </c>
      <c r="J5286" t="s">
        <v>2</v>
      </c>
      <c r="K5286" s="9">
        <v>44834</v>
      </c>
      <c r="L5286" t="s">
        <v>29</v>
      </c>
      <c r="M5286" t="s">
        <v>5331</v>
      </c>
      <c r="N5286" s="9">
        <v>44778</v>
      </c>
      <c r="O5286" s="9">
        <v>44834</v>
      </c>
      <c r="P5286"/>
      <c r="Q5286"/>
      <c r="R5286"/>
      <c r="S5286"/>
      <c r="T5286"/>
      <c r="U5286"/>
    </row>
    <row r="5287" spans="1:21" hidden="1">
      <c r="A5287" s="7" t="s">
        <v>8884</v>
      </c>
      <c r="B5287" s="7" t="s">
        <v>8215</v>
      </c>
      <c r="C5287" s="8" t="s">
        <v>5319</v>
      </c>
      <c r="D5287" t="s">
        <v>272</v>
      </c>
      <c r="E5287" t="s">
        <v>2711</v>
      </c>
      <c r="F5287" t="s">
        <v>117</v>
      </c>
      <c r="G5287" t="s">
        <v>2712</v>
      </c>
      <c r="H5287" s="9">
        <v>44733</v>
      </c>
      <c r="I5287" t="s">
        <v>297</v>
      </c>
      <c r="J5287" t="s">
        <v>2</v>
      </c>
      <c r="K5287" s="9">
        <v>44834</v>
      </c>
      <c r="L5287" t="s">
        <v>29</v>
      </c>
      <c r="M5287" t="s">
        <v>5331</v>
      </c>
      <c r="N5287" s="9">
        <v>44778</v>
      </c>
      <c r="O5287" s="9">
        <v>44834</v>
      </c>
      <c r="P5287"/>
      <c r="Q5287"/>
      <c r="R5287"/>
      <c r="S5287"/>
      <c r="T5287"/>
      <c r="U5287"/>
    </row>
    <row r="5288" spans="1:21" hidden="1">
      <c r="A5288" s="7" t="s">
        <v>8885</v>
      </c>
      <c r="B5288" s="7" t="s">
        <v>7315</v>
      </c>
      <c r="C5288" s="8" t="s">
        <v>5319</v>
      </c>
      <c r="D5288" t="s">
        <v>272</v>
      </c>
      <c r="E5288" t="s">
        <v>2713</v>
      </c>
      <c r="F5288" t="s">
        <v>117</v>
      </c>
      <c r="G5288" t="s">
        <v>2714</v>
      </c>
      <c r="H5288" s="9">
        <v>44733</v>
      </c>
      <c r="I5288" t="s">
        <v>2715</v>
      </c>
      <c r="J5288" t="s">
        <v>2</v>
      </c>
      <c r="K5288" s="9">
        <v>44834</v>
      </c>
      <c r="L5288" t="s">
        <v>29</v>
      </c>
      <c r="M5288" t="s">
        <v>5331</v>
      </c>
      <c r="N5288" s="9">
        <v>44778</v>
      </c>
      <c r="O5288" s="9">
        <v>44834</v>
      </c>
      <c r="P5288"/>
      <c r="Q5288"/>
      <c r="R5288"/>
      <c r="S5288"/>
      <c r="T5288"/>
      <c r="U5288"/>
    </row>
    <row r="5289" spans="1:21" hidden="1">
      <c r="A5289" s="7" t="s">
        <v>8712</v>
      </c>
      <c r="B5289" s="7" t="s">
        <v>5405</v>
      </c>
      <c r="C5289" s="8" t="s">
        <v>5319</v>
      </c>
      <c r="D5289" t="s">
        <v>272</v>
      </c>
      <c r="E5289" t="s">
        <v>25</v>
      </c>
      <c r="F5289" t="s">
        <v>26</v>
      </c>
      <c r="G5289" t="s">
        <v>2716</v>
      </c>
      <c r="H5289" s="9">
        <v>44733</v>
      </c>
      <c r="I5289" t="s">
        <v>8634</v>
      </c>
      <c r="J5289" t="s">
        <v>0</v>
      </c>
      <c r="K5289" s="9">
        <v>44882</v>
      </c>
      <c r="L5289" t="s">
        <v>29</v>
      </c>
      <c r="M5289"/>
      <c r="N5289" s="9">
        <v>44778</v>
      </c>
      <c r="O5289" s="9">
        <v>44834</v>
      </c>
      <c r="P5289"/>
      <c r="Q5289" s="9">
        <v>44882</v>
      </c>
      <c r="R5289"/>
      <c r="S5289"/>
      <c r="T5289"/>
      <c r="U5289"/>
    </row>
    <row r="5290" spans="1:21" hidden="1">
      <c r="A5290" s="7" t="s">
        <v>8886</v>
      </c>
      <c r="B5290" s="7" t="s">
        <v>7263</v>
      </c>
      <c r="C5290" s="8" t="s">
        <v>5319</v>
      </c>
      <c r="D5290" t="s">
        <v>272</v>
      </c>
      <c r="E5290" t="s">
        <v>2717</v>
      </c>
      <c r="F5290" t="s">
        <v>117</v>
      </c>
      <c r="G5290" t="s">
        <v>2718</v>
      </c>
      <c r="H5290" s="9">
        <v>44733</v>
      </c>
      <c r="I5290" t="s">
        <v>2719</v>
      </c>
      <c r="J5290" t="s">
        <v>2</v>
      </c>
      <c r="K5290" s="9">
        <v>44834</v>
      </c>
      <c r="L5290" t="s">
        <v>29</v>
      </c>
      <c r="M5290" t="s">
        <v>5331</v>
      </c>
      <c r="N5290" s="9">
        <v>44778</v>
      </c>
      <c r="O5290" s="9">
        <v>44834</v>
      </c>
      <c r="P5290"/>
      <c r="Q5290"/>
      <c r="R5290"/>
      <c r="S5290"/>
      <c r="T5290"/>
      <c r="U5290"/>
    </row>
    <row r="5291" spans="1:21" hidden="1">
      <c r="A5291" s="7" t="s">
        <v>8886</v>
      </c>
      <c r="B5291" s="7" t="s">
        <v>7263</v>
      </c>
      <c r="C5291" s="8" t="s">
        <v>5319</v>
      </c>
      <c r="D5291" t="s">
        <v>272</v>
      </c>
      <c r="E5291" t="s">
        <v>2717</v>
      </c>
      <c r="F5291" t="s">
        <v>117</v>
      </c>
      <c r="G5291" t="s">
        <v>2720</v>
      </c>
      <c r="H5291" s="9">
        <v>44733</v>
      </c>
      <c r="I5291" t="s">
        <v>2719</v>
      </c>
      <c r="J5291" t="s">
        <v>2</v>
      </c>
      <c r="K5291" s="9">
        <v>44834</v>
      </c>
      <c r="L5291" t="s">
        <v>29</v>
      </c>
      <c r="M5291" t="s">
        <v>5331</v>
      </c>
      <c r="N5291" s="9">
        <v>44778</v>
      </c>
      <c r="O5291" s="9">
        <v>44834</v>
      </c>
      <c r="P5291"/>
      <c r="Q5291"/>
      <c r="R5291"/>
      <c r="S5291"/>
      <c r="T5291"/>
      <c r="U5291"/>
    </row>
    <row r="5292" spans="1:21" hidden="1">
      <c r="A5292" s="7" t="s">
        <v>8758</v>
      </c>
      <c r="B5292" s="7" t="s">
        <v>5405</v>
      </c>
      <c r="C5292" s="8" t="s">
        <v>5319</v>
      </c>
      <c r="D5292" t="s">
        <v>272</v>
      </c>
      <c r="E5292" t="s">
        <v>25</v>
      </c>
      <c r="F5292" t="s">
        <v>493</v>
      </c>
      <c r="G5292" t="s">
        <v>2721</v>
      </c>
      <c r="H5292" s="9">
        <v>44733</v>
      </c>
      <c r="I5292" t="s">
        <v>8634</v>
      </c>
      <c r="J5292" t="s">
        <v>2</v>
      </c>
      <c r="K5292" s="9">
        <v>44834</v>
      </c>
      <c r="L5292" t="s">
        <v>29</v>
      </c>
      <c r="M5292" t="s">
        <v>5331</v>
      </c>
      <c r="N5292" s="9">
        <v>44778</v>
      </c>
      <c r="O5292" s="9">
        <v>44834</v>
      </c>
      <c r="P5292"/>
      <c r="Q5292"/>
      <c r="R5292"/>
      <c r="S5292"/>
      <c r="T5292"/>
      <c r="U5292"/>
    </row>
    <row r="5293" spans="1:21" hidden="1">
      <c r="A5293" s="7" t="s">
        <v>8758</v>
      </c>
      <c r="B5293" s="7" t="s">
        <v>5405</v>
      </c>
      <c r="C5293" s="8" t="s">
        <v>5319</v>
      </c>
      <c r="D5293" t="s">
        <v>272</v>
      </c>
      <c r="E5293" t="s">
        <v>25</v>
      </c>
      <c r="F5293" t="s">
        <v>493</v>
      </c>
      <c r="G5293" t="s">
        <v>2722</v>
      </c>
      <c r="H5293" s="9">
        <v>44733</v>
      </c>
      <c r="I5293" t="s">
        <v>8634</v>
      </c>
      <c r="J5293" t="s">
        <v>2</v>
      </c>
      <c r="K5293" s="9">
        <v>44834</v>
      </c>
      <c r="L5293" t="s">
        <v>29</v>
      </c>
      <c r="M5293" t="s">
        <v>5331</v>
      </c>
      <c r="N5293" s="9">
        <v>44778</v>
      </c>
      <c r="O5293" s="9">
        <v>44834</v>
      </c>
      <c r="P5293"/>
      <c r="Q5293"/>
      <c r="R5293"/>
      <c r="S5293"/>
      <c r="T5293"/>
      <c r="U5293"/>
    </row>
    <row r="5294" spans="1:21" hidden="1">
      <c r="A5294" s="7" t="s">
        <v>8841</v>
      </c>
      <c r="B5294" s="7" t="s">
        <v>7703</v>
      </c>
      <c r="C5294" s="8" t="s">
        <v>5319</v>
      </c>
      <c r="D5294" t="s">
        <v>272</v>
      </c>
      <c r="E5294" t="s">
        <v>2095</v>
      </c>
      <c r="F5294" t="s">
        <v>117</v>
      </c>
      <c r="G5294" t="s">
        <v>2723</v>
      </c>
      <c r="H5294" s="9">
        <v>44733</v>
      </c>
      <c r="I5294" t="s">
        <v>509</v>
      </c>
      <c r="J5294" t="s">
        <v>276</v>
      </c>
      <c r="K5294" s="9">
        <v>44883.786504629599</v>
      </c>
      <c r="L5294" t="s">
        <v>29</v>
      </c>
      <c r="M5294" t="s">
        <v>5331</v>
      </c>
      <c r="N5294" s="9">
        <v>44778</v>
      </c>
      <c r="O5294" s="9">
        <v>44834</v>
      </c>
      <c r="P5294"/>
      <c r="Q5294"/>
      <c r="R5294" s="9">
        <v>44883.785590277803</v>
      </c>
      <c r="S5294"/>
      <c r="T5294"/>
      <c r="U5294"/>
    </row>
    <row r="5295" spans="1:21" hidden="1">
      <c r="A5295" s="7" t="s">
        <v>8841</v>
      </c>
      <c r="B5295" s="7" t="s">
        <v>7703</v>
      </c>
      <c r="C5295" s="8" t="s">
        <v>5319</v>
      </c>
      <c r="D5295" t="s">
        <v>272</v>
      </c>
      <c r="E5295" t="s">
        <v>2095</v>
      </c>
      <c r="F5295" t="s">
        <v>117</v>
      </c>
      <c r="G5295" t="s">
        <v>2724</v>
      </c>
      <c r="H5295" s="9">
        <v>44733</v>
      </c>
      <c r="I5295" t="s">
        <v>509</v>
      </c>
      <c r="J5295" t="s">
        <v>276</v>
      </c>
      <c r="K5295" s="9">
        <v>44883.786504629599</v>
      </c>
      <c r="L5295" t="s">
        <v>29</v>
      </c>
      <c r="M5295" t="s">
        <v>5331</v>
      </c>
      <c r="N5295" s="9">
        <v>44778</v>
      </c>
      <c r="O5295" s="9">
        <v>44834</v>
      </c>
      <c r="P5295"/>
      <c r="Q5295"/>
      <c r="R5295" s="9">
        <v>44883.785590277803</v>
      </c>
      <c r="S5295"/>
      <c r="T5295"/>
      <c r="U5295"/>
    </row>
    <row r="5296" spans="1:21" hidden="1">
      <c r="A5296" s="7" t="s">
        <v>8841</v>
      </c>
      <c r="B5296" s="7" t="s">
        <v>7703</v>
      </c>
      <c r="C5296" s="8" t="s">
        <v>5319</v>
      </c>
      <c r="D5296" t="s">
        <v>272</v>
      </c>
      <c r="E5296" t="s">
        <v>2095</v>
      </c>
      <c r="F5296" t="s">
        <v>117</v>
      </c>
      <c r="G5296" t="s">
        <v>2725</v>
      </c>
      <c r="H5296" s="9">
        <v>44733</v>
      </c>
      <c r="I5296" t="s">
        <v>509</v>
      </c>
      <c r="J5296" t="s">
        <v>276</v>
      </c>
      <c r="K5296" s="9">
        <v>44883.786504629599</v>
      </c>
      <c r="L5296" t="s">
        <v>29</v>
      </c>
      <c r="M5296" t="s">
        <v>5331</v>
      </c>
      <c r="N5296" s="9">
        <v>44778</v>
      </c>
      <c r="O5296" s="9">
        <v>44834</v>
      </c>
      <c r="P5296"/>
      <c r="Q5296"/>
      <c r="R5296" s="9">
        <v>44883.785590277803</v>
      </c>
      <c r="S5296"/>
      <c r="T5296"/>
      <c r="U5296"/>
    </row>
    <row r="5297" spans="1:21" hidden="1">
      <c r="A5297" s="7" t="s">
        <v>8764</v>
      </c>
      <c r="B5297" s="7" t="s">
        <v>5405</v>
      </c>
      <c r="C5297" s="8" t="s">
        <v>5319</v>
      </c>
      <c r="D5297" t="s">
        <v>272</v>
      </c>
      <c r="E5297" t="s">
        <v>25</v>
      </c>
      <c r="F5297" t="s">
        <v>75</v>
      </c>
      <c r="G5297" t="s">
        <v>2726</v>
      </c>
      <c r="H5297" s="9">
        <v>44733</v>
      </c>
      <c r="I5297" t="s">
        <v>8634</v>
      </c>
      <c r="J5297" t="s">
        <v>0</v>
      </c>
      <c r="K5297" s="9">
        <v>44862</v>
      </c>
      <c r="L5297" t="s">
        <v>29</v>
      </c>
      <c r="M5297"/>
      <c r="N5297" s="9">
        <v>44778</v>
      </c>
      <c r="O5297"/>
      <c r="P5297"/>
      <c r="Q5297" s="9">
        <v>44862</v>
      </c>
      <c r="R5297"/>
      <c r="S5297"/>
      <c r="T5297"/>
      <c r="U5297"/>
    </row>
    <row r="5298" spans="1:21" hidden="1">
      <c r="A5298" s="7" t="s">
        <v>8764</v>
      </c>
      <c r="B5298" s="7" t="s">
        <v>5405</v>
      </c>
      <c r="C5298" s="8" t="s">
        <v>5319</v>
      </c>
      <c r="D5298" t="s">
        <v>272</v>
      </c>
      <c r="E5298" t="s">
        <v>25</v>
      </c>
      <c r="F5298" t="s">
        <v>75</v>
      </c>
      <c r="G5298" t="s">
        <v>2727</v>
      </c>
      <c r="H5298" s="9">
        <v>44733</v>
      </c>
      <c r="I5298" t="s">
        <v>8634</v>
      </c>
      <c r="J5298" t="s">
        <v>2</v>
      </c>
      <c r="K5298" s="9">
        <v>44834</v>
      </c>
      <c r="L5298" t="s">
        <v>29</v>
      </c>
      <c r="M5298" t="s">
        <v>5331</v>
      </c>
      <c r="N5298" s="9">
        <v>44778</v>
      </c>
      <c r="O5298" s="9">
        <v>44834</v>
      </c>
      <c r="P5298"/>
      <c r="Q5298"/>
      <c r="R5298"/>
      <c r="S5298"/>
      <c r="T5298"/>
      <c r="U5298"/>
    </row>
    <row r="5299" spans="1:21" hidden="1">
      <c r="A5299" s="7" t="s">
        <v>8764</v>
      </c>
      <c r="B5299" s="7" t="s">
        <v>5405</v>
      </c>
      <c r="C5299" s="8" t="s">
        <v>5319</v>
      </c>
      <c r="D5299" t="s">
        <v>272</v>
      </c>
      <c r="E5299" t="s">
        <v>25</v>
      </c>
      <c r="F5299" t="s">
        <v>75</v>
      </c>
      <c r="G5299" t="s">
        <v>2728</v>
      </c>
      <c r="H5299" s="9">
        <v>44733</v>
      </c>
      <c r="I5299" t="s">
        <v>8634</v>
      </c>
      <c r="J5299" t="s">
        <v>2</v>
      </c>
      <c r="K5299" s="9">
        <v>44834</v>
      </c>
      <c r="L5299" t="s">
        <v>29</v>
      </c>
      <c r="M5299" t="s">
        <v>5331</v>
      </c>
      <c r="N5299" s="9">
        <v>44778</v>
      </c>
      <c r="O5299" s="9">
        <v>44834</v>
      </c>
      <c r="P5299"/>
      <c r="Q5299"/>
      <c r="R5299"/>
      <c r="S5299"/>
      <c r="T5299"/>
      <c r="U5299"/>
    </row>
    <row r="5300" spans="1:21" hidden="1">
      <c r="A5300" s="7" t="s">
        <v>8764</v>
      </c>
      <c r="B5300" s="7" t="s">
        <v>5405</v>
      </c>
      <c r="C5300" s="8" t="s">
        <v>5319</v>
      </c>
      <c r="D5300" t="s">
        <v>272</v>
      </c>
      <c r="E5300" t="s">
        <v>25</v>
      </c>
      <c r="F5300" t="s">
        <v>75</v>
      </c>
      <c r="G5300" t="s">
        <v>2729</v>
      </c>
      <c r="H5300" s="9">
        <v>44733</v>
      </c>
      <c r="I5300" t="s">
        <v>8634</v>
      </c>
      <c r="J5300" t="s">
        <v>2</v>
      </c>
      <c r="K5300" s="9">
        <v>44834</v>
      </c>
      <c r="L5300" t="s">
        <v>29</v>
      </c>
      <c r="M5300" t="s">
        <v>5331</v>
      </c>
      <c r="N5300" s="9">
        <v>44778</v>
      </c>
      <c r="O5300" s="9">
        <v>44834</v>
      </c>
      <c r="P5300"/>
      <c r="Q5300"/>
      <c r="R5300"/>
      <c r="S5300"/>
      <c r="T5300"/>
      <c r="U5300"/>
    </row>
    <row r="5301" spans="1:21" hidden="1">
      <c r="A5301" s="7" t="s">
        <v>8764</v>
      </c>
      <c r="B5301" s="7" t="s">
        <v>5405</v>
      </c>
      <c r="C5301" s="8" t="s">
        <v>5319</v>
      </c>
      <c r="D5301" t="s">
        <v>272</v>
      </c>
      <c r="E5301" t="s">
        <v>25</v>
      </c>
      <c r="F5301" t="s">
        <v>75</v>
      </c>
      <c r="G5301" t="s">
        <v>2730</v>
      </c>
      <c r="H5301" s="9">
        <v>44733</v>
      </c>
      <c r="I5301" t="s">
        <v>8634</v>
      </c>
      <c r="J5301" t="s">
        <v>2</v>
      </c>
      <c r="K5301" s="9">
        <v>44834</v>
      </c>
      <c r="L5301" t="s">
        <v>29</v>
      </c>
      <c r="M5301" t="s">
        <v>5331</v>
      </c>
      <c r="N5301" s="9">
        <v>44778</v>
      </c>
      <c r="O5301" s="9">
        <v>44834</v>
      </c>
      <c r="P5301"/>
      <c r="Q5301"/>
      <c r="R5301"/>
      <c r="S5301"/>
      <c r="T5301"/>
      <c r="U5301"/>
    </row>
    <row r="5302" spans="1:21" hidden="1">
      <c r="A5302" s="7" t="s">
        <v>8764</v>
      </c>
      <c r="B5302" s="7" t="s">
        <v>5405</v>
      </c>
      <c r="C5302" s="8" t="s">
        <v>5319</v>
      </c>
      <c r="D5302" t="s">
        <v>272</v>
      </c>
      <c r="E5302" t="s">
        <v>25</v>
      </c>
      <c r="F5302" t="s">
        <v>75</v>
      </c>
      <c r="G5302" t="s">
        <v>2731</v>
      </c>
      <c r="H5302" s="9">
        <v>44733</v>
      </c>
      <c r="I5302" t="s">
        <v>8634</v>
      </c>
      <c r="J5302" t="s">
        <v>2</v>
      </c>
      <c r="K5302" s="9">
        <v>44834</v>
      </c>
      <c r="L5302" t="s">
        <v>29</v>
      </c>
      <c r="M5302" t="s">
        <v>5331</v>
      </c>
      <c r="N5302" s="9">
        <v>44778</v>
      </c>
      <c r="O5302" s="9">
        <v>44834</v>
      </c>
      <c r="P5302"/>
      <c r="Q5302"/>
      <c r="R5302"/>
      <c r="S5302"/>
      <c r="T5302"/>
      <c r="U5302"/>
    </row>
    <row r="5303" spans="1:21" hidden="1">
      <c r="A5303" s="7" t="s">
        <v>8764</v>
      </c>
      <c r="B5303" s="7" t="s">
        <v>5405</v>
      </c>
      <c r="C5303" s="8" t="s">
        <v>5319</v>
      </c>
      <c r="D5303" t="s">
        <v>272</v>
      </c>
      <c r="E5303" t="s">
        <v>25</v>
      </c>
      <c r="F5303" t="s">
        <v>75</v>
      </c>
      <c r="G5303" t="s">
        <v>2732</v>
      </c>
      <c r="H5303" s="9">
        <v>44733</v>
      </c>
      <c r="I5303" t="s">
        <v>8634</v>
      </c>
      <c r="J5303" t="s">
        <v>2</v>
      </c>
      <c r="K5303" s="9">
        <v>44834</v>
      </c>
      <c r="L5303" t="s">
        <v>29</v>
      </c>
      <c r="M5303" t="s">
        <v>5331</v>
      </c>
      <c r="N5303" s="9">
        <v>44778</v>
      </c>
      <c r="O5303" s="9">
        <v>44834</v>
      </c>
      <c r="P5303"/>
      <c r="Q5303"/>
      <c r="R5303"/>
      <c r="S5303"/>
      <c r="T5303"/>
      <c r="U5303"/>
    </row>
    <row r="5304" spans="1:21" hidden="1">
      <c r="A5304" s="7" t="s">
        <v>8764</v>
      </c>
      <c r="B5304" s="7" t="s">
        <v>5405</v>
      </c>
      <c r="C5304" s="8" t="s">
        <v>5319</v>
      </c>
      <c r="D5304" t="s">
        <v>272</v>
      </c>
      <c r="E5304" t="s">
        <v>25</v>
      </c>
      <c r="F5304" t="s">
        <v>75</v>
      </c>
      <c r="G5304" t="s">
        <v>2733</v>
      </c>
      <c r="H5304" s="9">
        <v>44733</v>
      </c>
      <c r="I5304" t="s">
        <v>8634</v>
      </c>
      <c r="J5304" t="s">
        <v>2</v>
      </c>
      <c r="K5304" s="9">
        <v>44834</v>
      </c>
      <c r="L5304" t="s">
        <v>29</v>
      </c>
      <c r="M5304" t="s">
        <v>5331</v>
      </c>
      <c r="N5304" s="9">
        <v>44778</v>
      </c>
      <c r="O5304" s="9">
        <v>44834</v>
      </c>
      <c r="P5304"/>
      <c r="Q5304"/>
      <c r="R5304"/>
      <c r="S5304"/>
      <c r="T5304"/>
      <c r="U5304"/>
    </row>
    <row r="5305" spans="1:21" hidden="1">
      <c r="A5305" s="7" t="s">
        <v>8764</v>
      </c>
      <c r="B5305" s="7" t="s">
        <v>5405</v>
      </c>
      <c r="C5305" s="8" t="s">
        <v>5319</v>
      </c>
      <c r="D5305" t="s">
        <v>272</v>
      </c>
      <c r="E5305" t="s">
        <v>25</v>
      </c>
      <c r="F5305" t="s">
        <v>75</v>
      </c>
      <c r="G5305" t="s">
        <v>2734</v>
      </c>
      <c r="H5305" s="9">
        <v>44733</v>
      </c>
      <c r="I5305" t="s">
        <v>8634</v>
      </c>
      <c r="J5305" t="s">
        <v>2</v>
      </c>
      <c r="K5305" s="9">
        <v>44834</v>
      </c>
      <c r="L5305" t="s">
        <v>29</v>
      </c>
      <c r="M5305" t="s">
        <v>5331</v>
      </c>
      <c r="N5305" s="9">
        <v>44778</v>
      </c>
      <c r="O5305" s="9">
        <v>44834</v>
      </c>
      <c r="P5305"/>
      <c r="Q5305"/>
      <c r="R5305"/>
      <c r="S5305"/>
      <c r="T5305"/>
      <c r="U5305"/>
    </row>
    <row r="5306" spans="1:21" hidden="1">
      <c r="A5306" s="7" t="s">
        <v>8765</v>
      </c>
      <c r="B5306" s="7" t="s">
        <v>5405</v>
      </c>
      <c r="C5306" s="8" t="s">
        <v>5319</v>
      </c>
      <c r="D5306" t="s">
        <v>272</v>
      </c>
      <c r="E5306" t="s">
        <v>25</v>
      </c>
      <c r="F5306" t="s">
        <v>231</v>
      </c>
      <c r="G5306" t="s">
        <v>2735</v>
      </c>
      <c r="H5306" s="9">
        <v>44733</v>
      </c>
      <c r="I5306" t="s">
        <v>8634</v>
      </c>
      <c r="J5306" t="s">
        <v>2</v>
      </c>
      <c r="K5306" s="9">
        <v>44834</v>
      </c>
      <c r="L5306" t="s">
        <v>29</v>
      </c>
      <c r="M5306" t="s">
        <v>5331</v>
      </c>
      <c r="N5306" s="9">
        <v>44778</v>
      </c>
      <c r="O5306" s="9">
        <v>44834</v>
      </c>
      <c r="P5306"/>
      <c r="Q5306"/>
      <c r="R5306"/>
      <c r="S5306"/>
      <c r="T5306"/>
      <c r="U5306"/>
    </row>
    <row r="5307" spans="1:21" hidden="1">
      <c r="A5307" s="7" t="s">
        <v>8764</v>
      </c>
      <c r="B5307" s="7" t="s">
        <v>5405</v>
      </c>
      <c r="C5307" s="8" t="s">
        <v>5319</v>
      </c>
      <c r="D5307" t="s">
        <v>272</v>
      </c>
      <c r="E5307" t="s">
        <v>25</v>
      </c>
      <c r="F5307" t="s">
        <v>75</v>
      </c>
      <c r="G5307" t="s">
        <v>2736</v>
      </c>
      <c r="H5307" s="9">
        <v>44733</v>
      </c>
      <c r="I5307" t="s">
        <v>8634</v>
      </c>
      <c r="J5307" t="s">
        <v>2</v>
      </c>
      <c r="K5307" s="9">
        <v>44834</v>
      </c>
      <c r="L5307" t="s">
        <v>29</v>
      </c>
      <c r="M5307" t="s">
        <v>5331</v>
      </c>
      <c r="N5307" s="9">
        <v>44778</v>
      </c>
      <c r="O5307" s="9">
        <v>44834</v>
      </c>
      <c r="P5307"/>
      <c r="Q5307"/>
      <c r="R5307"/>
      <c r="S5307"/>
      <c r="T5307"/>
      <c r="U5307"/>
    </row>
    <row r="5308" spans="1:21" hidden="1">
      <c r="A5308" s="7" t="s">
        <v>8764</v>
      </c>
      <c r="B5308" s="7" t="s">
        <v>5405</v>
      </c>
      <c r="C5308" s="8" t="s">
        <v>5319</v>
      </c>
      <c r="D5308" t="s">
        <v>272</v>
      </c>
      <c r="E5308" t="s">
        <v>25</v>
      </c>
      <c r="F5308" t="s">
        <v>75</v>
      </c>
      <c r="G5308" t="s">
        <v>2737</v>
      </c>
      <c r="H5308" s="9">
        <v>44733</v>
      </c>
      <c r="I5308" t="s">
        <v>8634</v>
      </c>
      <c r="J5308" t="s">
        <v>2</v>
      </c>
      <c r="K5308" s="9">
        <v>44834</v>
      </c>
      <c r="L5308" t="s">
        <v>29</v>
      </c>
      <c r="M5308" t="s">
        <v>5331</v>
      </c>
      <c r="N5308" s="9">
        <v>44778</v>
      </c>
      <c r="O5308" s="9">
        <v>44834</v>
      </c>
      <c r="P5308"/>
      <c r="Q5308"/>
      <c r="R5308"/>
      <c r="S5308"/>
      <c r="T5308"/>
      <c r="U5308"/>
    </row>
    <row r="5309" spans="1:21" hidden="1">
      <c r="A5309" s="7" t="s">
        <v>8764</v>
      </c>
      <c r="B5309" s="7" t="s">
        <v>5405</v>
      </c>
      <c r="C5309" s="8" t="s">
        <v>5319</v>
      </c>
      <c r="D5309" t="s">
        <v>272</v>
      </c>
      <c r="E5309" t="s">
        <v>25</v>
      </c>
      <c r="F5309" t="s">
        <v>75</v>
      </c>
      <c r="G5309" t="s">
        <v>2738</v>
      </c>
      <c r="H5309" s="9">
        <v>44733</v>
      </c>
      <c r="I5309" t="s">
        <v>8634</v>
      </c>
      <c r="J5309" t="s">
        <v>2</v>
      </c>
      <c r="K5309" s="9">
        <v>44834</v>
      </c>
      <c r="L5309" t="s">
        <v>29</v>
      </c>
      <c r="M5309" t="s">
        <v>5331</v>
      </c>
      <c r="N5309" s="9">
        <v>44778</v>
      </c>
      <c r="O5309" s="9">
        <v>44834</v>
      </c>
      <c r="P5309"/>
      <c r="Q5309"/>
      <c r="R5309"/>
      <c r="S5309"/>
      <c r="T5309"/>
      <c r="U5309"/>
    </row>
    <row r="5310" spans="1:21" hidden="1">
      <c r="A5310" s="7" t="s">
        <v>8764</v>
      </c>
      <c r="B5310" s="7" t="s">
        <v>5405</v>
      </c>
      <c r="C5310" s="8" t="s">
        <v>5319</v>
      </c>
      <c r="D5310" t="s">
        <v>272</v>
      </c>
      <c r="E5310" t="s">
        <v>25</v>
      </c>
      <c r="F5310" t="s">
        <v>75</v>
      </c>
      <c r="G5310" t="s">
        <v>2739</v>
      </c>
      <c r="H5310" s="9">
        <v>44733</v>
      </c>
      <c r="I5310" t="s">
        <v>8634</v>
      </c>
      <c r="J5310" t="s">
        <v>2</v>
      </c>
      <c r="K5310" s="9">
        <v>44834</v>
      </c>
      <c r="L5310" t="s">
        <v>29</v>
      </c>
      <c r="M5310" t="s">
        <v>5331</v>
      </c>
      <c r="N5310" s="9">
        <v>44778</v>
      </c>
      <c r="O5310" s="9">
        <v>44834</v>
      </c>
      <c r="P5310"/>
      <c r="Q5310"/>
      <c r="R5310"/>
      <c r="S5310"/>
      <c r="T5310"/>
      <c r="U5310"/>
    </row>
    <row r="5311" spans="1:21" hidden="1">
      <c r="A5311" s="7" t="s">
        <v>8840</v>
      </c>
      <c r="B5311" s="7" t="s">
        <v>7494</v>
      </c>
      <c r="C5311" s="8" t="s">
        <v>5319</v>
      </c>
      <c r="D5311" t="s">
        <v>272</v>
      </c>
      <c r="E5311" t="s">
        <v>1957</v>
      </c>
      <c r="F5311" t="s">
        <v>75</v>
      </c>
      <c r="G5311" t="s">
        <v>2740</v>
      </c>
      <c r="H5311" s="9">
        <v>44733</v>
      </c>
      <c r="I5311" t="s">
        <v>509</v>
      </c>
      <c r="J5311" t="s">
        <v>0</v>
      </c>
      <c r="K5311" s="9">
        <v>44844</v>
      </c>
      <c r="L5311" t="s">
        <v>29</v>
      </c>
      <c r="M5311"/>
      <c r="N5311" s="9">
        <v>44778</v>
      </c>
      <c r="O5311" s="9">
        <v>44834</v>
      </c>
      <c r="P5311"/>
      <c r="Q5311" s="9">
        <v>44844</v>
      </c>
      <c r="R5311"/>
      <c r="S5311"/>
      <c r="T5311"/>
      <c r="U5311"/>
    </row>
    <row r="5312" spans="1:21" hidden="1">
      <c r="A5312" s="7" t="s">
        <v>8840</v>
      </c>
      <c r="B5312" s="7" t="s">
        <v>7494</v>
      </c>
      <c r="C5312" s="8" t="s">
        <v>5319</v>
      </c>
      <c r="D5312" t="s">
        <v>272</v>
      </c>
      <c r="E5312" t="s">
        <v>1957</v>
      </c>
      <c r="F5312" t="s">
        <v>75</v>
      </c>
      <c r="G5312" t="s">
        <v>2741</v>
      </c>
      <c r="H5312" s="9">
        <v>44733</v>
      </c>
      <c r="I5312" t="s">
        <v>509</v>
      </c>
      <c r="J5312" t="s">
        <v>0</v>
      </c>
      <c r="K5312" s="9">
        <v>44844</v>
      </c>
      <c r="L5312" t="s">
        <v>29</v>
      </c>
      <c r="M5312"/>
      <c r="N5312" s="9">
        <v>44778</v>
      </c>
      <c r="O5312" s="9">
        <v>44834</v>
      </c>
      <c r="P5312"/>
      <c r="Q5312" s="9">
        <v>44844</v>
      </c>
      <c r="R5312"/>
      <c r="S5312"/>
      <c r="T5312"/>
      <c r="U5312"/>
    </row>
    <row r="5313" spans="1:21" hidden="1">
      <c r="A5313" s="7" t="s">
        <v>8840</v>
      </c>
      <c r="B5313" s="7" t="s">
        <v>7494</v>
      </c>
      <c r="C5313" s="8" t="s">
        <v>5319</v>
      </c>
      <c r="D5313" t="s">
        <v>272</v>
      </c>
      <c r="E5313" t="s">
        <v>1957</v>
      </c>
      <c r="F5313" t="s">
        <v>75</v>
      </c>
      <c r="G5313" t="s">
        <v>2742</v>
      </c>
      <c r="H5313" s="9">
        <v>44733</v>
      </c>
      <c r="I5313" t="s">
        <v>509</v>
      </c>
      <c r="J5313" t="s">
        <v>0</v>
      </c>
      <c r="K5313" s="9">
        <v>44844</v>
      </c>
      <c r="L5313" t="s">
        <v>29</v>
      </c>
      <c r="M5313"/>
      <c r="N5313" s="9">
        <v>44778</v>
      </c>
      <c r="O5313" s="9">
        <v>44834</v>
      </c>
      <c r="P5313"/>
      <c r="Q5313" s="9">
        <v>44844</v>
      </c>
      <c r="R5313"/>
      <c r="S5313"/>
      <c r="T5313"/>
      <c r="U5313"/>
    </row>
    <row r="5314" spans="1:21" hidden="1">
      <c r="A5314" s="7" t="s">
        <v>8806</v>
      </c>
      <c r="B5314" s="7" t="s">
        <v>7593</v>
      </c>
      <c r="C5314" s="8" t="s">
        <v>5319</v>
      </c>
      <c r="D5314" t="s">
        <v>272</v>
      </c>
      <c r="E5314" t="s">
        <v>1034</v>
      </c>
      <c r="F5314" t="s">
        <v>117</v>
      </c>
      <c r="G5314" t="s">
        <v>1905</v>
      </c>
      <c r="H5314" s="9">
        <v>44733</v>
      </c>
      <c r="I5314" t="s">
        <v>984</v>
      </c>
      <c r="J5314" t="s">
        <v>2</v>
      </c>
      <c r="K5314" s="9">
        <v>44834</v>
      </c>
      <c r="L5314" t="s">
        <v>29</v>
      </c>
      <c r="M5314" t="s">
        <v>5331</v>
      </c>
      <c r="N5314" s="9">
        <v>44778</v>
      </c>
      <c r="O5314" s="9">
        <v>44834</v>
      </c>
      <c r="P5314"/>
      <c r="Q5314"/>
      <c r="R5314"/>
      <c r="S5314"/>
      <c r="T5314"/>
      <c r="U5314"/>
    </row>
    <row r="5315" spans="1:21" hidden="1">
      <c r="A5315" s="7" t="s">
        <v>8747</v>
      </c>
      <c r="B5315" s="7" t="s">
        <v>7750</v>
      </c>
      <c r="C5315" s="8" t="s">
        <v>5319</v>
      </c>
      <c r="D5315" t="s">
        <v>272</v>
      </c>
      <c r="E5315" t="s">
        <v>409</v>
      </c>
      <c r="F5315" t="s">
        <v>117</v>
      </c>
      <c r="G5315" t="s">
        <v>2743</v>
      </c>
      <c r="H5315" s="9">
        <v>44733</v>
      </c>
      <c r="I5315" t="s">
        <v>411</v>
      </c>
      <c r="J5315" t="s">
        <v>2</v>
      </c>
      <c r="K5315" s="9">
        <v>44767</v>
      </c>
      <c r="L5315" t="s">
        <v>29</v>
      </c>
      <c r="M5315" t="s">
        <v>4063</v>
      </c>
      <c r="N5315"/>
      <c r="O5315"/>
      <c r="P5315"/>
      <c r="Q5315"/>
      <c r="R5315"/>
      <c r="S5315"/>
      <c r="T5315"/>
      <c r="U5315"/>
    </row>
    <row r="5316" spans="1:21" hidden="1">
      <c r="A5316" s="7" t="s">
        <v>8747</v>
      </c>
      <c r="B5316" s="7" t="s">
        <v>7750</v>
      </c>
      <c r="C5316" s="8" t="s">
        <v>5319</v>
      </c>
      <c r="D5316" t="s">
        <v>272</v>
      </c>
      <c r="E5316" t="s">
        <v>409</v>
      </c>
      <c r="F5316" t="s">
        <v>117</v>
      </c>
      <c r="G5316" t="s">
        <v>2744</v>
      </c>
      <c r="H5316" s="9">
        <v>44733</v>
      </c>
      <c r="I5316" t="s">
        <v>411</v>
      </c>
      <c r="J5316" t="s">
        <v>2</v>
      </c>
      <c r="K5316" s="9">
        <v>44792</v>
      </c>
      <c r="L5316" t="s">
        <v>29</v>
      </c>
      <c r="M5316" t="s">
        <v>4063</v>
      </c>
      <c r="N5316" s="9">
        <v>44778</v>
      </c>
      <c r="O5316"/>
      <c r="P5316"/>
      <c r="Q5316"/>
      <c r="R5316"/>
      <c r="S5316"/>
      <c r="T5316"/>
      <c r="U5316"/>
    </row>
    <row r="5317" spans="1:21" hidden="1">
      <c r="A5317" s="7" t="s">
        <v>8726</v>
      </c>
      <c r="B5317" s="7" t="s">
        <v>7519</v>
      </c>
      <c r="C5317" s="8" t="s">
        <v>5319</v>
      </c>
      <c r="D5317" t="s">
        <v>272</v>
      </c>
      <c r="E5317" t="s">
        <v>179</v>
      </c>
      <c r="F5317" t="s">
        <v>117</v>
      </c>
      <c r="G5317" t="s">
        <v>189</v>
      </c>
      <c r="H5317" s="9">
        <v>44733</v>
      </c>
      <c r="I5317" t="s">
        <v>181</v>
      </c>
      <c r="J5317" t="s">
        <v>2</v>
      </c>
      <c r="K5317" s="9">
        <v>44834</v>
      </c>
      <c r="L5317" t="s">
        <v>29</v>
      </c>
      <c r="M5317" t="s">
        <v>5331</v>
      </c>
      <c r="N5317" s="9">
        <v>44778</v>
      </c>
      <c r="O5317" s="9">
        <v>44834</v>
      </c>
      <c r="P5317"/>
      <c r="Q5317"/>
      <c r="R5317"/>
      <c r="S5317"/>
      <c r="T5317"/>
      <c r="U5317"/>
    </row>
    <row r="5318" spans="1:21" hidden="1">
      <c r="A5318" s="7" t="s">
        <v>8726</v>
      </c>
      <c r="B5318" s="7" t="s">
        <v>7519</v>
      </c>
      <c r="C5318" s="8" t="s">
        <v>5319</v>
      </c>
      <c r="D5318" t="s">
        <v>272</v>
      </c>
      <c r="E5318" t="s">
        <v>179</v>
      </c>
      <c r="F5318" t="s">
        <v>117</v>
      </c>
      <c r="G5318" t="s">
        <v>190</v>
      </c>
      <c r="H5318" s="9">
        <v>44733</v>
      </c>
      <c r="I5318" t="s">
        <v>181</v>
      </c>
      <c r="J5318" t="s">
        <v>2</v>
      </c>
      <c r="K5318" s="9">
        <v>44834</v>
      </c>
      <c r="L5318" t="s">
        <v>29</v>
      </c>
      <c r="M5318" t="s">
        <v>5331</v>
      </c>
      <c r="N5318" s="9">
        <v>44778</v>
      </c>
      <c r="O5318" s="9">
        <v>44834</v>
      </c>
      <c r="P5318"/>
      <c r="Q5318"/>
      <c r="R5318"/>
      <c r="S5318"/>
      <c r="T5318"/>
      <c r="U5318"/>
    </row>
    <row r="5319" spans="1:21" hidden="1">
      <c r="A5319" s="7" t="s">
        <v>8726</v>
      </c>
      <c r="B5319" s="7" t="s">
        <v>7519</v>
      </c>
      <c r="C5319" s="8" t="s">
        <v>5319</v>
      </c>
      <c r="D5319" t="s">
        <v>272</v>
      </c>
      <c r="E5319" t="s">
        <v>179</v>
      </c>
      <c r="F5319" t="s">
        <v>117</v>
      </c>
      <c r="G5319" t="s">
        <v>2745</v>
      </c>
      <c r="H5319" s="9">
        <v>44733</v>
      </c>
      <c r="I5319" t="s">
        <v>181</v>
      </c>
      <c r="J5319" t="s">
        <v>2</v>
      </c>
      <c r="K5319" s="9">
        <v>44834</v>
      </c>
      <c r="L5319" t="s">
        <v>29</v>
      </c>
      <c r="M5319" t="s">
        <v>5331</v>
      </c>
      <c r="N5319" s="9">
        <v>44778</v>
      </c>
      <c r="O5319" s="9">
        <v>44834</v>
      </c>
      <c r="P5319"/>
      <c r="Q5319"/>
      <c r="R5319"/>
      <c r="S5319"/>
      <c r="T5319"/>
      <c r="U5319"/>
    </row>
    <row r="5320" spans="1:21" hidden="1">
      <c r="A5320" s="7" t="s">
        <v>8764</v>
      </c>
      <c r="B5320" s="7" t="s">
        <v>5405</v>
      </c>
      <c r="C5320" s="8" t="s">
        <v>5319</v>
      </c>
      <c r="D5320" t="s">
        <v>272</v>
      </c>
      <c r="E5320" t="s">
        <v>25</v>
      </c>
      <c r="F5320" t="s">
        <v>75</v>
      </c>
      <c r="G5320" t="s">
        <v>1469</v>
      </c>
      <c r="H5320" s="9">
        <v>44733</v>
      </c>
      <c r="I5320" t="s">
        <v>8634</v>
      </c>
      <c r="J5320" t="s">
        <v>2</v>
      </c>
      <c r="K5320" s="9">
        <v>44834</v>
      </c>
      <c r="L5320" t="s">
        <v>29</v>
      </c>
      <c r="M5320" t="s">
        <v>5331</v>
      </c>
      <c r="N5320" s="9">
        <v>44778</v>
      </c>
      <c r="O5320" s="9">
        <v>44834</v>
      </c>
      <c r="P5320"/>
      <c r="Q5320"/>
      <c r="R5320"/>
      <c r="S5320"/>
      <c r="T5320"/>
      <c r="U5320"/>
    </row>
    <row r="5321" spans="1:21" hidden="1">
      <c r="A5321" s="7" t="s">
        <v>8764</v>
      </c>
      <c r="B5321" s="7" t="s">
        <v>5405</v>
      </c>
      <c r="C5321" s="8" t="s">
        <v>5319</v>
      </c>
      <c r="D5321" t="s">
        <v>272</v>
      </c>
      <c r="E5321" t="s">
        <v>25</v>
      </c>
      <c r="F5321" t="s">
        <v>75</v>
      </c>
      <c r="G5321" t="s">
        <v>1470</v>
      </c>
      <c r="H5321" s="9">
        <v>44733</v>
      </c>
      <c r="I5321" t="s">
        <v>8634</v>
      </c>
      <c r="J5321" t="s">
        <v>2</v>
      </c>
      <c r="K5321" s="9">
        <v>44862</v>
      </c>
      <c r="L5321" t="s">
        <v>29</v>
      </c>
      <c r="M5321" t="s">
        <v>5331</v>
      </c>
      <c r="N5321" s="9">
        <v>44778</v>
      </c>
      <c r="O5321"/>
      <c r="P5321"/>
      <c r="Q5321" s="9">
        <v>44862</v>
      </c>
      <c r="R5321"/>
      <c r="S5321"/>
      <c r="T5321"/>
      <c r="U5321"/>
    </row>
    <row r="5322" spans="1:21" hidden="1">
      <c r="A5322" s="7" t="s">
        <v>8887</v>
      </c>
      <c r="B5322" s="7" t="s">
        <v>7433</v>
      </c>
      <c r="C5322" s="8" t="s">
        <v>5319</v>
      </c>
      <c r="D5322" t="s">
        <v>272</v>
      </c>
      <c r="E5322" t="s">
        <v>230</v>
      </c>
      <c r="F5322" t="s">
        <v>209</v>
      </c>
      <c r="G5322" t="s">
        <v>2746</v>
      </c>
      <c r="H5322" s="9">
        <v>44733</v>
      </c>
      <c r="I5322" t="s">
        <v>1435</v>
      </c>
      <c r="J5322" t="s">
        <v>2</v>
      </c>
      <c r="K5322" s="9">
        <v>44845.4301388889</v>
      </c>
      <c r="L5322" t="s">
        <v>29</v>
      </c>
      <c r="M5322" t="s">
        <v>5331</v>
      </c>
      <c r="N5322" s="9">
        <v>44778</v>
      </c>
      <c r="O5322" s="9">
        <v>44834</v>
      </c>
      <c r="P5322"/>
      <c r="Q5322"/>
      <c r="R5322" s="9">
        <v>44845.416273148097</v>
      </c>
      <c r="S5322"/>
      <c r="T5322"/>
      <c r="U5322"/>
    </row>
    <row r="5323" spans="1:21" hidden="1">
      <c r="A5323" s="7" t="s">
        <v>8887</v>
      </c>
      <c r="B5323" s="7" t="s">
        <v>7433</v>
      </c>
      <c r="C5323" s="8" t="s">
        <v>5319</v>
      </c>
      <c r="D5323" t="s">
        <v>272</v>
      </c>
      <c r="E5323" t="s">
        <v>230</v>
      </c>
      <c r="F5323" t="s">
        <v>209</v>
      </c>
      <c r="G5323" t="s">
        <v>2747</v>
      </c>
      <c r="H5323" s="9">
        <v>44733</v>
      </c>
      <c r="I5323" t="s">
        <v>1435</v>
      </c>
      <c r="J5323" t="s">
        <v>2</v>
      </c>
      <c r="K5323" s="9">
        <v>44845.4301388889</v>
      </c>
      <c r="L5323" t="s">
        <v>29</v>
      </c>
      <c r="M5323" t="s">
        <v>5331</v>
      </c>
      <c r="N5323" s="9">
        <v>44778</v>
      </c>
      <c r="O5323" s="9">
        <v>44834</v>
      </c>
      <c r="P5323"/>
      <c r="Q5323"/>
      <c r="R5323" s="9">
        <v>44845.416273148097</v>
      </c>
      <c r="S5323"/>
      <c r="T5323"/>
      <c r="U5323"/>
    </row>
    <row r="5324" spans="1:21" hidden="1">
      <c r="A5324" s="7" t="s">
        <v>8887</v>
      </c>
      <c r="B5324" s="7" t="s">
        <v>7433</v>
      </c>
      <c r="C5324" s="8" t="s">
        <v>5319</v>
      </c>
      <c r="D5324" t="s">
        <v>272</v>
      </c>
      <c r="E5324" t="s">
        <v>230</v>
      </c>
      <c r="F5324" t="s">
        <v>209</v>
      </c>
      <c r="G5324" t="s">
        <v>2748</v>
      </c>
      <c r="H5324" s="9">
        <v>44733</v>
      </c>
      <c r="I5324" t="s">
        <v>1435</v>
      </c>
      <c r="J5324" t="s">
        <v>2</v>
      </c>
      <c r="K5324" s="9">
        <v>44845.4301388889</v>
      </c>
      <c r="L5324" t="s">
        <v>29</v>
      </c>
      <c r="M5324" t="s">
        <v>5331</v>
      </c>
      <c r="N5324" s="9">
        <v>44778</v>
      </c>
      <c r="O5324" s="9">
        <v>44834</v>
      </c>
      <c r="P5324"/>
      <c r="Q5324"/>
      <c r="R5324" s="9">
        <v>44845.416273148097</v>
      </c>
      <c r="S5324"/>
      <c r="T5324"/>
      <c r="U5324"/>
    </row>
    <row r="5325" spans="1:21" hidden="1">
      <c r="A5325" s="7" t="s">
        <v>8887</v>
      </c>
      <c r="B5325" s="7" t="s">
        <v>7433</v>
      </c>
      <c r="C5325" s="8" t="s">
        <v>5319</v>
      </c>
      <c r="D5325" t="s">
        <v>272</v>
      </c>
      <c r="E5325" t="s">
        <v>230</v>
      </c>
      <c r="F5325" t="s">
        <v>209</v>
      </c>
      <c r="G5325" t="s">
        <v>2749</v>
      </c>
      <c r="H5325" s="9">
        <v>44733</v>
      </c>
      <c r="I5325" t="s">
        <v>1435</v>
      </c>
      <c r="J5325" t="s">
        <v>2</v>
      </c>
      <c r="K5325" s="9">
        <v>44845.4301388889</v>
      </c>
      <c r="L5325" t="s">
        <v>29</v>
      </c>
      <c r="M5325" t="s">
        <v>5331</v>
      </c>
      <c r="N5325" s="9">
        <v>44778</v>
      </c>
      <c r="O5325" s="9">
        <v>44834</v>
      </c>
      <c r="P5325"/>
      <c r="Q5325"/>
      <c r="R5325" s="9">
        <v>44845.416273148097</v>
      </c>
      <c r="S5325"/>
      <c r="T5325"/>
      <c r="U5325"/>
    </row>
    <row r="5326" spans="1:21" hidden="1">
      <c r="A5326" s="7" t="s">
        <v>8887</v>
      </c>
      <c r="B5326" s="7" t="s">
        <v>7433</v>
      </c>
      <c r="C5326" s="8" t="s">
        <v>5319</v>
      </c>
      <c r="D5326" t="s">
        <v>272</v>
      </c>
      <c r="E5326" t="s">
        <v>230</v>
      </c>
      <c r="F5326" t="s">
        <v>209</v>
      </c>
      <c r="G5326" t="s">
        <v>2750</v>
      </c>
      <c r="H5326" s="9">
        <v>44733</v>
      </c>
      <c r="I5326" t="s">
        <v>1435</v>
      </c>
      <c r="J5326" t="s">
        <v>2</v>
      </c>
      <c r="K5326" s="9">
        <v>44845.4301388889</v>
      </c>
      <c r="L5326" t="s">
        <v>29</v>
      </c>
      <c r="M5326" t="s">
        <v>5331</v>
      </c>
      <c r="N5326" s="9">
        <v>44778</v>
      </c>
      <c r="O5326" s="9">
        <v>44834</v>
      </c>
      <c r="P5326"/>
      <c r="Q5326"/>
      <c r="R5326" s="9">
        <v>44845.416273148097</v>
      </c>
      <c r="S5326"/>
      <c r="T5326"/>
      <c r="U5326"/>
    </row>
    <row r="5327" spans="1:21" hidden="1">
      <c r="A5327" s="7" t="s">
        <v>8887</v>
      </c>
      <c r="B5327" s="7" t="s">
        <v>7433</v>
      </c>
      <c r="C5327" s="8" t="s">
        <v>5319</v>
      </c>
      <c r="D5327" t="s">
        <v>272</v>
      </c>
      <c r="E5327" t="s">
        <v>230</v>
      </c>
      <c r="F5327" t="s">
        <v>209</v>
      </c>
      <c r="G5327" t="s">
        <v>2751</v>
      </c>
      <c r="H5327" s="9">
        <v>44733</v>
      </c>
      <c r="I5327" t="s">
        <v>1435</v>
      </c>
      <c r="J5327" t="s">
        <v>2</v>
      </c>
      <c r="K5327" s="9">
        <v>44845.4301388889</v>
      </c>
      <c r="L5327" t="s">
        <v>29</v>
      </c>
      <c r="M5327" t="s">
        <v>5331</v>
      </c>
      <c r="N5327" s="9">
        <v>44778</v>
      </c>
      <c r="O5327" s="9">
        <v>44834</v>
      </c>
      <c r="P5327"/>
      <c r="Q5327"/>
      <c r="R5327" s="9">
        <v>44845.416273148097</v>
      </c>
      <c r="S5327"/>
      <c r="T5327"/>
      <c r="U5327"/>
    </row>
    <row r="5328" spans="1:21" hidden="1">
      <c r="A5328" s="7" t="s">
        <v>8887</v>
      </c>
      <c r="B5328" s="7" t="s">
        <v>7433</v>
      </c>
      <c r="C5328" s="8" t="s">
        <v>5319</v>
      </c>
      <c r="D5328" t="s">
        <v>272</v>
      </c>
      <c r="E5328" t="s">
        <v>230</v>
      </c>
      <c r="F5328" t="s">
        <v>209</v>
      </c>
      <c r="G5328" t="s">
        <v>2752</v>
      </c>
      <c r="H5328" s="9">
        <v>44733</v>
      </c>
      <c r="I5328" t="s">
        <v>1435</v>
      </c>
      <c r="J5328" t="s">
        <v>2</v>
      </c>
      <c r="K5328" s="9">
        <v>44845.4301388889</v>
      </c>
      <c r="L5328" t="s">
        <v>29</v>
      </c>
      <c r="M5328" t="s">
        <v>5331</v>
      </c>
      <c r="N5328" s="9">
        <v>44778</v>
      </c>
      <c r="O5328" s="9">
        <v>44834</v>
      </c>
      <c r="P5328"/>
      <c r="Q5328"/>
      <c r="R5328" s="9">
        <v>44845.416273148097</v>
      </c>
      <c r="S5328"/>
      <c r="T5328"/>
      <c r="U5328"/>
    </row>
    <row r="5329" spans="1:21" hidden="1">
      <c r="A5329" s="7" t="s">
        <v>8887</v>
      </c>
      <c r="B5329" s="7" t="s">
        <v>7433</v>
      </c>
      <c r="C5329" s="8" t="s">
        <v>5319</v>
      </c>
      <c r="D5329" t="s">
        <v>272</v>
      </c>
      <c r="E5329" t="s">
        <v>230</v>
      </c>
      <c r="F5329" t="s">
        <v>209</v>
      </c>
      <c r="G5329" t="s">
        <v>2753</v>
      </c>
      <c r="H5329" s="9">
        <v>44733</v>
      </c>
      <c r="I5329" t="s">
        <v>1435</v>
      </c>
      <c r="J5329" t="s">
        <v>2</v>
      </c>
      <c r="K5329" s="9">
        <v>44845.4301388889</v>
      </c>
      <c r="L5329" t="s">
        <v>29</v>
      </c>
      <c r="M5329" t="s">
        <v>5331</v>
      </c>
      <c r="N5329" s="9">
        <v>44778</v>
      </c>
      <c r="O5329" s="9">
        <v>44834</v>
      </c>
      <c r="P5329"/>
      <c r="Q5329"/>
      <c r="R5329" s="9">
        <v>44845.416273148097</v>
      </c>
      <c r="S5329"/>
      <c r="T5329"/>
      <c r="U5329"/>
    </row>
    <row r="5330" spans="1:21" hidden="1">
      <c r="A5330" s="7" t="s">
        <v>8887</v>
      </c>
      <c r="B5330" s="7" t="s">
        <v>7433</v>
      </c>
      <c r="C5330" s="8" t="s">
        <v>5319</v>
      </c>
      <c r="D5330" t="s">
        <v>272</v>
      </c>
      <c r="E5330" t="s">
        <v>230</v>
      </c>
      <c r="F5330" t="s">
        <v>209</v>
      </c>
      <c r="G5330" t="s">
        <v>2754</v>
      </c>
      <c r="H5330" s="9">
        <v>44733</v>
      </c>
      <c r="I5330" t="s">
        <v>1435</v>
      </c>
      <c r="J5330" t="s">
        <v>2</v>
      </c>
      <c r="K5330" s="9">
        <v>44845.4301388889</v>
      </c>
      <c r="L5330" t="s">
        <v>29</v>
      </c>
      <c r="M5330" t="s">
        <v>5331</v>
      </c>
      <c r="N5330" s="9">
        <v>44778</v>
      </c>
      <c r="O5330" s="9">
        <v>44834</v>
      </c>
      <c r="P5330"/>
      <c r="Q5330"/>
      <c r="R5330" s="9">
        <v>44845.416273148097</v>
      </c>
      <c r="S5330"/>
      <c r="T5330"/>
      <c r="U5330"/>
    </row>
    <row r="5331" spans="1:21" hidden="1">
      <c r="A5331" s="7" t="s">
        <v>8712</v>
      </c>
      <c r="B5331" s="7" t="s">
        <v>5405</v>
      </c>
      <c r="C5331" s="8" t="s">
        <v>5319</v>
      </c>
      <c r="D5331" t="s">
        <v>272</v>
      </c>
      <c r="E5331" t="s">
        <v>25</v>
      </c>
      <c r="F5331" t="s">
        <v>26</v>
      </c>
      <c r="G5331" t="s">
        <v>2755</v>
      </c>
      <c r="H5331" s="9">
        <v>44733</v>
      </c>
      <c r="I5331" t="s">
        <v>8634</v>
      </c>
      <c r="J5331" t="s">
        <v>0</v>
      </c>
      <c r="K5331" s="9">
        <v>44882</v>
      </c>
      <c r="L5331" t="s">
        <v>29</v>
      </c>
      <c r="M5331"/>
      <c r="N5331" s="9">
        <v>44778</v>
      </c>
      <c r="O5331"/>
      <c r="P5331"/>
      <c r="Q5331" s="9">
        <v>44882</v>
      </c>
      <c r="R5331"/>
      <c r="S5331"/>
      <c r="T5331"/>
      <c r="U5331"/>
    </row>
    <row r="5332" spans="1:21" hidden="1">
      <c r="A5332" s="7" t="s">
        <v>8712</v>
      </c>
      <c r="B5332" s="7" t="s">
        <v>5405</v>
      </c>
      <c r="C5332" s="8" t="s">
        <v>5319</v>
      </c>
      <c r="D5332" t="s">
        <v>272</v>
      </c>
      <c r="E5332" t="s">
        <v>25</v>
      </c>
      <c r="F5332" t="s">
        <v>26</v>
      </c>
      <c r="G5332" t="s">
        <v>2756</v>
      </c>
      <c r="H5332" s="9">
        <v>44733</v>
      </c>
      <c r="I5332" t="s">
        <v>8634</v>
      </c>
      <c r="J5332" t="s">
        <v>0</v>
      </c>
      <c r="K5332" s="9">
        <v>44882</v>
      </c>
      <c r="L5332" t="s">
        <v>29</v>
      </c>
      <c r="M5332"/>
      <c r="N5332" s="9">
        <v>44778</v>
      </c>
      <c r="O5332"/>
      <c r="P5332"/>
      <c r="Q5332" s="9">
        <v>44882</v>
      </c>
      <c r="R5332"/>
      <c r="S5332"/>
      <c r="T5332"/>
      <c r="U5332"/>
    </row>
    <row r="5333" spans="1:21" hidden="1">
      <c r="A5333" s="7" t="s">
        <v>8765</v>
      </c>
      <c r="B5333" s="7" t="s">
        <v>5405</v>
      </c>
      <c r="C5333" s="8" t="s">
        <v>5319</v>
      </c>
      <c r="D5333" t="s">
        <v>272</v>
      </c>
      <c r="E5333" t="s">
        <v>25</v>
      </c>
      <c r="F5333" t="s">
        <v>231</v>
      </c>
      <c r="G5333" t="s">
        <v>2757</v>
      </c>
      <c r="H5333" s="9">
        <v>44733</v>
      </c>
      <c r="I5333" t="s">
        <v>8634</v>
      </c>
      <c r="J5333" t="s">
        <v>2</v>
      </c>
      <c r="K5333" s="9">
        <v>44834</v>
      </c>
      <c r="L5333" t="s">
        <v>29</v>
      </c>
      <c r="M5333" t="s">
        <v>5331</v>
      </c>
      <c r="N5333" s="9">
        <v>44778</v>
      </c>
      <c r="O5333" s="9">
        <v>44834</v>
      </c>
      <c r="P5333"/>
      <c r="Q5333"/>
      <c r="R5333"/>
      <c r="S5333"/>
      <c r="T5333"/>
      <c r="U5333"/>
    </row>
    <row r="5334" spans="1:21" hidden="1">
      <c r="A5334" s="7" t="s">
        <v>8888</v>
      </c>
      <c r="B5334" s="7" t="s">
        <v>6738</v>
      </c>
      <c r="C5334" s="8" t="s">
        <v>5319</v>
      </c>
      <c r="D5334" t="s">
        <v>272</v>
      </c>
      <c r="E5334" t="s">
        <v>2758</v>
      </c>
      <c r="F5334" t="s">
        <v>209</v>
      </c>
      <c r="G5334" t="s">
        <v>2759</v>
      </c>
      <c r="H5334" s="9">
        <v>44733</v>
      </c>
      <c r="I5334" t="s">
        <v>903</v>
      </c>
      <c r="J5334" t="s">
        <v>2</v>
      </c>
      <c r="K5334" s="9">
        <v>44834</v>
      </c>
      <c r="L5334" t="s">
        <v>29</v>
      </c>
      <c r="M5334" t="s">
        <v>5331</v>
      </c>
      <c r="N5334" s="9">
        <v>44778</v>
      </c>
      <c r="O5334" s="9">
        <v>44834</v>
      </c>
      <c r="P5334"/>
      <c r="Q5334"/>
      <c r="R5334"/>
      <c r="S5334"/>
      <c r="T5334"/>
      <c r="U5334"/>
    </row>
    <row r="5335" spans="1:21" hidden="1">
      <c r="A5335" s="7" t="s">
        <v>8889</v>
      </c>
      <c r="B5335" s="7" t="s">
        <v>6738</v>
      </c>
      <c r="C5335" s="8" t="s">
        <v>5319</v>
      </c>
      <c r="D5335" t="s">
        <v>272</v>
      </c>
      <c r="E5335" t="s">
        <v>2758</v>
      </c>
      <c r="F5335" t="s">
        <v>231</v>
      </c>
      <c r="G5335" t="s">
        <v>2760</v>
      </c>
      <c r="H5335" s="9">
        <v>44733</v>
      </c>
      <c r="I5335" t="s">
        <v>903</v>
      </c>
      <c r="J5335" t="s">
        <v>2</v>
      </c>
      <c r="K5335" s="9">
        <v>44834</v>
      </c>
      <c r="L5335" t="s">
        <v>29</v>
      </c>
      <c r="M5335" t="s">
        <v>5331</v>
      </c>
      <c r="N5335" s="9">
        <v>44778</v>
      </c>
      <c r="O5335" s="9">
        <v>44834</v>
      </c>
      <c r="P5335"/>
      <c r="Q5335"/>
      <c r="R5335"/>
      <c r="S5335"/>
      <c r="T5335"/>
      <c r="U5335"/>
    </row>
    <row r="5336" spans="1:21" hidden="1">
      <c r="A5336" s="7" t="s">
        <v>8714</v>
      </c>
      <c r="B5336" s="7" t="s">
        <v>6017</v>
      </c>
      <c r="C5336" s="8" t="s">
        <v>5319</v>
      </c>
      <c r="D5336" t="s">
        <v>272</v>
      </c>
      <c r="E5336" t="s">
        <v>74</v>
      </c>
      <c r="F5336" t="s">
        <v>75</v>
      </c>
      <c r="G5336" t="s">
        <v>2761</v>
      </c>
      <c r="H5336" s="9">
        <v>44733</v>
      </c>
      <c r="I5336" t="s">
        <v>77</v>
      </c>
      <c r="J5336" t="s">
        <v>2</v>
      </c>
      <c r="K5336" s="9">
        <v>44834</v>
      </c>
      <c r="L5336" t="s">
        <v>29</v>
      </c>
      <c r="M5336" t="s">
        <v>5331</v>
      </c>
      <c r="N5336" s="9">
        <v>44778</v>
      </c>
      <c r="O5336" s="9">
        <v>44834</v>
      </c>
      <c r="P5336"/>
      <c r="Q5336"/>
      <c r="R5336"/>
      <c r="S5336"/>
      <c r="T5336"/>
      <c r="U5336"/>
    </row>
    <row r="5337" spans="1:21" hidden="1">
      <c r="A5337" s="7" t="s">
        <v>8761</v>
      </c>
      <c r="B5337" s="7" t="s">
        <v>7715</v>
      </c>
      <c r="C5337" s="8" t="s">
        <v>5319</v>
      </c>
      <c r="D5337" t="s">
        <v>272</v>
      </c>
      <c r="E5337" t="s">
        <v>515</v>
      </c>
      <c r="F5337" t="s">
        <v>117</v>
      </c>
      <c r="G5337" t="s">
        <v>2762</v>
      </c>
      <c r="H5337" s="9">
        <v>44733</v>
      </c>
      <c r="I5337" t="s">
        <v>181</v>
      </c>
      <c r="J5337" t="s">
        <v>0</v>
      </c>
      <c r="K5337" s="9">
        <v>44804</v>
      </c>
      <c r="L5337" t="s">
        <v>29</v>
      </c>
      <c r="M5337"/>
      <c r="N5337" s="9">
        <v>44778</v>
      </c>
      <c r="O5337"/>
      <c r="P5337"/>
      <c r="Q5337" s="9">
        <v>44804</v>
      </c>
      <c r="R5337"/>
      <c r="S5337"/>
      <c r="T5337"/>
      <c r="U5337"/>
    </row>
    <row r="5338" spans="1:21" hidden="1">
      <c r="A5338" s="7" t="s">
        <v>8761</v>
      </c>
      <c r="B5338" s="7" t="s">
        <v>7715</v>
      </c>
      <c r="C5338" s="8" t="s">
        <v>5319</v>
      </c>
      <c r="D5338" t="s">
        <v>272</v>
      </c>
      <c r="E5338" t="s">
        <v>515</v>
      </c>
      <c r="F5338" t="s">
        <v>117</v>
      </c>
      <c r="G5338" t="s">
        <v>516</v>
      </c>
      <c r="H5338" s="9">
        <v>44733</v>
      </c>
      <c r="I5338" t="s">
        <v>181</v>
      </c>
      <c r="J5338" t="s">
        <v>0</v>
      </c>
      <c r="K5338" s="9">
        <v>44803</v>
      </c>
      <c r="L5338" t="s">
        <v>29</v>
      </c>
      <c r="M5338"/>
      <c r="N5338" s="9">
        <v>44778</v>
      </c>
      <c r="O5338"/>
      <c r="P5338"/>
      <c r="Q5338" s="9">
        <v>44803</v>
      </c>
      <c r="R5338"/>
      <c r="S5338"/>
      <c r="T5338"/>
      <c r="U5338"/>
    </row>
    <row r="5339" spans="1:21" hidden="1">
      <c r="A5339" s="7" t="s">
        <v>8761</v>
      </c>
      <c r="B5339" s="7" t="s">
        <v>7715</v>
      </c>
      <c r="C5339" s="8" t="s">
        <v>5319</v>
      </c>
      <c r="D5339" t="s">
        <v>272</v>
      </c>
      <c r="E5339" t="s">
        <v>515</v>
      </c>
      <c r="F5339" t="s">
        <v>117</v>
      </c>
      <c r="G5339" t="s">
        <v>519</v>
      </c>
      <c r="H5339" s="9">
        <v>44733</v>
      </c>
      <c r="I5339" t="s">
        <v>181</v>
      </c>
      <c r="J5339" t="s">
        <v>0</v>
      </c>
      <c r="K5339" s="9">
        <v>44803</v>
      </c>
      <c r="L5339" t="s">
        <v>29</v>
      </c>
      <c r="M5339"/>
      <c r="N5339" s="9">
        <v>44778</v>
      </c>
      <c r="O5339"/>
      <c r="P5339"/>
      <c r="Q5339" s="9">
        <v>44803</v>
      </c>
      <c r="R5339"/>
      <c r="S5339"/>
      <c r="T5339"/>
      <c r="U5339"/>
    </row>
    <row r="5340" spans="1:21" hidden="1">
      <c r="A5340" s="7" t="s">
        <v>8761</v>
      </c>
      <c r="B5340" s="7" t="s">
        <v>7715</v>
      </c>
      <c r="C5340" s="8" t="s">
        <v>5319</v>
      </c>
      <c r="D5340" t="s">
        <v>272</v>
      </c>
      <c r="E5340" t="s">
        <v>515</v>
      </c>
      <c r="F5340" t="s">
        <v>117</v>
      </c>
      <c r="G5340" t="s">
        <v>523</v>
      </c>
      <c r="H5340" s="9">
        <v>44733</v>
      </c>
      <c r="I5340" t="s">
        <v>181</v>
      </c>
      <c r="J5340" t="s">
        <v>0</v>
      </c>
      <c r="K5340" s="9">
        <v>44803</v>
      </c>
      <c r="L5340" t="s">
        <v>29</v>
      </c>
      <c r="M5340"/>
      <c r="N5340" s="9">
        <v>44778</v>
      </c>
      <c r="O5340"/>
      <c r="P5340"/>
      <c r="Q5340" s="9">
        <v>44803</v>
      </c>
      <c r="R5340"/>
      <c r="S5340"/>
      <c r="T5340"/>
      <c r="U5340"/>
    </row>
    <row r="5341" spans="1:21" hidden="1">
      <c r="A5341" s="7" t="s">
        <v>8761</v>
      </c>
      <c r="B5341" s="7" t="s">
        <v>7715</v>
      </c>
      <c r="C5341" s="8" t="s">
        <v>5319</v>
      </c>
      <c r="D5341" t="s">
        <v>272</v>
      </c>
      <c r="E5341" t="s">
        <v>515</v>
      </c>
      <c r="F5341" t="s">
        <v>117</v>
      </c>
      <c r="G5341" t="s">
        <v>528</v>
      </c>
      <c r="H5341" s="9">
        <v>44733</v>
      </c>
      <c r="I5341" t="s">
        <v>181</v>
      </c>
      <c r="J5341" t="s">
        <v>0</v>
      </c>
      <c r="K5341" s="9">
        <v>44803</v>
      </c>
      <c r="L5341" t="s">
        <v>29</v>
      </c>
      <c r="M5341"/>
      <c r="N5341" s="9">
        <v>44778</v>
      </c>
      <c r="O5341"/>
      <c r="P5341"/>
      <c r="Q5341" s="9">
        <v>44803</v>
      </c>
      <c r="R5341"/>
      <c r="S5341"/>
      <c r="T5341"/>
      <c r="U5341"/>
    </row>
    <row r="5342" spans="1:21" hidden="1">
      <c r="A5342" s="7" t="s">
        <v>8761</v>
      </c>
      <c r="B5342" s="7" t="s">
        <v>7715</v>
      </c>
      <c r="C5342" s="8" t="s">
        <v>5319</v>
      </c>
      <c r="D5342" t="s">
        <v>272</v>
      </c>
      <c r="E5342" t="s">
        <v>515</v>
      </c>
      <c r="F5342" t="s">
        <v>117</v>
      </c>
      <c r="G5342" t="s">
        <v>531</v>
      </c>
      <c r="H5342" s="9">
        <v>44733</v>
      </c>
      <c r="I5342" t="s">
        <v>181</v>
      </c>
      <c r="J5342" t="s">
        <v>0</v>
      </c>
      <c r="K5342" s="9">
        <v>44803</v>
      </c>
      <c r="L5342" t="s">
        <v>29</v>
      </c>
      <c r="M5342"/>
      <c r="N5342" s="9">
        <v>44778</v>
      </c>
      <c r="O5342"/>
      <c r="P5342"/>
      <c r="Q5342" s="9">
        <v>44803</v>
      </c>
      <c r="R5342"/>
      <c r="S5342"/>
      <c r="T5342"/>
      <c r="U5342"/>
    </row>
    <row r="5343" spans="1:21" hidden="1">
      <c r="A5343" s="7" t="s">
        <v>8761</v>
      </c>
      <c r="B5343" s="7" t="s">
        <v>7715</v>
      </c>
      <c r="C5343" s="8" t="s">
        <v>5319</v>
      </c>
      <c r="D5343" t="s">
        <v>272</v>
      </c>
      <c r="E5343" t="s">
        <v>515</v>
      </c>
      <c r="F5343" t="s">
        <v>117</v>
      </c>
      <c r="G5343" t="s">
        <v>532</v>
      </c>
      <c r="H5343" s="9">
        <v>44733</v>
      </c>
      <c r="I5343" t="s">
        <v>181</v>
      </c>
      <c r="J5343" t="s">
        <v>0</v>
      </c>
      <c r="K5343" s="9">
        <v>44803</v>
      </c>
      <c r="L5343" t="s">
        <v>29</v>
      </c>
      <c r="M5343"/>
      <c r="N5343" s="9">
        <v>44778</v>
      </c>
      <c r="O5343"/>
      <c r="P5343"/>
      <c r="Q5343" s="9">
        <v>44803</v>
      </c>
      <c r="R5343"/>
      <c r="S5343"/>
      <c r="T5343"/>
      <c r="U5343"/>
    </row>
    <row r="5344" spans="1:21" hidden="1">
      <c r="A5344" s="7" t="s">
        <v>8714</v>
      </c>
      <c r="B5344" s="7" t="s">
        <v>6017</v>
      </c>
      <c r="C5344" s="8" t="s">
        <v>5319</v>
      </c>
      <c r="D5344" t="s">
        <v>272</v>
      </c>
      <c r="E5344" t="s">
        <v>74</v>
      </c>
      <c r="F5344" t="s">
        <v>75</v>
      </c>
      <c r="G5344" t="s">
        <v>120</v>
      </c>
      <c r="H5344" s="9">
        <v>44733</v>
      </c>
      <c r="I5344" t="s">
        <v>77</v>
      </c>
      <c r="J5344" t="s">
        <v>2</v>
      </c>
      <c r="K5344" s="9">
        <v>44834</v>
      </c>
      <c r="L5344" t="s">
        <v>29</v>
      </c>
      <c r="M5344" t="s">
        <v>5331</v>
      </c>
      <c r="N5344" s="9">
        <v>44778</v>
      </c>
      <c r="O5344" s="9">
        <v>44834</v>
      </c>
      <c r="P5344"/>
      <c r="Q5344"/>
      <c r="R5344"/>
      <c r="S5344"/>
      <c r="T5344"/>
      <c r="U5344"/>
    </row>
    <row r="5345" spans="1:21" hidden="1">
      <c r="A5345" s="7" t="s">
        <v>8714</v>
      </c>
      <c r="B5345" s="7" t="s">
        <v>6017</v>
      </c>
      <c r="C5345" s="8" t="s">
        <v>5319</v>
      </c>
      <c r="D5345" t="s">
        <v>272</v>
      </c>
      <c r="E5345" t="s">
        <v>74</v>
      </c>
      <c r="F5345" t="s">
        <v>75</v>
      </c>
      <c r="G5345" t="s">
        <v>2763</v>
      </c>
      <c r="H5345" s="9">
        <v>44733</v>
      </c>
      <c r="I5345" t="s">
        <v>77</v>
      </c>
      <c r="J5345" t="s">
        <v>2</v>
      </c>
      <c r="K5345" s="9">
        <v>44834</v>
      </c>
      <c r="L5345" t="s">
        <v>29</v>
      </c>
      <c r="M5345" t="s">
        <v>5331</v>
      </c>
      <c r="N5345" s="9">
        <v>44778</v>
      </c>
      <c r="O5345" s="9">
        <v>44834</v>
      </c>
      <c r="P5345"/>
      <c r="Q5345"/>
      <c r="R5345"/>
      <c r="S5345"/>
      <c r="T5345"/>
      <c r="U5345"/>
    </row>
    <row r="5346" spans="1:21" hidden="1">
      <c r="A5346" s="7" t="s">
        <v>8714</v>
      </c>
      <c r="B5346" s="7" t="s">
        <v>6017</v>
      </c>
      <c r="C5346" s="8" t="s">
        <v>5319</v>
      </c>
      <c r="D5346" t="s">
        <v>272</v>
      </c>
      <c r="E5346" t="s">
        <v>74</v>
      </c>
      <c r="F5346" t="s">
        <v>75</v>
      </c>
      <c r="G5346" t="s">
        <v>76</v>
      </c>
      <c r="H5346" s="9">
        <v>44733</v>
      </c>
      <c r="I5346" t="s">
        <v>77</v>
      </c>
      <c r="J5346" t="s">
        <v>2</v>
      </c>
      <c r="K5346" s="9">
        <v>44834</v>
      </c>
      <c r="L5346" t="s">
        <v>29</v>
      </c>
      <c r="M5346" t="s">
        <v>5331</v>
      </c>
      <c r="N5346" s="9">
        <v>44778</v>
      </c>
      <c r="O5346" s="9">
        <v>44834</v>
      </c>
      <c r="P5346"/>
      <c r="Q5346"/>
      <c r="R5346"/>
      <c r="S5346"/>
      <c r="T5346"/>
      <c r="U5346"/>
    </row>
    <row r="5347" spans="1:21" hidden="1">
      <c r="A5347" s="7" t="s">
        <v>8714</v>
      </c>
      <c r="B5347" s="7" t="s">
        <v>6017</v>
      </c>
      <c r="C5347" s="8" t="s">
        <v>5319</v>
      </c>
      <c r="D5347" t="s">
        <v>272</v>
      </c>
      <c r="E5347" t="s">
        <v>74</v>
      </c>
      <c r="F5347" t="s">
        <v>75</v>
      </c>
      <c r="G5347" t="s">
        <v>2764</v>
      </c>
      <c r="H5347" s="9">
        <v>44733</v>
      </c>
      <c r="I5347" t="s">
        <v>77</v>
      </c>
      <c r="J5347" t="s">
        <v>2</v>
      </c>
      <c r="K5347" s="9">
        <v>44834</v>
      </c>
      <c r="L5347" t="s">
        <v>29</v>
      </c>
      <c r="M5347" t="s">
        <v>5331</v>
      </c>
      <c r="N5347" s="9">
        <v>44778</v>
      </c>
      <c r="O5347" s="9">
        <v>44834</v>
      </c>
      <c r="P5347"/>
      <c r="Q5347"/>
      <c r="R5347"/>
      <c r="S5347"/>
      <c r="T5347"/>
      <c r="U5347"/>
    </row>
    <row r="5348" spans="1:21" hidden="1">
      <c r="A5348" s="7" t="s">
        <v>8714</v>
      </c>
      <c r="B5348" s="7" t="s">
        <v>6017</v>
      </c>
      <c r="C5348" s="8" t="s">
        <v>5319</v>
      </c>
      <c r="D5348" t="s">
        <v>272</v>
      </c>
      <c r="E5348" t="s">
        <v>74</v>
      </c>
      <c r="F5348" t="s">
        <v>75</v>
      </c>
      <c r="G5348" t="s">
        <v>2765</v>
      </c>
      <c r="H5348" s="9">
        <v>44733</v>
      </c>
      <c r="I5348" t="s">
        <v>77</v>
      </c>
      <c r="J5348" t="s">
        <v>2</v>
      </c>
      <c r="K5348" s="9">
        <v>44834</v>
      </c>
      <c r="L5348" t="s">
        <v>29</v>
      </c>
      <c r="M5348" t="s">
        <v>5331</v>
      </c>
      <c r="N5348" s="9">
        <v>44778</v>
      </c>
      <c r="O5348" s="9">
        <v>44834</v>
      </c>
      <c r="P5348"/>
      <c r="Q5348"/>
      <c r="R5348"/>
      <c r="S5348"/>
      <c r="T5348"/>
      <c r="U5348"/>
    </row>
    <row r="5349" spans="1:21" hidden="1">
      <c r="A5349" s="7" t="s">
        <v>8714</v>
      </c>
      <c r="B5349" s="7" t="s">
        <v>6017</v>
      </c>
      <c r="C5349" s="8" t="s">
        <v>5319</v>
      </c>
      <c r="D5349" t="s">
        <v>272</v>
      </c>
      <c r="E5349" t="s">
        <v>74</v>
      </c>
      <c r="F5349" t="s">
        <v>75</v>
      </c>
      <c r="G5349" t="s">
        <v>2766</v>
      </c>
      <c r="H5349" s="9">
        <v>44733</v>
      </c>
      <c r="I5349" t="s">
        <v>77</v>
      </c>
      <c r="J5349" t="s">
        <v>2</v>
      </c>
      <c r="K5349" s="9">
        <v>44834</v>
      </c>
      <c r="L5349" t="s">
        <v>29</v>
      </c>
      <c r="M5349" t="s">
        <v>5331</v>
      </c>
      <c r="N5349" s="9">
        <v>44778</v>
      </c>
      <c r="O5349" s="9">
        <v>44834</v>
      </c>
      <c r="P5349"/>
      <c r="Q5349"/>
      <c r="R5349"/>
      <c r="S5349"/>
      <c r="T5349"/>
      <c r="U5349"/>
    </row>
    <row r="5350" spans="1:21" hidden="1">
      <c r="A5350" s="7" t="s">
        <v>8758</v>
      </c>
      <c r="B5350" s="7" t="s">
        <v>5405</v>
      </c>
      <c r="C5350" s="8" t="s">
        <v>5319</v>
      </c>
      <c r="D5350" t="s">
        <v>272</v>
      </c>
      <c r="E5350" t="s">
        <v>25</v>
      </c>
      <c r="F5350" t="s">
        <v>493</v>
      </c>
      <c r="G5350" t="s">
        <v>2767</v>
      </c>
      <c r="H5350" s="9">
        <v>44733</v>
      </c>
      <c r="I5350" t="s">
        <v>8634</v>
      </c>
      <c r="J5350" t="s">
        <v>0</v>
      </c>
      <c r="K5350" s="9">
        <v>44862</v>
      </c>
      <c r="L5350" t="s">
        <v>29</v>
      </c>
      <c r="M5350"/>
      <c r="N5350"/>
      <c r="O5350"/>
      <c r="P5350"/>
      <c r="Q5350" s="9">
        <v>44862</v>
      </c>
      <c r="R5350"/>
      <c r="S5350"/>
      <c r="T5350"/>
      <c r="U5350"/>
    </row>
    <row r="5351" spans="1:21" hidden="1">
      <c r="A5351" s="7" t="s">
        <v>8890</v>
      </c>
      <c r="B5351" s="7" t="s">
        <v>8280</v>
      </c>
      <c r="C5351" s="8" t="s">
        <v>5319</v>
      </c>
      <c r="D5351" t="s">
        <v>272</v>
      </c>
      <c r="E5351" t="s">
        <v>2463</v>
      </c>
      <c r="F5351" t="s">
        <v>117</v>
      </c>
      <c r="G5351" t="s">
        <v>2768</v>
      </c>
      <c r="H5351" s="9">
        <v>44733</v>
      </c>
      <c r="I5351" t="s">
        <v>903</v>
      </c>
      <c r="J5351" t="s">
        <v>2</v>
      </c>
      <c r="K5351" s="9">
        <v>44806.485057870399</v>
      </c>
      <c r="L5351" t="s">
        <v>29</v>
      </c>
      <c r="M5351" t="s">
        <v>5331</v>
      </c>
      <c r="N5351" s="9">
        <v>44778</v>
      </c>
      <c r="O5351"/>
      <c r="P5351"/>
      <c r="Q5351"/>
      <c r="R5351" s="9">
        <v>44806.4842361111</v>
      </c>
      <c r="S5351"/>
      <c r="T5351"/>
      <c r="U5351"/>
    </row>
    <row r="5352" spans="1:21" hidden="1">
      <c r="A5352" s="7" t="s">
        <v>8758</v>
      </c>
      <c r="B5352" s="7" t="s">
        <v>5405</v>
      </c>
      <c r="C5352" s="8" t="s">
        <v>5319</v>
      </c>
      <c r="D5352" t="s">
        <v>272</v>
      </c>
      <c r="E5352" t="s">
        <v>25</v>
      </c>
      <c r="F5352" t="s">
        <v>493</v>
      </c>
      <c r="G5352" t="s">
        <v>2769</v>
      </c>
      <c r="H5352" s="9">
        <v>44733</v>
      </c>
      <c r="I5352" t="s">
        <v>8634</v>
      </c>
      <c r="J5352" t="s">
        <v>0</v>
      </c>
      <c r="K5352" s="9">
        <v>44862</v>
      </c>
      <c r="L5352" t="s">
        <v>29</v>
      </c>
      <c r="M5352"/>
      <c r="N5352"/>
      <c r="O5352"/>
      <c r="P5352"/>
      <c r="Q5352" s="9">
        <v>44862</v>
      </c>
      <c r="R5352"/>
      <c r="S5352"/>
      <c r="T5352"/>
      <c r="U5352"/>
    </row>
    <row r="5353" spans="1:21" hidden="1">
      <c r="A5353" s="7" t="s">
        <v>8891</v>
      </c>
      <c r="B5353" s="7" t="s">
        <v>8161</v>
      </c>
      <c r="C5353" s="8" t="s">
        <v>5319</v>
      </c>
      <c r="D5353" t="s">
        <v>272</v>
      </c>
      <c r="E5353" t="s">
        <v>2770</v>
      </c>
      <c r="F5353" t="s">
        <v>117</v>
      </c>
      <c r="G5353" t="s">
        <v>2771</v>
      </c>
      <c r="H5353" s="9">
        <v>44733</v>
      </c>
      <c r="I5353" t="s">
        <v>1070</v>
      </c>
      <c r="J5353" t="s">
        <v>2</v>
      </c>
      <c r="K5353" s="9">
        <v>44834</v>
      </c>
      <c r="L5353" t="s">
        <v>29</v>
      </c>
      <c r="M5353" t="s">
        <v>5331</v>
      </c>
      <c r="N5353" s="9">
        <v>44778</v>
      </c>
      <c r="O5353" s="9">
        <v>44834</v>
      </c>
      <c r="P5353"/>
      <c r="Q5353"/>
      <c r="R5353"/>
      <c r="S5353"/>
      <c r="T5353"/>
      <c r="U5353"/>
    </row>
    <row r="5354" spans="1:21" hidden="1">
      <c r="A5354" s="7" t="s">
        <v>8891</v>
      </c>
      <c r="B5354" s="7" t="s">
        <v>8161</v>
      </c>
      <c r="C5354" s="8" t="s">
        <v>5319</v>
      </c>
      <c r="D5354" t="s">
        <v>272</v>
      </c>
      <c r="E5354" t="s">
        <v>2770</v>
      </c>
      <c r="F5354" t="s">
        <v>117</v>
      </c>
      <c r="G5354" t="s">
        <v>2772</v>
      </c>
      <c r="H5354" s="9">
        <v>44733</v>
      </c>
      <c r="I5354" t="s">
        <v>1070</v>
      </c>
      <c r="J5354" t="s">
        <v>2</v>
      </c>
      <c r="K5354" s="9">
        <v>44834</v>
      </c>
      <c r="L5354" t="s">
        <v>29</v>
      </c>
      <c r="M5354" t="s">
        <v>5331</v>
      </c>
      <c r="N5354" s="9">
        <v>44778</v>
      </c>
      <c r="O5354" s="9">
        <v>44834</v>
      </c>
      <c r="P5354"/>
      <c r="Q5354"/>
      <c r="R5354"/>
      <c r="S5354"/>
      <c r="T5354"/>
      <c r="U5354"/>
    </row>
    <row r="5355" spans="1:21" hidden="1">
      <c r="A5355" s="7" t="s">
        <v>8891</v>
      </c>
      <c r="B5355" s="7" t="s">
        <v>8161</v>
      </c>
      <c r="C5355" s="8" t="s">
        <v>5319</v>
      </c>
      <c r="D5355" t="s">
        <v>272</v>
      </c>
      <c r="E5355" t="s">
        <v>2770</v>
      </c>
      <c r="F5355" t="s">
        <v>117</v>
      </c>
      <c r="G5355" t="s">
        <v>2773</v>
      </c>
      <c r="H5355" s="9">
        <v>44733</v>
      </c>
      <c r="I5355" t="s">
        <v>1070</v>
      </c>
      <c r="J5355" t="s">
        <v>2</v>
      </c>
      <c r="K5355" s="9">
        <v>44834</v>
      </c>
      <c r="L5355" t="s">
        <v>29</v>
      </c>
      <c r="M5355" t="s">
        <v>5331</v>
      </c>
      <c r="N5355" s="9">
        <v>44778</v>
      </c>
      <c r="O5355" s="9">
        <v>44834</v>
      </c>
      <c r="P5355"/>
      <c r="Q5355"/>
      <c r="R5355"/>
      <c r="S5355"/>
      <c r="T5355"/>
      <c r="U5355"/>
    </row>
    <row r="5356" spans="1:21" hidden="1">
      <c r="A5356" s="7" t="s">
        <v>8891</v>
      </c>
      <c r="B5356" s="7" t="s">
        <v>8161</v>
      </c>
      <c r="C5356" s="8" t="s">
        <v>5319</v>
      </c>
      <c r="D5356" t="s">
        <v>272</v>
      </c>
      <c r="E5356" t="s">
        <v>2770</v>
      </c>
      <c r="F5356" t="s">
        <v>117</v>
      </c>
      <c r="G5356" t="s">
        <v>2774</v>
      </c>
      <c r="H5356" s="9">
        <v>44733</v>
      </c>
      <c r="I5356" t="s">
        <v>1070</v>
      </c>
      <c r="J5356" t="s">
        <v>2</v>
      </c>
      <c r="K5356" s="9">
        <v>44834</v>
      </c>
      <c r="L5356" t="s">
        <v>29</v>
      </c>
      <c r="M5356" t="s">
        <v>5331</v>
      </c>
      <c r="N5356" s="9">
        <v>44778</v>
      </c>
      <c r="O5356" s="9">
        <v>44834</v>
      </c>
      <c r="P5356"/>
      <c r="Q5356"/>
      <c r="R5356"/>
      <c r="S5356"/>
      <c r="T5356"/>
      <c r="U5356"/>
    </row>
    <row r="5357" spans="1:21" hidden="1">
      <c r="A5357" s="7" t="s">
        <v>8891</v>
      </c>
      <c r="B5357" s="7" t="s">
        <v>8161</v>
      </c>
      <c r="C5357" s="8" t="s">
        <v>5319</v>
      </c>
      <c r="D5357" t="s">
        <v>272</v>
      </c>
      <c r="E5357" t="s">
        <v>2770</v>
      </c>
      <c r="F5357" t="s">
        <v>117</v>
      </c>
      <c r="G5357" t="s">
        <v>2775</v>
      </c>
      <c r="H5357" s="9">
        <v>44733</v>
      </c>
      <c r="I5357" t="s">
        <v>1070</v>
      </c>
      <c r="J5357" t="s">
        <v>2</v>
      </c>
      <c r="K5357" s="9">
        <v>44834</v>
      </c>
      <c r="L5357" t="s">
        <v>29</v>
      </c>
      <c r="M5357" t="s">
        <v>5331</v>
      </c>
      <c r="N5357" s="9">
        <v>44778</v>
      </c>
      <c r="O5357" s="9">
        <v>44834</v>
      </c>
      <c r="P5357"/>
      <c r="Q5357"/>
      <c r="R5357"/>
      <c r="S5357"/>
      <c r="T5357"/>
      <c r="U5357"/>
    </row>
    <row r="5358" spans="1:21" hidden="1">
      <c r="A5358" s="7" t="s">
        <v>8891</v>
      </c>
      <c r="B5358" s="7" t="s">
        <v>8161</v>
      </c>
      <c r="C5358" s="8" t="s">
        <v>5319</v>
      </c>
      <c r="D5358" t="s">
        <v>272</v>
      </c>
      <c r="E5358" t="s">
        <v>2770</v>
      </c>
      <c r="F5358" t="s">
        <v>117</v>
      </c>
      <c r="G5358" t="s">
        <v>2776</v>
      </c>
      <c r="H5358" s="9">
        <v>44733</v>
      </c>
      <c r="I5358" t="s">
        <v>1070</v>
      </c>
      <c r="J5358" t="s">
        <v>2</v>
      </c>
      <c r="K5358" s="9">
        <v>44834</v>
      </c>
      <c r="L5358" t="s">
        <v>29</v>
      </c>
      <c r="M5358" t="s">
        <v>5331</v>
      </c>
      <c r="N5358" s="9">
        <v>44778</v>
      </c>
      <c r="O5358" s="9">
        <v>44834</v>
      </c>
      <c r="P5358"/>
      <c r="Q5358"/>
      <c r="R5358"/>
      <c r="S5358"/>
      <c r="T5358"/>
      <c r="U5358"/>
    </row>
    <row r="5359" spans="1:21" hidden="1">
      <c r="A5359" s="7" t="s">
        <v>8891</v>
      </c>
      <c r="B5359" s="7" t="s">
        <v>8161</v>
      </c>
      <c r="C5359" s="8" t="s">
        <v>5319</v>
      </c>
      <c r="D5359" t="s">
        <v>272</v>
      </c>
      <c r="E5359" t="s">
        <v>2770</v>
      </c>
      <c r="F5359" t="s">
        <v>117</v>
      </c>
      <c r="G5359" t="s">
        <v>2777</v>
      </c>
      <c r="H5359" s="9">
        <v>44733</v>
      </c>
      <c r="I5359" t="s">
        <v>1070</v>
      </c>
      <c r="J5359" t="s">
        <v>2</v>
      </c>
      <c r="K5359" s="9">
        <v>44834</v>
      </c>
      <c r="L5359" t="s">
        <v>29</v>
      </c>
      <c r="M5359" t="s">
        <v>5331</v>
      </c>
      <c r="N5359" s="9">
        <v>44778</v>
      </c>
      <c r="O5359" s="9">
        <v>44834</v>
      </c>
      <c r="P5359"/>
      <c r="Q5359"/>
      <c r="R5359"/>
      <c r="S5359"/>
      <c r="T5359"/>
      <c r="U5359"/>
    </row>
    <row r="5360" spans="1:21" hidden="1">
      <c r="A5360" s="7" t="s">
        <v>8712</v>
      </c>
      <c r="B5360" s="7" t="s">
        <v>5405</v>
      </c>
      <c r="C5360" s="8" t="s">
        <v>5319</v>
      </c>
      <c r="D5360" t="s">
        <v>272</v>
      </c>
      <c r="E5360" t="s">
        <v>25</v>
      </c>
      <c r="F5360" t="s">
        <v>26</v>
      </c>
      <c r="G5360" t="s">
        <v>2778</v>
      </c>
      <c r="H5360" s="9">
        <v>44733</v>
      </c>
      <c r="I5360" t="s">
        <v>8634</v>
      </c>
      <c r="J5360" t="s">
        <v>2</v>
      </c>
      <c r="K5360" s="9">
        <v>44834</v>
      </c>
      <c r="L5360" t="s">
        <v>29</v>
      </c>
      <c r="M5360" t="s">
        <v>5331</v>
      </c>
      <c r="N5360" s="9">
        <v>44778</v>
      </c>
      <c r="O5360" s="9">
        <v>44834</v>
      </c>
      <c r="P5360"/>
      <c r="Q5360" s="9">
        <v>44882</v>
      </c>
      <c r="R5360"/>
      <c r="S5360"/>
      <c r="T5360"/>
      <c r="U5360"/>
    </row>
    <row r="5361" spans="1:21" hidden="1">
      <c r="A5361" s="7" t="s">
        <v>8744</v>
      </c>
      <c r="B5361" s="7" t="s">
        <v>7386</v>
      </c>
      <c r="C5361" s="8" t="s">
        <v>5319</v>
      </c>
      <c r="D5361" t="s">
        <v>272</v>
      </c>
      <c r="E5361" t="s">
        <v>352</v>
      </c>
      <c r="F5361" t="s">
        <v>117</v>
      </c>
      <c r="G5361" t="s">
        <v>534</v>
      </c>
      <c r="H5361" s="9">
        <v>44733</v>
      </c>
      <c r="I5361" t="s">
        <v>282</v>
      </c>
      <c r="J5361" t="s">
        <v>212</v>
      </c>
      <c r="K5361" s="9">
        <v>44873.5402314815</v>
      </c>
      <c r="L5361" t="s">
        <v>29</v>
      </c>
      <c r="M5361" t="s">
        <v>5331</v>
      </c>
      <c r="N5361" s="9">
        <v>44778</v>
      </c>
      <c r="O5361" s="9">
        <v>44834</v>
      </c>
      <c r="P5361"/>
      <c r="Q5361" s="9">
        <v>44874</v>
      </c>
      <c r="R5361" s="9">
        <v>44873.538692129601</v>
      </c>
      <c r="S5361"/>
      <c r="T5361"/>
      <c r="U5361"/>
    </row>
    <row r="5362" spans="1:21" hidden="1">
      <c r="A5362" s="7" t="s">
        <v>8744</v>
      </c>
      <c r="B5362" s="7" t="s">
        <v>7386</v>
      </c>
      <c r="C5362" s="8" t="s">
        <v>5319</v>
      </c>
      <c r="D5362" t="s">
        <v>272</v>
      </c>
      <c r="E5362" t="s">
        <v>352</v>
      </c>
      <c r="F5362" t="s">
        <v>117</v>
      </c>
      <c r="G5362" t="s">
        <v>535</v>
      </c>
      <c r="H5362" s="9">
        <v>44733</v>
      </c>
      <c r="I5362" t="s">
        <v>282</v>
      </c>
      <c r="J5362" t="s">
        <v>212</v>
      </c>
      <c r="K5362" s="9">
        <v>44873.5402314815</v>
      </c>
      <c r="L5362" t="s">
        <v>29</v>
      </c>
      <c r="M5362" t="s">
        <v>5331</v>
      </c>
      <c r="N5362" s="9">
        <v>44778</v>
      </c>
      <c r="O5362" s="9">
        <v>44834</v>
      </c>
      <c r="P5362"/>
      <c r="Q5362" s="9">
        <v>44874</v>
      </c>
      <c r="R5362" s="9">
        <v>44873.538692129601</v>
      </c>
      <c r="S5362"/>
      <c r="T5362"/>
      <c r="U5362"/>
    </row>
    <row r="5363" spans="1:21" hidden="1">
      <c r="A5363" s="7" t="s">
        <v>8744</v>
      </c>
      <c r="B5363" s="7" t="s">
        <v>7386</v>
      </c>
      <c r="C5363" s="8" t="s">
        <v>5319</v>
      </c>
      <c r="D5363" t="s">
        <v>272</v>
      </c>
      <c r="E5363" t="s">
        <v>352</v>
      </c>
      <c r="F5363" t="s">
        <v>117</v>
      </c>
      <c r="G5363" t="s">
        <v>536</v>
      </c>
      <c r="H5363" s="9">
        <v>44733</v>
      </c>
      <c r="I5363" t="s">
        <v>282</v>
      </c>
      <c r="J5363" t="s">
        <v>212</v>
      </c>
      <c r="K5363" s="9">
        <v>44873.5402314815</v>
      </c>
      <c r="L5363" t="s">
        <v>29</v>
      </c>
      <c r="M5363" t="s">
        <v>5331</v>
      </c>
      <c r="N5363" s="9">
        <v>44778</v>
      </c>
      <c r="O5363" s="9">
        <v>44834</v>
      </c>
      <c r="P5363"/>
      <c r="Q5363" s="9">
        <v>44874</v>
      </c>
      <c r="R5363" s="9">
        <v>44873.538692129601</v>
      </c>
      <c r="S5363"/>
      <c r="T5363"/>
      <c r="U5363"/>
    </row>
    <row r="5364" spans="1:21" hidden="1">
      <c r="A5364" s="7" t="s">
        <v>8744</v>
      </c>
      <c r="B5364" s="7" t="s">
        <v>7386</v>
      </c>
      <c r="C5364" s="8" t="s">
        <v>5319</v>
      </c>
      <c r="D5364" t="s">
        <v>272</v>
      </c>
      <c r="E5364" t="s">
        <v>352</v>
      </c>
      <c r="F5364" t="s">
        <v>117</v>
      </c>
      <c r="G5364" t="s">
        <v>538</v>
      </c>
      <c r="H5364" s="9">
        <v>44733</v>
      </c>
      <c r="I5364" t="s">
        <v>282</v>
      </c>
      <c r="J5364" t="s">
        <v>212</v>
      </c>
      <c r="K5364" s="9">
        <v>44873.5402314815</v>
      </c>
      <c r="L5364" t="s">
        <v>29</v>
      </c>
      <c r="M5364" t="s">
        <v>5331</v>
      </c>
      <c r="N5364" s="9">
        <v>44778</v>
      </c>
      <c r="O5364" s="9">
        <v>44834</v>
      </c>
      <c r="P5364"/>
      <c r="Q5364" s="9">
        <v>44874</v>
      </c>
      <c r="R5364" s="9">
        <v>44873.538692129601</v>
      </c>
      <c r="S5364"/>
      <c r="T5364"/>
      <c r="U5364"/>
    </row>
    <row r="5365" spans="1:21" hidden="1">
      <c r="A5365" s="7" t="s">
        <v>8744</v>
      </c>
      <c r="B5365" s="7" t="s">
        <v>7386</v>
      </c>
      <c r="C5365" s="8" t="s">
        <v>5319</v>
      </c>
      <c r="D5365" t="s">
        <v>272</v>
      </c>
      <c r="E5365" t="s">
        <v>352</v>
      </c>
      <c r="F5365" t="s">
        <v>117</v>
      </c>
      <c r="G5365" t="s">
        <v>2779</v>
      </c>
      <c r="H5365" s="9">
        <v>44733</v>
      </c>
      <c r="I5365" t="s">
        <v>282</v>
      </c>
      <c r="J5365" t="s">
        <v>212</v>
      </c>
      <c r="K5365" s="9">
        <v>44873.5402314815</v>
      </c>
      <c r="L5365" t="s">
        <v>29</v>
      </c>
      <c r="M5365" t="s">
        <v>5331</v>
      </c>
      <c r="N5365" s="9">
        <v>44778</v>
      </c>
      <c r="O5365" s="9">
        <v>44834</v>
      </c>
      <c r="P5365"/>
      <c r="Q5365" s="9">
        <v>44874</v>
      </c>
      <c r="R5365" s="9">
        <v>44873.538692129601</v>
      </c>
      <c r="S5365"/>
      <c r="T5365"/>
      <c r="U5365"/>
    </row>
    <row r="5366" spans="1:21" hidden="1">
      <c r="A5366" s="7" t="s">
        <v>8744</v>
      </c>
      <c r="B5366" s="7" t="s">
        <v>7386</v>
      </c>
      <c r="C5366" s="8" t="s">
        <v>5319</v>
      </c>
      <c r="D5366" t="s">
        <v>272</v>
      </c>
      <c r="E5366" t="s">
        <v>352</v>
      </c>
      <c r="F5366" t="s">
        <v>117</v>
      </c>
      <c r="G5366" t="s">
        <v>2780</v>
      </c>
      <c r="H5366" s="9">
        <v>44733</v>
      </c>
      <c r="I5366" t="s">
        <v>282</v>
      </c>
      <c r="J5366" t="s">
        <v>212</v>
      </c>
      <c r="K5366" s="9">
        <v>44873.5402314815</v>
      </c>
      <c r="L5366" t="s">
        <v>29</v>
      </c>
      <c r="M5366" t="s">
        <v>5331</v>
      </c>
      <c r="N5366" s="9">
        <v>44778</v>
      </c>
      <c r="O5366" s="9">
        <v>44834</v>
      </c>
      <c r="P5366"/>
      <c r="Q5366" s="9">
        <v>44874</v>
      </c>
      <c r="R5366" s="9">
        <v>44873.538692129601</v>
      </c>
      <c r="S5366"/>
      <c r="T5366"/>
      <c r="U5366"/>
    </row>
    <row r="5367" spans="1:21" hidden="1">
      <c r="A5367" s="7" t="s">
        <v>8744</v>
      </c>
      <c r="B5367" s="7" t="s">
        <v>7386</v>
      </c>
      <c r="C5367" s="8" t="s">
        <v>5319</v>
      </c>
      <c r="D5367" t="s">
        <v>272</v>
      </c>
      <c r="E5367" t="s">
        <v>352</v>
      </c>
      <c r="F5367" t="s">
        <v>117</v>
      </c>
      <c r="G5367" t="s">
        <v>2781</v>
      </c>
      <c r="H5367" s="9">
        <v>44733</v>
      </c>
      <c r="I5367" t="s">
        <v>282</v>
      </c>
      <c r="J5367" t="s">
        <v>212</v>
      </c>
      <c r="K5367" s="9">
        <v>44873.5402314815</v>
      </c>
      <c r="L5367" t="s">
        <v>29</v>
      </c>
      <c r="M5367" t="s">
        <v>5331</v>
      </c>
      <c r="N5367" s="9">
        <v>44778</v>
      </c>
      <c r="O5367" s="9">
        <v>44834</v>
      </c>
      <c r="P5367"/>
      <c r="Q5367" s="9">
        <v>44874</v>
      </c>
      <c r="R5367" s="9">
        <v>44873.538692129601</v>
      </c>
      <c r="S5367"/>
      <c r="T5367"/>
      <c r="U5367"/>
    </row>
    <row r="5368" spans="1:21" hidden="1">
      <c r="A5368" s="7" t="s">
        <v>8744</v>
      </c>
      <c r="B5368" s="7" t="s">
        <v>7386</v>
      </c>
      <c r="C5368" s="8" t="s">
        <v>5319</v>
      </c>
      <c r="D5368" t="s">
        <v>272</v>
      </c>
      <c r="E5368" t="s">
        <v>352</v>
      </c>
      <c r="F5368" t="s">
        <v>117</v>
      </c>
      <c r="G5368" t="s">
        <v>2782</v>
      </c>
      <c r="H5368" s="9">
        <v>44733</v>
      </c>
      <c r="I5368" t="s">
        <v>282</v>
      </c>
      <c r="J5368" t="s">
        <v>212</v>
      </c>
      <c r="K5368" s="9">
        <v>44873.5402314815</v>
      </c>
      <c r="L5368" t="s">
        <v>29</v>
      </c>
      <c r="M5368" t="s">
        <v>5331</v>
      </c>
      <c r="N5368" s="9">
        <v>44778</v>
      </c>
      <c r="O5368" s="9">
        <v>44834</v>
      </c>
      <c r="P5368"/>
      <c r="Q5368" s="9">
        <v>44874</v>
      </c>
      <c r="R5368" s="9">
        <v>44873.538692129601</v>
      </c>
      <c r="S5368"/>
      <c r="T5368"/>
      <c r="U5368"/>
    </row>
    <row r="5369" spans="1:21" hidden="1">
      <c r="A5369" s="7" t="s">
        <v>8744</v>
      </c>
      <c r="B5369" s="7" t="s">
        <v>7386</v>
      </c>
      <c r="C5369" s="8" t="s">
        <v>5319</v>
      </c>
      <c r="D5369" t="s">
        <v>272</v>
      </c>
      <c r="E5369" t="s">
        <v>352</v>
      </c>
      <c r="F5369" t="s">
        <v>117</v>
      </c>
      <c r="G5369" t="s">
        <v>540</v>
      </c>
      <c r="H5369" s="9">
        <v>44733</v>
      </c>
      <c r="I5369" t="s">
        <v>282</v>
      </c>
      <c r="J5369" t="s">
        <v>212</v>
      </c>
      <c r="K5369" s="9">
        <v>44873.5402314815</v>
      </c>
      <c r="L5369" t="s">
        <v>29</v>
      </c>
      <c r="M5369" t="s">
        <v>5331</v>
      </c>
      <c r="N5369" s="9">
        <v>44778</v>
      </c>
      <c r="O5369" s="9">
        <v>44834</v>
      </c>
      <c r="P5369"/>
      <c r="Q5369" s="9">
        <v>44874</v>
      </c>
      <c r="R5369" s="9">
        <v>44873.538692129601</v>
      </c>
      <c r="S5369"/>
      <c r="T5369"/>
      <c r="U5369"/>
    </row>
    <row r="5370" spans="1:21" hidden="1">
      <c r="A5370" s="7" t="s">
        <v>8744</v>
      </c>
      <c r="B5370" s="7" t="s">
        <v>7386</v>
      </c>
      <c r="C5370" s="8" t="s">
        <v>5319</v>
      </c>
      <c r="D5370" t="s">
        <v>272</v>
      </c>
      <c r="E5370" t="s">
        <v>352</v>
      </c>
      <c r="F5370" t="s">
        <v>117</v>
      </c>
      <c r="G5370" t="s">
        <v>2783</v>
      </c>
      <c r="H5370" s="9">
        <v>44733</v>
      </c>
      <c r="I5370" t="s">
        <v>282</v>
      </c>
      <c r="J5370" t="s">
        <v>212</v>
      </c>
      <c r="K5370" s="9">
        <v>44873.5402314815</v>
      </c>
      <c r="L5370" t="s">
        <v>29</v>
      </c>
      <c r="M5370" t="s">
        <v>5331</v>
      </c>
      <c r="N5370" s="9">
        <v>44778</v>
      </c>
      <c r="O5370" s="9">
        <v>44834</v>
      </c>
      <c r="P5370"/>
      <c r="Q5370" s="9">
        <v>44874</v>
      </c>
      <c r="R5370" s="9">
        <v>44873.538692129601</v>
      </c>
      <c r="S5370"/>
      <c r="T5370"/>
      <c r="U5370"/>
    </row>
    <row r="5371" spans="1:21" hidden="1">
      <c r="A5371" s="7" t="s">
        <v>8744</v>
      </c>
      <c r="B5371" s="7" t="s">
        <v>7386</v>
      </c>
      <c r="C5371" s="8" t="s">
        <v>5319</v>
      </c>
      <c r="D5371" t="s">
        <v>272</v>
      </c>
      <c r="E5371" t="s">
        <v>352</v>
      </c>
      <c r="F5371" t="s">
        <v>117</v>
      </c>
      <c r="G5371" t="s">
        <v>2784</v>
      </c>
      <c r="H5371" s="9">
        <v>44733</v>
      </c>
      <c r="I5371" t="s">
        <v>282</v>
      </c>
      <c r="J5371" t="s">
        <v>212</v>
      </c>
      <c r="K5371" s="9">
        <v>44873.5402314815</v>
      </c>
      <c r="L5371" t="s">
        <v>29</v>
      </c>
      <c r="M5371" t="s">
        <v>5331</v>
      </c>
      <c r="N5371" s="9">
        <v>44778</v>
      </c>
      <c r="O5371" s="9">
        <v>44834</v>
      </c>
      <c r="P5371"/>
      <c r="Q5371" s="9">
        <v>44874</v>
      </c>
      <c r="R5371" s="9">
        <v>44873.538692129601</v>
      </c>
      <c r="S5371"/>
      <c r="T5371"/>
      <c r="U5371"/>
    </row>
    <row r="5372" spans="1:21" hidden="1">
      <c r="A5372" s="7" t="s">
        <v>8822</v>
      </c>
      <c r="B5372" s="7" t="s">
        <v>6728</v>
      </c>
      <c r="C5372" s="8" t="s">
        <v>5319</v>
      </c>
      <c r="D5372" t="s">
        <v>272</v>
      </c>
      <c r="E5372" t="s">
        <v>1473</v>
      </c>
      <c r="F5372" t="s">
        <v>83</v>
      </c>
      <c r="G5372" t="s">
        <v>2785</v>
      </c>
      <c r="H5372" s="9">
        <v>44733</v>
      </c>
      <c r="I5372" t="s">
        <v>306</v>
      </c>
      <c r="J5372" t="s">
        <v>2</v>
      </c>
      <c r="K5372" s="9">
        <v>44868</v>
      </c>
      <c r="L5372" t="s">
        <v>29</v>
      </c>
      <c r="M5372" t="s">
        <v>5331</v>
      </c>
      <c r="N5372" s="9">
        <v>44778</v>
      </c>
      <c r="O5372" s="9">
        <v>44834</v>
      </c>
      <c r="P5372"/>
      <c r="Q5372" s="9">
        <v>44887</v>
      </c>
      <c r="R5372"/>
      <c r="S5372"/>
      <c r="T5372"/>
      <c r="U5372"/>
    </row>
    <row r="5373" spans="1:21" hidden="1">
      <c r="A5373" s="7" t="s">
        <v>8822</v>
      </c>
      <c r="B5373" s="7" t="s">
        <v>6728</v>
      </c>
      <c r="C5373" s="8" t="s">
        <v>5319</v>
      </c>
      <c r="D5373" t="s">
        <v>272</v>
      </c>
      <c r="E5373" t="s">
        <v>1473</v>
      </c>
      <c r="F5373" t="s">
        <v>83</v>
      </c>
      <c r="G5373" t="s">
        <v>2786</v>
      </c>
      <c r="H5373" s="9">
        <v>44733</v>
      </c>
      <c r="I5373" t="s">
        <v>306</v>
      </c>
      <c r="J5373" t="s">
        <v>2</v>
      </c>
      <c r="K5373" s="9">
        <v>44868</v>
      </c>
      <c r="L5373" t="s">
        <v>29</v>
      </c>
      <c r="M5373" t="s">
        <v>5331</v>
      </c>
      <c r="N5373" s="9">
        <v>44778</v>
      </c>
      <c r="O5373" s="9">
        <v>44834</v>
      </c>
      <c r="P5373"/>
      <c r="Q5373" s="9">
        <v>44887</v>
      </c>
      <c r="R5373"/>
      <c r="S5373"/>
      <c r="T5373"/>
      <c r="U5373"/>
    </row>
    <row r="5374" spans="1:21" hidden="1">
      <c r="A5374" s="7" t="s">
        <v>8822</v>
      </c>
      <c r="B5374" s="7" t="s">
        <v>6728</v>
      </c>
      <c r="C5374" s="8" t="s">
        <v>5319</v>
      </c>
      <c r="D5374" t="s">
        <v>272</v>
      </c>
      <c r="E5374" t="s">
        <v>1473</v>
      </c>
      <c r="F5374" t="s">
        <v>83</v>
      </c>
      <c r="G5374" t="s">
        <v>2787</v>
      </c>
      <c r="H5374" s="9">
        <v>44733</v>
      </c>
      <c r="I5374" t="s">
        <v>306</v>
      </c>
      <c r="J5374" t="s">
        <v>2</v>
      </c>
      <c r="K5374" s="9">
        <v>44868</v>
      </c>
      <c r="L5374" t="s">
        <v>29</v>
      </c>
      <c r="M5374" t="s">
        <v>5331</v>
      </c>
      <c r="N5374" s="9">
        <v>44778</v>
      </c>
      <c r="O5374" s="9">
        <v>44834</v>
      </c>
      <c r="P5374"/>
      <c r="Q5374" s="9">
        <v>44887</v>
      </c>
      <c r="R5374"/>
      <c r="S5374"/>
      <c r="T5374"/>
      <c r="U5374"/>
    </row>
    <row r="5375" spans="1:21" hidden="1">
      <c r="A5375" s="7" t="s">
        <v>8822</v>
      </c>
      <c r="B5375" s="7" t="s">
        <v>6728</v>
      </c>
      <c r="C5375" s="8" t="s">
        <v>5319</v>
      </c>
      <c r="D5375" t="s">
        <v>272</v>
      </c>
      <c r="E5375" t="s">
        <v>1473</v>
      </c>
      <c r="F5375" t="s">
        <v>83</v>
      </c>
      <c r="G5375" t="s">
        <v>2788</v>
      </c>
      <c r="H5375" s="9">
        <v>44733</v>
      </c>
      <c r="I5375" t="s">
        <v>306</v>
      </c>
      <c r="J5375" t="s">
        <v>2</v>
      </c>
      <c r="K5375" s="9">
        <v>44868</v>
      </c>
      <c r="L5375" t="s">
        <v>29</v>
      </c>
      <c r="M5375" t="s">
        <v>5331</v>
      </c>
      <c r="N5375" s="9">
        <v>44778</v>
      </c>
      <c r="O5375" s="9">
        <v>44834</v>
      </c>
      <c r="P5375"/>
      <c r="Q5375" s="9">
        <v>44887</v>
      </c>
      <c r="R5375"/>
      <c r="S5375"/>
      <c r="T5375"/>
      <c r="U5375"/>
    </row>
    <row r="5376" spans="1:21" hidden="1">
      <c r="A5376" s="7" t="s">
        <v>8822</v>
      </c>
      <c r="B5376" s="7" t="s">
        <v>6728</v>
      </c>
      <c r="C5376" s="8" t="s">
        <v>5319</v>
      </c>
      <c r="D5376" t="s">
        <v>272</v>
      </c>
      <c r="E5376" t="s">
        <v>1473</v>
      </c>
      <c r="F5376" t="s">
        <v>83</v>
      </c>
      <c r="G5376" t="s">
        <v>2789</v>
      </c>
      <c r="H5376" s="9">
        <v>44733</v>
      </c>
      <c r="I5376" t="s">
        <v>306</v>
      </c>
      <c r="J5376" t="s">
        <v>2</v>
      </c>
      <c r="K5376" s="9">
        <v>44868</v>
      </c>
      <c r="L5376" t="s">
        <v>29</v>
      </c>
      <c r="M5376" t="s">
        <v>5331</v>
      </c>
      <c r="N5376" s="9">
        <v>44778</v>
      </c>
      <c r="O5376" s="9">
        <v>44834</v>
      </c>
      <c r="P5376"/>
      <c r="Q5376" s="9">
        <v>44887</v>
      </c>
      <c r="R5376"/>
      <c r="S5376"/>
      <c r="T5376"/>
      <c r="U5376"/>
    </row>
    <row r="5377" spans="1:21" hidden="1">
      <c r="A5377" s="7" t="s">
        <v>8822</v>
      </c>
      <c r="B5377" s="7" t="s">
        <v>6728</v>
      </c>
      <c r="C5377" s="8" t="s">
        <v>5319</v>
      </c>
      <c r="D5377" t="s">
        <v>272</v>
      </c>
      <c r="E5377" t="s">
        <v>1473</v>
      </c>
      <c r="F5377" t="s">
        <v>83</v>
      </c>
      <c r="G5377" t="s">
        <v>2790</v>
      </c>
      <c r="H5377" s="9">
        <v>44733</v>
      </c>
      <c r="I5377" t="s">
        <v>306</v>
      </c>
      <c r="J5377" t="s">
        <v>2</v>
      </c>
      <c r="K5377" s="9">
        <v>44868</v>
      </c>
      <c r="L5377" t="s">
        <v>29</v>
      </c>
      <c r="M5377" t="s">
        <v>5331</v>
      </c>
      <c r="N5377" s="9">
        <v>44778</v>
      </c>
      <c r="O5377" s="9">
        <v>44834</v>
      </c>
      <c r="P5377"/>
      <c r="Q5377" s="9">
        <v>44887</v>
      </c>
      <c r="R5377"/>
      <c r="S5377"/>
      <c r="T5377"/>
      <c r="U5377"/>
    </row>
    <row r="5378" spans="1:21" hidden="1">
      <c r="A5378" s="7" t="s">
        <v>8822</v>
      </c>
      <c r="B5378" s="7" t="s">
        <v>6728</v>
      </c>
      <c r="C5378" s="8" t="s">
        <v>5319</v>
      </c>
      <c r="D5378" t="s">
        <v>272</v>
      </c>
      <c r="E5378" t="s">
        <v>1473</v>
      </c>
      <c r="F5378" t="s">
        <v>83</v>
      </c>
      <c r="G5378" t="s">
        <v>2791</v>
      </c>
      <c r="H5378" s="9">
        <v>44733</v>
      </c>
      <c r="I5378" t="s">
        <v>306</v>
      </c>
      <c r="J5378" t="s">
        <v>2</v>
      </c>
      <c r="K5378" s="9">
        <v>44868</v>
      </c>
      <c r="L5378" t="s">
        <v>29</v>
      </c>
      <c r="M5378" t="s">
        <v>5331</v>
      </c>
      <c r="N5378" s="9">
        <v>44778</v>
      </c>
      <c r="O5378" s="9">
        <v>44834</v>
      </c>
      <c r="P5378"/>
      <c r="Q5378" s="9">
        <v>44887</v>
      </c>
      <c r="R5378"/>
      <c r="S5378"/>
      <c r="T5378"/>
      <c r="U5378"/>
    </row>
    <row r="5379" spans="1:21" hidden="1">
      <c r="A5379" s="7" t="s">
        <v>8822</v>
      </c>
      <c r="B5379" s="7" t="s">
        <v>6728</v>
      </c>
      <c r="C5379" s="8" t="s">
        <v>5319</v>
      </c>
      <c r="D5379" t="s">
        <v>272</v>
      </c>
      <c r="E5379" t="s">
        <v>1473</v>
      </c>
      <c r="F5379" t="s">
        <v>83</v>
      </c>
      <c r="G5379" t="s">
        <v>2792</v>
      </c>
      <c r="H5379" s="9">
        <v>44733</v>
      </c>
      <c r="I5379" t="s">
        <v>306</v>
      </c>
      <c r="J5379" t="s">
        <v>2</v>
      </c>
      <c r="K5379" s="9">
        <v>44868</v>
      </c>
      <c r="L5379" t="s">
        <v>29</v>
      </c>
      <c r="M5379" t="s">
        <v>5331</v>
      </c>
      <c r="N5379" s="9">
        <v>44778</v>
      </c>
      <c r="O5379" s="9">
        <v>44834</v>
      </c>
      <c r="P5379"/>
      <c r="Q5379" s="9">
        <v>44887</v>
      </c>
      <c r="R5379"/>
      <c r="S5379"/>
      <c r="T5379"/>
      <c r="U5379"/>
    </row>
    <row r="5380" spans="1:21" hidden="1">
      <c r="A5380" s="7" t="s">
        <v>8822</v>
      </c>
      <c r="B5380" s="7" t="s">
        <v>6728</v>
      </c>
      <c r="C5380" s="8" t="s">
        <v>5319</v>
      </c>
      <c r="D5380" t="s">
        <v>272</v>
      </c>
      <c r="E5380" t="s">
        <v>1473</v>
      </c>
      <c r="F5380" t="s">
        <v>83</v>
      </c>
      <c r="G5380" t="s">
        <v>2793</v>
      </c>
      <c r="H5380" s="9">
        <v>44733</v>
      </c>
      <c r="I5380" t="s">
        <v>306</v>
      </c>
      <c r="J5380" t="s">
        <v>2</v>
      </c>
      <c r="K5380" s="9">
        <v>44868</v>
      </c>
      <c r="L5380" t="s">
        <v>29</v>
      </c>
      <c r="M5380" t="s">
        <v>5331</v>
      </c>
      <c r="N5380" s="9">
        <v>44778</v>
      </c>
      <c r="O5380" s="9">
        <v>44834</v>
      </c>
      <c r="P5380"/>
      <c r="Q5380" s="9">
        <v>44887</v>
      </c>
      <c r="R5380"/>
      <c r="S5380"/>
      <c r="T5380"/>
      <c r="U5380"/>
    </row>
    <row r="5381" spans="1:21" hidden="1">
      <c r="A5381" s="7" t="s">
        <v>8822</v>
      </c>
      <c r="B5381" s="7" t="s">
        <v>6728</v>
      </c>
      <c r="C5381" s="8" t="s">
        <v>5319</v>
      </c>
      <c r="D5381" t="s">
        <v>272</v>
      </c>
      <c r="E5381" t="s">
        <v>1473</v>
      </c>
      <c r="F5381" t="s">
        <v>83</v>
      </c>
      <c r="G5381" t="s">
        <v>1474</v>
      </c>
      <c r="H5381" s="9">
        <v>44733</v>
      </c>
      <c r="I5381" t="s">
        <v>306</v>
      </c>
      <c r="J5381" t="s">
        <v>2</v>
      </c>
      <c r="K5381" s="9">
        <v>44868</v>
      </c>
      <c r="L5381" t="s">
        <v>29</v>
      </c>
      <c r="M5381" t="s">
        <v>5331</v>
      </c>
      <c r="N5381" s="9">
        <v>44778</v>
      </c>
      <c r="O5381" s="9">
        <v>44834</v>
      </c>
      <c r="P5381"/>
      <c r="Q5381" s="9">
        <v>44887</v>
      </c>
      <c r="R5381"/>
      <c r="S5381"/>
      <c r="T5381"/>
      <c r="U5381"/>
    </row>
    <row r="5382" spans="1:21" hidden="1">
      <c r="A5382" s="7" t="s">
        <v>8822</v>
      </c>
      <c r="B5382" s="7" t="s">
        <v>6728</v>
      </c>
      <c r="C5382" s="8" t="s">
        <v>5319</v>
      </c>
      <c r="D5382" t="s">
        <v>272</v>
      </c>
      <c r="E5382" t="s">
        <v>1473</v>
      </c>
      <c r="F5382" t="s">
        <v>83</v>
      </c>
      <c r="G5382" t="s">
        <v>2794</v>
      </c>
      <c r="H5382" s="9">
        <v>44733</v>
      </c>
      <c r="I5382" t="s">
        <v>306</v>
      </c>
      <c r="J5382" t="s">
        <v>2</v>
      </c>
      <c r="K5382" s="9">
        <v>44868</v>
      </c>
      <c r="L5382" t="s">
        <v>29</v>
      </c>
      <c r="M5382" t="s">
        <v>5331</v>
      </c>
      <c r="N5382" s="9">
        <v>44778</v>
      </c>
      <c r="O5382" s="9">
        <v>44834</v>
      </c>
      <c r="P5382"/>
      <c r="Q5382" s="9">
        <v>44887</v>
      </c>
      <c r="R5382"/>
      <c r="S5382"/>
      <c r="T5382"/>
      <c r="U5382"/>
    </row>
    <row r="5383" spans="1:21" hidden="1">
      <c r="A5383" s="7" t="s">
        <v>8822</v>
      </c>
      <c r="B5383" s="7" t="s">
        <v>6728</v>
      </c>
      <c r="C5383" s="8" t="s">
        <v>5319</v>
      </c>
      <c r="D5383" t="s">
        <v>272</v>
      </c>
      <c r="E5383" t="s">
        <v>1473</v>
      </c>
      <c r="F5383" t="s">
        <v>83</v>
      </c>
      <c r="G5383" t="s">
        <v>2795</v>
      </c>
      <c r="H5383" s="9">
        <v>44733</v>
      </c>
      <c r="I5383" t="s">
        <v>306</v>
      </c>
      <c r="J5383" t="s">
        <v>2</v>
      </c>
      <c r="K5383" s="9">
        <v>44868</v>
      </c>
      <c r="L5383" t="s">
        <v>29</v>
      </c>
      <c r="M5383" t="s">
        <v>5331</v>
      </c>
      <c r="N5383" s="9">
        <v>44778</v>
      </c>
      <c r="O5383" s="9">
        <v>44834</v>
      </c>
      <c r="P5383"/>
      <c r="Q5383" s="9">
        <v>44887</v>
      </c>
      <c r="R5383"/>
      <c r="S5383"/>
      <c r="T5383"/>
      <c r="U5383"/>
    </row>
    <row r="5384" spans="1:21" hidden="1">
      <c r="A5384" s="7" t="s">
        <v>8822</v>
      </c>
      <c r="B5384" s="7" t="s">
        <v>6728</v>
      </c>
      <c r="C5384" s="8" t="s">
        <v>5319</v>
      </c>
      <c r="D5384" t="s">
        <v>272</v>
      </c>
      <c r="E5384" t="s">
        <v>1473</v>
      </c>
      <c r="F5384" t="s">
        <v>83</v>
      </c>
      <c r="G5384" t="s">
        <v>2796</v>
      </c>
      <c r="H5384" s="9">
        <v>44733</v>
      </c>
      <c r="I5384" t="s">
        <v>306</v>
      </c>
      <c r="J5384" t="s">
        <v>2</v>
      </c>
      <c r="K5384" s="9">
        <v>44868</v>
      </c>
      <c r="L5384" t="s">
        <v>29</v>
      </c>
      <c r="M5384" t="s">
        <v>5331</v>
      </c>
      <c r="N5384" s="9">
        <v>44778</v>
      </c>
      <c r="O5384" s="9">
        <v>44834</v>
      </c>
      <c r="P5384"/>
      <c r="Q5384" s="9">
        <v>44887</v>
      </c>
      <c r="R5384"/>
      <c r="S5384"/>
      <c r="T5384"/>
      <c r="U5384"/>
    </row>
    <row r="5385" spans="1:21" hidden="1">
      <c r="A5385" s="7" t="s">
        <v>8822</v>
      </c>
      <c r="B5385" s="7" t="s">
        <v>6728</v>
      </c>
      <c r="C5385" s="8" t="s">
        <v>5319</v>
      </c>
      <c r="D5385" t="s">
        <v>272</v>
      </c>
      <c r="E5385" t="s">
        <v>1473</v>
      </c>
      <c r="F5385" t="s">
        <v>83</v>
      </c>
      <c r="G5385" t="s">
        <v>2797</v>
      </c>
      <c r="H5385" s="9">
        <v>44733</v>
      </c>
      <c r="I5385" t="s">
        <v>306</v>
      </c>
      <c r="J5385" t="s">
        <v>2</v>
      </c>
      <c r="K5385" s="9">
        <v>44868</v>
      </c>
      <c r="L5385" t="s">
        <v>29</v>
      </c>
      <c r="M5385" t="s">
        <v>5331</v>
      </c>
      <c r="N5385" s="9">
        <v>44778</v>
      </c>
      <c r="O5385" s="9">
        <v>44834</v>
      </c>
      <c r="P5385"/>
      <c r="Q5385" s="9">
        <v>44887</v>
      </c>
      <c r="R5385"/>
      <c r="S5385"/>
      <c r="T5385"/>
      <c r="U5385"/>
    </row>
    <row r="5386" spans="1:21" hidden="1">
      <c r="A5386" s="7" t="s">
        <v>8822</v>
      </c>
      <c r="B5386" s="7" t="s">
        <v>6728</v>
      </c>
      <c r="C5386" s="8" t="s">
        <v>5319</v>
      </c>
      <c r="D5386" t="s">
        <v>272</v>
      </c>
      <c r="E5386" t="s">
        <v>1473</v>
      </c>
      <c r="F5386" t="s">
        <v>83</v>
      </c>
      <c r="G5386" t="s">
        <v>2798</v>
      </c>
      <c r="H5386" s="9">
        <v>44733</v>
      </c>
      <c r="I5386" t="s">
        <v>306</v>
      </c>
      <c r="J5386" t="s">
        <v>2</v>
      </c>
      <c r="K5386" s="9">
        <v>44868</v>
      </c>
      <c r="L5386" t="s">
        <v>29</v>
      </c>
      <c r="M5386" t="s">
        <v>5331</v>
      </c>
      <c r="N5386" s="9">
        <v>44778</v>
      </c>
      <c r="O5386" s="9">
        <v>44834</v>
      </c>
      <c r="P5386"/>
      <c r="Q5386" s="9">
        <v>44887</v>
      </c>
      <c r="R5386"/>
      <c r="S5386"/>
      <c r="T5386"/>
      <c r="U5386"/>
    </row>
    <row r="5387" spans="1:21" hidden="1">
      <c r="A5387" s="7" t="s">
        <v>8822</v>
      </c>
      <c r="B5387" s="7" t="s">
        <v>6728</v>
      </c>
      <c r="C5387" s="8" t="s">
        <v>5319</v>
      </c>
      <c r="D5387" t="s">
        <v>272</v>
      </c>
      <c r="E5387" t="s">
        <v>1473</v>
      </c>
      <c r="F5387" t="s">
        <v>83</v>
      </c>
      <c r="G5387" t="s">
        <v>2799</v>
      </c>
      <c r="H5387" s="9">
        <v>44733</v>
      </c>
      <c r="I5387" t="s">
        <v>306</v>
      </c>
      <c r="J5387" t="s">
        <v>2</v>
      </c>
      <c r="K5387" s="9">
        <v>44868</v>
      </c>
      <c r="L5387" t="s">
        <v>29</v>
      </c>
      <c r="M5387" t="s">
        <v>5331</v>
      </c>
      <c r="N5387" s="9">
        <v>44778</v>
      </c>
      <c r="O5387" s="9">
        <v>44834</v>
      </c>
      <c r="P5387"/>
      <c r="Q5387" s="9">
        <v>44887</v>
      </c>
      <c r="R5387"/>
      <c r="S5387"/>
      <c r="T5387"/>
      <c r="U5387"/>
    </row>
    <row r="5388" spans="1:21" hidden="1">
      <c r="A5388" s="7" t="s">
        <v>8892</v>
      </c>
      <c r="B5388" s="7" t="s">
        <v>8194</v>
      </c>
      <c r="C5388" s="8" t="s">
        <v>5319</v>
      </c>
      <c r="D5388" t="s">
        <v>272</v>
      </c>
      <c r="E5388" t="s">
        <v>2800</v>
      </c>
      <c r="F5388" t="s">
        <v>117</v>
      </c>
      <c r="G5388" t="s">
        <v>2801</v>
      </c>
      <c r="H5388" s="9">
        <v>44733</v>
      </c>
      <c r="I5388" t="s">
        <v>85</v>
      </c>
      <c r="J5388" t="s">
        <v>2</v>
      </c>
      <c r="K5388" s="9">
        <v>44753.397187499999</v>
      </c>
      <c r="L5388" t="s">
        <v>29</v>
      </c>
      <c r="M5388" t="s">
        <v>5331</v>
      </c>
      <c r="N5388"/>
      <c r="O5388"/>
      <c r="P5388"/>
      <c r="Q5388"/>
      <c r="R5388" s="9">
        <v>44753.396076388897</v>
      </c>
      <c r="S5388"/>
      <c r="T5388"/>
      <c r="U5388"/>
    </row>
    <row r="5389" spans="1:21" hidden="1">
      <c r="A5389" s="7" t="s">
        <v>8892</v>
      </c>
      <c r="B5389" s="7" t="s">
        <v>8194</v>
      </c>
      <c r="C5389" s="8" t="s">
        <v>5319</v>
      </c>
      <c r="D5389" t="s">
        <v>272</v>
      </c>
      <c r="E5389" t="s">
        <v>2800</v>
      </c>
      <c r="F5389" t="s">
        <v>117</v>
      </c>
      <c r="G5389" t="s">
        <v>2802</v>
      </c>
      <c r="H5389" s="9">
        <v>44733</v>
      </c>
      <c r="I5389" t="s">
        <v>85</v>
      </c>
      <c r="J5389" t="s">
        <v>2</v>
      </c>
      <c r="K5389" s="9">
        <v>44753.397187499999</v>
      </c>
      <c r="L5389" t="s">
        <v>29</v>
      </c>
      <c r="M5389" t="s">
        <v>5331</v>
      </c>
      <c r="N5389"/>
      <c r="O5389"/>
      <c r="P5389"/>
      <c r="Q5389"/>
      <c r="R5389" s="9">
        <v>44753.396076388897</v>
      </c>
      <c r="S5389"/>
      <c r="T5389"/>
      <c r="U5389"/>
    </row>
    <row r="5390" spans="1:21" hidden="1">
      <c r="A5390" s="7" t="s">
        <v>8892</v>
      </c>
      <c r="B5390" s="7" t="s">
        <v>8194</v>
      </c>
      <c r="C5390" s="8" t="s">
        <v>5319</v>
      </c>
      <c r="D5390" t="s">
        <v>272</v>
      </c>
      <c r="E5390" t="s">
        <v>2800</v>
      </c>
      <c r="F5390" t="s">
        <v>117</v>
      </c>
      <c r="G5390" t="s">
        <v>2803</v>
      </c>
      <c r="H5390" s="9">
        <v>44733</v>
      </c>
      <c r="I5390" t="s">
        <v>85</v>
      </c>
      <c r="J5390" t="s">
        <v>2</v>
      </c>
      <c r="K5390" s="9">
        <v>44753.397187499999</v>
      </c>
      <c r="L5390" t="s">
        <v>29</v>
      </c>
      <c r="M5390" t="s">
        <v>5331</v>
      </c>
      <c r="N5390"/>
      <c r="O5390"/>
      <c r="P5390"/>
      <c r="Q5390"/>
      <c r="R5390" s="9">
        <v>44753.396076388897</v>
      </c>
      <c r="S5390"/>
      <c r="T5390"/>
      <c r="U5390"/>
    </row>
    <row r="5391" spans="1:21" hidden="1">
      <c r="A5391" s="7" t="s">
        <v>8892</v>
      </c>
      <c r="B5391" s="7" t="s">
        <v>8194</v>
      </c>
      <c r="C5391" s="8" t="s">
        <v>5319</v>
      </c>
      <c r="D5391" t="s">
        <v>272</v>
      </c>
      <c r="E5391" t="s">
        <v>2800</v>
      </c>
      <c r="F5391" t="s">
        <v>117</v>
      </c>
      <c r="G5391" t="s">
        <v>2804</v>
      </c>
      <c r="H5391" s="9">
        <v>44733</v>
      </c>
      <c r="I5391" t="s">
        <v>85</v>
      </c>
      <c r="J5391" t="s">
        <v>2</v>
      </c>
      <c r="K5391" s="9">
        <v>44753.397187499999</v>
      </c>
      <c r="L5391" t="s">
        <v>29</v>
      </c>
      <c r="M5391" t="s">
        <v>5331</v>
      </c>
      <c r="N5391"/>
      <c r="O5391"/>
      <c r="P5391"/>
      <c r="Q5391"/>
      <c r="R5391" s="9">
        <v>44753.396076388897</v>
      </c>
      <c r="S5391"/>
      <c r="T5391"/>
      <c r="U5391"/>
    </row>
    <row r="5392" spans="1:21" hidden="1">
      <c r="A5392" s="7" t="s">
        <v>8892</v>
      </c>
      <c r="B5392" s="7" t="s">
        <v>8194</v>
      </c>
      <c r="C5392" s="8" t="s">
        <v>5319</v>
      </c>
      <c r="D5392" t="s">
        <v>272</v>
      </c>
      <c r="E5392" t="s">
        <v>2800</v>
      </c>
      <c r="F5392" t="s">
        <v>117</v>
      </c>
      <c r="G5392" t="s">
        <v>2805</v>
      </c>
      <c r="H5392" s="9">
        <v>44733</v>
      </c>
      <c r="I5392" t="s">
        <v>85</v>
      </c>
      <c r="J5392" t="s">
        <v>2</v>
      </c>
      <c r="K5392" s="9">
        <v>44753.397187499999</v>
      </c>
      <c r="L5392" t="s">
        <v>29</v>
      </c>
      <c r="M5392" t="s">
        <v>5331</v>
      </c>
      <c r="N5392"/>
      <c r="O5392"/>
      <c r="P5392"/>
      <c r="Q5392"/>
      <c r="R5392" s="9">
        <v>44753.396076388897</v>
      </c>
      <c r="S5392"/>
      <c r="T5392"/>
      <c r="U5392"/>
    </row>
    <row r="5393" spans="1:21" hidden="1">
      <c r="A5393" s="7" t="s">
        <v>8758</v>
      </c>
      <c r="B5393" s="7" t="s">
        <v>5405</v>
      </c>
      <c r="C5393" s="8" t="s">
        <v>5319</v>
      </c>
      <c r="D5393" t="s">
        <v>272</v>
      </c>
      <c r="E5393" t="s">
        <v>25</v>
      </c>
      <c r="F5393" t="s">
        <v>493</v>
      </c>
      <c r="G5393" t="s">
        <v>2806</v>
      </c>
      <c r="H5393" s="9">
        <v>44733</v>
      </c>
      <c r="I5393" t="s">
        <v>8634</v>
      </c>
      <c r="J5393" t="s">
        <v>0</v>
      </c>
      <c r="K5393" s="9">
        <v>44862</v>
      </c>
      <c r="L5393" t="s">
        <v>29</v>
      </c>
      <c r="M5393"/>
      <c r="N5393"/>
      <c r="O5393"/>
      <c r="P5393"/>
      <c r="Q5393" s="9">
        <v>44862</v>
      </c>
      <c r="R5393"/>
      <c r="S5393"/>
      <c r="T5393"/>
      <c r="U5393"/>
    </row>
    <row r="5394" spans="1:21" hidden="1">
      <c r="A5394" s="7" t="s">
        <v>8886</v>
      </c>
      <c r="B5394" s="7" t="s">
        <v>7263</v>
      </c>
      <c r="C5394" s="8" t="s">
        <v>5319</v>
      </c>
      <c r="D5394" t="s">
        <v>272</v>
      </c>
      <c r="E5394" t="s">
        <v>2717</v>
      </c>
      <c r="F5394" t="s">
        <v>117</v>
      </c>
      <c r="G5394" t="s">
        <v>2807</v>
      </c>
      <c r="H5394" s="9">
        <v>44733</v>
      </c>
      <c r="I5394" t="s">
        <v>2719</v>
      </c>
      <c r="J5394" t="s">
        <v>2</v>
      </c>
      <c r="K5394" s="9">
        <v>44834</v>
      </c>
      <c r="L5394" t="s">
        <v>29</v>
      </c>
      <c r="M5394" t="s">
        <v>5331</v>
      </c>
      <c r="N5394" s="9">
        <v>44778</v>
      </c>
      <c r="O5394" s="9">
        <v>44834</v>
      </c>
      <c r="P5394"/>
      <c r="Q5394"/>
      <c r="R5394"/>
      <c r="S5394"/>
      <c r="T5394"/>
      <c r="U5394"/>
    </row>
    <row r="5395" spans="1:21" hidden="1">
      <c r="A5395" s="7" t="s">
        <v>8886</v>
      </c>
      <c r="B5395" s="7" t="s">
        <v>7263</v>
      </c>
      <c r="C5395" s="8" t="s">
        <v>5319</v>
      </c>
      <c r="D5395" t="s">
        <v>272</v>
      </c>
      <c r="E5395" t="s">
        <v>2717</v>
      </c>
      <c r="F5395" t="s">
        <v>117</v>
      </c>
      <c r="G5395" t="s">
        <v>2808</v>
      </c>
      <c r="H5395" s="9">
        <v>44733</v>
      </c>
      <c r="I5395" t="s">
        <v>2719</v>
      </c>
      <c r="J5395" t="s">
        <v>2</v>
      </c>
      <c r="K5395" s="9">
        <v>44834</v>
      </c>
      <c r="L5395" t="s">
        <v>29</v>
      </c>
      <c r="M5395" t="s">
        <v>5331</v>
      </c>
      <c r="N5395" s="9">
        <v>44778</v>
      </c>
      <c r="O5395" s="9">
        <v>44834</v>
      </c>
      <c r="P5395"/>
      <c r="Q5395"/>
      <c r="R5395"/>
      <c r="S5395"/>
      <c r="T5395"/>
      <c r="U5395"/>
    </row>
    <row r="5396" spans="1:21" hidden="1">
      <c r="A5396" s="7" t="s">
        <v>8758</v>
      </c>
      <c r="B5396" s="7" t="s">
        <v>5405</v>
      </c>
      <c r="C5396" s="8" t="s">
        <v>5319</v>
      </c>
      <c r="D5396" t="s">
        <v>272</v>
      </c>
      <c r="E5396" t="s">
        <v>25</v>
      </c>
      <c r="F5396" t="s">
        <v>493</v>
      </c>
      <c r="G5396" t="s">
        <v>2809</v>
      </c>
      <c r="H5396" s="9">
        <v>44733</v>
      </c>
      <c r="I5396" t="s">
        <v>8634</v>
      </c>
      <c r="J5396" t="s">
        <v>2</v>
      </c>
      <c r="K5396" s="9">
        <v>44834</v>
      </c>
      <c r="L5396" t="s">
        <v>29</v>
      </c>
      <c r="M5396" t="s">
        <v>5331</v>
      </c>
      <c r="N5396" s="9">
        <v>44778</v>
      </c>
      <c r="O5396" s="9">
        <v>44834</v>
      </c>
      <c r="P5396"/>
      <c r="Q5396"/>
      <c r="R5396"/>
      <c r="S5396"/>
      <c r="T5396"/>
      <c r="U5396"/>
    </row>
    <row r="5397" spans="1:21" hidden="1">
      <c r="A5397" s="7" t="s">
        <v>8744</v>
      </c>
      <c r="B5397" s="7" t="s">
        <v>7386</v>
      </c>
      <c r="C5397" s="8" t="s">
        <v>5319</v>
      </c>
      <c r="D5397" t="s">
        <v>272</v>
      </c>
      <c r="E5397" t="s">
        <v>352</v>
      </c>
      <c r="F5397" t="s">
        <v>117</v>
      </c>
      <c r="G5397" t="s">
        <v>2810</v>
      </c>
      <c r="H5397" s="9">
        <v>44733</v>
      </c>
      <c r="I5397" t="s">
        <v>282</v>
      </c>
      <c r="J5397" t="s">
        <v>212</v>
      </c>
      <c r="K5397" s="9">
        <v>44873.5402314815</v>
      </c>
      <c r="L5397" t="s">
        <v>29</v>
      </c>
      <c r="M5397" t="s">
        <v>5331</v>
      </c>
      <c r="N5397" s="9">
        <v>44778</v>
      </c>
      <c r="O5397" s="9">
        <v>44834</v>
      </c>
      <c r="P5397"/>
      <c r="Q5397" s="9">
        <v>44874</v>
      </c>
      <c r="R5397" s="9">
        <v>44873.538692129601</v>
      </c>
      <c r="S5397"/>
      <c r="T5397"/>
      <c r="U5397"/>
    </row>
    <row r="5398" spans="1:21" hidden="1">
      <c r="A5398" s="7" t="s">
        <v>8744</v>
      </c>
      <c r="B5398" s="7" t="s">
        <v>7386</v>
      </c>
      <c r="C5398" s="8" t="s">
        <v>5319</v>
      </c>
      <c r="D5398" t="s">
        <v>272</v>
      </c>
      <c r="E5398" t="s">
        <v>352</v>
      </c>
      <c r="F5398" t="s">
        <v>117</v>
      </c>
      <c r="G5398" t="s">
        <v>2811</v>
      </c>
      <c r="H5398" s="9">
        <v>44733</v>
      </c>
      <c r="I5398" t="s">
        <v>282</v>
      </c>
      <c r="J5398" t="s">
        <v>212</v>
      </c>
      <c r="K5398" s="9">
        <v>44873.5402314815</v>
      </c>
      <c r="L5398" t="s">
        <v>29</v>
      </c>
      <c r="M5398" t="s">
        <v>5331</v>
      </c>
      <c r="N5398" s="9">
        <v>44778</v>
      </c>
      <c r="O5398" s="9">
        <v>44834</v>
      </c>
      <c r="P5398"/>
      <c r="Q5398" s="9">
        <v>44874</v>
      </c>
      <c r="R5398" s="9">
        <v>44873.538692129601</v>
      </c>
      <c r="S5398"/>
      <c r="T5398"/>
      <c r="U5398"/>
    </row>
    <row r="5399" spans="1:21" hidden="1">
      <c r="A5399" s="7" t="s">
        <v>8744</v>
      </c>
      <c r="B5399" s="7" t="s">
        <v>7386</v>
      </c>
      <c r="C5399" s="8" t="s">
        <v>5319</v>
      </c>
      <c r="D5399" t="s">
        <v>272</v>
      </c>
      <c r="E5399" t="s">
        <v>352</v>
      </c>
      <c r="F5399" t="s">
        <v>117</v>
      </c>
      <c r="G5399" t="s">
        <v>2812</v>
      </c>
      <c r="H5399" s="9">
        <v>44733</v>
      </c>
      <c r="I5399" t="s">
        <v>282</v>
      </c>
      <c r="J5399" t="s">
        <v>212</v>
      </c>
      <c r="K5399" s="9">
        <v>44873.5402314815</v>
      </c>
      <c r="L5399" t="s">
        <v>29</v>
      </c>
      <c r="M5399" t="s">
        <v>5331</v>
      </c>
      <c r="N5399" s="9">
        <v>44778</v>
      </c>
      <c r="O5399" s="9">
        <v>44834</v>
      </c>
      <c r="P5399"/>
      <c r="Q5399" s="9">
        <v>44874</v>
      </c>
      <c r="R5399" s="9">
        <v>44873.538692129601</v>
      </c>
      <c r="S5399"/>
      <c r="T5399"/>
      <c r="U5399"/>
    </row>
    <row r="5400" spans="1:21" hidden="1">
      <c r="A5400" s="7" t="s">
        <v>8744</v>
      </c>
      <c r="B5400" s="7" t="s">
        <v>7386</v>
      </c>
      <c r="C5400" s="8" t="s">
        <v>5319</v>
      </c>
      <c r="D5400" t="s">
        <v>272</v>
      </c>
      <c r="E5400" t="s">
        <v>352</v>
      </c>
      <c r="F5400" t="s">
        <v>117</v>
      </c>
      <c r="G5400" t="s">
        <v>2813</v>
      </c>
      <c r="H5400" s="9">
        <v>44733</v>
      </c>
      <c r="I5400" t="s">
        <v>282</v>
      </c>
      <c r="J5400" t="s">
        <v>212</v>
      </c>
      <c r="K5400" s="9">
        <v>44873.5402314815</v>
      </c>
      <c r="L5400" t="s">
        <v>29</v>
      </c>
      <c r="M5400" t="s">
        <v>5331</v>
      </c>
      <c r="N5400" s="9">
        <v>44778</v>
      </c>
      <c r="O5400" s="9">
        <v>44834</v>
      </c>
      <c r="P5400"/>
      <c r="Q5400" s="9">
        <v>44874</v>
      </c>
      <c r="R5400" s="9">
        <v>44873.538692129601</v>
      </c>
      <c r="S5400"/>
      <c r="T5400"/>
      <c r="U5400"/>
    </row>
    <row r="5401" spans="1:21" hidden="1">
      <c r="A5401" s="7" t="s">
        <v>8764</v>
      </c>
      <c r="B5401" s="7" t="s">
        <v>5405</v>
      </c>
      <c r="C5401" s="8" t="s">
        <v>5319</v>
      </c>
      <c r="D5401" t="s">
        <v>272</v>
      </c>
      <c r="E5401" t="s">
        <v>25</v>
      </c>
      <c r="F5401" t="s">
        <v>75</v>
      </c>
      <c r="G5401" t="s">
        <v>2814</v>
      </c>
      <c r="H5401" s="9">
        <v>44733</v>
      </c>
      <c r="I5401" t="s">
        <v>8634</v>
      </c>
      <c r="J5401" t="s">
        <v>2</v>
      </c>
      <c r="K5401" s="9">
        <v>44834</v>
      </c>
      <c r="L5401" t="s">
        <v>29</v>
      </c>
      <c r="M5401" t="s">
        <v>5331</v>
      </c>
      <c r="N5401" s="9">
        <v>44778</v>
      </c>
      <c r="O5401" s="9">
        <v>44834</v>
      </c>
      <c r="P5401"/>
      <c r="Q5401"/>
      <c r="R5401"/>
      <c r="S5401"/>
      <c r="T5401"/>
      <c r="U5401"/>
    </row>
    <row r="5402" spans="1:21" hidden="1">
      <c r="A5402" s="7" t="s">
        <v>8712</v>
      </c>
      <c r="B5402" s="7" t="s">
        <v>5405</v>
      </c>
      <c r="C5402" s="8" t="s">
        <v>5319</v>
      </c>
      <c r="D5402" t="s">
        <v>272</v>
      </c>
      <c r="E5402" t="s">
        <v>25</v>
      </c>
      <c r="F5402" t="s">
        <v>26</v>
      </c>
      <c r="G5402" t="s">
        <v>2815</v>
      </c>
      <c r="H5402" s="9">
        <v>44733</v>
      </c>
      <c r="I5402" t="s">
        <v>8634</v>
      </c>
      <c r="J5402" t="s">
        <v>0</v>
      </c>
      <c r="K5402" s="9">
        <v>44882</v>
      </c>
      <c r="L5402" t="s">
        <v>29</v>
      </c>
      <c r="M5402"/>
      <c r="N5402" s="9">
        <v>44778</v>
      </c>
      <c r="O5402"/>
      <c r="P5402"/>
      <c r="Q5402" s="9">
        <v>44882</v>
      </c>
      <c r="R5402"/>
      <c r="S5402"/>
      <c r="T5402"/>
      <c r="U5402"/>
    </row>
    <row r="5403" spans="1:21" hidden="1">
      <c r="A5403" s="7" t="s">
        <v>8758</v>
      </c>
      <c r="B5403" s="7" t="s">
        <v>5405</v>
      </c>
      <c r="C5403" s="8" t="s">
        <v>5319</v>
      </c>
      <c r="D5403" t="s">
        <v>272</v>
      </c>
      <c r="E5403" t="s">
        <v>25</v>
      </c>
      <c r="F5403" t="s">
        <v>493</v>
      </c>
      <c r="G5403" t="s">
        <v>2816</v>
      </c>
      <c r="H5403" s="9">
        <v>44733</v>
      </c>
      <c r="I5403" t="s">
        <v>8634</v>
      </c>
      <c r="J5403" t="s">
        <v>0</v>
      </c>
      <c r="K5403" s="9">
        <v>44862</v>
      </c>
      <c r="L5403" t="s">
        <v>29</v>
      </c>
      <c r="M5403"/>
      <c r="N5403" s="9">
        <v>44778</v>
      </c>
      <c r="O5403"/>
      <c r="P5403"/>
      <c r="Q5403" s="9">
        <v>44862</v>
      </c>
      <c r="R5403"/>
      <c r="S5403"/>
      <c r="T5403"/>
      <c r="U5403"/>
    </row>
    <row r="5404" spans="1:21" hidden="1">
      <c r="A5404" s="7" t="s">
        <v>8712</v>
      </c>
      <c r="B5404" s="7" t="s">
        <v>5405</v>
      </c>
      <c r="C5404" s="8" t="s">
        <v>5319</v>
      </c>
      <c r="D5404" t="s">
        <v>272</v>
      </c>
      <c r="E5404" t="s">
        <v>25</v>
      </c>
      <c r="F5404" t="s">
        <v>26</v>
      </c>
      <c r="G5404" t="s">
        <v>2817</v>
      </c>
      <c r="H5404" s="9">
        <v>44733</v>
      </c>
      <c r="I5404" t="s">
        <v>8634</v>
      </c>
      <c r="J5404" t="s">
        <v>0</v>
      </c>
      <c r="K5404" s="9">
        <v>44882</v>
      </c>
      <c r="L5404" t="s">
        <v>29</v>
      </c>
      <c r="M5404"/>
      <c r="N5404" s="9">
        <v>44778</v>
      </c>
      <c r="O5404"/>
      <c r="P5404"/>
      <c r="Q5404" s="9">
        <v>44882</v>
      </c>
      <c r="R5404"/>
      <c r="S5404"/>
      <c r="T5404"/>
      <c r="U5404"/>
    </row>
    <row r="5405" spans="1:21" hidden="1">
      <c r="A5405" s="7" t="s">
        <v>8758</v>
      </c>
      <c r="B5405" s="7" t="s">
        <v>5405</v>
      </c>
      <c r="C5405" s="8" t="s">
        <v>5319</v>
      </c>
      <c r="D5405" t="s">
        <v>272</v>
      </c>
      <c r="E5405" t="s">
        <v>25</v>
      </c>
      <c r="F5405" t="s">
        <v>493</v>
      </c>
      <c r="G5405" t="s">
        <v>2818</v>
      </c>
      <c r="H5405" s="9">
        <v>44733</v>
      </c>
      <c r="I5405" t="s">
        <v>8634</v>
      </c>
      <c r="J5405" t="s">
        <v>0</v>
      </c>
      <c r="K5405" s="9">
        <v>44862</v>
      </c>
      <c r="L5405" t="s">
        <v>29</v>
      </c>
      <c r="M5405"/>
      <c r="N5405" s="9">
        <v>44778</v>
      </c>
      <c r="O5405"/>
      <c r="P5405"/>
      <c r="Q5405" s="9">
        <v>44862</v>
      </c>
      <c r="R5405"/>
      <c r="S5405"/>
      <c r="T5405"/>
      <c r="U5405"/>
    </row>
    <row r="5406" spans="1:21" hidden="1">
      <c r="A5406" s="7" t="s">
        <v>8758</v>
      </c>
      <c r="B5406" s="7" t="s">
        <v>5405</v>
      </c>
      <c r="C5406" s="8" t="s">
        <v>5319</v>
      </c>
      <c r="D5406" t="s">
        <v>272</v>
      </c>
      <c r="E5406" t="s">
        <v>25</v>
      </c>
      <c r="F5406" t="s">
        <v>493</v>
      </c>
      <c r="G5406" t="s">
        <v>2819</v>
      </c>
      <c r="H5406" s="9">
        <v>44733</v>
      </c>
      <c r="I5406" t="s">
        <v>8634</v>
      </c>
      <c r="J5406" t="s">
        <v>0</v>
      </c>
      <c r="K5406" s="9">
        <v>44862</v>
      </c>
      <c r="L5406" t="s">
        <v>29</v>
      </c>
      <c r="M5406"/>
      <c r="N5406" s="9">
        <v>44778</v>
      </c>
      <c r="O5406"/>
      <c r="P5406"/>
      <c r="Q5406" s="9">
        <v>44862</v>
      </c>
      <c r="R5406"/>
      <c r="S5406"/>
      <c r="T5406"/>
      <c r="U5406"/>
    </row>
    <row r="5407" spans="1:21" hidden="1">
      <c r="A5407" s="7" t="s">
        <v>8758</v>
      </c>
      <c r="B5407" s="7" t="s">
        <v>5405</v>
      </c>
      <c r="C5407" s="8" t="s">
        <v>5319</v>
      </c>
      <c r="D5407" t="s">
        <v>272</v>
      </c>
      <c r="E5407" t="s">
        <v>25</v>
      </c>
      <c r="F5407" t="s">
        <v>493</v>
      </c>
      <c r="G5407" t="s">
        <v>2820</v>
      </c>
      <c r="H5407" s="9">
        <v>44733</v>
      </c>
      <c r="I5407" t="s">
        <v>8634</v>
      </c>
      <c r="J5407" t="s">
        <v>0</v>
      </c>
      <c r="K5407" s="9">
        <v>44862</v>
      </c>
      <c r="L5407" t="s">
        <v>29</v>
      </c>
      <c r="M5407"/>
      <c r="N5407" s="9">
        <v>44778</v>
      </c>
      <c r="O5407"/>
      <c r="P5407"/>
      <c r="Q5407" s="9">
        <v>44862</v>
      </c>
      <c r="R5407"/>
      <c r="S5407"/>
      <c r="T5407"/>
      <c r="U5407"/>
    </row>
    <row r="5408" spans="1:21" hidden="1">
      <c r="A5408" s="7" t="s">
        <v>8758</v>
      </c>
      <c r="B5408" s="7" t="s">
        <v>5405</v>
      </c>
      <c r="C5408" s="8" t="s">
        <v>5319</v>
      </c>
      <c r="D5408" t="s">
        <v>272</v>
      </c>
      <c r="E5408" t="s">
        <v>25</v>
      </c>
      <c r="F5408" t="s">
        <v>493</v>
      </c>
      <c r="G5408" t="s">
        <v>2821</v>
      </c>
      <c r="H5408" s="9">
        <v>44733</v>
      </c>
      <c r="I5408" t="s">
        <v>8634</v>
      </c>
      <c r="J5408" t="s">
        <v>0</v>
      </c>
      <c r="K5408" s="9">
        <v>44862</v>
      </c>
      <c r="L5408" t="s">
        <v>29</v>
      </c>
      <c r="M5408"/>
      <c r="N5408" s="9">
        <v>44778</v>
      </c>
      <c r="O5408"/>
      <c r="P5408"/>
      <c r="Q5408" s="9">
        <v>44862</v>
      </c>
      <c r="R5408"/>
      <c r="S5408"/>
      <c r="T5408"/>
      <c r="U5408"/>
    </row>
    <row r="5409" spans="1:21" hidden="1">
      <c r="A5409" s="7" t="s">
        <v>8758</v>
      </c>
      <c r="B5409" s="7" t="s">
        <v>5405</v>
      </c>
      <c r="C5409" s="8" t="s">
        <v>5319</v>
      </c>
      <c r="D5409" t="s">
        <v>272</v>
      </c>
      <c r="E5409" t="s">
        <v>25</v>
      </c>
      <c r="F5409" t="s">
        <v>493</v>
      </c>
      <c r="G5409" t="s">
        <v>2822</v>
      </c>
      <c r="H5409" s="9">
        <v>44733</v>
      </c>
      <c r="I5409" t="s">
        <v>8634</v>
      </c>
      <c r="J5409" t="s">
        <v>0</v>
      </c>
      <c r="K5409" s="9">
        <v>44862</v>
      </c>
      <c r="L5409" t="s">
        <v>29</v>
      </c>
      <c r="M5409"/>
      <c r="N5409" s="9">
        <v>44778</v>
      </c>
      <c r="O5409"/>
      <c r="P5409"/>
      <c r="Q5409" s="9">
        <v>44862</v>
      </c>
      <c r="R5409"/>
      <c r="S5409"/>
      <c r="T5409"/>
      <c r="U5409"/>
    </row>
    <row r="5410" spans="1:21" hidden="1">
      <c r="A5410" s="7" t="s">
        <v>8758</v>
      </c>
      <c r="B5410" s="7" t="s">
        <v>5405</v>
      </c>
      <c r="C5410" s="8" t="s">
        <v>5319</v>
      </c>
      <c r="D5410" t="s">
        <v>272</v>
      </c>
      <c r="E5410" t="s">
        <v>25</v>
      </c>
      <c r="F5410" t="s">
        <v>493</v>
      </c>
      <c r="G5410" t="s">
        <v>2823</v>
      </c>
      <c r="H5410" s="9">
        <v>44733</v>
      </c>
      <c r="I5410" t="s">
        <v>8634</v>
      </c>
      <c r="J5410" t="s">
        <v>0</v>
      </c>
      <c r="K5410" s="9">
        <v>44862</v>
      </c>
      <c r="L5410" t="s">
        <v>29</v>
      </c>
      <c r="M5410"/>
      <c r="N5410" s="9">
        <v>44778</v>
      </c>
      <c r="O5410"/>
      <c r="P5410"/>
      <c r="Q5410" s="9">
        <v>44862</v>
      </c>
      <c r="R5410"/>
      <c r="S5410"/>
      <c r="T5410"/>
      <c r="U5410"/>
    </row>
    <row r="5411" spans="1:21" hidden="1">
      <c r="A5411" s="7" t="s">
        <v>8712</v>
      </c>
      <c r="B5411" s="7" t="s">
        <v>5405</v>
      </c>
      <c r="C5411" s="8" t="s">
        <v>5319</v>
      </c>
      <c r="D5411" t="s">
        <v>272</v>
      </c>
      <c r="E5411" t="s">
        <v>25</v>
      </c>
      <c r="F5411" t="s">
        <v>26</v>
      </c>
      <c r="G5411" t="s">
        <v>2824</v>
      </c>
      <c r="H5411" s="9">
        <v>44733</v>
      </c>
      <c r="I5411" t="s">
        <v>8634</v>
      </c>
      <c r="J5411" t="s">
        <v>0</v>
      </c>
      <c r="K5411" s="9">
        <v>44882</v>
      </c>
      <c r="L5411" t="s">
        <v>29</v>
      </c>
      <c r="M5411"/>
      <c r="N5411" s="9">
        <v>44778</v>
      </c>
      <c r="O5411"/>
      <c r="P5411"/>
      <c r="Q5411" s="9">
        <v>44882</v>
      </c>
      <c r="R5411"/>
      <c r="S5411"/>
      <c r="T5411"/>
      <c r="U5411"/>
    </row>
    <row r="5412" spans="1:21" hidden="1">
      <c r="A5412" s="7" t="s">
        <v>8712</v>
      </c>
      <c r="B5412" s="7" t="s">
        <v>5405</v>
      </c>
      <c r="C5412" s="8" t="s">
        <v>5319</v>
      </c>
      <c r="D5412" t="s">
        <v>272</v>
      </c>
      <c r="E5412" t="s">
        <v>25</v>
      </c>
      <c r="F5412" t="s">
        <v>26</v>
      </c>
      <c r="G5412" t="s">
        <v>2825</v>
      </c>
      <c r="H5412" s="9">
        <v>44733</v>
      </c>
      <c r="I5412" t="s">
        <v>8634</v>
      </c>
      <c r="J5412" t="s">
        <v>0</v>
      </c>
      <c r="K5412" s="9">
        <v>44882</v>
      </c>
      <c r="L5412" t="s">
        <v>29</v>
      </c>
      <c r="M5412"/>
      <c r="N5412" s="9">
        <v>44778</v>
      </c>
      <c r="O5412"/>
      <c r="P5412"/>
      <c r="Q5412" s="9">
        <v>44882</v>
      </c>
      <c r="R5412"/>
      <c r="S5412"/>
      <c r="T5412"/>
      <c r="U5412"/>
    </row>
    <row r="5413" spans="1:21" hidden="1">
      <c r="A5413" s="7" t="s">
        <v>8712</v>
      </c>
      <c r="B5413" s="7" t="s">
        <v>5405</v>
      </c>
      <c r="C5413" s="8" t="s">
        <v>5319</v>
      </c>
      <c r="D5413" t="s">
        <v>272</v>
      </c>
      <c r="E5413" t="s">
        <v>25</v>
      </c>
      <c r="F5413" t="s">
        <v>26</v>
      </c>
      <c r="G5413" t="s">
        <v>2826</v>
      </c>
      <c r="H5413" s="9">
        <v>44733</v>
      </c>
      <c r="I5413" t="s">
        <v>8634</v>
      </c>
      <c r="J5413" t="s">
        <v>0</v>
      </c>
      <c r="K5413" s="9">
        <v>44882</v>
      </c>
      <c r="L5413" t="s">
        <v>29</v>
      </c>
      <c r="M5413"/>
      <c r="N5413" s="9">
        <v>44778</v>
      </c>
      <c r="O5413"/>
      <c r="P5413"/>
      <c r="Q5413" s="9">
        <v>44882</v>
      </c>
      <c r="R5413"/>
      <c r="S5413"/>
      <c r="T5413"/>
      <c r="U5413"/>
    </row>
    <row r="5414" spans="1:21" hidden="1">
      <c r="A5414" s="7" t="s">
        <v>8728</v>
      </c>
      <c r="B5414" s="7" t="s">
        <v>5405</v>
      </c>
      <c r="C5414" s="8" t="s">
        <v>5319</v>
      </c>
      <c r="D5414" t="s">
        <v>272</v>
      </c>
      <c r="E5414" t="s">
        <v>25</v>
      </c>
      <c r="F5414" t="s">
        <v>200</v>
      </c>
      <c r="G5414" t="s">
        <v>2827</v>
      </c>
      <c r="H5414" s="9">
        <v>44733</v>
      </c>
      <c r="I5414" t="s">
        <v>8634</v>
      </c>
      <c r="J5414" t="s">
        <v>0</v>
      </c>
      <c r="K5414" s="9">
        <v>44862</v>
      </c>
      <c r="L5414" t="s">
        <v>29</v>
      </c>
      <c r="M5414"/>
      <c r="N5414" s="9">
        <v>44778</v>
      </c>
      <c r="O5414"/>
      <c r="P5414"/>
      <c r="Q5414" s="9">
        <v>44862</v>
      </c>
      <c r="R5414"/>
      <c r="S5414"/>
      <c r="T5414"/>
      <c r="U5414"/>
    </row>
    <row r="5415" spans="1:21" hidden="1">
      <c r="A5415" s="7" t="s">
        <v>8758</v>
      </c>
      <c r="B5415" s="7" t="s">
        <v>5405</v>
      </c>
      <c r="C5415" s="8" t="s">
        <v>5319</v>
      </c>
      <c r="D5415" t="s">
        <v>272</v>
      </c>
      <c r="E5415" t="s">
        <v>25</v>
      </c>
      <c r="F5415" t="s">
        <v>493</v>
      </c>
      <c r="G5415" t="s">
        <v>2828</v>
      </c>
      <c r="H5415" s="9">
        <v>44733</v>
      </c>
      <c r="I5415" t="s">
        <v>8634</v>
      </c>
      <c r="J5415" t="s">
        <v>0</v>
      </c>
      <c r="K5415" s="9">
        <v>44862</v>
      </c>
      <c r="L5415" t="s">
        <v>29</v>
      </c>
      <c r="M5415"/>
      <c r="N5415" s="9">
        <v>44778</v>
      </c>
      <c r="O5415"/>
      <c r="P5415"/>
      <c r="Q5415" s="9">
        <v>44862</v>
      </c>
      <c r="R5415"/>
      <c r="S5415"/>
      <c r="T5415"/>
      <c r="U5415"/>
    </row>
    <row r="5416" spans="1:21" hidden="1">
      <c r="A5416" s="7" t="s">
        <v>8712</v>
      </c>
      <c r="B5416" s="7" t="s">
        <v>5405</v>
      </c>
      <c r="C5416" s="8" t="s">
        <v>5319</v>
      </c>
      <c r="D5416" t="s">
        <v>272</v>
      </c>
      <c r="E5416" t="s">
        <v>25</v>
      </c>
      <c r="F5416" t="s">
        <v>26</v>
      </c>
      <c r="G5416" t="s">
        <v>2829</v>
      </c>
      <c r="H5416" s="9">
        <v>44733</v>
      </c>
      <c r="I5416" t="s">
        <v>8634</v>
      </c>
      <c r="J5416" t="s">
        <v>0</v>
      </c>
      <c r="K5416" s="9">
        <v>44882</v>
      </c>
      <c r="L5416" t="s">
        <v>29</v>
      </c>
      <c r="M5416"/>
      <c r="N5416" s="9">
        <v>44778</v>
      </c>
      <c r="O5416"/>
      <c r="P5416"/>
      <c r="Q5416" s="9">
        <v>44882</v>
      </c>
      <c r="R5416"/>
      <c r="S5416"/>
      <c r="T5416"/>
      <c r="U5416"/>
    </row>
    <row r="5417" spans="1:21" hidden="1">
      <c r="A5417" s="7" t="s">
        <v>8758</v>
      </c>
      <c r="B5417" s="7" t="s">
        <v>5405</v>
      </c>
      <c r="C5417" s="8" t="s">
        <v>5319</v>
      </c>
      <c r="D5417" t="s">
        <v>272</v>
      </c>
      <c r="E5417" t="s">
        <v>25</v>
      </c>
      <c r="F5417" t="s">
        <v>493</v>
      </c>
      <c r="G5417" t="s">
        <v>2830</v>
      </c>
      <c r="H5417" s="9">
        <v>44733</v>
      </c>
      <c r="I5417" t="s">
        <v>8634</v>
      </c>
      <c r="J5417" t="s">
        <v>0</v>
      </c>
      <c r="K5417" s="9">
        <v>44862</v>
      </c>
      <c r="L5417" t="s">
        <v>29</v>
      </c>
      <c r="M5417"/>
      <c r="N5417" s="9">
        <v>44778</v>
      </c>
      <c r="O5417"/>
      <c r="P5417"/>
      <c r="Q5417" s="9">
        <v>44862</v>
      </c>
      <c r="R5417"/>
      <c r="S5417"/>
      <c r="T5417"/>
      <c r="U5417"/>
    </row>
    <row r="5418" spans="1:21" hidden="1">
      <c r="A5418" s="7" t="s">
        <v>8758</v>
      </c>
      <c r="B5418" s="7" t="s">
        <v>5405</v>
      </c>
      <c r="C5418" s="8" t="s">
        <v>5319</v>
      </c>
      <c r="D5418" t="s">
        <v>272</v>
      </c>
      <c r="E5418" t="s">
        <v>25</v>
      </c>
      <c r="F5418" t="s">
        <v>493</v>
      </c>
      <c r="G5418" t="s">
        <v>2831</v>
      </c>
      <c r="H5418" s="9">
        <v>44733</v>
      </c>
      <c r="I5418" t="s">
        <v>8634</v>
      </c>
      <c r="J5418" t="s">
        <v>0</v>
      </c>
      <c r="K5418" s="9">
        <v>44862</v>
      </c>
      <c r="L5418" t="s">
        <v>29</v>
      </c>
      <c r="M5418"/>
      <c r="N5418" s="9">
        <v>44778</v>
      </c>
      <c r="O5418"/>
      <c r="P5418"/>
      <c r="Q5418" s="9">
        <v>44862</v>
      </c>
      <c r="R5418"/>
      <c r="S5418"/>
      <c r="T5418"/>
      <c r="U5418"/>
    </row>
    <row r="5419" spans="1:21" hidden="1">
      <c r="A5419" s="7" t="s">
        <v>8758</v>
      </c>
      <c r="B5419" s="7" t="s">
        <v>5405</v>
      </c>
      <c r="C5419" s="8" t="s">
        <v>5319</v>
      </c>
      <c r="D5419" t="s">
        <v>272</v>
      </c>
      <c r="E5419" t="s">
        <v>25</v>
      </c>
      <c r="F5419" t="s">
        <v>493</v>
      </c>
      <c r="G5419" t="s">
        <v>2832</v>
      </c>
      <c r="H5419" s="9">
        <v>44733</v>
      </c>
      <c r="I5419" t="s">
        <v>8634</v>
      </c>
      <c r="J5419" t="s">
        <v>0</v>
      </c>
      <c r="K5419" s="9">
        <v>44862</v>
      </c>
      <c r="L5419" t="s">
        <v>29</v>
      </c>
      <c r="M5419"/>
      <c r="N5419" s="9">
        <v>44778</v>
      </c>
      <c r="O5419"/>
      <c r="P5419"/>
      <c r="Q5419" s="9">
        <v>44862</v>
      </c>
      <c r="R5419"/>
      <c r="S5419"/>
      <c r="T5419"/>
      <c r="U5419"/>
    </row>
    <row r="5420" spans="1:21" hidden="1">
      <c r="A5420" s="7" t="s">
        <v>8758</v>
      </c>
      <c r="B5420" s="7" t="s">
        <v>5405</v>
      </c>
      <c r="C5420" s="8" t="s">
        <v>5319</v>
      </c>
      <c r="D5420" t="s">
        <v>272</v>
      </c>
      <c r="E5420" t="s">
        <v>25</v>
      </c>
      <c r="F5420" t="s">
        <v>493</v>
      </c>
      <c r="G5420" t="s">
        <v>2833</v>
      </c>
      <c r="H5420" s="9">
        <v>44733</v>
      </c>
      <c r="I5420" t="s">
        <v>8634</v>
      </c>
      <c r="J5420" t="s">
        <v>0</v>
      </c>
      <c r="K5420" s="9">
        <v>44862</v>
      </c>
      <c r="L5420" t="s">
        <v>29</v>
      </c>
      <c r="M5420"/>
      <c r="N5420" s="9">
        <v>44778</v>
      </c>
      <c r="O5420"/>
      <c r="P5420"/>
      <c r="Q5420" s="9">
        <v>44862</v>
      </c>
      <c r="R5420"/>
      <c r="S5420"/>
      <c r="T5420"/>
      <c r="U5420"/>
    </row>
    <row r="5421" spans="1:21" hidden="1">
      <c r="A5421" s="7" t="s">
        <v>8758</v>
      </c>
      <c r="B5421" s="7" t="s">
        <v>5405</v>
      </c>
      <c r="C5421" s="8" t="s">
        <v>5319</v>
      </c>
      <c r="D5421" t="s">
        <v>272</v>
      </c>
      <c r="E5421" t="s">
        <v>25</v>
      </c>
      <c r="F5421" t="s">
        <v>493</v>
      </c>
      <c r="G5421" t="s">
        <v>2834</v>
      </c>
      <c r="H5421" s="9">
        <v>44733</v>
      </c>
      <c r="I5421" t="s">
        <v>8634</v>
      </c>
      <c r="J5421" t="s">
        <v>0</v>
      </c>
      <c r="K5421" s="9">
        <v>44862</v>
      </c>
      <c r="L5421" t="s">
        <v>29</v>
      </c>
      <c r="M5421"/>
      <c r="N5421" s="9">
        <v>44778</v>
      </c>
      <c r="O5421"/>
      <c r="P5421"/>
      <c r="Q5421" s="9">
        <v>44862</v>
      </c>
      <c r="R5421"/>
      <c r="S5421"/>
      <c r="T5421"/>
      <c r="U5421"/>
    </row>
    <row r="5422" spans="1:21" hidden="1">
      <c r="A5422" s="7" t="s">
        <v>8758</v>
      </c>
      <c r="B5422" s="7" t="s">
        <v>5405</v>
      </c>
      <c r="C5422" s="8" t="s">
        <v>5319</v>
      </c>
      <c r="D5422" t="s">
        <v>272</v>
      </c>
      <c r="E5422" t="s">
        <v>25</v>
      </c>
      <c r="F5422" t="s">
        <v>493</v>
      </c>
      <c r="G5422" t="s">
        <v>2835</v>
      </c>
      <c r="H5422" s="9">
        <v>44733</v>
      </c>
      <c r="I5422" t="s">
        <v>8634</v>
      </c>
      <c r="J5422" t="s">
        <v>0</v>
      </c>
      <c r="K5422" s="9">
        <v>44862</v>
      </c>
      <c r="L5422" t="s">
        <v>29</v>
      </c>
      <c r="M5422"/>
      <c r="N5422" s="9">
        <v>44778</v>
      </c>
      <c r="O5422"/>
      <c r="P5422"/>
      <c r="Q5422" s="9">
        <v>44862</v>
      </c>
      <c r="R5422"/>
      <c r="S5422"/>
      <c r="T5422"/>
      <c r="U5422"/>
    </row>
    <row r="5423" spans="1:21" hidden="1">
      <c r="A5423" s="7" t="s">
        <v>8712</v>
      </c>
      <c r="B5423" s="7" t="s">
        <v>5405</v>
      </c>
      <c r="C5423" s="8" t="s">
        <v>5319</v>
      </c>
      <c r="D5423" t="s">
        <v>272</v>
      </c>
      <c r="E5423" t="s">
        <v>25</v>
      </c>
      <c r="F5423" t="s">
        <v>26</v>
      </c>
      <c r="G5423" t="s">
        <v>2836</v>
      </c>
      <c r="H5423" s="9">
        <v>44733</v>
      </c>
      <c r="I5423" t="s">
        <v>8634</v>
      </c>
      <c r="J5423" t="s">
        <v>0</v>
      </c>
      <c r="K5423" s="9">
        <v>44882</v>
      </c>
      <c r="L5423" t="s">
        <v>29</v>
      </c>
      <c r="M5423"/>
      <c r="N5423" s="9">
        <v>44778</v>
      </c>
      <c r="O5423"/>
      <c r="P5423"/>
      <c r="Q5423" s="9">
        <v>44882</v>
      </c>
      <c r="R5423"/>
      <c r="S5423"/>
      <c r="T5423"/>
      <c r="U5423"/>
    </row>
    <row r="5424" spans="1:21" hidden="1">
      <c r="A5424" s="7" t="s">
        <v>8758</v>
      </c>
      <c r="B5424" s="7" t="s">
        <v>5405</v>
      </c>
      <c r="C5424" s="8" t="s">
        <v>5319</v>
      </c>
      <c r="D5424" t="s">
        <v>272</v>
      </c>
      <c r="E5424" t="s">
        <v>25</v>
      </c>
      <c r="F5424" t="s">
        <v>493</v>
      </c>
      <c r="G5424" t="s">
        <v>196</v>
      </c>
      <c r="H5424" s="9">
        <v>44733</v>
      </c>
      <c r="I5424" t="s">
        <v>8634</v>
      </c>
      <c r="J5424" t="s">
        <v>0</v>
      </c>
      <c r="K5424" s="9">
        <v>44862</v>
      </c>
      <c r="L5424" t="s">
        <v>29</v>
      </c>
      <c r="M5424"/>
      <c r="N5424" s="9">
        <v>44778</v>
      </c>
      <c r="O5424"/>
      <c r="P5424"/>
      <c r="Q5424" s="9">
        <v>44862</v>
      </c>
      <c r="R5424"/>
      <c r="S5424"/>
      <c r="T5424"/>
      <c r="U5424"/>
    </row>
    <row r="5425" spans="1:21" hidden="1">
      <c r="A5425" s="7" t="s">
        <v>8758</v>
      </c>
      <c r="B5425" s="7" t="s">
        <v>5405</v>
      </c>
      <c r="C5425" s="8" t="s">
        <v>5319</v>
      </c>
      <c r="D5425" t="s">
        <v>272</v>
      </c>
      <c r="E5425" t="s">
        <v>25</v>
      </c>
      <c r="F5425" t="s">
        <v>493</v>
      </c>
      <c r="G5425" t="s">
        <v>263</v>
      </c>
      <c r="H5425" s="9">
        <v>44733</v>
      </c>
      <c r="I5425" t="s">
        <v>8634</v>
      </c>
      <c r="J5425" t="s">
        <v>0</v>
      </c>
      <c r="K5425" s="9">
        <v>44862</v>
      </c>
      <c r="L5425" t="s">
        <v>29</v>
      </c>
      <c r="M5425"/>
      <c r="N5425" s="9">
        <v>44778</v>
      </c>
      <c r="O5425"/>
      <c r="P5425"/>
      <c r="Q5425" s="9">
        <v>44862</v>
      </c>
      <c r="R5425"/>
      <c r="S5425"/>
      <c r="T5425"/>
      <c r="U5425"/>
    </row>
    <row r="5426" spans="1:21" hidden="1">
      <c r="A5426" s="7" t="s">
        <v>8712</v>
      </c>
      <c r="B5426" s="7" t="s">
        <v>5405</v>
      </c>
      <c r="C5426" s="8" t="s">
        <v>5319</v>
      </c>
      <c r="D5426" t="s">
        <v>272</v>
      </c>
      <c r="E5426" t="s">
        <v>25</v>
      </c>
      <c r="F5426" t="s">
        <v>26</v>
      </c>
      <c r="G5426" t="s">
        <v>2837</v>
      </c>
      <c r="H5426" s="9">
        <v>44733</v>
      </c>
      <c r="I5426" t="s">
        <v>8634</v>
      </c>
      <c r="J5426" t="s">
        <v>0</v>
      </c>
      <c r="K5426" s="9">
        <v>44882</v>
      </c>
      <c r="L5426" t="s">
        <v>29</v>
      </c>
      <c r="M5426"/>
      <c r="N5426" s="9">
        <v>44778</v>
      </c>
      <c r="O5426"/>
      <c r="P5426"/>
      <c r="Q5426" s="9">
        <v>44882</v>
      </c>
      <c r="R5426"/>
      <c r="S5426"/>
      <c r="T5426"/>
      <c r="U5426"/>
    </row>
    <row r="5427" spans="1:21" hidden="1">
      <c r="A5427" s="7" t="s">
        <v>8758</v>
      </c>
      <c r="B5427" s="7" t="s">
        <v>5405</v>
      </c>
      <c r="C5427" s="8" t="s">
        <v>5319</v>
      </c>
      <c r="D5427" t="s">
        <v>272</v>
      </c>
      <c r="E5427" t="s">
        <v>25</v>
      </c>
      <c r="F5427" t="s">
        <v>493</v>
      </c>
      <c r="G5427" t="s">
        <v>2838</v>
      </c>
      <c r="H5427" s="9">
        <v>44733</v>
      </c>
      <c r="I5427" t="s">
        <v>8634</v>
      </c>
      <c r="J5427" t="s">
        <v>0</v>
      </c>
      <c r="K5427" s="9">
        <v>44862</v>
      </c>
      <c r="L5427" t="s">
        <v>29</v>
      </c>
      <c r="M5427"/>
      <c r="N5427" s="9">
        <v>44778</v>
      </c>
      <c r="O5427"/>
      <c r="P5427"/>
      <c r="Q5427" s="9">
        <v>44862</v>
      </c>
      <c r="R5427"/>
      <c r="S5427"/>
      <c r="T5427"/>
      <c r="U5427"/>
    </row>
    <row r="5428" spans="1:21" hidden="1">
      <c r="A5428" s="7" t="s">
        <v>8758</v>
      </c>
      <c r="B5428" s="7" t="s">
        <v>5405</v>
      </c>
      <c r="C5428" s="8" t="s">
        <v>5319</v>
      </c>
      <c r="D5428" t="s">
        <v>272</v>
      </c>
      <c r="E5428" t="s">
        <v>25</v>
      </c>
      <c r="F5428" t="s">
        <v>493</v>
      </c>
      <c r="G5428" t="s">
        <v>1543</v>
      </c>
      <c r="H5428" s="9">
        <v>44733</v>
      </c>
      <c r="I5428" t="s">
        <v>8634</v>
      </c>
      <c r="J5428" t="s">
        <v>0</v>
      </c>
      <c r="K5428" s="9">
        <v>44862</v>
      </c>
      <c r="L5428" t="s">
        <v>29</v>
      </c>
      <c r="M5428"/>
      <c r="N5428" s="9">
        <v>44778</v>
      </c>
      <c r="O5428"/>
      <c r="P5428"/>
      <c r="Q5428" s="9">
        <v>44862</v>
      </c>
      <c r="R5428"/>
      <c r="S5428"/>
      <c r="T5428"/>
      <c r="U5428"/>
    </row>
    <row r="5429" spans="1:21" hidden="1">
      <c r="A5429" s="7" t="s">
        <v>8758</v>
      </c>
      <c r="B5429" s="7" t="s">
        <v>5405</v>
      </c>
      <c r="C5429" s="8" t="s">
        <v>5319</v>
      </c>
      <c r="D5429" t="s">
        <v>272</v>
      </c>
      <c r="E5429" t="s">
        <v>25</v>
      </c>
      <c r="F5429" t="s">
        <v>493</v>
      </c>
      <c r="G5429" t="s">
        <v>2839</v>
      </c>
      <c r="H5429" s="9">
        <v>44733</v>
      </c>
      <c r="I5429" t="s">
        <v>8634</v>
      </c>
      <c r="J5429" t="s">
        <v>0</v>
      </c>
      <c r="K5429" s="9">
        <v>44862</v>
      </c>
      <c r="L5429" t="s">
        <v>29</v>
      </c>
      <c r="M5429"/>
      <c r="N5429" s="9">
        <v>44778</v>
      </c>
      <c r="O5429"/>
      <c r="P5429"/>
      <c r="Q5429" s="9">
        <v>44862</v>
      </c>
      <c r="R5429"/>
      <c r="S5429"/>
      <c r="T5429"/>
      <c r="U5429"/>
    </row>
    <row r="5430" spans="1:21" hidden="1">
      <c r="A5430" s="7" t="s">
        <v>8712</v>
      </c>
      <c r="B5430" s="7" t="s">
        <v>5405</v>
      </c>
      <c r="C5430" s="8" t="s">
        <v>5319</v>
      </c>
      <c r="D5430" t="s">
        <v>272</v>
      </c>
      <c r="E5430" t="s">
        <v>25</v>
      </c>
      <c r="F5430" t="s">
        <v>26</v>
      </c>
      <c r="G5430" t="s">
        <v>2840</v>
      </c>
      <c r="H5430" s="9">
        <v>44733</v>
      </c>
      <c r="I5430" t="s">
        <v>8634</v>
      </c>
      <c r="J5430" t="s">
        <v>0</v>
      </c>
      <c r="K5430" s="9">
        <v>44882</v>
      </c>
      <c r="L5430" t="s">
        <v>29</v>
      </c>
      <c r="M5430"/>
      <c r="N5430" s="9">
        <v>44778</v>
      </c>
      <c r="O5430"/>
      <c r="P5430"/>
      <c r="Q5430" s="9">
        <v>44882</v>
      </c>
      <c r="R5430"/>
      <c r="S5430"/>
      <c r="T5430"/>
      <c r="U5430"/>
    </row>
    <row r="5431" spans="1:21" hidden="1">
      <c r="A5431" s="7" t="s">
        <v>8712</v>
      </c>
      <c r="B5431" s="7" t="s">
        <v>5405</v>
      </c>
      <c r="C5431" s="8" t="s">
        <v>5319</v>
      </c>
      <c r="D5431" t="s">
        <v>272</v>
      </c>
      <c r="E5431" t="s">
        <v>25</v>
      </c>
      <c r="F5431" t="s">
        <v>26</v>
      </c>
      <c r="G5431" t="s">
        <v>2841</v>
      </c>
      <c r="H5431" s="9">
        <v>44733</v>
      </c>
      <c r="I5431" t="s">
        <v>8634</v>
      </c>
      <c r="J5431" t="s">
        <v>0</v>
      </c>
      <c r="K5431" s="9">
        <v>44882</v>
      </c>
      <c r="L5431" t="s">
        <v>29</v>
      </c>
      <c r="M5431"/>
      <c r="N5431" s="9">
        <v>44778</v>
      </c>
      <c r="O5431"/>
      <c r="P5431"/>
      <c r="Q5431" s="9">
        <v>44882</v>
      </c>
      <c r="R5431"/>
      <c r="S5431"/>
      <c r="T5431"/>
      <c r="U5431"/>
    </row>
    <row r="5432" spans="1:21" hidden="1">
      <c r="A5432" s="7" t="s">
        <v>8758</v>
      </c>
      <c r="B5432" s="7" t="s">
        <v>5405</v>
      </c>
      <c r="C5432" s="8" t="s">
        <v>5319</v>
      </c>
      <c r="D5432" t="s">
        <v>272</v>
      </c>
      <c r="E5432" t="s">
        <v>25</v>
      </c>
      <c r="F5432" t="s">
        <v>493</v>
      </c>
      <c r="G5432" t="s">
        <v>1548</v>
      </c>
      <c r="H5432" s="9">
        <v>44733</v>
      </c>
      <c r="I5432" t="s">
        <v>8634</v>
      </c>
      <c r="J5432" t="s">
        <v>0</v>
      </c>
      <c r="K5432" s="9">
        <v>44862</v>
      </c>
      <c r="L5432" t="s">
        <v>29</v>
      </c>
      <c r="M5432"/>
      <c r="N5432" s="9">
        <v>44778</v>
      </c>
      <c r="O5432"/>
      <c r="P5432"/>
      <c r="Q5432" s="9">
        <v>44862</v>
      </c>
      <c r="R5432"/>
      <c r="S5432"/>
      <c r="T5432"/>
      <c r="U5432"/>
    </row>
    <row r="5433" spans="1:21" hidden="1">
      <c r="A5433" s="7" t="s">
        <v>8712</v>
      </c>
      <c r="B5433" s="7" t="s">
        <v>5405</v>
      </c>
      <c r="C5433" s="8" t="s">
        <v>5319</v>
      </c>
      <c r="D5433" t="s">
        <v>272</v>
      </c>
      <c r="E5433" t="s">
        <v>25</v>
      </c>
      <c r="F5433" t="s">
        <v>26</v>
      </c>
      <c r="G5433" t="s">
        <v>2842</v>
      </c>
      <c r="H5433" s="9">
        <v>44733</v>
      </c>
      <c r="I5433" t="s">
        <v>8634</v>
      </c>
      <c r="J5433" t="s">
        <v>0</v>
      </c>
      <c r="K5433" s="9">
        <v>44882</v>
      </c>
      <c r="L5433" t="s">
        <v>29</v>
      </c>
      <c r="M5433"/>
      <c r="N5433" s="9">
        <v>44778</v>
      </c>
      <c r="O5433"/>
      <c r="P5433"/>
      <c r="Q5433" s="9">
        <v>44882</v>
      </c>
      <c r="R5433"/>
      <c r="S5433"/>
      <c r="T5433"/>
      <c r="U5433"/>
    </row>
    <row r="5434" spans="1:21" hidden="1">
      <c r="A5434" s="7" t="s">
        <v>8712</v>
      </c>
      <c r="B5434" s="7" t="s">
        <v>5405</v>
      </c>
      <c r="C5434" s="8" t="s">
        <v>5319</v>
      </c>
      <c r="D5434" t="s">
        <v>272</v>
      </c>
      <c r="E5434" t="s">
        <v>25</v>
      </c>
      <c r="F5434" t="s">
        <v>26</v>
      </c>
      <c r="G5434" t="s">
        <v>198</v>
      </c>
      <c r="H5434" s="9">
        <v>44733</v>
      </c>
      <c r="I5434" t="s">
        <v>8634</v>
      </c>
      <c r="J5434" t="s">
        <v>0</v>
      </c>
      <c r="K5434" s="9">
        <v>44882</v>
      </c>
      <c r="L5434" t="s">
        <v>29</v>
      </c>
      <c r="M5434"/>
      <c r="N5434" s="9">
        <v>44778</v>
      </c>
      <c r="O5434"/>
      <c r="P5434"/>
      <c r="Q5434" s="9">
        <v>44882</v>
      </c>
      <c r="R5434"/>
      <c r="S5434"/>
      <c r="T5434"/>
      <c r="U5434"/>
    </row>
    <row r="5435" spans="1:21" hidden="1">
      <c r="A5435" s="7" t="s">
        <v>8712</v>
      </c>
      <c r="B5435" s="7" t="s">
        <v>5405</v>
      </c>
      <c r="C5435" s="8" t="s">
        <v>5319</v>
      </c>
      <c r="D5435" t="s">
        <v>272</v>
      </c>
      <c r="E5435" t="s">
        <v>25</v>
      </c>
      <c r="F5435" t="s">
        <v>26</v>
      </c>
      <c r="G5435" t="s">
        <v>199</v>
      </c>
      <c r="H5435" s="9">
        <v>44733</v>
      </c>
      <c r="I5435" t="s">
        <v>8634</v>
      </c>
      <c r="J5435" t="s">
        <v>0</v>
      </c>
      <c r="K5435" s="9">
        <v>44882</v>
      </c>
      <c r="L5435" t="s">
        <v>29</v>
      </c>
      <c r="M5435"/>
      <c r="N5435" s="9">
        <v>44778</v>
      </c>
      <c r="O5435"/>
      <c r="P5435"/>
      <c r="Q5435" s="9">
        <v>44882</v>
      </c>
      <c r="R5435"/>
      <c r="S5435"/>
      <c r="T5435"/>
      <c r="U5435"/>
    </row>
    <row r="5436" spans="1:21" hidden="1">
      <c r="A5436" s="7" t="s">
        <v>8758</v>
      </c>
      <c r="B5436" s="7" t="s">
        <v>5405</v>
      </c>
      <c r="C5436" s="8" t="s">
        <v>5319</v>
      </c>
      <c r="D5436" t="s">
        <v>272</v>
      </c>
      <c r="E5436" t="s">
        <v>25</v>
      </c>
      <c r="F5436" t="s">
        <v>493</v>
      </c>
      <c r="G5436" t="s">
        <v>203</v>
      </c>
      <c r="H5436" s="9">
        <v>44733</v>
      </c>
      <c r="I5436" t="s">
        <v>8634</v>
      </c>
      <c r="J5436" t="s">
        <v>0</v>
      </c>
      <c r="K5436" s="9">
        <v>44862</v>
      </c>
      <c r="L5436" t="s">
        <v>29</v>
      </c>
      <c r="M5436"/>
      <c r="N5436" s="9">
        <v>44778</v>
      </c>
      <c r="O5436"/>
      <c r="P5436"/>
      <c r="Q5436" s="9">
        <v>44862</v>
      </c>
      <c r="R5436"/>
      <c r="S5436"/>
      <c r="T5436"/>
      <c r="U5436"/>
    </row>
    <row r="5437" spans="1:21" hidden="1">
      <c r="A5437" s="7" t="s">
        <v>8758</v>
      </c>
      <c r="B5437" s="7" t="s">
        <v>5405</v>
      </c>
      <c r="C5437" s="8" t="s">
        <v>5319</v>
      </c>
      <c r="D5437" t="s">
        <v>272</v>
      </c>
      <c r="E5437" t="s">
        <v>25</v>
      </c>
      <c r="F5437" t="s">
        <v>493</v>
      </c>
      <c r="G5437" t="s">
        <v>568</v>
      </c>
      <c r="H5437" s="9">
        <v>44733</v>
      </c>
      <c r="I5437" t="s">
        <v>8634</v>
      </c>
      <c r="J5437" t="s">
        <v>0</v>
      </c>
      <c r="K5437" s="9">
        <v>44862</v>
      </c>
      <c r="L5437" t="s">
        <v>29</v>
      </c>
      <c r="M5437"/>
      <c r="N5437" s="9">
        <v>44778</v>
      </c>
      <c r="O5437"/>
      <c r="P5437"/>
      <c r="Q5437" s="9">
        <v>44862</v>
      </c>
      <c r="R5437"/>
      <c r="S5437"/>
      <c r="T5437"/>
      <c r="U5437"/>
    </row>
    <row r="5438" spans="1:21" hidden="1">
      <c r="A5438" s="7" t="s">
        <v>8758</v>
      </c>
      <c r="B5438" s="7" t="s">
        <v>5405</v>
      </c>
      <c r="C5438" s="8" t="s">
        <v>5319</v>
      </c>
      <c r="D5438" t="s">
        <v>272</v>
      </c>
      <c r="E5438" t="s">
        <v>25</v>
      </c>
      <c r="F5438" t="s">
        <v>493</v>
      </c>
      <c r="G5438" t="s">
        <v>1555</v>
      </c>
      <c r="H5438" s="9">
        <v>44733</v>
      </c>
      <c r="I5438" t="s">
        <v>8634</v>
      </c>
      <c r="J5438" t="s">
        <v>0</v>
      </c>
      <c r="K5438" s="9">
        <v>44862</v>
      </c>
      <c r="L5438" t="s">
        <v>29</v>
      </c>
      <c r="M5438"/>
      <c r="N5438" s="9">
        <v>44778</v>
      </c>
      <c r="O5438"/>
      <c r="P5438"/>
      <c r="Q5438" s="9">
        <v>44862</v>
      </c>
      <c r="R5438"/>
      <c r="S5438"/>
      <c r="T5438"/>
      <c r="U5438"/>
    </row>
    <row r="5439" spans="1:21" hidden="1">
      <c r="A5439" s="7" t="s">
        <v>8728</v>
      </c>
      <c r="B5439" s="7" t="s">
        <v>5405</v>
      </c>
      <c r="C5439" s="8" t="s">
        <v>5319</v>
      </c>
      <c r="D5439" t="s">
        <v>272</v>
      </c>
      <c r="E5439" t="s">
        <v>25</v>
      </c>
      <c r="F5439" t="s">
        <v>200</v>
      </c>
      <c r="G5439" t="s">
        <v>2843</v>
      </c>
      <c r="H5439" s="9">
        <v>44733</v>
      </c>
      <c r="I5439" t="s">
        <v>8634</v>
      </c>
      <c r="J5439" t="s">
        <v>0</v>
      </c>
      <c r="K5439" s="9">
        <v>44862</v>
      </c>
      <c r="L5439" t="s">
        <v>29</v>
      </c>
      <c r="M5439"/>
      <c r="N5439" s="9">
        <v>44778</v>
      </c>
      <c r="O5439"/>
      <c r="P5439"/>
      <c r="Q5439" s="9">
        <v>44862</v>
      </c>
      <c r="R5439"/>
      <c r="S5439"/>
      <c r="T5439"/>
      <c r="U5439"/>
    </row>
    <row r="5440" spans="1:21" hidden="1">
      <c r="A5440" s="7" t="s">
        <v>8758</v>
      </c>
      <c r="B5440" s="7" t="s">
        <v>5405</v>
      </c>
      <c r="C5440" s="8" t="s">
        <v>5319</v>
      </c>
      <c r="D5440" t="s">
        <v>272</v>
      </c>
      <c r="E5440" t="s">
        <v>25</v>
      </c>
      <c r="F5440" t="s">
        <v>493</v>
      </c>
      <c r="G5440" t="s">
        <v>2844</v>
      </c>
      <c r="H5440" s="9">
        <v>44733</v>
      </c>
      <c r="I5440" t="s">
        <v>8634</v>
      </c>
      <c r="J5440" t="s">
        <v>2</v>
      </c>
      <c r="K5440" s="9">
        <v>44834</v>
      </c>
      <c r="L5440" t="s">
        <v>29</v>
      </c>
      <c r="M5440" t="s">
        <v>5331</v>
      </c>
      <c r="N5440" s="9">
        <v>44778</v>
      </c>
      <c r="O5440" s="9">
        <v>44834</v>
      </c>
      <c r="P5440"/>
      <c r="Q5440"/>
      <c r="R5440"/>
      <c r="S5440"/>
      <c r="T5440"/>
      <c r="U5440"/>
    </row>
    <row r="5441" spans="1:21" hidden="1">
      <c r="A5441" s="7" t="s">
        <v>8758</v>
      </c>
      <c r="B5441" s="7" t="s">
        <v>5405</v>
      </c>
      <c r="C5441" s="8" t="s">
        <v>5319</v>
      </c>
      <c r="D5441" t="s">
        <v>272</v>
      </c>
      <c r="E5441" t="s">
        <v>25</v>
      </c>
      <c r="F5441" t="s">
        <v>493</v>
      </c>
      <c r="G5441" t="s">
        <v>572</v>
      </c>
      <c r="H5441" s="9">
        <v>44733</v>
      </c>
      <c r="I5441" t="s">
        <v>8634</v>
      </c>
      <c r="J5441" t="s">
        <v>0</v>
      </c>
      <c r="K5441" s="9">
        <v>44862</v>
      </c>
      <c r="L5441" t="s">
        <v>29</v>
      </c>
      <c r="M5441"/>
      <c r="N5441" s="9">
        <v>44778</v>
      </c>
      <c r="O5441"/>
      <c r="P5441"/>
      <c r="Q5441" s="9">
        <v>44862</v>
      </c>
      <c r="R5441"/>
      <c r="S5441"/>
      <c r="T5441"/>
      <c r="U5441"/>
    </row>
    <row r="5442" spans="1:21" hidden="1">
      <c r="A5442" s="7" t="s">
        <v>8712</v>
      </c>
      <c r="B5442" s="7" t="s">
        <v>5405</v>
      </c>
      <c r="C5442" s="8" t="s">
        <v>5319</v>
      </c>
      <c r="D5442" t="s">
        <v>272</v>
      </c>
      <c r="E5442" t="s">
        <v>25</v>
      </c>
      <c r="F5442" t="s">
        <v>26</v>
      </c>
      <c r="G5442" t="s">
        <v>265</v>
      </c>
      <c r="H5442" s="9">
        <v>44733</v>
      </c>
      <c r="I5442" t="s">
        <v>8634</v>
      </c>
      <c r="J5442" t="s">
        <v>0</v>
      </c>
      <c r="K5442" s="9">
        <v>44882</v>
      </c>
      <c r="L5442" t="s">
        <v>29</v>
      </c>
      <c r="M5442"/>
      <c r="N5442" s="9">
        <v>44778</v>
      </c>
      <c r="O5442"/>
      <c r="P5442"/>
      <c r="Q5442" s="9">
        <v>44882</v>
      </c>
      <c r="R5442"/>
      <c r="S5442"/>
      <c r="T5442"/>
      <c r="U5442"/>
    </row>
    <row r="5443" spans="1:21" hidden="1">
      <c r="A5443" s="7" t="s">
        <v>8758</v>
      </c>
      <c r="B5443" s="7" t="s">
        <v>5405</v>
      </c>
      <c r="C5443" s="8" t="s">
        <v>5319</v>
      </c>
      <c r="D5443" t="s">
        <v>272</v>
      </c>
      <c r="E5443" t="s">
        <v>25</v>
      </c>
      <c r="F5443" t="s">
        <v>493</v>
      </c>
      <c r="G5443" t="s">
        <v>1558</v>
      </c>
      <c r="H5443" s="9">
        <v>44733</v>
      </c>
      <c r="I5443" t="s">
        <v>8634</v>
      </c>
      <c r="J5443" t="s">
        <v>0</v>
      </c>
      <c r="K5443" s="9">
        <v>44862</v>
      </c>
      <c r="L5443" t="s">
        <v>29</v>
      </c>
      <c r="M5443"/>
      <c r="N5443" s="9">
        <v>44778</v>
      </c>
      <c r="O5443"/>
      <c r="P5443"/>
      <c r="Q5443" s="9">
        <v>44862</v>
      </c>
      <c r="R5443"/>
      <c r="S5443"/>
      <c r="T5443"/>
      <c r="U5443"/>
    </row>
    <row r="5444" spans="1:21" hidden="1">
      <c r="A5444" s="7" t="s">
        <v>8758</v>
      </c>
      <c r="B5444" s="7" t="s">
        <v>5405</v>
      </c>
      <c r="C5444" s="8" t="s">
        <v>5319</v>
      </c>
      <c r="D5444" t="s">
        <v>272</v>
      </c>
      <c r="E5444" t="s">
        <v>25</v>
      </c>
      <c r="F5444" t="s">
        <v>493</v>
      </c>
      <c r="G5444" t="s">
        <v>1560</v>
      </c>
      <c r="H5444" s="9">
        <v>44733</v>
      </c>
      <c r="I5444" t="s">
        <v>8634</v>
      </c>
      <c r="J5444" t="s">
        <v>0</v>
      </c>
      <c r="K5444" s="9">
        <v>44862</v>
      </c>
      <c r="L5444" t="s">
        <v>29</v>
      </c>
      <c r="M5444"/>
      <c r="N5444" s="9">
        <v>44778</v>
      </c>
      <c r="O5444"/>
      <c r="P5444"/>
      <c r="Q5444" s="9">
        <v>44862</v>
      </c>
      <c r="R5444"/>
      <c r="S5444"/>
      <c r="T5444"/>
      <c r="U5444"/>
    </row>
    <row r="5445" spans="1:21" hidden="1">
      <c r="A5445" s="7" t="s">
        <v>8758</v>
      </c>
      <c r="B5445" s="7" t="s">
        <v>5405</v>
      </c>
      <c r="C5445" s="8" t="s">
        <v>5319</v>
      </c>
      <c r="D5445" t="s">
        <v>272</v>
      </c>
      <c r="E5445" t="s">
        <v>25</v>
      </c>
      <c r="F5445" t="s">
        <v>493</v>
      </c>
      <c r="G5445" t="s">
        <v>2845</v>
      </c>
      <c r="H5445" s="9">
        <v>44733</v>
      </c>
      <c r="I5445" t="s">
        <v>8634</v>
      </c>
      <c r="J5445" t="s">
        <v>0</v>
      </c>
      <c r="K5445" s="9">
        <v>44862</v>
      </c>
      <c r="L5445" t="s">
        <v>29</v>
      </c>
      <c r="M5445"/>
      <c r="N5445" s="9">
        <v>44778</v>
      </c>
      <c r="O5445"/>
      <c r="P5445"/>
      <c r="Q5445" s="9">
        <v>44862</v>
      </c>
      <c r="R5445"/>
      <c r="S5445"/>
      <c r="T5445"/>
      <c r="U5445"/>
    </row>
    <row r="5446" spans="1:21" hidden="1">
      <c r="A5446" s="7" t="s">
        <v>8758</v>
      </c>
      <c r="B5446" s="7" t="s">
        <v>5405</v>
      </c>
      <c r="C5446" s="8" t="s">
        <v>5319</v>
      </c>
      <c r="D5446" t="s">
        <v>272</v>
      </c>
      <c r="E5446" t="s">
        <v>25</v>
      </c>
      <c r="F5446" t="s">
        <v>493</v>
      </c>
      <c r="G5446" t="s">
        <v>574</v>
      </c>
      <c r="H5446" s="9">
        <v>44733</v>
      </c>
      <c r="I5446" t="s">
        <v>8634</v>
      </c>
      <c r="J5446" t="s">
        <v>0</v>
      </c>
      <c r="K5446" s="9">
        <v>44862</v>
      </c>
      <c r="L5446" t="s">
        <v>29</v>
      </c>
      <c r="M5446"/>
      <c r="N5446" s="9">
        <v>44778</v>
      </c>
      <c r="O5446"/>
      <c r="P5446"/>
      <c r="Q5446" s="9">
        <v>44862</v>
      </c>
      <c r="R5446"/>
      <c r="S5446"/>
      <c r="T5446"/>
      <c r="U5446"/>
    </row>
    <row r="5447" spans="1:21" hidden="1">
      <c r="A5447" s="7" t="s">
        <v>8712</v>
      </c>
      <c r="B5447" s="7" t="s">
        <v>5405</v>
      </c>
      <c r="C5447" s="8" t="s">
        <v>5319</v>
      </c>
      <c r="D5447" t="s">
        <v>272</v>
      </c>
      <c r="E5447" t="s">
        <v>25</v>
      </c>
      <c r="F5447" t="s">
        <v>26</v>
      </c>
      <c r="G5447" t="s">
        <v>2846</v>
      </c>
      <c r="H5447" s="9">
        <v>44733</v>
      </c>
      <c r="I5447" t="s">
        <v>8634</v>
      </c>
      <c r="J5447" t="s">
        <v>0</v>
      </c>
      <c r="K5447" s="9">
        <v>44882</v>
      </c>
      <c r="L5447" t="s">
        <v>29</v>
      </c>
      <c r="M5447"/>
      <c r="N5447" s="9">
        <v>44778</v>
      </c>
      <c r="O5447"/>
      <c r="P5447"/>
      <c r="Q5447" s="9">
        <v>44882</v>
      </c>
      <c r="R5447"/>
      <c r="S5447"/>
      <c r="T5447"/>
      <c r="U5447"/>
    </row>
    <row r="5448" spans="1:21" hidden="1">
      <c r="A5448" s="7" t="s">
        <v>8712</v>
      </c>
      <c r="B5448" s="7" t="s">
        <v>5405</v>
      </c>
      <c r="C5448" s="8" t="s">
        <v>5319</v>
      </c>
      <c r="D5448" t="s">
        <v>272</v>
      </c>
      <c r="E5448" t="s">
        <v>25</v>
      </c>
      <c r="F5448" t="s">
        <v>26</v>
      </c>
      <c r="G5448" t="s">
        <v>2847</v>
      </c>
      <c r="H5448" s="9">
        <v>44733</v>
      </c>
      <c r="I5448" t="s">
        <v>8634</v>
      </c>
      <c r="J5448" t="s">
        <v>0</v>
      </c>
      <c r="K5448" s="9">
        <v>44882</v>
      </c>
      <c r="L5448" t="s">
        <v>29</v>
      </c>
      <c r="M5448"/>
      <c r="N5448" s="9">
        <v>44778</v>
      </c>
      <c r="O5448"/>
      <c r="P5448"/>
      <c r="Q5448" s="9">
        <v>44882</v>
      </c>
      <c r="R5448"/>
      <c r="S5448"/>
      <c r="T5448"/>
      <c r="U5448"/>
    </row>
    <row r="5449" spans="1:21" hidden="1">
      <c r="A5449" s="7" t="s">
        <v>8758</v>
      </c>
      <c r="B5449" s="7" t="s">
        <v>5405</v>
      </c>
      <c r="C5449" s="8" t="s">
        <v>5319</v>
      </c>
      <c r="D5449" t="s">
        <v>272</v>
      </c>
      <c r="E5449" t="s">
        <v>25</v>
      </c>
      <c r="F5449" t="s">
        <v>493</v>
      </c>
      <c r="G5449" t="s">
        <v>1564</v>
      </c>
      <c r="H5449" s="9">
        <v>44733</v>
      </c>
      <c r="I5449" t="s">
        <v>8634</v>
      </c>
      <c r="J5449" t="s">
        <v>0</v>
      </c>
      <c r="K5449" s="9">
        <v>44862</v>
      </c>
      <c r="L5449" t="s">
        <v>29</v>
      </c>
      <c r="M5449"/>
      <c r="N5449" s="9">
        <v>44778</v>
      </c>
      <c r="O5449"/>
      <c r="P5449"/>
      <c r="Q5449" s="9">
        <v>44862</v>
      </c>
      <c r="R5449"/>
      <c r="S5449"/>
      <c r="T5449"/>
      <c r="U5449"/>
    </row>
    <row r="5450" spans="1:21" hidden="1">
      <c r="A5450" s="7" t="s">
        <v>8758</v>
      </c>
      <c r="B5450" s="7" t="s">
        <v>5405</v>
      </c>
      <c r="C5450" s="8" t="s">
        <v>5319</v>
      </c>
      <c r="D5450" t="s">
        <v>272</v>
      </c>
      <c r="E5450" t="s">
        <v>25</v>
      </c>
      <c r="F5450" t="s">
        <v>493</v>
      </c>
      <c r="G5450" t="s">
        <v>2848</v>
      </c>
      <c r="H5450" s="9">
        <v>44733</v>
      </c>
      <c r="I5450" t="s">
        <v>8634</v>
      </c>
      <c r="J5450" t="s">
        <v>0</v>
      </c>
      <c r="K5450" s="9">
        <v>44862</v>
      </c>
      <c r="L5450" t="s">
        <v>29</v>
      </c>
      <c r="M5450"/>
      <c r="N5450" s="9">
        <v>44778</v>
      </c>
      <c r="O5450"/>
      <c r="P5450"/>
      <c r="Q5450" s="9">
        <v>44862</v>
      </c>
      <c r="R5450"/>
      <c r="S5450"/>
      <c r="T5450"/>
      <c r="U5450"/>
    </row>
    <row r="5451" spans="1:21" hidden="1">
      <c r="A5451" s="7" t="s">
        <v>8758</v>
      </c>
      <c r="B5451" s="7" t="s">
        <v>5405</v>
      </c>
      <c r="C5451" s="8" t="s">
        <v>5319</v>
      </c>
      <c r="D5451" t="s">
        <v>272</v>
      </c>
      <c r="E5451" t="s">
        <v>25</v>
      </c>
      <c r="F5451" t="s">
        <v>493</v>
      </c>
      <c r="G5451" t="s">
        <v>2849</v>
      </c>
      <c r="H5451" s="9">
        <v>44733</v>
      </c>
      <c r="I5451" t="s">
        <v>8634</v>
      </c>
      <c r="J5451" t="s">
        <v>0</v>
      </c>
      <c r="K5451" s="9">
        <v>44862</v>
      </c>
      <c r="L5451" t="s">
        <v>29</v>
      </c>
      <c r="M5451"/>
      <c r="N5451" s="9">
        <v>44778</v>
      </c>
      <c r="O5451"/>
      <c r="P5451"/>
      <c r="Q5451" s="9">
        <v>44862</v>
      </c>
      <c r="R5451"/>
      <c r="S5451"/>
      <c r="T5451"/>
      <c r="U5451"/>
    </row>
    <row r="5452" spans="1:21" hidden="1">
      <c r="A5452" s="7" t="s">
        <v>8712</v>
      </c>
      <c r="B5452" s="7" t="s">
        <v>5405</v>
      </c>
      <c r="C5452" s="8" t="s">
        <v>5319</v>
      </c>
      <c r="D5452" t="s">
        <v>272</v>
      </c>
      <c r="E5452" t="s">
        <v>25</v>
      </c>
      <c r="F5452" t="s">
        <v>26</v>
      </c>
      <c r="G5452" t="s">
        <v>2850</v>
      </c>
      <c r="H5452" s="9">
        <v>44733</v>
      </c>
      <c r="I5452" t="s">
        <v>8634</v>
      </c>
      <c r="J5452" t="s">
        <v>0</v>
      </c>
      <c r="K5452" s="9">
        <v>44882</v>
      </c>
      <c r="L5452" t="s">
        <v>29</v>
      </c>
      <c r="M5452"/>
      <c r="N5452" s="9">
        <v>44778</v>
      </c>
      <c r="O5452"/>
      <c r="P5452"/>
      <c r="Q5452" s="9">
        <v>44882</v>
      </c>
      <c r="R5452"/>
      <c r="S5452"/>
      <c r="T5452"/>
      <c r="U5452"/>
    </row>
    <row r="5453" spans="1:21" hidden="1">
      <c r="A5453" s="7" t="s">
        <v>8712</v>
      </c>
      <c r="B5453" s="7" t="s">
        <v>5405</v>
      </c>
      <c r="C5453" s="8" t="s">
        <v>5319</v>
      </c>
      <c r="D5453" t="s">
        <v>272</v>
      </c>
      <c r="E5453" t="s">
        <v>25</v>
      </c>
      <c r="F5453" t="s">
        <v>26</v>
      </c>
      <c r="G5453" t="s">
        <v>2851</v>
      </c>
      <c r="H5453" s="9">
        <v>44733</v>
      </c>
      <c r="I5453" t="s">
        <v>8634</v>
      </c>
      <c r="J5453" t="s">
        <v>0</v>
      </c>
      <c r="K5453" s="9">
        <v>44882</v>
      </c>
      <c r="L5453" t="s">
        <v>29</v>
      </c>
      <c r="M5453"/>
      <c r="N5453" s="9">
        <v>44778</v>
      </c>
      <c r="O5453"/>
      <c r="P5453"/>
      <c r="Q5453" s="9">
        <v>44882</v>
      </c>
      <c r="R5453"/>
      <c r="S5453"/>
      <c r="T5453"/>
      <c r="U5453"/>
    </row>
    <row r="5454" spans="1:21" hidden="1">
      <c r="A5454" s="7" t="s">
        <v>8712</v>
      </c>
      <c r="B5454" s="7" t="s">
        <v>5405</v>
      </c>
      <c r="C5454" s="8" t="s">
        <v>5319</v>
      </c>
      <c r="D5454" t="s">
        <v>272</v>
      </c>
      <c r="E5454" t="s">
        <v>25</v>
      </c>
      <c r="F5454" t="s">
        <v>26</v>
      </c>
      <c r="G5454" t="s">
        <v>2852</v>
      </c>
      <c r="H5454" s="9">
        <v>44733</v>
      </c>
      <c r="I5454" t="s">
        <v>8634</v>
      </c>
      <c r="J5454" t="s">
        <v>0</v>
      </c>
      <c r="K5454" s="9">
        <v>44882</v>
      </c>
      <c r="L5454" t="s">
        <v>29</v>
      </c>
      <c r="M5454"/>
      <c r="N5454" s="9">
        <v>44778</v>
      </c>
      <c r="O5454"/>
      <c r="P5454"/>
      <c r="Q5454" s="9">
        <v>44882</v>
      </c>
      <c r="R5454"/>
      <c r="S5454"/>
      <c r="T5454"/>
      <c r="U5454"/>
    </row>
    <row r="5455" spans="1:21" hidden="1">
      <c r="A5455" s="7" t="s">
        <v>8758</v>
      </c>
      <c r="B5455" s="7" t="s">
        <v>5405</v>
      </c>
      <c r="C5455" s="8" t="s">
        <v>5319</v>
      </c>
      <c r="D5455" t="s">
        <v>272</v>
      </c>
      <c r="E5455" t="s">
        <v>25</v>
      </c>
      <c r="F5455" t="s">
        <v>493</v>
      </c>
      <c r="G5455" t="s">
        <v>2853</v>
      </c>
      <c r="H5455" s="9">
        <v>44733</v>
      </c>
      <c r="I5455" t="s">
        <v>8634</v>
      </c>
      <c r="J5455" t="s">
        <v>0</v>
      </c>
      <c r="K5455" s="9">
        <v>44862</v>
      </c>
      <c r="L5455" t="s">
        <v>29</v>
      </c>
      <c r="M5455"/>
      <c r="N5455" s="9">
        <v>44778</v>
      </c>
      <c r="O5455"/>
      <c r="P5455"/>
      <c r="Q5455" s="9">
        <v>44862</v>
      </c>
      <c r="R5455"/>
      <c r="S5455"/>
      <c r="T5455"/>
      <c r="U5455"/>
    </row>
    <row r="5456" spans="1:21" hidden="1">
      <c r="A5456" s="7" t="s">
        <v>8758</v>
      </c>
      <c r="B5456" s="7" t="s">
        <v>5405</v>
      </c>
      <c r="C5456" s="8" t="s">
        <v>5319</v>
      </c>
      <c r="D5456" t="s">
        <v>272</v>
      </c>
      <c r="E5456" t="s">
        <v>25</v>
      </c>
      <c r="F5456" t="s">
        <v>493</v>
      </c>
      <c r="G5456" t="s">
        <v>579</v>
      </c>
      <c r="H5456" s="9">
        <v>44733</v>
      </c>
      <c r="I5456" t="s">
        <v>8634</v>
      </c>
      <c r="J5456" t="s">
        <v>0</v>
      </c>
      <c r="K5456" s="9">
        <v>44862</v>
      </c>
      <c r="L5456" t="s">
        <v>29</v>
      </c>
      <c r="M5456"/>
      <c r="N5456" s="9">
        <v>44778</v>
      </c>
      <c r="O5456"/>
      <c r="P5456"/>
      <c r="Q5456" s="9">
        <v>44862</v>
      </c>
      <c r="R5456"/>
      <c r="S5456"/>
      <c r="T5456"/>
      <c r="U5456"/>
    </row>
    <row r="5457" spans="1:21" hidden="1">
      <c r="A5457" s="7" t="s">
        <v>8758</v>
      </c>
      <c r="B5457" s="7" t="s">
        <v>5405</v>
      </c>
      <c r="C5457" s="8" t="s">
        <v>5319</v>
      </c>
      <c r="D5457" t="s">
        <v>272</v>
      </c>
      <c r="E5457" t="s">
        <v>25</v>
      </c>
      <c r="F5457" t="s">
        <v>493</v>
      </c>
      <c r="G5457" t="s">
        <v>2854</v>
      </c>
      <c r="H5457" s="9">
        <v>44733</v>
      </c>
      <c r="I5457" t="s">
        <v>8634</v>
      </c>
      <c r="J5457" t="s">
        <v>0</v>
      </c>
      <c r="K5457" s="9">
        <v>44862</v>
      </c>
      <c r="L5457" t="s">
        <v>29</v>
      </c>
      <c r="M5457"/>
      <c r="N5457" s="9">
        <v>44778</v>
      </c>
      <c r="O5457"/>
      <c r="P5457"/>
      <c r="Q5457" s="9">
        <v>44862</v>
      </c>
      <c r="R5457"/>
      <c r="S5457"/>
      <c r="T5457"/>
      <c r="U5457"/>
    </row>
    <row r="5458" spans="1:21" hidden="1">
      <c r="A5458" s="7" t="s">
        <v>8758</v>
      </c>
      <c r="B5458" s="7" t="s">
        <v>5405</v>
      </c>
      <c r="C5458" s="8" t="s">
        <v>5319</v>
      </c>
      <c r="D5458" t="s">
        <v>272</v>
      </c>
      <c r="E5458" t="s">
        <v>25</v>
      </c>
      <c r="F5458" t="s">
        <v>493</v>
      </c>
      <c r="G5458" t="s">
        <v>2855</v>
      </c>
      <c r="H5458" s="9">
        <v>44733</v>
      </c>
      <c r="I5458" t="s">
        <v>8634</v>
      </c>
      <c r="J5458" t="s">
        <v>0</v>
      </c>
      <c r="K5458" s="9">
        <v>44862</v>
      </c>
      <c r="L5458" t="s">
        <v>29</v>
      </c>
      <c r="M5458"/>
      <c r="N5458" s="9">
        <v>44778</v>
      </c>
      <c r="O5458"/>
      <c r="P5458"/>
      <c r="Q5458" s="9">
        <v>44862</v>
      </c>
      <c r="R5458"/>
      <c r="S5458"/>
      <c r="T5458"/>
      <c r="U5458"/>
    </row>
    <row r="5459" spans="1:21" hidden="1">
      <c r="A5459" s="7" t="s">
        <v>8758</v>
      </c>
      <c r="B5459" s="7" t="s">
        <v>5405</v>
      </c>
      <c r="C5459" s="8" t="s">
        <v>5319</v>
      </c>
      <c r="D5459" t="s">
        <v>272</v>
      </c>
      <c r="E5459" t="s">
        <v>25</v>
      </c>
      <c r="F5459" t="s">
        <v>493</v>
      </c>
      <c r="G5459" t="s">
        <v>2856</v>
      </c>
      <c r="H5459" s="9">
        <v>44733</v>
      </c>
      <c r="I5459" t="s">
        <v>8634</v>
      </c>
      <c r="J5459" t="s">
        <v>0</v>
      </c>
      <c r="K5459" s="9">
        <v>44862</v>
      </c>
      <c r="L5459" t="s">
        <v>29</v>
      </c>
      <c r="M5459"/>
      <c r="N5459" s="9">
        <v>44778</v>
      </c>
      <c r="O5459"/>
      <c r="P5459"/>
      <c r="Q5459" s="9">
        <v>44862</v>
      </c>
      <c r="R5459"/>
      <c r="S5459"/>
      <c r="T5459"/>
      <c r="U5459"/>
    </row>
    <row r="5460" spans="1:21" hidden="1">
      <c r="A5460" s="7" t="s">
        <v>8758</v>
      </c>
      <c r="B5460" s="7" t="s">
        <v>5405</v>
      </c>
      <c r="C5460" s="8" t="s">
        <v>5319</v>
      </c>
      <c r="D5460" t="s">
        <v>272</v>
      </c>
      <c r="E5460" t="s">
        <v>25</v>
      </c>
      <c r="F5460" t="s">
        <v>493</v>
      </c>
      <c r="G5460" t="s">
        <v>2857</v>
      </c>
      <c r="H5460" s="9">
        <v>44733</v>
      </c>
      <c r="I5460" t="s">
        <v>8634</v>
      </c>
      <c r="J5460" t="s">
        <v>0</v>
      </c>
      <c r="K5460" s="9">
        <v>44862</v>
      </c>
      <c r="L5460" t="s">
        <v>29</v>
      </c>
      <c r="M5460"/>
      <c r="N5460" s="9">
        <v>44778</v>
      </c>
      <c r="O5460"/>
      <c r="P5460"/>
      <c r="Q5460" s="9">
        <v>44862</v>
      </c>
      <c r="R5460"/>
      <c r="S5460"/>
      <c r="T5460"/>
      <c r="U5460"/>
    </row>
    <row r="5461" spans="1:21" hidden="1">
      <c r="A5461" s="7" t="s">
        <v>8758</v>
      </c>
      <c r="B5461" s="7" t="s">
        <v>5405</v>
      </c>
      <c r="C5461" s="8" t="s">
        <v>5319</v>
      </c>
      <c r="D5461" t="s">
        <v>272</v>
      </c>
      <c r="E5461" t="s">
        <v>25</v>
      </c>
      <c r="F5461" t="s">
        <v>493</v>
      </c>
      <c r="G5461" t="s">
        <v>2858</v>
      </c>
      <c r="H5461" s="9">
        <v>44733</v>
      </c>
      <c r="I5461" t="s">
        <v>8634</v>
      </c>
      <c r="J5461" t="s">
        <v>0</v>
      </c>
      <c r="K5461" s="9">
        <v>44862</v>
      </c>
      <c r="L5461" t="s">
        <v>29</v>
      </c>
      <c r="M5461"/>
      <c r="N5461" s="9">
        <v>44778</v>
      </c>
      <c r="O5461"/>
      <c r="P5461"/>
      <c r="Q5461" s="9">
        <v>44862</v>
      </c>
      <c r="R5461"/>
      <c r="S5461"/>
      <c r="T5461"/>
      <c r="U5461"/>
    </row>
    <row r="5462" spans="1:21" hidden="1">
      <c r="A5462" s="7" t="s">
        <v>8758</v>
      </c>
      <c r="B5462" s="7" t="s">
        <v>5405</v>
      </c>
      <c r="C5462" s="8" t="s">
        <v>5319</v>
      </c>
      <c r="D5462" t="s">
        <v>272</v>
      </c>
      <c r="E5462" t="s">
        <v>25</v>
      </c>
      <c r="F5462" t="s">
        <v>493</v>
      </c>
      <c r="G5462" t="s">
        <v>2859</v>
      </c>
      <c r="H5462" s="9">
        <v>44733</v>
      </c>
      <c r="I5462" t="s">
        <v>8634</v>
      </c>
      <c r="J5462" t="s">
        <v>2</v>
      </c>
      <c r="K5462" s="9">
        <v>44834</v>
      </c>
      <c r="L5462" t="s">
        <v>29</v>
      </c>
      <c r="M5462" t="s">
        <v>5331</v>
      </c>
      <c r="N5462" s="9">
        <v>44778</v>
      </c>
      <c r="O5462" s="9">
        <v>44834</v>
      </c>
      <c r="P5462"/>
      <c r="Q5462"/>
      <c r="R5462"/>
      <c r="S5462"/>
      <c r="T5462"/>
      <c r="U5462"/>
    </row>
    <row r="5463" spans="1:21" hidden="1">
      <c r="A5463" s="7" t="s">
        <v>8758</v>
      </c>
      <c r="B5463" s="7" t="s">
        <v>5405</v>
      </c>
      <c r="C5463" s="8" t="s">
        <v>5319</v>
      </c>
      <c r="D5463" t="s">
        <v>272</v>
      </c>
      <c r="E5463" t="s">
        <v>25</v>
      </c>
      <c r="F5463" t="s">
        <v>493</v>
      </c>
      <c r="G5463" t="s">
        <v>583</v>
      </c>
      <c r="H5463" s="9">
        <v>44733</v>
      </c>
      <c r="I5463" t="s">
        <v>8634</v>
      </c>
      <c r="J5463" t="s">
        <v>0</v>
      </c>
      <c r="K5463" s="9">
        <v>44862</v>
      </c>
      <c r="L5463" t="s">
        <v>29</v>
      </c>
      <c r="M5463"/>
      <c r="N5463" s="9">
        <v>44778</v>
      </c>
      <c r="O5463"/>
      <c r="P5463"/>
      <c r="Q5463" s="9">
        <v>44862</v>
      </c>
      <c r="R5463"/>
      <c r="S5463"/>
      <c r="T5463"/>
      <c r="U5463"/>
    </row>
    <row r="5464" spans="1:21" hidden="1">
      <c r="A5464" s="7" t="s">
        <v>8712</v>
      </c>
      <c r="B5464" s="7" t="s">
        <v>5405</v>
      </c>
      <c r="C5464" s="8" t="s">
        <v>5319</v>
      </c>
      <c r="D5464" t="s">
        <v>272</v>
      </c>
      <c r="E5464" t="s">
        <v>25</v>
      </c>
      <c r="F5464" t="s">
        <v>26</v>
      </c>
      <c r="G5464" t="s">
        <v>2860</v>
      </c>
      <c r="H5464" s="9">
        <v>44733</v>
      </c>
      <c r="I5464" t="s">
        <v>8634</v>
      </c>
      <c r="J5464" t="s">
        <v>0</v>
      </c>
      <c r="K5464" s="9">
        <v>44882</v>
      </c>
      <c r="L5464" t="s">
        <v>29</v>
      </c>
      <c r="M5464"/>
      <c r="N5464" s="9">
        <v>44778</v>
      </c>
      <c r="O5464"/>
      <c r="P5464"/>
      <c r="Q5464" s="9">
        <v>44882</v>
      </c>
      <c r="R5464"/>
      <c r="S5464"/>
      <c r="T5464"/>
      <c r="U5464"/>
    </row>
    <row r="5465" spans="1:21" hidden="1">
      <c r="A5465" s="7" t="s">
        <v>8758</v>
      </c>
      <c r="B5465" s="7" t="s">
        <v>5405</v>
      </c>
      <c r="C5465" s="8" t="s">
        <v>5319</v>
      </c>
      <c r="D5465" t="s">
        <v>272</v>
      </c>
      <c r="E5465" t="s">
        <v>25</v>
      </c>
      <c r="F5465" t="s">
        <v>493</v>
      </c>
      <c r="G5465" t="s">
        <v>1571</v>
      </c>
      <c r="H5465" s="9">
        <v>44733</v>
      </c>
      <c r="I5465" t="s">
        <v>8634</v>
      </c>
      <c r="J5465" t="s">
        <v>0</v>
      </c>
      <c r="K5465" s="9">
        <v>44862</v>
      </c>
      <c r="L5465" t="s">
        <v>29</v>
      </c>
      <c r="M5465"/>
      <c r="N5465" s="9">
        <v>44778</v>
      </c>
      <c r="O5465"/>
      <c r="P5465"/>
      <c r="Q5465" s="9">
        <v>44862</v>
      </c>
      <c r="R5465"/>
      <c r="S5465"/>
      <c r="T5465"/>
      <c r="U5465"/>
    </row>
    <row r="5466" spans="1:21" hidden="1">
      <c r="A5466" s="7" t="s">
        <v>8758</v>
      </c>
      <c r="B5466" s="7" t="s">
        <v>5405</v>
      </c>
      <c r="C5466" s="8" t="s">
        <v>5319</v>
      </c>
      <c r="D5466" t="s">
        <v>272</v>
      </c>
      <c r="E5466" t="s">
        <v>25</v>
      </c>
      <c r="F5466" t="s">
        <v>493</v>
      </c>
      <c r="G5466" t="s">
        <v>2861</v>
      </c>
      <c r="H5466" s="9">
        <v>44733</v>
      </c>
      <c r="I5466" t="s">
        <v>8634</v>
      </c>
      <c r="J5466" t="s">
        <v>0</v>
      </c>
      <c r="K5466" s="9">
        <v>44862</v>
      </c>
      <c r="L5466" t="s">
        <v>29</v>
      </c>
      <c r="M5466"/>
      <c r="N5466" s="9">
        <v>44778</v>
      </c>
      <c r="O5466"/>
      <c r="P5466"/>
      <c r="Q5466" s="9">
        <v>44862</v>
      </c>
      <c r="R5466"/>
      <c r="S5466"/>
      <c r="T5466"/>
      <c r="U5466"/>
    </row>
    <row r="5467" spans="1:21" hidden="1">
      <c r="A5467" s="7" t="s">
        <v>8758</v>
      </c>
      <c r="B5467" s="7" t="s">
        <v>5405</v>
      </c>
      <c r="C5467" s="8" t="s">
        <v>5319</v>
      </c>
      <c r="D5467" t="s">
        <v>272</v>
      </c>
      <c r="E5467" t="s">
        <v>25</v>
      </c>
      <c r="F5467" t="s">
        <v>493</v>
      </c>
      <c r="G5467" t="s">
        <v>2862</v>
      </c>
      <c r="H5467" s="9">
        <v>44733</v>
      </c>
      <c r="I5467" t="s">
        <v>8634</v>
      </c>
      <c r="J5467" t="s">
        <v>0</v>
      </c>
      <c r="K5467" s="9">
        <v>44862</v>
      </c>
      <c r="L5467" t="s">
        <v>29</v>
      </c>
      <c r="M5467"/>
      <c r="N5467" s="9">
        <v>44778</v>
      </c>
      <c r="O5467"/>
      <c r="P5467"/>
      <c r="Q5467" s="9">
        <v>44862</v>
      </c>
      <c r="R5467"/>
      <c r="S5467"/>
      <c r="T5467"/>
      <c r="U5467"/>
    </row>
    <row r="5468" spans="1:21" hidden="1">
      <c r="A5468" s="7" t="s">
        <v>8758</v>
      </c>
      <c r="B5468" s="7" t="s">
        <v>5405</v>
      </c>
      <c r="C5468" s="8" t="s">
        <v>5319</v>
      </c>
      <c r="D5468" t="s">
        <v>272</v>
      </c>
      <c r="E5468" t="s">
        <v>25</v>
      </c>
      <c r="F5468" t="s">
        <v>493</v>
      </c>
      <c r="G5468" t="s">
        <v>2863</v>
      </c>
      <c r="H5468" s="9">
        <v>44733</v>
      </c>
      <c r="I5468" t="s">
        <v>8634</v>
      </c>
      <c r="J5468" t="s">
        <v>0</v>
      </c>
      <c r="K5468" s="9">
        <v>44862</v>
      </c>
      <c r="L5468" t="s">
        <v>29</v>
      </c>
      <c r="M5468"/>
      <c r="N5468" s="9">
        <v>44778</v>
      </c>
      <c r="O5468"/>
      <c r="P5468"/>
      <c r="Q5468" s="9">
        <v>44862</v>
      </c>
      <c r="R5468"/>
      <c r="S5468"/>
      <c r="T5468"/>
      <c r="U5468"/>
    </row>
    <row r="5469" spans="1:21" hidden="1">
      <c r="A5469" s="7" t="s">
        <v>8758</v>
      </c>
      <c r="B5469" s="7" t="s">
        <v>5405</v>
      </c>
      <c r="C5469" s="8" t="s">
        <v>5319</v>
      </c>
      <c r="D5469" t="s">
        <v>272</v>
      </c>
      <c r="E5469" t="s">
        <v>25</v>
      </c>
      <c r="F5469" t="s">
        <v>493</v>
      </c>
      <c r="G5469" t="s">
        <v>2864</v>
      </c>
      <c r="H5469" s="9">
        <v>44733</v>
      </c>
      <c r="I5469" t="s">
        <v>8634</v>
      </c>
      <c r="J5469" t="s">
        <v>0</v>
      </c>
      <c r="K5469" s="9">
        <v>44862</v>
      </c>
      <c r="L5469" t="s">
        <v>29</v>
      </c>
      <c r="M5469"/>
      <c r="N5469" s="9">
        <v>44778</v>
      </c>
      <c r="O5469"/>
      <c r="P5469"/>
      <c r="Q5469" s="9">
        <v>44862</v>
      </c>
      <c r="R5469"/>
      <c r="S5469"/>
      <c r="T5469"/>
      <c r="U5469"/>
    </row>
    <row r="5470" spans="1:21" hidden="1">
      <c r="A5470" s="7" t="s">
        <v>8712</v>
      </c>
      <c r="B5470" s="7" t="s">
        <v>5405</v>
      </c>
      <c r="C5470" s="8" t="s">
        <v>5319</v>
      </c>
      <c r="D5470" t="s">
        <v>272</v>
      </c>
      <c r="E5470" t="s">
        <v>25</v>
      </c>
      <c r="F5470" t="s">
        <v>26</v>
      </c>
      <c r="G5470" t="s">
        <v>2865</v>
      </c>
      <c r="H5470" s="9">
        <v>44733</v>
      </c>
      <c r="I5470" t="s">
        <v>8634</v>
      </c>
      <c r="J5470" t="s">
        <v>0</v>
      </c>
      <c r="K5470" s="9">
        <v>44882</v>
      </c>
      <c r="L5470" t="s">
        <v>29</v>
      </c>
      <c r="M5470"/>
      <c r="N5470" s="9">
        <v>44778</v>
      </c>
      <c r="O5470"/>
      <c r="P5470"/>
      <c r="Q5470" s="9">
        <v>44882</v>
      </c>
      <c r="R5470"/>
      <c r="S5470"/>
      <c r="T5470"/>
      <c r="U5470"/>
    </row>
    <row r="5471" spans="1:21" hidden="1">
      <c r="A5471" s="7" t="s">
        <v>8758</v>
      </c>
      <c r="B5471" s="7" t="s">
        <v>5405</v>
      </c>
      <c r="C5471" s="8" t="s">
        <v>5319</v>
      </c>
      <c r="D5471" t="s">
        <v>272</v>
      </c>
      <c r="E5471" t="s">
        <v>25</v>
      </c>
      <c r="F5471" t="s">
        <v>493</v>
      </c>
      <c r="G5471" t="s">
        <v>2866</v>
      </c>
      <c r="H5471" s="9">
        <v>44733</v>
      </c>
      <c r="I5471" t="s">
        <v>8634</v>
      </c>
      <c r="J5471" t="s">
        <v>0</v>
      </c>
      <c r="K5471" s="9">
        <v>44862</v>
      </c>
      <c r="L5471" t="s">
        <v>29</v>
      </c>
      <c r="M5471"/>
      <c r="N5471" s="9">
        <v>44778</v>
      </c>
      <c r="O5471"/>
      <c r="P5471"/>
      <c r="Q5471" s="9">
        <v>44862</v>
      </c>
      <c r="R5471"/>
      <c r="S5471"/>
      <c r="T5471"/>
      <c r="U5471"/>
    </row>
    <row r="5472" spans="1:21" hidden="1">
      <c r="A5472" s="7" t="s">
        <v>8758</v>
      </c>
      <c r="B5472" s="7" t="s">
        <v>5405</v>
      </c>
      <c r="C5472" s="8" t="s">
        <v>5319</v>
      </c>
      <c r="D5472" t="s">
        <v>272</v>
      </c>
      <c r="E5472" t="s">
        <v>25</v>
      </c>
      <c r="F5472" t="s">
        <v>493</v>
      </c>
      <c r="G5472" t="s">
        <v>2867</v>
      </c>
      <c r="H5472" s="9">
        <v>44733</v>
      </c>
      <c r="I5472" t="s">
        <v>8634</v>
      </c>
      <c r="J5472" t="s">
        <v>0</v>
      </c>
      <c r="K5472" s="9">
        <v>44862</v>
      </c>
      <c r="L5472" t="s">
        <v>29</v>
      </c>
      <c r="M5472"/>
      <c r="N5472" s="9">
        <v>44778</v>
      </c>
      <c r="O5472"/>
      <c r="P5472"/>
      <c r="Q5472" s="9">
        <v>44862</v>
      </c>
      <c r="R5472"/>
      <c r="S5472"/>
      <c r="T5472"/>
      <c r="U5472"/>
    </row>
    <row r="5473" spans="1:21" hidden="1">
      <c r="A5473" s="7" t="s">
        <v>8758</v>
      </c>
      <c r="B5473" s="7" t="s">
        <v>5405</v>
      </c>
      <c r="C5473" s="8" t="s">
        <v>5319</v>
      </c>
      <c r="D5473" t="s">
        <v>272</v>
      </c>
      <c r="E5473" t="s">
        <v>25</v>
      </c>
      <c r="F5473" t="s">
        <v>493</v>
      </c>
      <c r="G5473" t="s">
        <v>2868</v>
      </c>
      <c r="H5473" s="9">
        <v>44733</v>
      </c>
      <c r="I5473" t="s">
        <v>8634</v>
      </c>
      <c r="J5473" t="s">
        <v>0</v>
      </c>
      <c r="K5473" s="9">
        <v>44862</v>
      </c>
      <c r="L5473" t="s">
        <v>29</v>
      </c>
      <c r="M5473"/>
      <c r="N5473" s="9">
        <v>44778</v>
      </c>
      <c r="O5473"/>
      <c r="P5473"/>
      <c r="Q5473" s="9">
        <v>44862</v>
      </c>
      <c r="R5473"/>
      <c r="S5473"/>
      <c r="T5473"/>
      <c r="U5473"/>
    </row>
    <row r="5474" spans="1:21" hidden="1">
      <c r="A5474" s="7" t="s">
        <v>8825</v>
      </c>
      <c r="B5474" s="7" t="s">
        <v>5405</v>
      </c>
      <c r="C5474" s="8" t="s">
        <v>5319</v>
      </c>
      <c r="D5474" t="s">
        <v>272</v>
      </c>
      <c r="E5474" t="s">
        <v>25</v>
      </c>
      <c r="F5474" t="s">
        <v>111</v>
      </c>
      <c r="G5474" t="s">
        <v>2869</v>
      </c>
      <c r="H5474" s="9">
        <v>44733</v>
      </c>
      <c r="I5474" t="s">
        <v>8634</v>
      </c>
      <c r="J5474" t="s">
        <v>0</v>
      </c>
      <c r="K5474" s="9">
        <v>44881</v>
      </c>
      <c r="L5474" t="s">
        <v>29</v>
      </c>
      <c r="M5474"/>
      <c r="N5474" s="9">
        <v>44778</v>
      </c>
      <c r="O5474"/>
      <c r="P5474"/>
      <c r="Q5474" s="9">
        <v>44881</v>
      </c>
      <c r="R5474"/>
      <c r="S5474"/>
      <c r="T5474"/>
      <c r="U5474"/>
    </row>
    <row r="5475" spans="1:21" hidden="1">
      <c r="A5475" s="7" t="s">
        <v>8712</v>
      </c>
      <c r="B5475" s="7" t="s">
        <v>5405</v>
      </c>
      <c r="C5475" s="8" t="s">
        <v>5319</v>
      </c>
      <c r="D5475" t="s">
        <v>272</v>
      </c>
      <c r="E5475" t="s">
        <v>25</v>
      </c>
      <c r="F5475" t="s">
        <v>26</v>
      </c>
      <c r="G5475" t="s">
        <v>2870</v>
      </c>
      <c r="H5475" s="9">
        <v>44733</v>
      </c>
      <c r="I5475" t="s">
        <v>8634</v>
      </c>
      <c r="J5475" t="s">
        <v>0</v>
      </c>
      <c r="K5475" s="9">
        <v>44882</v>
      </c>
      <c r="L5475" t="s">
        <v>29</v>
      </c>
      <c r="M5475"/>
      <c r="N5475" s="9">
        <v>44778</v>
      </c>
      <c r="O5475"/>
      <c r="P5475"/>
      <c r="Q5475" s="9">
        <v>44882</v>
      </c>
      <c r="R5475"/>
      <c r="S5475"/>
      <c r="T5475"/>
      <c r="U5475"/>
    </row>
    <row r="5476" spans="1:21" hidden="1">
      <c r="A5476" s="7" t="s">
        <v>8758</v>
      </c>
      <c r="B5476" s="7" t="s">
        <v>5405</v>
      </c>
      <c r="C5476" s="8" t="s">
        <v>5319</v>
      </c>
      <c r="D5476" t="s">
        <v>272</v>
      </c>
      <c r="E5476" t="s">
        <v>25</v>
      </c>
      <c r="F5476" t="s">
        <v>493</v>
      </c>
      <c r="G5476" t="s">
        <v>2871</v>
      </c>
      <c r="H5476" s="9">
        <v>44733</v>
      </c>
      <c r="I5476" t="s">
        <v>8634</v>
      </c>
      <c r="J5476" t="s">
        <v>0</v>
      </c>
      <c r="K5476" s="9">
        <v>44862</v>
      </c>
      <c r="L5476" t="s">
        <v>29</v>
      </c>
      <c r="M5476"/>
      <c r="N5476" s="9">
        <v>44778</v>
      </c>
      <c r="O5476"/>
      <c r="P5476"/>
      <c r="Q5476" s="9">
        <v>44862</v>
      </c>
      <c r="R5476"/>
      <c r="S5476"/>
      <c r="T5476"/>
      <c r="U5476"/>
    </row>
    <row r="5477" spans="1:21" hidden="1">
      <c r="A5477" s="7" t="s">
        <v>8712</v>
      </c>
      <c r="B5477" s="7" t="s">
        <v>5405</v>
      </c>
      <c r="C5477" s="8" t="s">
        <v>5319</v>
      </c>
      <c r="D5477" t="s">
        <v>272</v>
      </c>
      <c r="E5477" t="s">
        <v>25</v>
      </c>
      <c r="F5477" t="s">
        <v>26</v>
      </c>
      <c r="G5477" t="s">
        <v>2872</v>
      </c>
      <c r="H5477" s="9">
        <v>44733</v>
      </c>
      <c r="I5477" t="s">
        <v>8634</v>
      </c>
      <c r="J5477" t="s">
        <v>0</v>
      </c>
      <c r="K5477" s="9">
        <v>44882</v>
      </c>
      <c r="L5477" t="s">
        <v>29</v>
      </c>
      <c r="M5477"/>
      <c r="N5477" s="9">
        <v>44778</v>
      </c>
      <c r="O5477"/>
      <c r="P5477"/>
      <c r="Q5477" s="9">
        <v>44882</v>
      </c>
      <c r="R5477"/>
      <c r="S5477"/>
      <c r="T5477"/>
      <c r="U5477"/>
    </row>
    <row r="5478" spans="1:21" hidden="1">
      <c r="A5478" s="7" t="s">
        <v>8758</v>
      </c>
      <c r="B5478" s="7" t="s">
        <v>5405</v>
      </c>
      <c r="C5478" s="8" t="s">
        <v>5319</v>
      </c>
      <c r="D5478" t="s">
        <v>272</v>
      </c>
      <c r="E5478" t="s">
        <v>25</v>
      </c>
      <c r="F5478" t="s">
        <v>493</v>
      </c>
      <c r="G5478" t="s">
        <v>1573</v>
      </c>
      <c r="H5478" s="9">
        <v>44733</v>
      </c>
      <c r="I5478" t="s">
        <v>8634</v>
      </c>
      <c r="J5478" t="s">
        <v>0</v>
      </c>
      <c r="K5478" s="9">
        <v>44862</v>
      </c>
      <c r="L5478" t="s">
        <v>29</v>
      </c>
      <c r="M5478"/>
      <c r="N5478" s="9">
        <v>44778</v>
      </c>
      <c r="O5478"/>
      <c r="P5478"/>
      <c r="Q5478" s="9">
        <v>44862</v>
      </c>
      <c r="R5478"/>
      <c r="S5478"/>
      <c r="T5478"/>
      <c r="U5478"/>
    </row>
    <row r="5479" spans="1:21" hidden="1">
      <c r="A5479" s="7" t="s">
        <v>8758</v>
      </c>
      <c r="B5479" s="7" t="s">
        <v>5405</v>
      </c>
      <c r="C5479" s="8" t="s">
        <v>5319</v>
      </c>
      <c r="D5479" t="s">
        <v>272</v>
      </c>
      <c r="E5479" t="s">
        <v>25</v>
      </c>
      <c r="F5479" t="s">
        <v>493</v>
      </c>
      <c r="G5479" t="s">
        <v>1574</v>
      </c>
      <c r="H5479" s="9">
        <v>44733</v>
      </c>
      <c r="I5479" t="s">
        <v>8634</v>
      </c>
      <c r="J5479" t="s">
        <v>0</v>
      </c>
      <c r="K5479" s="9">
        <v>44862</v>
      </c>
      <c r="L5479" t="s">
        <v>29</v>
      </c>
      <c r="M5479"/>
      <c r="N5479" s="9">
        <v>44778</v>
      </c>
      <c r="O5479"/>
      <c r="P5479"/>
      <c r="Q5479" s="9">
        <v>44862</v>
      </c>
      <c r="R5479"/>
      <c r="S5479"/>
      <c r="T5479"/>
      <c r="U5479"/>
    </row>
    <row r="5480" spans="1:21" hidden="1">
      <c r="A5480" s="7" t="s">
        <v>8728</v>
      </c>
      <c r="B5480" s="7" t="s">
        <v>5405</v>
      </c>
      <c r="C5480" s="8" t="s">
        <v>5319</v>
      </c>
      <c r="D5480" t="s">
        <v>272</v>
      </c>
      <c r="E5480" t="s">
        <v>25</v>
      </c>
      <c r="F5480" t="s">
        <v>200</v>
      </c>
      <c r="G5480" t="s">
        <v>2873</v>
      </c>
      <c r="H5480" s="9">
        <v>44733</v>
      </c>
      <c r="I5480" t="s">
        <v>8634</v>
      </c>
      <c r="J5480" t="s">
        <v>0</v>
      </c>
      <c r="K5480" s="9">
        <v>44862</v>
      </c>
      <c r="L5480" t="s">
        <v>29</v>
      </c>
      <c r="M5480"/>
      <c r="N5480" s="9">
        <v>44778</v>
      </c>
      <c r="O5480"/>
      <c r="P5480"/>
      <c r="Q5480" s="9">
        <v>44862</v>
      </c>
      <c r="R5480"/>
      <c r="S5480"/>
      <c r="T5480"/>
      <c r="U5480"/>
    </row>
    <row r="5481" spans="1:21" hidden="1">
      <c r="A5481" s="7" t="s">
        <v>8712</v>
      </c>
      <c r="B5481" s="7" t="s">
        <v>5405</v>
      </c>
      <c r="C5481" s="8" t="s">
        <v>5319</v>
      </c>
      <c r="D5481" t="s">
        <v>272</v>
      </c>
      <c r="E5481" t="s">
        <v>25</v>
      </c>
      <c r="F5481" t="s">
        <v>26</v>
      </c>
      <c r="G5481" t="s">
        <v>2874</v>
      </c>
      <c r="H5481" s="9">
        <v>44733</v>
      </c>
      <c r="I5481" t="s">
        <v>8634</v>
      </c>
      <c r="J5481" t="s">
        <v>0</v>
      </c>
      <c r="K5481" s="9">
        <v>44882</v>
      </c>
      <c r="L5481" t="s">
        <v>29</v>
      </c>
      <c r="M5481"/>
      <c r="N5481" s="9">
        <v>44778</v>
      </c>
      <c r="O5481"/>
      <c r="P5481"/>
      <c r="Q5481" s="9">
        <v>44882</v>
      </c>
      <c r="R5481"/>
      <c r="S5481"/>
      <c r="T5481"/>
      <c r="U5481"/>
    </row>
    <row r="5482" spans="1:21" hidden="1">
      <c r="A5482" s="7" t="s">
        <v>8728</v>
      </c>
      <c r="B5482" s="7" t="s">
        <v>5405</v>
      </c>
      <c r="C5482" s="8" t="s">
        <v>5319</v>
      </c>
      <c r="D5482" t="s">
        <v>272</v>
      </c>
      <c r="E5482" t="s">
        <v>25</v>
      </c>
      <c r="F5482" t="s">
        <v>200</v>
      </c>
      <c r="G5482" t="s">
        <v>2875</v>
      </c>
      <c r="H5482" s="9">
        <v>44733</v>
      </c>
      <c r="I5482" t="s">
        <v>8634</v>
      </c>
      <c r="J5482" t="s">
        <v>0</v>
      </c>
      <c r="K5482" s="9">
        <v>44862</v>
      </c>
      <c r="L5482" t="s">
        <v>29</v>
      </c>
      <c r="M5482"/>
      <c r="N5482" s="9">
        <v>44778</v>
      </c>
      <c r="O5482"/>
      <c r="P5482"/>
      <c r="Q5482" s="9">
        <v>44862</v>
      </c>
      <c r="R5482"/>
      <c r="S5482"/>
      <c r="T5482"/>
      <c r="U5482"/>
    </row>
    <row r="5483" spans="1:21" hidden="1">
      <c r="A5483" s="7" t="s">
        <v>8758</v>
      </c>
      <c r="B5483" s="7" t="s">
        <v>5405</v>
      </c>
      <c r="C5483" s="8" t="s">
        <v>5319</v>
      </c>
      <c r="D5483" t="s">
        <v>272</v>
      </c>
      <c r="E5483" t="s">
        <v>25</v>
      </c>
      <c r="F5483" t="s">
        <v>493</v>
      </c>
      <c r="G5483" t="s">
        <v>2876</v>
      </c>
      <c r="H5483" s="9">
        <v>44733</v>
      </c>
      <c r="I5483" t="s">
        <v>8634</v>
      </c>
      <c r="J5483" t="s">
        <v>0</v>
      </c>
      <c r="K5483" s="9">
        <v>44862</v>
      </c>
      <c r="L5483" t="s">
        <v>29</v>
      </c>
      <c r="M5483"/>
      <c r="N5483" s="9">
        <v>44778</v>
      </c>
      <c r="O5483"/>
      <c r="P5483"/>
      <c r="Q5483" s="9">
        <v>44862</v>
      </c>
      <c r="R5483"/>
      <c r="S5483"/>
      <c r="T5483"/>
      <c r="U5483"/>
    </row>
    <row r="5484" spans="1:21" hidden="1">
      <c r="A5484" s="7" t="s">
        <v>8712</v>
      </c>
      <c r="B5484" s="7" t="s">
        <v>5405</v>
      </c>
      <c r="C5484" s="8" t="s">
        <v>5319</v>
      </c>
      <c r="D5484" t="s">
        <v>272</v>
      </c>
      <c r="E5484" t="s">
        <v>25</v>
      </c>
      <c r="F5484" t="s">
        <v>26</v>
      </c>
      <c r="G5484" t="s">
        <v>2877</v>
      </c>
      <c r="H5484" s="9">
        <v>44733</v>
      </c>
      <c r="I5484" t="s">
        <v>8634</v>
      </c>
      <c r="J5484" t="s">
        <v>0</v>
      </c>
      <c r="K5484" s="9">
        <v>44882</v>
      </c>
      <c r="L5484" t="s">
        <v>29</v>
      </c>
      <c r="M5484"/>
      <c r="N5484" s="9">
        <v>44778</v>
      </c>
      <c r="O5484"/>
      <c r="P5484"/>
      <c r="Q5484" s="9">
        <v>44882</v>
      </c>
      <c r="R5484"/>
      <c r="S5484"/>
      <c r="T5484"/>
      <c r="U5484"/>
    </row>
    <row r="5485" spans="1:21" hidden="1">
      <c r="A5485" s="7" t="s">
        <v>8712</v>
      </c>
      <c r="B5485" s="7" t="s">
        <v>5405</v>
      </c>
      <c r="C5485" s="8" t="s">
        <v>5319</v>
      </c>
      <c r="D5485" t="s">
        <v>272</v>
      </c>
      <c r="E5485" t="s">
        <v>25</v>
      </c>
      <c r="F5485" t="s">
        <v>26</v>
      </c>
      <c r="G5485" t="s">
        <v>2878</v>
      </c>
      <c r="H5485" s="9">
        <v>44733</v>
      </c>
      <c r="I5485" t="s">
        <v>8634</v>
      </c>
      <c r="J5485" t="s">
        <v>0</v>
      </c>
      <c r="K5485" s="9">
        <v>44882</v>
      </c>
      <c r="L5485" t="s">
        <v>29</v>
      </c>
      <c r="M5485"/>
      <c r="N5485" s="9">
        <v>44778</v>
      </c>
      <c r="O5485"/>
      <c r="P5485"/>
      <c r="Q5485" s="9">
        <v>44882</v>
      </c>
      <c r="R5485"/>
      <c r="S5485"/>
      <c r="T5485"/>
      <c r="U5485"/>
    </row>
    <row r="5486" spans="1:21" hidden="1">
      <c r="A5486" s="7" t="s">
        <v>8712</v>
      </c>
      <c r="B5486" s="7" t="s">
        <v>5405</v>
      </c>
      <c r="C5486" s="8" t="s">
        <v>5319</v>
      </c>
      <c r="D5486" t="s">
        <v>272</v>
      </c>
      <c r="E5486" t="s">
        <v>25</v>
      </c>
      <c r="F5486" t="s">
        <v>26</v>
      </c>
      <c r="G5486" t="s">
        <v>2879</v>
      </c>
      <c r="H5486" s="9">
        <v>44733</v>
      </c>
      <c r="I5486" t="s">
        <v>8634</v>
      </c>
      <c r="J5486" t="s">
        <v>0</v>
      </c>
      <c r="K5486" s="9">
        <v>44882</v>
      </c>
      <c r="L5486" t="s">
        <v>29</v>
      </c>
      <c r="M5486"/>
      <c r="N5486" s="9">
        <v>44778</v>
      </c>
      <c r="O5486"/>
      <c r="P5486"/>
      <c r="Q5486" s="9">
        <v>44882</v>
      </c>
      <c r="R5486"/>
      <c r="S5486"/>
      <c r="T5486"/>
      <c r="U5486"/>
    </row>
    <row r="5487" spans="1:21" hidden="1">
      <c r="A5487" s="7" t="s">
        <v>8712</v>
      </c>
      <c r="B5487" s="7" t="s">
        <v>5405</v>
      </c>
      <c r="C5487" s="8" t="s">
        <v>5319</v>
      </c>
      <c r="D5487" t="s">
        <v>272</v>
      </c>
      <c r="E5487" t="s">
        <v>25</v>
      </c>
      <c r="F5487" t="s">
        <v>26</v>
      </c>
      <c r="G5487" t="s">
        <v>2880</v>
      </c>
      <c r="H5487" s="9">
        <v>44733</v>
      </c>
      <c r="I5487" t="s">
        <v>8634</v>
      </c>
      <c r="J5487" t="s">
        <v>0</v>
      </c>
      <c r="K5487" s="9">
        <v>44882</v>
      </c>
      <c r="L5487" t="s">
        <v>29</v>
      </c>
      <c r="M5487"/>
      <c r="N5487" s="9">
        <v>44778</v>
      </c>
      <c r="O5487"/>
      <c r="P5487"/>
      <c r="Q5487" s="9">
        <v>44882</v>
      </c>
      <c r="R5487"/>
      <c r="S5487"/>
      <c r="T5487"/>
      <c r="U5487"/>
    </row>
    <row r="5488" spans="1:21" hidden="1">
      <c r="A5488" s="7" t="s">
        <v>8712</v>
      </c>
      <c r="B5488" s="7" t="s">
        <v>5405</v>
      </c>
      <c r="C5488" s="8" t="s">
        <v>5319</v>
      </c>
      <c r="D5488" t="s">
        <v>272</v>
      </c>
      <c r="E5488" t="s">
        <v>25</v>
      </c>
      <c r="F5488" t="s">
        <v>26</v>
      </c>
      <c r="G5488" t="s">
        <v>2881</v>
      </c>
      <c r="H5488" s="9">
        <v>44733</v>
      </c>
      <c r="I5488" t="s">
        <v>8634</v>
      </c>
      <c r="J5488" t="s">
        <v>0</v>
      </c>
      <c r="K5488" s="9">
        <v>44882</v>
      </c>
      <c r="L5488" t="s">
        <v>29</v>
      </c>
      <c r="M5488"/>
      <c r="N5488" s="9">
        <v>44778</v>
      </c>
      <c r="O5488"/>
      <c r="P5488"/>
      <c r="Q5488" s="9">
        <v>44882</v>
      </c>
      <c r="R5488"/>
      <c r="S5488"/>
      <c r="T5488"/>
      <c r="U5488"/>
    </row>
    <row r="5489" spans="1:21" hidden="1">
      <c r="A5489" s="7" t="s">
        <v>8758</v>
      </c>
      <c r="B5489" s="7" t="s">
        <v>5405</v>
      </c>
      <c r="C5489" s="8" t="s">
        <v>5319</v>
      </c>
      <c r="D5489" t="s">
        <v>272</v>
      </c>
      <c r="E5489" t="s">
        <v>25</v>
      </c>
      <c r="F5489" t="s">
        <v>493</v>
      </c>
      <c r="G5489" t="s">
        <v>2882</v>
      </c>
      <c r="H5489" s="9">
        <v>44733</v>
      </c>
      <c r="I5489" t="s">
        <v>8634</v>
      </c>
      <c r="J5489" t="s">
        <v>0</v>
      </c>
      <c r="K5489" s="9">
        <v>44862</v>
      </c>
      <c r="L5489" t="s">
        <v>29</v>
      </c>
      <c r="M5489"/>
      <c r="N5489" s="9">
        <v>44778</v>
      </c>
      <c r="O5489"/>
      <c r="P5489"/>
      <c r="Q5489" s="9">
        <v>44862</v>
      </c>
      <c r="R5489"/>
      <c r="S5489"/>
      <c r="T5489"/>
      <c r="U5489"/>
    </row>
    <row r="5490" spans="1:21" hidden="1">
      <c r="A5490" s="7" t="s">
        <v>8825</v>
      </c>
      <c r="B5490" s="7" t="s">
        <v>5405</v>
      </c>
      <c r="C5490" s="8" t="s">
        <v>5319</v>
      </c>
      <c r="D5490" t="s">
        <v>272</v>
      </c>
      <c r="E5490" t="s">
        <v>25</v>
      </c>
      <c r="F5490" t="s">
        <v>111</v>
      </c>
      <c r="G5490" t="s">
        <v>2883</v>
      </c>
      <c r="H5490" s="9">
        <v>44733</v>
      </c>
      <c r="I5490" t="s">
        <v>8634</v>
      </c>
      <c r="J5490" t="s">
        <v>0</v>
      </c>
      <c r="K5490" s="9">
        <v>44881</v>
      </c>
      <c r="L5490" t="s">
        <v>29</v>
      </c>
      <c r="M5490"/>
      <c r="N5490" s="9">
        <v>44778</v>
      </c>
      <c r="O5490"/>
      <c r="P5490"/>
      <c r="Q5490" s="9">
        <v>44881</v>
      </c>
      <c r="R5490"/>
      <c r="S5490"/>
      <c r="T5490"/>
      <c r="U5490"/>
    </row>
    <row r="5491" spans="1:21" hidden="1">
      <c r="A5491" s="7" t="s">
        <v>8825</v>
      </c>
      <c r="B5491" s="7" t="s">
        <v>5405</v>
      </c>
      <c r="C5491" s="8" t="s">
        <v>5319</v>
      </c>
      <c r="D5491" t="s">
        <v>272</v>
      </c>
      <c r="E5491" t="s">
        <v>25</v>
      </c>
      <c r="F5491" t="s">
        <v>111</v>
      </c>
      <c r="G5491" t="s">
        <v>2884</v>
      </c>
      <c r="H5491" s="9">
        <v>44733</v>
      </c>
      <c r="I5491" t="s">
        <v>8634</v>
      </c>
      <c r="J5491" t="s">
        <v>0</v>
      </c>
      <c r="K5491" s="9">
        <v>44881</v>
      </c>
      <c r="L5491" t="s">
        <v>29</v>
      </c>
      <c r="M5491"/>
      <c r="N5491" s="9">
        <v>44778</v>
      </c>
      <c r="O5491"/>
      <c r="P5491"/>
      <c r="Q5491" s="9">
        <v>44881</v>
      </c>
      <c r="R5491"/>
      <c r="S5491"/>
      <c r="T5491"/>
      <c r="U5491"/>
    </row>
    <row r="5492" spans="1:21" hidden="1">
      <c r="A5492" s="7" t="s">
        <v>8758</v>
      </c>
      <c r="B5492" s="7" t="s">
        <v>5405</v>
      </c>
      <c r="C5492" s="8" t="s">
        <v>5319</v>
      </c>
      <c r="D5492" t="s">
        <v>272</v>
      </c>
      <c r="E5492" t="s">
        <v>25</v>
      </c>
      <c r="F5492" t="s">
        <v>493</v>
      </c>
      <c r="G5492" t="s">
        <v>2885</v>
      </c>
      <c r="H5492" s="9">
        <v>44733</v>
      </c>
      <c r="I5492" t="s">
        <v>8634</v>
      </c>
      <c r="J5492" t="s">
        <v>0</v>
      </c>
      <c r="K5492" s="9">
        <v>44862</v>
      </c>
      <c r="L5492" t="s">
        <v>29</v>
      </c>
      <c r="M5492"/>
      <c r="N5492" s="9">
        <v>44778</v>
      </c>
      <c r="O5492"/>
      <c r="P5492"/>
      <c r="Q5492" s="9">
        <v>44862</v>
      </c>
      <c r="R5492"/>
      <c r="S5492"/>
      <c r="T5492"/>
      <c r="U5492"/>
    </row>
    <row r="5493" spans="1:21" hidden="1">
      <c r="A5493" s="7" t="s">
        <v>8758</v>
      </c>
      <c r="B5493" s="7" t="s">
        <v>5405</v>
      </c>
      <c r="C5493" s="8" t="s">
        <v>5319</v>
      </c>
      <c r="D5493" t="s">
        <v>272</v>
      </c>
      <c r="E5493" t="s">
        <v>25</v>
      </c>
      <c r="F5493" t="s">
        <v>493</v>
      </c>
      <c r="G5493" t="s">
        <v>2886</v>
      </c>
      <c r="H5493" s="9">
        <v>44733</v>
      </c>
      <c r="I5493" t="s">
        <v>8634</v>
      </c>
      <c r="J5493" t="s">
        <v>0</v>
      </c>
      <c r="K5493" s="9">
        <v>44862</v>
      </c>
      <c r="L5493" t="s">
        <v>29</v>
      </c>
      <c r="M5493"/>
      <c r="N5493" s="9">
        <v>44778</v>
      </c>
      <c r="O5493"/>
      <c r="P5493"/>
      <c r="Q5493" s="9">
        <v>44862</v>
      </c>
      <c r="R5493"/>
      <c r="S5493"/>
      <c r="T5493"/>
      <c r="U5493"/>
    </row>
    <row r="5494" spans="1:21" hidden="1">
      <c r="A5494" s="7" t="s">
        <v>8758</v>
      </c>
      <c r="B5494" s="7" t="s">
        <v>5405</v>
      </c>
      <c r="C5494" s="8" t="s">
        <v>5319</v>
      </c>
      <c r="D5494" t="s">
        <v>272</v>
      </c>
      <c r="E5494" t="s">
        <v>25</v>
      </c>
      <c r="F5494" t="s">
        <v>493</v>
      </c>
      <c r="G5494" t="s">
        <v>2887</v>
      </c>
      <c r="H5494" s="9">
        <v>44733</v>
      </c>
      <c r="I5494" t="s">
        <v>8634</v>
      </c>
      <c r="J5494" t="s">
        <v>0</v>
      </c>
      <c r="K5494" s="9">
        <v>44862</v>
      </c>
      <c r="L5494" t="s">
        <v>29</v>
      </c>
      <c r="M5494"/>
      <c r="N5494" s="9">
        <v>44778</v>
      </c>
      <c r="O5494"/>
      <c r="P5494"/>
      <c r="Q5494" s="9">
        <v>44862</v>
      </c>
      <c r="R5494"/>
      <c r="S5494"/>
      <c r="T5494"/>
      <c r="U5494"/>
    </row>
    <row r="5495" spans="1:21" hidden="1">
      <c r="A5495" s="7" t="s">
        <v>8758</v>
      </c>
      <c r="B5495" s="7" t="s">
        <v>5405</v>
      </c>
      <c r="C5495" s="8" t="s">
        <v>5319</v>
      </c>
      <c r="D5495" t="s">
        <v>272</v>
      </c>
      <c r="E5495" t="s">
        <v>25</v>
      </c>
      <c r="F5495" t="s">
        <v>493</v>
      </c>
      <c r="G5495" t="s">
        <v>2888</v>
      </c>
      <c r="H5495" s="9">
        <v>44733</v>
      </c>
      <c r="I5495" t="s">
        <v>8634</v>
      </c>
      <c r="J5495" t="s">
        <v>0</v>
      </c>
      <c r="K5495" s="9">
        <v>44862</v>
      </c>
      <c r="L5495" t="s">
        <v>29</v>
      </c>
      <c r="M5495"/>
      <c r="N5495" s="9">
        <v>44778</v>
      </c>
      <c r="O5495"/>
      <c r="P5495"/>
      <c r="Q5495" s="9">
        <v>44862</v>
      </c>
      <c r="R5495"/>
      <c r="S5495"/>
      <c r="T5495"/>
      <c r="U5495"/>
    </row>
    <row r="5496" spans="1:21" hidden="1">
      <c r="A5496" s="7" t="s">
        <v>8758</v>
      </c>
      <c r="B5496" s="7" t="s">
        <v>5405</v>
      </c>
      <c r="C5496" s="8" t="s">
        <v>5319</v>
      </c>
      <c r="D5496" t="s">
        <v>272</v>
      </c>
      <c r="E5496" t="s">
        <v>25</v>
      </c>
      <c r="F5496" t="s">
        <v>493</v>
      </c>
      <c r="G5496" t="s">
        <v>2889</v>
      </c>
      <c r="H5496" s="9">
        <v>44733</v>
      </c>
      <c r="I5496" t="s">
        <v>8634</v>
      </c>
      <c r="J5496" t="s">
        <v>0</v>
      </c>
      <c r="K5496" s="9">
        <v>44862</v>
      </c>
      <c r="L5496" t="s">
        <v>29</v>
      </c>
      <c r="M5496"/>
      <c r="N5496" s="9">
        <v>44778</v>
      </c>
      <c r="O5496"/>
      <c r="P5496"/>
      <c r="Q5496" s="9">
        <v>44862</v>
      </c>
      <c r="R5496"/>
      <c r="S5496"/>
      <c r="T5496"/>
      <c r="U5496"/>
    </row>
    <row r="5497" spans="1:21" hidden="1">
      <c r="A5497" s="7" t="s">
        <v>8758</v>
      </c>
      <c r="B5497" s="7" t="s">
        <v>5405</v>
      </c>
      <c r="C5497" s="8" t="s">
        <v>5319</v>
      </c>
      <c r="D5497" t="s">
        <v>272</v>
      </c>
      <c r="E5497" t="s">
        <v>25</v>
      </c>
      <c r="F5497" t="s">
        <v>493</v>
      </c>
      <c r="G5497" t="s">
        <v>2890</v>
      </c>
      <c r="H5497" s="9">
        <v>44733</v>
      </c>
      <c r="I5497" t="s">
        <v>8634</v>
      </c>
      <c r="J5497" t="s">
        <v>0</v>
      </c>
      <c r="K5497" s="9">
        <v>44862</v>
      </c>
      <c r="L5497" t="s">
        <v>29</v>
      </c>
      <c r="M5497"/>
      <c r="N5497" s="9">
        <v>44778</v>
      </c>
      <c r="O5497"/>
      <c r="P5497"/>
      <c r="Q5497" s="9">
        <v>44862</v>
      </c>
      <c r="R5497"/>
      <c r="S5497"/>
      <c r="T5497"/>
      <c r="U5497"/>
    </row>
    <row r="5498" spans="1:21" hidden="1">
      <c r="A5498" s="7" t="s">
        <v>8712</v>
      </c>
      <c r="B5498" s="7" t="s">
        <v>5405</v>
      </c>
      <c r="C5498" s="8" t="s">
        <v>5319</v>
      </c>
      <c r="D5498" t="s">
        <v>272</v>
      </c>
      <c r="E5498" t="s">
        <v>25</v>
      </c>
      <c r="F5498" t="s">
        <v>26</v>
      </c>
      <c r="G5498" t="s">
        <v>2891</v>
      </c>
      <c r="H5498" s="9">
        <v>44733</v>
      </c>
      <c r="I5498" t="s">
        <v>8634</v>
      </c>
      <c r="J5498" t="s">
        <v>0</v>
      </c>
      <c r="K5498" s="9">
        <v>44882</v>
      </c>
      <c r="L5498" t="s">
        <v>29</v>
      </c>
      <c r="M5498"/>
      <c r="N5498" s="9">
        <v>44778</v>
      </c>
      <c r="O5498"/>
      <c r="P5498"/>
      <c r="Q5498" s="9">
        <v>44882</v>
      </c>
      <c r="R5498"/>
      <c r="S5498"/>
      <c r="T5498"/>
      <c r="U5498"/>
    </row>
    <row r="5499" spans="1:21" hidden="1">
      <c r="A5499" s="7" t="s">
        <v>8712</v>
      </c>
      <c r="B5499" s="7" t="s">
        <v>5405</v>
      </c>
      <c r="C5499" s="8" t="s">
        <v>5319</v>
      </c>
      <c r="D5499" t="s">
        <v>272</v>
      </c>
      <c r="E5499" t="s">
        <v>25</v>
      </c>
      <c r="F5499" t="s">
        <v>26</v>
      </c>
      <c r="G5499" t="s">
        <v>2892</v>
      </c>
      <c r="H5499" s="9">
        <v>44733</v>
      </c>
      <c r="I5499" t="s">
        <v>8634</v>
      </c>
      <c r="J5499" t="s">
        <v>0</v>
      </c>
      <c r="K5499" s="9">
        <v>44882</v>
      </c>
      <c r="L5499" t="s">
        <v>29</v>
      </c>
      <c r="M5499"/>
      <c r="N5499" s="9">
        <v>44778</v>
      </c>
      <c r="O5499"/>
      <c r="P5499"/>
      <c r="Q5499" s="9">
        <v>44882</v>
      </c>
      <c r="R5499"/>
      <c r="S5499"/>
      <c r="T5499"/>
      <c r="U5499"/>
    </row>
    <row r="5500" spans="1:21" hidden="1">
      <c r="A5500" s="7" t="s">
        <v>8758</v>
      </c>
      <c r="B5500" s="7" t="s">
        <v>5405</v>
      </c>
      <c r="C5500" s="8" t="s">
        <v>5319</v>
      </c>
      <c r="D5500" t="s">
        <v>272</v>
      </c>
      <c r="E5500" t="s">
        <v>25</v>
      </c>
      <c r="F5500" t="s">
        <v>493</v>
      </c>
      <c r="G5500" t="s">
        <v>598</v>
      </c>
      <c r="H5500" s="9">
        <v>44733</v>
      </c>
      <c r="I5500" t="s">
        <v>8634</v>
      </c>
      <c r="J5500" t="s">
        <v>0</v>
      </c>
      <c r="K5500" s="9">
        <v>44862</v>
      </c>
      <c r="L5500" t="s">
        <v>29</v>
      </c>
      <c r="M5500"/>
      <c r="N5500" s="9">
        <v>44778</v>
      </c>
      <c r="O5500"/>
      <c r="P5500"/>
      <c r="Q5500" s="9">
        <v>44862</v>
      </c>
      <c r="R5500"/>
      <c r="S5500"/>
      <c r="T5500"/>
      <c r="U5500"/>
    </row>
    <row r="5501" spans="1:21" hidden="1">
      <c r="A5501" s="7" t="s">
        <v>8728</v>
      </c>
      <c r="B5501" s="7" t="s">
        <v>5405</v>
      </c>
      <c r="C5501" s="8" t="s">
        <v>5319</v>
      </c>
      <c r="D5501" t="s">
        <v>272</v>
      </c>
      <c r="E5501" t="s">
        <v>25</v>
      </c>
      <c r="F5501" t="s">
        <v>200</v>
      </c>
      <c r="G5501" t="s">
        <v>2893</v>
      </c>
      <c r="H5501" s="9">
        <v>44733</v>
      </c>
      <c r="I5501" t="s">
        <v>8634</v>
      </c>
      <c r="J5501" t="s">
        <v>0</v>
      </c>
      <c r="K5501" s="9">
        <v>44862</v>
      </c>
      <c r="L5501" t="s">
        <v>29</v>
      </c>
      <c r="M5501"/>
      <c r="N5501" s="9">
        <v>44778</v>
      </c>
      <c r="O5501"/>
      <c r="P5501"/>
      <c r="Q5501" s="9">
        <v>44862</v>
      </c>
      <c r="R5501"/>
      <c r="S5501"/>
      <c r="T5501"/>
      <c r="U5501"/>
    </row>
    <row r="5502" spans="1:21" hidden="1">
      <c r="A5502" s="7" t="s">
        <v>8758</v>
      </c>
      <c r="B5502" s="7" t="s">
        <v>5405</v>
      </c>
      <c r="C5502" s="8" t="s">
        <v>5319</v>
      </c>
      <c r="D5502" t="s">
        <v>272</v>
      </c>
      <c r="E5502" t="s">
        <v>25</v>
      </c>
      <c r="F5502" t="s">
        <v>493</v>
      </c>
      <c r="G5502" t="s">
        <v>2894</v>
      </c>
      <c r="H5502" s="9">
        <v>44733</v>
      </c>
      <c r="I5502" t="s">
        <v>8634</v>
      </c>
      <c r="J5502" t="s">
        <v>0</v>
      </c>
      <c r="K5502" s="9">
        <v>44862</v>
      </c>
      <c r="L5502" t="s">
        <v>29</v>
      </c>
      <c r="M5502"/>
      <c r="N5502" s="9">
        <v>44778</v>
      </c>
      <c r="O5502"/>
      <c r="P5502"/>
      <c r="Q5502" s="9">
        <v>44862</v>
      </c>
      <c r="R5502"/>
      <c r="S5502"/>
      <c r="T5502"/>
      <c r="U5502"/>
    </row>
    <row r="5503" spans="1:21" hidden="1">
      <c r="A5503" s="7" t="s">
        <v>8758</v>
      </c>
      <c r="B5503" s="7" t="s">
        <v>5405</v>
      </c>
      <c r="C5503" s="8" t="s">
        <v>5319</v>
      </c>
      <c r="D5503" t="s">
        <v>272</v>
      </c>
      <c r="E5503" t="s">
        <v>25</v>
      </c>
      <c r="F5503" t="s">
        <v>493</v>
      </c>
      <c r="G5503" t="s">
        <v>2895</v>
      </c>
      <c r="H5503" s="9">
        <v>44733</v>
      </c>
      <c r="I5503" t="s">
        <v>8634</v>
      </c>
      <c r="J5503" t="s">
        <v>0</v>
      </c>
      <c r="K5503" s="9">
        <v>44862</v>
      </c>
      <c r="L5503" t="s">
        <v>29</v>
      </c>
      <c r="M5503"/>
      <c r="N5503" s="9">
        <v>44778</v>
      </c>
      <c r="O5503"/>
      <c r="P5503"/>
      <c r="Q5503" s="9">
        <v>44862</v>
      </c>
      <c r="R5503"/>
      <c r="S5503"/>
      <c r="T5503"/>
      <c r="U5503"/>
    </row>
    <row r="5504" spans="1:21" hidden="1">
      <c r="A5504" s="7" t="s">
        <v>8758</v>
      </c>
      <c r="B5504" s="7" t="s">
        <v>5405</v>
      </c>
      <c r="C5504" s="8" t="s">
        <v>5319</v>
      </c>
      <c r="D5504" t="s">
        <v>272</v>
      </c>
      <c r="E5504" t="s">
        <v>25</v>
      </c>
      <c r="F5504" t="s">
        <v>493</v>
      </c>
      <c r="G5504" t="s">
        <v>2896</v>
      </c>
      <c r="H5504" s="9">
        <v>44733</v>
      </c>
      <c r="I5504" t="s">
        <v>8634</v>
      </c>
      <c r="J5504" t="s">
        <v>0</v>
      </c>
      <c r="K5504" s="9">
        <v>44862</v>
      </c>
      <c r="L5504" t="s">
        <v>29</v>
      </c>
      <c r="M5504"/>
      <c r="N5504" s="9">
        <v>44778</v>
      </c>
      <c r="O5504"/>
      <c r="P5504"/>
      <c r="Q5504" s="9">
        <v>44862</v>
      </c>
      <c r="R5504"/>
      <c r="S5504"/>
      <c r="T5504"/>
      <c r="U5504"/>
    </row>
    <row r="5505" spans="1:21" hidden="1">
      <c r="A5505" s="7" t="s">
        <v>8712</v>
      </c>
      <c r="B5505" s="7" t="s">
        <v>5405</v>
      </c>
      <c r="C5505" s="8" t="s">
        <v>5319</v>
      </c>
      <c r="D5505" t="s">
        <v>272</v>
      </c>
      <c r="E5505" t="s">
        <v>25</v>
      </c>
      <c r="F5505" t="s">
        <v>26</v>
      </c>
      <c r="G5505" t="s">
        <v>2897</v>
      </c>
      <c r="H5505" s="9">
        <v>44733</v>
      </c>
      <c r="I5505" t="s">
        <v>8634</v>
      </c>
      <c r="J5505" t="s">
        <v>0</v>
      </c>
      <c r="K5505" s="9">
        <v>44882</v>
      </c>
      <c r="L5505" t="s">
        <v>29</v>
      </c>
      <c r="M5505"/>
      <c r="N5505" s="9">
        <v>44778</v>
      </c>
      <c r="O5505"/>
      <c r="P5505"/>
      <c r="Q5505" s="9">
        <v>44882</v>
      </c>
      <c r="R5505"/>
      <c r="S5505"/>
      <c r="T5505"/>
      <c r="U5505"/>
    </row>
    <row r="5506" spans="1:21" hidden="1">
      <c r="A5506" s="7" t="s">
        <v>8758</v>
      </c>
      <c r="B5506" s="7" t="s">
        <v>5405</v>
      </c>
      <c r="C5506" s="8" t="s">
        <v>5319</v>
      </c>
      <c r="D5506" t="s">
        <v>272</v>
      </c>
      <c r="E5506" t="s">
        <v>25</v>
      </c>
      <c r="F5506" t="s">
        <v>493</v>
      </c>
      <c r="G5506" t="s">
        <v>2898</v>
      </c>
      <c r="H5506" s="9">
        <v>44733</v>
      </c>
      <c r="I5506" t="s">
        <v>8634</v>
      </c>
      <c r="J5506" t="s">
        <v>0</v>
      </c>
      <c r="K5506" s="9">
        <v>44862</v>
      </c>
      <c r="L5506" t="s">
        <v>29</v>
      </c>
      <c r="M5506"/>
      <c r="N5506" s="9">
        <v>44778</v>
      </c>
      <c r="O5506"/>
      <c r="P5506"/>
      <c r="Q5506" s="9">
        <v>44862</v>
      </c>
      <c r="R5506"/>
      <c r="S5506"/>
      <c r="T5506"/>
      <c r="U5506"/>
    </row>
    <row r="5507" spans="1:21" hidden="1">
      <c r="A5507" s="7" t="s">
        <v>8758</v>
      </c>
      <c r="B5507" s="7" t="s">
        <v>5405</v>
      </c>
      <c r="C5507" s="8" t="s">
        <v>5319</v>
      </c>
      <c r="D5507" t="s">
        <v>272</v>
      </c>
      <c r="E5507" t="s">
        <v>25</v>
      </c>
      <c r="F5507" t="s">
        <v>493</v>
      </c>
      <c r="G5507" t="s">
        <v>2899</v>
      </c>
      <c r="H5507" s="9">
        <v>44733</v>
      </c>
      <c r="I5507" t="s">
        <v>8634</v>
      </c>
      <c r="J5507" t="s">
        <v>0</v>
      </c>
      <c r="K5507" s="9">
        <v>44862</v>
      </c>
      <c r="L5507" t="s">
        <v>29</v>
      </c>
      <c r="M5507"/>
      <c r="N5507" s="9">
        <v>44778</v>
      </c>
      <c r="O5507"/>
      <c r="P5507"/>
      <c r="Q5507" s="9">
        <v>44862</v>
      </c>
      <c r="R5507"/>
      <c r="S5507"/>
      <c r="T5507"/>
      <c r="U5507"/>
    </row>
    <row r="5508" spans="1:21" hidden="1">
      <c r="A5508" s="7" t="s">
        <v>8758</v>
      </c>
      <c r="B5508" s="7" t="s">
        <v>5405</v>
      </c>
      <c r="C5508" s="8" t="s">
        <v>5319</v>
      </c>
      <c r="D5508" t="s">
        <v>272</v>
      </c>
      <c r="E5508" t="s">
        <v>25</v>
      </c>
      <c r="F5508" t="s">
        <v>493</v>
      </c>
      <c r="G5508" t="s">
        <v>2900</v>
      </c>
      <c r="H5508" s="9">
        <v>44733</v>
      </c>
      <c r="I5508" t="s">
        <v>8634</v>
      </c>
      <c r="J5508" t="s">
        <v>0</v>
      </c>
      <c r="K5508" s="9">
        <v>44862</v>
      </c>
      <c r="L5508" t="s">
        <v>29</v>
      </c>
      <c r="M5508"/>
      <c r="N5508" s="9">
        <v>44778</v>
      </c>
      <c r="O5508"/>
      <c r="P5508"/>
      <c r="Q5508" s="9">
        <v>44862</v>
      </c>
      <c r="R5508"/>
      <c r="S5508"/>
      <c r="T5508"/>
      <c r="U5508"/>
    </row>
    <row r="5509" spans="1:21" hidden="1">
      <c r="A5509" s="7" t="s">
        <v>8758</v>
      </c>
      <c r="B5509" s="7" t="s">
        <v>5405</v>
      </c>
      <c r="C5509" s="8" t="s">
        <v>5319</v>
      </c>
      <c r="D5509" t="s">
        <v>272</v>
      </c>
      <c r="E5509" t="s">
        <v>25</v>
      </c>
      <c r="F5509" t="s">
        <v>493</v>
      </c>
      <c r="G5509" t="s">
        <v>2901</v>
      </c>
      <c r="H5509" s="9">
        <v>44733</v>
      </c>
      <c r="I5509" t="s">
        <v>8634</v>
      </c>
      <c r="J5509" t="s">
        <v>0</v>
      </c>
      <c r="K5509" s="9">
        <v>44862</v>
      </c>
      <c r="L5509" t="s">
        <v>29</v>
      </c>
      <c r="M5509"/>
      <c r="N5509" s="9">
        <v>44778</v>
      </c>
      <c r="O5509"/>
      <c r="P5509"/>
      <c r="Q5509" s="9">
        <v>44862</v>
      </c>
      <c r="R5509"/>
      <c r="S5509"/>
      <c r="T5509"/>
      <c r="U5509"/>
    </row>
    <row r="5510" spans="1:21" hidden="1">
      <c r="A5510" s="7" t="s">
        <v>8758</v>
      </c>
      <c r="B5510" s="7" t="s">
        <v>5405</v>
      </c>
      <c r="C5510" s="8" t="s">
        <v>5319</v>
      </c>
      <c r="D5510" t="s">
        <v>272</v>
      </c>
      <c r="E5510" t="s">
        <v>25</v>
      </c>
      <c r="F5510" t="s">
        <v>493</v>
      </c>
      <c r="G5510" t="s">
        <v>2902</v>
      </c>
      <c r="H5510" s="9">
        <v>44733</v>
      </c>
      <c r="I5510" t="s">
        <v>8634</v>
      </c>
      <c r="J5510" t="s">
        <v>0</v>
      </c>
      <c r="K5510" s="9">
        <v>44862</v>
      </c>
      <c r="L5510" t="s">
        <v>29</v>
      </c>
      <c r="M5510"/>
      <c r="N5510" s="9">
        <v>44778</v>
      </c>
      <c r="O5510"/>
      <c r="P5510"/>
      <c r="Q5510" s="9">
        <v>44862</v>
      </c>
      <c r="R5510"/>
      <c r="S5510"/>
      <c r="T5510"/>
      <c r="U5510"/>
    </row>
    <row r="5511" spans="1:21" hidden="1">
      <c r="A5511" s="7" t="s">
        <v>8758</v>
      </c>
      <c r="B5511" s="7" t="s">
        <v>5405</v>
      </c>
      <c r="C5511" s="8" t="s">
        <v>5319</v>
      </c>
      <c r="D5511" t="s">
        <v>272</v>
      </c>
      <c r="E5511" t="s">
        <v>25</v>
      </c>
      <c r="F5511" t="s">
        <v>493</v>
      </c>
      <c r="G5511" t="s">
        <v>2903</v>
      </c>
      <c r="H5511" s="9">
        <v>44733</v>
      </c>
      <c r="I5511" t="s">
        <v>8634</v>
      </c>
      <c r="J5511" t="s">
        <v>0</v>
      </c>
      <c r="K5511" s="9">
        <v>44862</v>
      </c>
      <c r="L5511" t="s">
        <v>29</v>
      </c>
      <c r="M5511"/>
      <c r="N5511" s="9">
        <v>44778</v>
      </c>
      <c r="O5511"/>
      <c r="P5511"/>
      <c r="Q5511" s="9">
        <v>44862</v>
      </c>
      <c r="R5511"/>
      <c r="S5511"/>
      <c r="T5511"/>
      <c r="U5511"/>
    </row>
    <row r="5512" spans="1:21" hidden="1">
      <c r="A5512" s="7" t="s">
        <v>8758</v>
      </c>
      <c r="B5512" s="7" t="s">
        <v>5405</v>
      </c>
      <c r="C5512" s="8" t="s">
        <v>5319</v>
      </c>
      <c r="D5512" t="s">
        <v>272</v>
      </c>
      <c r="E5512" t="s">
        <v>25</v>
      </c>
      <c r="F5512" t="s">
        <v>493</v>
      </c>
      <c r="G5512" t="s">
        <v>1588</v>
      </c>
      <c r="H5512" s="9">
        <v>44733</v>
      </c>
      <c r="I5512" t="s">
        <v>8634</v>
      </c>
      <c r="J5512" t="s">
        <v>0</v>
      </c>
      <c r="K5512" s="9">
        <v>44862</v>
      </c>
      <c r="L5512" t="s">
        <v>29</v>
      </c>
      <c r="M5512"/>
      <c r="N5512" s="9">
        <v>44778</v>
      </c>
      <c r="O5512"/>
      <c r="P5512"/>
      <c r="Q5512" s="9">
        <v>44862</v>
      </c>
      <c r="R5512"/>
      <c r="S5512"/>
      <c r="T5512"/>
      <c r="U5512"/>
    </row>
    <row r="5513" spans="1:21" hidden="1">
      <c r="A5513" s="7" t="s">
        <v>8758</v>
      </c>
      <c r="B5513" s="7" t="s">
        <v>5405</v>
      </c>
      <c r="C5513" s="8" t="s">
        <v>5319</v>
      </c>
      <c r="D5513" t="s">
        <v>272</v>
      </c>
      <c r="E5513" t="s">
        <v>25</v>
      </c>
      <c r="F5513" t="s">
        <v>493</v>
      </c>
      <c r="G5513" t="s">
        <v>2904</v>
      </c>
      <c r="H5513" s="9">
        <v>44733</v>
      </c>
      <c r="I5513" t="s">
        <v>8634</v>
      </c>
      <c r="J5513" t="s">
        <v>0</v>
      </c>
      <c r="K5513" s="9">
        <v>44862</v>
      </c>
      <c r="L5513" t="s">
        <v>29</v>
      </c>
      <c r="M5513"/>
      <c r="N5513" s="9">
        <v>44778</v>
      </c>
      <c r="O5513"/>
      <c r="P5513"/>
      <c r="Q5513" s="9">
        <v>44862</v>
      </c>
      <c r="R5513"/>
      <c r="S5513"/>
      <c r="T5513"/>
      <c r="U5513"/>
    </row>
    <row r="5514" spans="1:21" hidden="1">
      <c r="A5514" s="7" t="s">
        <v>8758</v>
      </c>
      <c r="B5514" s="7" t="s">
        <v>5405</v>
      </c>
      <c r="C5514" s="8" t="s">
        <v>5319</v>
      </c>
      <c r="D5514" t="s">
        <v>272</v>
      </c>
      <c r="E5514" t="s">
        <v>25</v>
      </c>
      <c r="F5514" t="s">
        <v>493</v>
      </c>
      <c r="G5514" t="s">
        <v>2905</v>
      </c>
      <c r="H5514" s="9">
        <v>44733</v>
      </c>
      <c r="I5514" t="s">
        <v>8634</v>
      </c>
      <c r="J5514" t="s">
        <v>0</v>
      </c>
      <c r="K5514" s="9">
        <v>44862</v>
      </c>
      <c r="L5514" t="s">
        <v>29</v>
      </c>
      <c r="M5514"/>
      <c r="N5514" s="9">
        <v>44778</v>
      </c>
      <c r="O5514"/>
      <c r="P5514"/>
      <c r="Q5514" s="9">
        <v>44862</v>
      </c>
      <c r="R5514"/>
      <c r="S5514"/>
      <c r="T5514"/>
      <c r="U5514"/>
    </row>
    <row r="5515" spans="1:21" hidden="1">
      <c r="A5515" s="7" t="s">
        <v>8758</v>
      </c>
      <c r="B5515" s="7" t="s">
        <v>5405</v>
      </c>
      <c r="C5515" s="8" t="s">
        <v>5319</v>
      </c>
      <c r="D5515" t="s">
        <v>272</v>
      </c>
      <c r="E5515" t="s">
        <v>25</v>
      </c>
      <c r="F5515" t="s">
        <v>493</v>
      </c>
      <c r="G5515" t="s">
        <v>1589</v>
      </c>
      <c r="H5515" s="9">
        <v>44733</v>
      </c>
      <c r="I5515" t="s">
        <v>8634</v>
      </c>
      <c r="J5515" t="s">
        <v>0</v>
      </c>
      <c r="K5515" s="9">
        <v>44862</v>
      </c>
      <c r="L5515" t="s">
        <v>29</v>
      </c>
      <c r="M5515"/>
      <c r="N5515" s="9">
        <v>44778</v>
      </c>
      <c r="O5515"/>
      <c r="P5515"/>
      <c r="Q5515" s="9">
        <v>44862</v>
      </c>
      <c r="R5515"/>
      <c r="S5515"/>
      <c r="T5515"/>
      <c r="U5515"/>
    </row>
    <row r="5516" spans="1:21" hidden="1">
      <c r="A5516" s="7" t="s">
        <v>8758</v>
      </c>
      <c r="B5516" s="7" t="s">
        <v>5405</v>
      </c>
      <c r="C5516" s="8" t="s">
        <v>5319</v>
      </c>
      <c r="D5516" t="s">
        <v>272</v>
      </c>
      <c r="E5516" t="s">
        <v>25</v>
      </c>
      <c r="F5516" t="s">
        <v>493</v>
      </c>
      <c r="G5516" t="s">
        <v>2906</v>
      </c>
      <c r="H5516" s="9">
        <v>44733</v>
      </c>
      <c r="I5516" t="s">
        <v>8634</v>
      </c>
      <c r="J5516" t="s">
        <v>0</v>
      </c>
      <c r="K5516" s="9">
        <v>44862</v>
      </c>
      <c r="L5516" t="s">
        <v>29</v>
      </c>
      <c r="M5516"/>
      <c r="N5516" s="9">
        <v>44778</v>
      </c>
      <c r="O5516"/>
      <c r="P5516"/>
      <c r="Q5516" s="9">
        <v>44862</v>
      </c>
      <c r="R5516"/>
      <c r="S5516"/>
      <c r="T5516"/>
      <c r="U5516"/>
    </row>
    <row r="5517" spans="1:21" hidden="1">
      <c r="A5517" s="7" t="s">
        <v>8758</v>
      </c>
      <c r="B5517" s="7" t="s">
        <v>5405</v>
      </c>
      <c r="C5517" s="8" t="s">
        <v>5319</v>
      </c>
      <c r="D5517" t="s">
        <v>272</v>
      </c>
      <c r="E5517" t="s">
        <v>25</v>
      </c>
      <c r="F5517" t="s">
        <v>493</v>
      </c>
      <c r="G5517" t="s">
        <v>2907</v>
      </c>
      <c r="H5517" s="9">
        <v>44733</v>
      </c>
      <c r="I5517" t="s">
        <v>8634</v>
      </c>
      <c r="J5517" t="s">
        <v>0</v>
      </c>
      <c r="K5517" s="9">
        <v>44862</v>
      </c>
      <c r="L5517" t="s">
        <v>29</v>
      </c>
      <c r="M5517"/>
      <c r="N5517" s="9">
        <v>44778</v>
      </c>
      <c r="O5517"/>
      <c r="P5517"/>
      <c r="Q5517" s="9">
        <v>44862</v>
      </c>
      <c r="R5517"/>
      <c r="S5517"/>
      <c r="T5517"/>
      <c r="U5517"/>
    </row>
    <row r="5518" spans="1:21" hidden="1">
      <c r="A5518" s="7" t="s">
        <v>8758</v>
      </c>
      <c r="B5518" s="7" t="s">
        <v>5405</v>
      </c>
      <c r="C5518" s="8" t="s">
        <v>5319</v>
      </c>
      <c r="D5518" t="s">
        <v>272</v>
      </c>
      <c r="E5518" t="s">
        <v>25</v>
      </c>
      <c r="F5518" t="s">
        <v>493</v>
      </c>
      <c r="G5518" t="s">
        <v>2908</v>
      </c>
      <c r="H5518" s="9">
        <v>44733</v>
      </c>
      <c r="I5518" t="s">
        <v>8634</v>
      </c>
      <c r="J5518" t="s">
        <v>0</v>
      </c>
      <c r="K5518" s="9">
        <v>44862</v>
      </c>
      <c r="L5518" t="s">
        <v>29</v>
      </c>
      <c r="M5518"/>
      <c r="N5518" s="9">
        <v>44778</v>
      </c>
      <c r="O5518"/>
      <c r="P5518"/>
      <c r="Q5518" s="9">
        <v>44862</v>
      </c>
      <c r="R5518"/>
      <c r="S5518"/>
      <c r="T5518"/>
      <c r="U5518"/>
    </row>
    <row r="5519" spans="1:21" hidden="1">
      <c r="A5519" s="7" t="s">
        <v>8758</v>
      </c>
      <c r="B5519" s="7" t="s">
        <v>5405</v>
      </c>
      <c r="C5519" s="8" t="s">
        <v>5319</v>
      </c>
      <c r="D5519" t="s">
        <v>272</v>
      </c>
      <c r="E5519" t="s">
        <v>25</v>
      </c>
      <c r="F5519" t="s">
        <v>493</v>
      </c>
      <c r="G5519" t="s">
        <v>2909</v>
      </c>
      <c r="H5519" s="9">
        <v>44733</v>
      </c>
      <c r="I5519" t="s">
        <v>8634</v>
      </c>
      <c r="J5519" t="s">
        <v>0</v>
      </c>
      <c r="K5519" s="9">
        <v>44862</v>
      </c>
      <c r="L5519" t="s">
        <v>29</v>
      </c>
      <c r="M5519"/>
      <c r="N5519" s="9">
        <v>44778</v>
      </c>
      <c r="O5519"/>
      <c r="P5519"/>
      <c r="Q5519" s="9">
        <v>44862</v>
      </c>
      <c r="R5519"/>
      <c r="S5519"/>
      <c r="T5519"/>
      <c r="U5519"/>
    </row>
    <row r="5520" spans="1:21" hidden="1">
      <c r="A5520" s="7" t="s">
        <v>8758</v>
      </c>
      <c r="B5520" s="7" t="s">
        <v>5405</v>
      </c>
      <c r="C5520" s="8" t="s">
        <v>5319</v>
      </c>
      <c r="D5520" t="s">
        <v>272</v>
      </c>
      <c r="E5520" t="s">
        <v>25</v>
      </c>
      <c r="F5520" t="s">
        <v>493</v>
      </c>
      <c r="G5520" t="s">
        <v>2910</v>
      </c>
      <c r="H5520" s="9">
        <v>44733</v>
      </c>
      <c r="I5520" t="s">
        <v>8634</v>
      </c>
      <c r="J5520" t="s">
        <v>0</v>
      </c>
      <c r="K5520" s="9">
        <v>44862</v>
      </c>
      <c r="L5520" t="s">
        <v>29</v>
      </c>
      <c r="M5520"/>
      <c r="N5520" s="9">
        <v>44778</v>
      </c>
      <c r="O5520"/>
      <c r="P5520"/>
      <c r="Q5520" s="9">
        <v>44862</v>
      </c>
      <c r="R5520"/>
      <c r="S5520"/>
      <c r="T5520"/>
      <c r="U5520"/>
    </row>
    <row r="5521" spans="1:21" hidden="1">
      <c r="A5521" s="7" t="s">
        <v>8712</v>
      </c>
      <c r="B5521" s="7" t="s">
        <v>5405</v>
      </c>
      <c r="C5521" s="8" t="s">
        <v>5319</v>
      </c>
      <c r="D5521" t="s">
        <v>272</v>
      </c>
      <c r="E5521" t="s">
        <v>25</v>
      </c>
      <c r="F5521" t="s">
        <v>26</v>
      </c>
      <c r="G5521" t="s">
        <v>2911</v>
      </c>
      <c r="H5521" s="9">
        <v>44733</v>
      </c>
      <c r="I5521" t="s">
        <v>8634</v>
      </c>
      <c r="J5521" t="s">
        <v>0</v>
      </c>
      <c r="K5521" s="9">
        <v>44882</v>
      </c>
      <c r="L5521" t="s">
        <v>29</v>
      </c>
      <c r="M5521"/>
      <c r="N5521" s="9">
        <v>44778</v>
      </c>
      <c r="O5521"/>
      <c r="P5521"/>
      <c r="Q5521" s="9">
        <v>44882</v>
      </c>
      <c r="R5521"/>
      <c r="S5521"/>
      <c r="T5521"/>
      <c r="U5521"/>
    </row>
    <row r="5522" spans="1:21" hidden="1">
      <c r="A5522" s="7" t="s">
        <v>8712</v>
      </c>
      <c r="B5522" s="7" t="s">
        <v>5405</v>
      </c>
      <c r="C5522" s="8" t="s">
        <v>5319</v>
      </c>
      <c r="D5522" t="s">
        <v>272</v>
      </c>
      <c r="E5522" t="s">
        <v>25</v>
      </c>
      <c r="F5522" t="s">
        <v>26</v>
      </c>
      <c r="G5522" t="s">
        <v>2912</v>
      </c>
      <c r="H5522" s="9">
        <v>44733</v>
      </c>
      <c r="I5522" t="s">
        <v>8634</v>
      </c>
      <c r="J5522" t="s">
        <v>0</v>
      </c>
      <c r="K5522" s="9">
        <v>44882</v>
      </c>
      <c r="L5522" t="s">
        <v>29</v>
      </c>
      <c r="M5522"/>
      <c r="N5522" s="9">
        <v>44778</v>
      </c>
      <c r="O5522"/>
      <c r="P5522"/>
      <c r="Q5522" s="9">
        <v>44882</v>
      </c>
      <c r="R5522"/>
      <c r="S5522"/>
      <c r="T5522"/>
      <c r="U5522"/>
    </row>
    <row r="5523" spans="1:21" hidden="1">
      <c r="A5523" s="7" t="s">
        <v>8758</v>
      </c>
      <c r="B5523" s="7" t="s">
        <v>5405</v>
      </c>
      <c r="C5523" s="8" t="s">
        <v>5319</v>
      </c>
      <c r="D5523" t="s">
        <v>272</v>
      </c>
      <c r="E5523" t="s">
        <v>25</v>
      </c>
      <c r="F5523" t="s">
        <v>493</v>
      </c>
      <c r="G5523" t="s">
        <v>2913</v>
      </c>
      <c r="H5523" s="9">
        <v>44733</v>
      </c>
      <c r="I5523" t="s">
        <v>8634</v>
      </c>
      <c r="J5523" t="s">
        <v>0</v>
      </c>
      <c r="K5523" s="9">
        <v>44862</v>
      </c>
      <c r="L5523" t="s">
        <v>29</v>
      </c>
      <c r="M5523"/>
      <c r="N5523" s="9">
        <v>44778</v>
      </c>
      <c r="O5523"/>
      <c r="P5523"/>
      <c r="Q5523" s="9">
        <v>44862</v>
      </c>
      <c r="R5523"/>
      <c r="S5523"/>
      <c r="T5523"/>
      <c r="U5523"/>
    </row>
    <row r="5524" spans="1:21" hidden="1">
      <c r="A5524" s="7" t="s">
        <v>8825</v>
      </c>
      <c r="B5524" s="7" t="s">
        <v>5405</v>
      </c>
      <c r="C5524" s="8" t="s">
        <v>5319</v>
      </c>
      <c r="D5524" t="s">
        <v>272</v>
      </c>
      <c r="E5524" t="s">
        <v>25</v>
      </c>
      <c r="F5524" t="s">
        <v>111</v>
      </c>
      <c r="G5524" t="s">
        <v>2914</v>
      </c>
      <c r="H5524" s="9">
        <v>44733</v>
      </c>
      <c r="I5524" t="s">
        <v>8634</v>
      </c>
      <c r="J5524" t="s">
        <v>0</v>
      </c>
      <c r="K5524" s="9">
        <v>44881</v>
      </c>
      <c r="L5524" t="s">
        <v>29</v>
      </c>
      <c r="M5524"/>
      <c r="N5524" s="9">
        <v>44778</v>
      </c>
      <c r="O5524"/>
      <c r="P5524"/>
      <c r="Q5524" s="9">
        <v>44881</v>
      </c>
      <c r="R5524"/>
      <c r="S5524"/>
      <c r="T5524"/>
      <c r="U5524"/>
    </row>
    <row r="5525" spans="1:21" hidden="1">
      <c r="A5525" s="7" t="s">
        <v>8712</v>
      </c>
      <c r="B5525" s="7" t="s">
        <v>5405</v>
      </c>
      <c r="C5525" s="8" t="s">
        <v>5319</v>
      </c>
      <c r="D5525" t="s">
        <v>272</v>
      </c>
      <c r="E5525" t="s">
        <v>25</v>
      </c>
      <c r="F5525" t="s">
        <v>26</v>
      </c>
      <c r="G5525" t="s">
        <v>2915</v>
      </c>
      <c r="H5525" s="9">
        <v>44733</v>
      </c>
      <c r="I5525" t="s">
        <v>8634</v>
      </c>
      <c r="J5525" t="s">
        <v>0</v>
      </c>
      <c r="K5525" s="9">
        <v>44882</v>
      </c>
      <c r="L5525" t="s">
        <v>29</v>
      </c>
      <c r="M5525"/>
      <c r="N5525" s="9">
        <v>44778</v>
      </c>
      <c r="O5525"/>
      <c r="P5525"/>
      <c r="Q5525" s="9">
        <v>44882</v>
      </c>
      <c r="R5525"/>
      <c r="S5525"/>
      <c r="T5525"/>
      <c r="U5525"/>
    </row>
    <row r="5526" spans="1:21" hidden="1">
      <c r="A5526" s="7" t="s">
        <v>8825</v>
      </c>
      <c r="B5526" s="7" t="s">
        <v>5405</v>
      </c>
      <c r="C5526" s="8" t="s">
        <v>5319</v>
      </c>
      <c r="D5526" t="s">
        <v>272</v>
      </c>
      <c r="E5526" t="s">
        <v>25</v>
      </c>
      <c r="F5526" t="s">
        <v>111</v>
      </c>
      <c r="G5526" t="s">
        <v>2916</v>
      </c>
      <c r="H5526" s="9">
        <v>44733</v>
      </c>
      <c r="I5526" t="s">
        <v>8634</v>
      </c>
      <c r="J5526" t="s">
        <v>0</v>
      </c>
      <c r="K5526" s="9">
        <v>44881</v>
      </c>
      <c r="L5526" t="s">
        <v>29</v>
      </c>
      <c r="M5526"/>
      <c r="N5526" s="9">
        <v>44778</v>
      </c>
      <c r="O5526"/>
      <c r="P5526"/>
      <c r="Q5526" s="9">
        <v>44881</v>
      </c>
      <c r="R5526"/>
      <c r="S5526"/>
      <c r="T5526"/>
      <c r="U5526"/>
    </row>
    <row r="5527" spans="1:21" hidden="1">
      <c r="A5527" s="7" t="s">
        <v>8758</v>
      </c>
      <c r="B5527" s="7" t="s">
        <v>5405</v>
      </c>
      <c r="C5527" s="8" t="s">
        <v>5319</v>
      </c>
      <c r="D5527" t="s">
        <v>272</v>
      </c>
      <c r="E5527" t="s">
        <v>25</v>
      </c>
      <c r="F5527" t="s">
        <v>493</v>
      </c>
      <c r="G5527" t="s">
        <v>2917</v>
      </c>
      <c r="H5527" s="9">
        <v>44733</v>
      </c>
      <c r="I5527" t="s">
        <v>8634</v>
      </c>
      <c r="J5527" t="s">
        <v>0</v>
      </c>
      <c r="K5527" s="9">
        <v>44862</v>
      </c>
      <c r="L5527" t="s">
        <v>29</v>
      </c>
      <c r="M5527"/>
      <c r="N5527" s="9">
        <v>44778</v>
      </c>
      <c r="O5527"/>
      <c r="P5527"/>
      <c r="Q5527" s="9">
        <v>44862</v>
      </c>
      <c r="R5527"/>
      <c r="S5527"/>
      <c r="T5527"/>
      <c r="U5527"/>
    </row>
    <row r="5528" spans="1:21" hidden="1">
      <c r="A5528" s="7" t="s">
        <v>8758</v>
      </c>
      <c r="B5528" s="7" t="s">
        <v>5405</v>
      </c>
      <c r="C5528" s="8" t="s">
        <v>5319</v>
      </c>
      <c r="D5528" t="s">
        <v>272</v>
      </c>
      <c r="E5528" t="s">
        <v>25</v>
      </c>
      <c r="F5528" t="s">
        <v>493</v>
      </c>
      <c r="G5528" t="s">
        <v>2918</v>
      </c>
      <c r="H5528" s="9">
        <v>44733</v>
      </c>
      <c r="I5528" t="s">
        <v>8634</v>
      </c>
      <c r="J5528" t="s">
        <v>0</v>
      </c>
      <c r="K5528" s="9">
        <v>44862</v>
      </c>
      <c r="L5528" t="s">
        <v>29</v>
      </c>
      <c r="M5528"/>
      <c r="N5528" s="9">
        <v>44778</v>
      </c>
      <c r="O5528"/>
      <c r="P5528"/>
      <c r="Q5528" s="9">
        <v>44862</v>
      </c>
      <c r="R5528"/>
      <c r="S5528"/>
      <c r="T5528"/>
      <c r="U5528"/>
    </row>
    <row r="5529" spans="1:21" hidden="1">
      <c r="A5529" s="7" t="s">
        <v>8712</v>
      </c>
      <c r="B5529" s="7" t="s">
        <v>5405</v>
      </c>
      <c r="C5529" s="8" t="s">
        <v>5319</v>
      </c>
      <c r="D5529" t="s">
        <v>272</v>
      </c>
      <c r="E5529" t="s">
        <v>25</v>
      </c>
      <c r="F5529" t="s">
        <v>26</v>
      </c>
      <c r="G5529" t="s">
        <v>2919</v>
      </c>
      <c r="H5529" s="9">
        <v>44733</v>
      </c>
      <c r="I5529" t="s">
        <v>8634</v>
      </c>
      <c r="J5529" t="s">
        <v>0</v>
      </c>
      <c r="K5529" s="9">
        <v>44882</v>
      </c>
      <c r="L5529" t="s">
        <v>29</v>
      </c>
      <c r="M5529"/>
      <c r="N5529" s="9">
        <v>44778</v>
      </c>
      <c r="O5529"/>
      <c r="P5529"/>
      <c r="Q5529" s="9">
        <v>44882</v>
      </c>
      <c r="R5529"/>
      <c r="S5529"/>
      <c r="T5529"/>
      <c r="U5529"/>
    </row>
    <row r="5530" spans="1:21" hidden="1">
      <c r="A5530" s="7" t="s">
        <v>8728</v>
      </c>
      <c r="B5530" s="7" t="s">
        <v>5405</v>
      </c>
      <c r="C5530" s="8" t="s">
        <v>5319</v>
      </c>
      <c r="D5530" t="s">
        <v>272</v>
      </c>
      <c r="E5530" t="s">
        <v>25</v>
      </c>
      <c r="F5530" t="s">
        <v>200</v>
      </c>
      <c r="G5530" t="s">
        <v>2920</v>
      </c>
      <c r="H5530" s="9">
        <v>44733</v>
      </c>
      <c r="I5530" t="s">
        <v>8634</v>
      </c>
      <c r="J5530" t="s">
        <v>0</v>
      </c>
      <c r="K5530" s="9">
        <v>44862</v>
      </c>
      <c r="L5530" t="s">
        <v>29</v>
      </c>
      <c r="M5530"/>
      <c r="N5530" s="9">
        <v>44778</v>
      </c>
      <c r="O5530"/>
      <c r="P5530"/>
      <c r="Q5530" s="9">
        <v>44862</v>
      </c>
      <c r="R5530"/>
      <c r="S5530"/>
      <c r="T5530"/>
      <c r="U5530"/>
    </row>
    <row r="5531" spans="1:21" hidden="1">
      <c r="A5531" s="7" t="s">
        <v>8758</v>
      </c>
      <c r="B5531" s="7" t="s">
        <v>5405</v>
      </c>
      <c r="C5531" s="8" t="s">
        <v>5319</v>
      </c>
      <c r="D5531" t="s">
        <v>272</v>
      </c>
      <c r="E5531" t="s">
        <v>25</v>
      </c>
      <c r="F5531" t="s">
        <v>493</v>
      </c>
      <c r="G5531" t="s">
        <v>2921</v>
      </c>
      <c r="H5531" s="9">
        <v>44733</v>
      </c>
      <c r="I5531" t="s">
        <v>8634</v>
      </c>
      <c r="J5531" t="s">
        <v>0</v>
      </c>
      <c r="K5531" s="9">
        <v>44862</v>
      </c>
      <c r="L5531" t="s">
        <v>29</v>
      </c>
      <c r="M5531"/>
      <c r="N5531" s="9">
        <v>44778</v>
      </c>
      <c r="O5531"/>
      <c r="P5531"/>
      <c r="Q5531" s="9">
        <v>44862</v>
      </c>
      <c r="R5531"/>
      <c r="S5531"/>
      <c r="T5531"/>
      <c r="U5531"/>
    </row>
    <row r="5532" spans="1:21" hidden="1">
      <c r="A5532" s="7" t="s">
        <v>8758</v>
      </c>
      <c r="B5532" s="7" t="s">
        <v>5405</v>
      </c>
      <c r="C5532" s="8" t="s">
        <v>5319</v>
      </c>
      <c r="D5532" t="s">
        <v>272</v>
      </c>
      <c r="E5532" t="s">
        <v>25</v>
      </c>
      <c r="F5532" t="s">
        <v>493</v>
      </c>
      <c r="G5532" t="s">
        <v>2922</v>
      </c>
      <c r="H5532" s="9">
        <v>44733</v>
      </c>
      <c r="I5532" t="s">
        <v>8634</v>
      </c>
      <c r="J5532" t="s">
        <v>0</v>
      </c>
      <c r="K5532" s="9">
        <v>44862</v>
      </c>
      <c r="L5532" t="s">
        <v>29</v>
      </c>
      <c r="M5532"/>
      <c r="N5532" s="9">
        <v>44778</v>
      </c>
      <c r="O5532"/>
      <c r="P5532"/>
      <c r="Q5532" s="9">
        <v>44862</v>
      </c>
      <c r="R5532"/>
      <c r="S5532"/>
      <c r="T5532"/>
      <c r="U5532"/>
    </row>
    <row r="5533" spans="1:21" hidden="1">
      <c r="A5533" s="7" t="s">
        <v>8758</v>
      </c>
      <c r="B5533" s="7" t="s">
        <v>5405</v>
      </c>
      <c r="C5533" s="8" t="s">
        <v>5319</v>
      </c>
      <c r="D5533" t="s">
        <v>272</v>
      </c>
      <c r="E5533" t="s">
        <v>25</v>
      </c>
      <c r="F5533" t="s">
        <v>493</v>
      </c>
      <c r="G5533" t="s">
        <v>2923</v>
      </c>
      <c r="H5533" s="9">
        <v>44733</v>
      </c>
      <c r="I5533" t="s">
        <v>8634</v>
      </c>
      <c r="J5533" t="s">
        <v>0</v>
      </c>
      <c r="K5533" s="9">
        <v>44862</v>
      </c>
      <c r="L5533" t="s">
        <v>29</v>
      </c>
      <c r="M5533"/>
      <c r="N5533" s="9">
        <v>44778</v>
      </c>
      <c r="O5533"/>
      <c r="P5533"/>
      <c r="Q5533" s="9">
        <v>44862</v>
      </c>
      <c r="R5533"/>
      <c r="S5533"/>
      <c r="T5533"/>
      <c r="U5533"/>
    </row>
    <row r="5534" spans="1:21" hidden="1">
      <c r="A5534" s="7" t="s">
        <v>8758</v>
      </c>
      <c r="B5534" s="7" t="s">
        <v>5405</v>
      </c>
      <c r="C5534" s="8" t="s">
        <v>5319</v>
      </c>
      <c r="D5534" t="s">
        <v>272</v>
      </c>
      <c r="E5534" t="s">
        <v>25</v>
      </c>
      <c r="F5534" t="s">
        <v>493</v>
      </c>
      <c r="G5534" t="s">
        <v>2924</v>
      </c>
      <c r="H5534" s="9">
        <v>44733</v>
      </c>
      <c r="I5534" t="s">
        <v>8634</v>
      </c>
      <c r="J5534" t="s">
        <v>0</v>
      </c>
      <c r="K5534" s="9">
        <v>44862</v>
      </c>
      <c r="L5534" t="s">
        <v>29</v>
      </c>
      <c r="M5534"/>
      <c r="N5534" s="9">
        <v>44778</v>
      </c>
      <c r="O5534"/>
      <c r="P5534"/>
      <c r="Q5534" s="9">
        <v>44862</v>
      </c>
      <c r="R5534"/>
      <c r="S5534"/>
      <c r="T5534"/>
      <c r="U5534"/>
    </row>
    <row r="5535" spans="1:21" hidden="1">
      <c r="A5535" s="7" t="s">
        <v>8712</v>
      </c>
      <c r="B5535" s="7" t="s">
        <v>5405</v>
      </c>
      <c r="C5535" s="8" t="s">
        <v>5319</v>
      </c>
      <c r="D5535" t="s">
        <v>272</v>
      </c>
      <c r="E5535" t="s">
        <v>25</v>
      </c>
      <c r="F5535" t="s">
        <v>26</v>
      </c>
      <c r="G5535" t="s">
        <v>2925</v>
      </c>
      <c r="H5535" s="9">
        <v>44733</v>
      </c>
      <c r="I5535" t="s">
        <v>8634</v>
      </c>
      <c r="J5535" t="s">
        <v>0</v>
      </c>
      <c r="K5535" s="9">
        <v>44882</v>
      </c>
      <c r="L5535" t="s">
        <v>29</v>
      </c>
      <c r="M5535"/>
      <c r="N5535" s="9">
        <v>44778</v>
      </c>
      <c r="O5535"/>
      <c r="P5535"/>
      <c r="Q5535" s="9">
        <v>44882</v>
      </c>
      <c r="R5535"/>
      <c r="S5535"/>
      <c r="T5535"/>
      <c r="U5535"/>
    </row>
    <row r="5536" spans="1:21" hidden="1">
      <c r="A5536" s="7" t="s">
        <v>8758</v>
      </c>
      <c r="B5536" s="7" t="s">
        <v>5405</v>
      </c>
      <c r="C5536" s="8" t="s">
        <v>5319</v>
      </c>
      <c r="D5536" t="s">
        <v>272</v>
      </c>
      <c r="E5536" t="s">
        <v>25</v>
      </c>
      <c r="F5536" t="s">
        <v>493</v>
      </c>
      <c r="G5536" t="s">
        <v>1599</v>
      </c>
      <c r="H5536" s="9">
        <v>44733</v>
      </c>
      <c r="I5536" t="s">
        <v>8634</v>
      </c>
      <c r="J5536" t="s">
        <v>0</v>
      </c>
      <c r="K5536" s="9">
        <v>44862</v>
      </c>
      <c r="L5536" t="s">
        <v>29</v>
      </c>
      <c r="M5536"/>
      <c r="N5536" s="9">
        <v>44778</v>
      </c>
      <c r="O5536"/>
      <c r="P5536"/>
      <c r="Q5536" s="9">
        <v>44862</v>
      </c>
      <c r="R5536"/>
      <c r="S5536"/>
      <c r="T5536"/>
      <c r="U5536"/>
    </row>
    <row r="5537" spans="1:21" hidden="1">
      <c r="A5537" s="7" t="s">
        <v>8712</v>
      </c>
      <c r="B5537" s="7" t="s">
        <v>5405</v>
      </c>
      <c r="C5537" s="8" t="s">
        <v>5319</v>
      </c>
      <c r="D5537" t="s">
        <v>272</v>
      </c>
      <c r="E5537" t="s">
        <v>25</v>
      </c>
      <c r="F5537" t="s">
        <v>26</v>
      </c>
      <c r="G5537" t="s">
        <v>2926</v>
      </c>
      <c r="H5537" s="9">
        <v>44733</v>
      </c>
      <c r="I5537" t="s">
        <v>8634</v>
      </c>
      <c r="J5537" t="s">
        <v>0</v>
      </c>
      <c r="K5537" s="9">
        <v>44882</v>
      </c>
      <c r="L5537" t="s">
        <v>29</v>
      </c>
      <c r="M5537"/>
      <c r="N5537" s="9">
        <v>44778</v>
      </c>
      <c r="O5537"/>
      <c r="P5537"/>
      <c r="Q5537" s="9">
        <v>44882</v>
      </c>
      <c r="R5537"/>
      <c r="S5537"/>
      <c r="T5537"/>
      <c r="U5537"/>
    </row>
    <row r="5538" spans="1:21" hidden="1">
      <c r="A5538" s="7" t="s">
        <v>8758</v>
      </c>
      <c r="B5538" s="7" t="s">
        <v>5405</v>
      </c>
      <c r="C5538" s="8" t="s">
        <v>5319</v>
      </c>
      <c r="D5538" t="s">
        <v>272</v>
      </c>
      <c r="E5538" t="s">
        <v>25</v>
      </c>
      <c r="F5538" t="s">
        <v>493</v>
      </c>
      <c r="G5538" t="s">
        <v>2927</v>
      </c>
      <c r="H5538" s="9">
        <v>44733</v>
      </c>
      <c r="I5538" t="s">
        <v>8634</v>
      </c>
      <c r="J5538" t="s">
        <v>0</v>
      </c>
      <c r="K5538" s="9">
        <v>44862</v>
      </c>
      <c r="L5538" t="s">
        <v>29</v>
      </c>
      <c r="M5538"/>
      <c r="N5538" s="9">
        <v>44778</v>
      </c>
      <c r="O5538"/>
      <c r="P5538"/>
      <c r="Q5538" s="9">
        <v>44862</v>
      </c>
      <c r="R5538"/>
      <c r="S5538"/>
      <c r="T5538"/>
      <c r="U5538"/>
    </row>
    <row r="5539" spans="1:21" hidden="1">
      <c r="A5539" s="7" t="s">
        <v>8758</v>
      </c>
      <c r="B5539" s="7" t="s">
        <v>5405</v>
      </c>
      <c r="C5539" s="8" t="s">
        <v>5319</v>
      </c>
      <c r="D5539" t="s">
        <v>272</v>
      </c>
      <c r="E5539" t="s">
        <v>25</v>
      </c>
      <c r="F5539" t="s">
        <v>493</v>
      </c>
      <c r="G5539" t="s">
        <v>2928</v>
      </c>
      <c r="H5539" s="9">
        <v>44733</v>
      </c>
      <c r="I5539" t="s">
        <v>8634</v>
      </c>
      <c r="J5539" t="s">
        <v>0</v>
      </c>
      <c r="K5539" s="9">
        <v>44862</v>
      </c>
      <c r="L5539" t="s">
        <v>29</v>
      </c>
      <c r="M5539"/>
      <c r="N5539" s="9">
        <v>44778</v>
      </c>
      <c r="O5539"/>
      <c r="P5539"/>
      <c r="Q5539" s="9">
        <v>44862</v>
      </c>
      <c r="R5539"/>
      <c r="S5539"/>
      <c r="T5539"/>
      <c r="U5539"/>
    </row>
    <row r="5540" spans="1:21" hidden="1">
      <c r="A5540" s="7" t="s">
        <v>8758</v>
      </c>
      <c r="B5540" s="7" t="s">
        <v>5405</v>
      </c>
      <c r="C5540" s="8" t="s">
        <v>5319</v>
      </c>
      <c r="D5540" t="s">
        <v>272</v>
      </c>
      <c r="E5540" t="s">
        <v>25</v>
      </c>
      <c r="F5540" t="s">
        <v>493</v>
      </c>
      <c r="G5540" t="s">
        <v>2929</v>
      </c>
      <c r="H5540" s="9">
        <v>44733</v>
      </c>
      <c r="I5540" t="s">
        <v>8634</v>
      </c>
      <c r="J5540" t="s">
        <v>0</v>
      </c>
      <c r="K5540" s="9">
        <v>44862</v>
      </c>
      <c r="L5540" t="s">
        <v>29</v>
      </c>
      <c r="M5540"/>
      <c r="N5540"/>
      <c r="O5540"/>
      <c r="P5540"/>
      <c r="Q5540" s="9">
        <v>44862</v>
      </c>
      <c r="R5540"/>
      <c r="S5540"/>
      <c r="T5540"/>
      <c r="U5540"/>
    </row>
    <row r="5541" spans="1:21" hidden="1">
      <c r="A5541" s="7" t="s">
        <v>8712</v>
      </c>
      <c r="B5541" s="7" t="s">
        <v>5405</v>
      </c>
      <c r="C5541" s="8" t="s">
        <v>5319</v>
      </c>
      <c r="D5541" t="s">
        <v>272</v>
      </c>
      <c r="E5541" t="s">
        <v>25</v>
      </c>
      <c r="F5541" t="s">
        <v>26</v>
      </c>
      <c r="G5541" t="s">
        <v>2930</v>
      </c>
      <c r="H5541" s="9">
        <v>44733</v>
      </c>
      <c r="I5541" t="s">
        <v>8634</v>
      </c>
      <c r="J5541" t="s">
        <v>0</v>
      </c>
      <c r="K5541" s="9">
        <v>44882</v>
      </c>
      <c r="L5541" t="s">
        <v>29</v>
      </c>
      <c r="M5541"/>
      <c r="N5541"/>
      <c r="O5541"/>
      <c r="P5541"/>
      <c r="Q5541" s="9">
        <v>44882</v>
      </c>
      <c r="R5541"/>
      <c r="S5541"/>
      <c r="T5541"/>
      <c r="U5541"/>
    </row>
    <row r="5542" spans="1:21" hidden="1">
      <c r="A5542" s="7" t="s">
        <v>8758</v>
      </c>
      <c r="B5542" s="7" t="s">
        <v>5405</v>
      </c>
      <c r="C5542" s="8" t="s">
        <v>5319</v>
      </c>
      <c r="D5542" t="s">
        <v>272</v>
      </c>
      <c r="E5542" t="s">
        <v>25</v>
      </c>
      <c r="F5542" t="s">
        <v>493</v>
      </c>
      <c r="G5542" t="s">
        <v>2931</v>
      </c>
      <c r="H5542" s="9">
        <v>44733</v>
      </c>
      <c r="I5542" t="s">
        <v>8634</v>
      </c>
      <c r="J5542" t="s">
        <v>0</v>
      </c>
      <c r="K5542" s="9">
        <v>44862</v>
      </c>
      <c r="L5542" t="s">
        <v>29</v>
      </c>
      <c r="M5542"/>
      <c r="N5542"/>
      <c r="O5542"/>
      <c r="P5542"/>
      <c r="Q5542" s="9">
        <v>44862</v>
      </c>
      <c r="R5542"/>
      <c r="S5542"/>
      <c r="T5542"/>
      <c r="U5542"/>
    </row>
    <row r="5543" spans="1:21" hidden="1">
      <c r="A5543" s="7" t="s">
        <v>8712</v>
      </c>
      <c r="B5543" s="7" t="s">
        <v>5405</v>
      </c>
      <c r="C5543" s="8" t="s">
        <v>5319</v>
      </c>
      <c r="D5543" t="s">
        <v>272</v>
      </c>
      <c r="E5543" t="s">
        <v>25</v>
      </c>
      <c r="F5543" t="s">
        <v>26</v>
      </c>
      <c r="G5543" t="s">
        <v>2932</v>
      </c>
      <c r="H5543" s="9">
        <v>44733</v>
      </c>
      <c r="I5543" t="s">
        <v>8634</v>
      </c>
      <c r="J5543" t="s">
        <v>0</v>
      </c>
      <c r="K5543" s="9">
        <v>44882</v>
      </c>
      <c r="L5543" t="s">
        <v>29</v>
      </c>
      <c r="M5543"/>
      <c r="N5543"/>
      <c r="O5543"/>
      <c r="P5543"/>
      <c r="Q5543" s="9">
        <v>44882</v>
      </c>
      <c r="R5543"/>
      <c r="S5543"/>
      <c r="T5543"/>
      <c r="U5543"/>
    </row>
    <row r="5544" spans="1:21" hidden="1">
      <c r="A5544" s="7" t="s">
        <v>8758</v>
      </c>
      <c r="B5544" s="7" t="s">
        <v>5405</v>
      </c>
      <c r="C5544" s="8" t="s">
        <v>5319</v>
      </c>
      <c r="D5544" t="s">
        <v>272</v>
      </c>
      <c r="E5544" t="s">
        <v>25</v>
      </c>
      <c r="F5544" t="s">
        <v>493</v>
      </c>
      <c r="G5544" t="s">
        <v>2933</v>
      </c>
      <c r="H5544" s="9">
        <v>44733</v>
      </c>
      <c r="I5544" t="s">
        <v>8634</v>
      </c>
      <c r="J5544" t="s">
        <v>0</v>
      </c>
      <c r="K5544" s="9">
        <v>44862</v>
      </c>
      <c r="L5544" t="s">
        <v>29</v>
      </c>
      <c r="M5544"/>
      <c r="N5544"/>
      <c r="O5544"/>
      <c r="P5544"/>
      <c r="Q5544" s="9">
        <v>44862</v>
      </c>
      <c r="R5544"/>
      <c r="S5544"/>
      <c r="T5544"/>
      <c r="U5544"/>
    </row>
    <row r="5545" spans="1:21" hidden="1">
      <c r="A5545" s="7" t="s">
        <v>8758</v>
      </c>
      <c r="B5545" s="7" t="s">
        <v>5405</v>
      </c>
      <c r="C5545" s="8" t="s">
        <v>5319</v>
      </c>
      <c r="D5545" t="s">
        <v>272</v>
      </c>
      <c r="E5545" t="s">
        <v>25</v>
      </c>
      <c r="F5545" t="s">
        <v>493</v>
      </c>
      <c r="G5545" t="s">
        <v>2934</v>
      </c>
      <c r="H5545" s="9">
        <v>44733</v>
      </c>
      <c r="I5545" t="s">
        <v>8634</v>
      </c>
      <c r="J5545" t="s">
        <v>0</v>
      </c>
      <c r="K5545" s="9">
        <v>44862</v>
      </c>
      <c r="L5545" t="s">
        <v>29</v>
      </c>
      <c r="M5545"/>
      <c r="N5545"/>
      <c r="O5545"/>
      <c r="P5545"/>
      <c r="Q5545" s="9">
        <v>44862</v>
      </c>
      <c r="R5545"/>
      <c r="S5545"/>
      <c r="T5545"/>
      <c r="U5545"/>
    </row>
    <row r="5546" spans="1:21" hidden="1">
      <c r="A5546" s="7" t="s">
        <v>8758</v>
      </c>
      <c r="B5546" s="7" t="s">
        <v>5405</v>
      </c>
      <c r="C5546" s="8" t="s">
        <v>5319</v>
      </c>
      <c r="D5546" t="s">
        <v>272</v>
      </c>
      <c r="E5546" t="s">
        <v>25</v>
      </c>
      <c r="F5546" t="s">
        <v>493</v>
      </c>
      <c r="G5546" t="s">
        <v>2935</v>
      </c>
      <c r="H5546" s="9">
        <v>44733</v>
      </c>
      <c r="I5546" t="s">
        <v>8634</v>
      </c>
      <c r="J5546" t="s">
        <v>0</v>
      </c>
      <c r="K5546" s="9">
        <v>44862</v>
      </c>
      <c r="L5546" t="s">
        <v>29</v>
      </c>
      <c r="M5546"/>
      <c r="N5546"/>
      <c r="O5546"/>
      <c r="P5546"/>
      <c r="Q5546" s="9">
        <v>44862</v>
      </c>
      <c r="R5546"/>
      <c r="S5546"/>
      <c r="T5546"/>
      <c r="U5546"/>
    </row>
    <row r="5547" spans="1:21" hidden="1">
      <c r="A5547" s="7" t="s">
        <v>8758</v>
      </c>
      <c r="B5547" s="7" t="s">
        <v>5405</v>
      </c>
      <c r="C5547" s="8" t="s">
        <v>5319</v>
      </c>
      <c r="D5547" t="s">
        <v>272</v>
      </c>
      <c r="E5547" t="s">
        <v>25</v>
      </c>
      <c r="F5547" t="s">
        <v>493</v>
      </c>
      <c r="G5547" t="s">
        <v>2936</v>
      </c>
      <c r="H5547" s="9">
        <v>44733</v>
      </c>
      <c r="I5547" t="s">
        <v>8634</v>
      </c>
      <c r="J5547" t="s">
        <v>0</v>
      </c>
      <c r="K5547" s="9">
        <v>44862</v>
      </c>
      <c r="L5547" t="s">
        <v>29</v>
      </c>
      <c r="M5547"/>
      <c r="N5547"/>
      <c r="O5547"/>
      <c r="P5547"/>
      <c r="Q5547" s="9">
        <v>44862</v>
      </c>
      <c r="R5547"/>
      <c r="S5547"/>
      <c r="T5547"/>
      <c r="U5547"/>
    </row>
    <row r="5548" spans="1:21" hidden="1">
      <c r="A5548" s="7" t="s">
        <v>8712</v>
      </c>
      <c r="B5548" s="7" t="s">
        <v>5405</v>
      </c>
      <c r="C5548" s="8" t="s">
        <v>5319</v>
      </c>
      <c r="D5548" t="s">
        <v>272</v>
      </c>
      <c r="E5548" t="s">
        <v>25</v>
      </c>
      <c r="F5548" t="s">
        <v>26</v>
      </c>
      <c r="G5548" t="s">
        <v>2937</v>
      </c>
      <c r="H5548" s="9">
        <v>44733</v>
      </c>
      <c r="I5548" t="s">
        <v>8634</v>
      </c>
      <c r="J5548" t="s">
        <v>0</v>
      </c>
      <c r="K5548" s="9">
        <v>44882</v>
      </c>
      <c r="L5548" t="s">
        <v>29</v>
      </c>
      <c r="M5548"/>
      <c r="N5548"/>
      <c r="O5548"/>
      <c r="P5548"/>
      <c r="Q5548" s="9">
        <v>44882</v>
      </c>
      <c r="R5548"/>
      <c r="S5548"/>
      <c r="T5548"/>
      <c r="U5548"/>
    </row>
    <row r="5549" spans="1:21" hidden="1">
      <c r="A5549" s="7" t="s">
        <v>8758</v>
      </c>
      <c r="B5549" s="7" t="s">
        <v>5405</v>
      </c>
      <c r="C5549" s="8" t="s">
        <v>5319</v>
      </c>
      <c r="D5549" t="s">
        <v>272</v>
      </c>
      <c r="E5549" t="s">
        <v>25</v>
      </c>
      <c r="F5549" t="s">
        <v>493</v>
      </c>
      <c r="G5549" t="s">
        <v>2938</v>
      </c>
      <c r="H5549" s="9">
        <v>44733</v>
      </c>
      <c r="I5549" t="s">
        <v>8634</v>
      </c>
      <c r="J5549" t="s">
        <v>0</v>
      </c>
      <c r="K5549" s="9">
        <v>44862</v>
      </c>
      <c r="L5549" t="s">
        <v>29</v>
      </c>
      <c r="M5549"/>
      <c r="N5549"/>
      <c r="O5549"/>
      <c r="P5549"/>
      <c r="Q5549" s="9">
        <v>44862</v>
      </c>
      <c r="R5549"/>
      <c r="S5549"/>
      <c r="T5549"/>
      <c r="U5549"/>
    </row>
    <row r="5550" spans="1:21" hidden="1">
      <c r="A5550" s="7" t="s">
        <v>8712</v>
      </c>
      <c r="B5550" s="7" t="s">
        <v>5405</v>
      </c>
      <c r="C5550" s="8" t="s">
        <v>5319</v>
      </c>
      <c r="D5550" t="s">
        <v>272</v>
      </c>
      <c r="E5550" t="s">
        <v>25</v>
      </c>
      <c r="F5550" t="s">
        <v>26</v>
      </c>
      <c r="G5550" t="s">
        <v>2939</v>
      </c>
      <c r="H5550" s="9">
        <v>44733</v>
      </c>
      <c r="I5550" t="s">
        <v>8634</v>
      </c>
      <c r="J5550" t="s">
        <v>0</v>
      </c>
      <c r="K5550" s="9">
        <v>44882</v>
      </c>
      <c r="L5550" t="s">
        <v>29</v>
      </c>
      <c r="M5550"/>
      <c r="N5550"/>
      <c r="O5550"/>
      <c r="P5550"/>
      <c r="Q5550" s="9">
        <v>44882</v>
      </c>
      <c r="R5550"/>
      <c r="S5550"/>
      <c r="T5550"/>
      <c r="U5550"/>
    </row>
    <row r="5551" spans="1:21" hidden="1">
      <c r="A5551" s="7" t="s">
        <v>8712</v>
      </c>
      <c r="B5551" s="7" t="s">
        <v>5405</v>
      </c>
      <c r="C5551" s="8" t="s">
        <v>5319</v>
      </c>
      <c r="D5551" t="s">
        <v>272</v>
      </c>
      <c r="E5551" t="s">
        <v>25</v>
      </c>
      <c r="F5551" t="s">
        <v>26</v>
      </c>
      <c r="G5551" t="s">
        <v>2940</v>
      </c>
      <c r="H5551" s="9">
        <v>44733</v>
      </c>
      <c r="I5551" t="s">
        <v>8634</v>
      </c>
      <c r="J5551" t="s">
        <v>0</v>
      </c>
      <c r="K5551" s="9">
        <v>44882</v>
      </c>
      <c r="L5551" t="s">
        <v>29</v>
      </c>
      <c r="M5551"/>
      <c r="N5551"/>
      <c r="O5551"/>
      <c r="P5551"/>
      <c r="Q5551" s="9">
        <v>44882</v>
      </c>
      <c r="R5551"/>
      <c r="S5551"/>
      <c r="T5551"/>
      <c r="U5551"/>
    </row>
    <row r="5552" spans="1:21" hidden="1">
      <c r="A5552" s="7" t="s">
        <v>8712</v>
      </c>
      <c r="B5552" s="7" t="s">
        <v>5405</v>
      </c>
      <c r="C5552" s="8" t="s">
        <v>5319</v>
      </c>
      <c r="D5552" t="s">
        <v>272</v>
      </c>
      <c r="E5552" t="s">
        <v>25</v>
      </c>
      <c r="F5552" t="s">
        <v>26</v>
      </c>
      <c r="G5552" t="s">
        <v>2941</v>
      </c>
      <c r="H5552" s="9">
        <v>44733</v>
      </c>
      <c r="I5552" t="s">
        <v>8634</v>
      </c>
      <c r="J5552" t="s">
        <v>0</v>
      </c>
      <c r="K5552" s="9">
        <v>44882</v>
      </c>
      <c r="L5552" t="s">
        <v>29</v>
      </c>
      <c r="M5552"/>
      <c r="N5552"/>
      <c r="O5552"/>
      <c r="P5552"/>
      <c r="Q5552" s="9">
        <v>44882</v>
      </c>
      <c r="R5552"/>
      <c r="S5552"/>
      <c r="T5552"/>
      <c r="U5552"/>
    </row>
    <row r="5553" spans="1:21" hidden="1">
      <c r="A5553" s="7" t="s">
        <v>8758</v>
      </c>
      <c r="B5553" s="7" t="s">
        <v>5405</v>
      </c>
      <c r="C5553" s="8" t="s">
        <v>5319</v>
      </c>
      <c r="D5553" t="s">
        <v>272</v>
      </c>
      <c r="E5553" t="s">
        <v>25</v>
      </c>
      <c r="F5553" t="s">
        <v>493</v>
      </c>
      <c r="G5553" t="s">
        <v>2942</v>
      </c>
      <c r="H5553" s="9">
        <v>44733</v>
      </c>
      <c r="I5553" t="s">
        <v>8634</v>
      </c>
      <c r="J5553" t="s">
        <v>0</v>
      </c>
      <c r="K5553" s="9">
        <v>44862</v>
      </c>
      <c r="L5553" t="s">
        <v>29</v>
      </c>
      <c r="M5553"/>
      <c r="N5553"/>
      <c r="O5553"/>
      <c r="P5553"/>
      <c r="Q5553" s="9">
        <v>44862</v>
      </c>
      <c r="R5553"/>
      <c r="S5553"/>
      <c r="T5553"/>
      <c r="U5553"/>
    </row>
    <row r="5554" spans="1:21" hidden="1">
      <c r="A5554" s="7" t="s">
        <v>8758</v>
      </c>
      <c r="B5554" s="7" t="s">
        <v>5405</v>
      </c>
      <c r="C5554" s="8" t="s">
        <v>5319</v>
      </c>
      <c r="D5554" t="s">
        <v>272</v>
      </c>
      <c r="E5554" t="s">
        <v>25</v>
      </c>
      <c r="F5554" t="s">
        <v>493</v>
      </c>
      <c r="G5554" t="s">
        <v>2943</v>
      </c>
      <c r="H5554" s="9">
        <v>44733</v>
      </c>
      <c r="I5554" t="s">
        <v>8634</v>
      </c>
      <c r="J5554" t="s">
        <v>0</v>
      </c>
      <c r="K5554" s="9">
        <v>44862</v>
      </c>
      <c r="L5554" t="s">
        <v>29</v>
      </c>
      <c r="M5554"/>
      <c r="N5554"/>
      <c r="O5554"/>
      <c r="P5554"/>
      <c r="Q5554" s="9">
        <v>44862</v>
      </c>
      <c r="R5554"/>
      <c r="S5554"/>
      <c r="T5554"/>
      <c r="U5554"/>
    </row>
    <row r="5555" spans="1:21" hidden="1">
      <c r="A5555" s="7" t="s">
        <v>8893</v>
      </c>
      <c r="B5555" s="7" t="s">
        <v>5405</v>
      </c>
      <c r="C5555" s="8" t="s">
        <v>5319</v>
      </c>
      <c r="D5555" t="s">
        <v>272</v>
      </c>
      <c r="E5555" t="s">
        <v>25</v>
      </c>
      <c r="F5555" t="s">
        <v>209</v>
      </c>
      <c r="G5555" t="s">
        <v>2944</v>
      </c>
      <c r="H5555" s="9">
        <v>44733</v>
      </c>
      <c r="I5555" t="s">
        <v>8634</v>
      </c>
      <c r="J5555" t="s">
        <v>0</v>
      </c>
      <c r="K5555" s="9">
        <v>44858</v>
      </c>
      <c r="L5555" t="s">
        <v>29</v>
      </c>
      <c r="M5555"/>
      <c r="N5555"/>
      <c r="O5555"/>
      <c r="P5555"/>
      <c r="Q5555" s="9">
        <v>44858</v>
      </c>
      <c r="R5555"/>
      <c r="S5555"/>
      <c r="T5555"/>
      <c r="U5555"/>
    </row>
    <row r="5556" spans="1:21" hidden="1">
      <c r="A5556" s="7" t="s">
        <v>8758</v>
      </c>
      <c r="B5556" s="7" t="s">
        <v>5405</v>
      </c>
      <c r="C5556" s="8" t="s">
        <v>5319</v>
      </c>
      <c r="D5556" t="s">
        <v>272</v>
      </c>
      <c r="E5556" t="s">
        <v>25</v>
      </c>
      <c r="F5556" t="s">
        <v>493</v>
      </c>
      <c r="G5556" t="s">
        <v>2945</v>
      </c>
      <c r="H5556" s="9">
        <v>44733</v>
      </c>
      <c r="I5556" t="s">
        <v>8634</v>
      </c>
      <c r="J5556" t="s">
        <v>0</v>
      </c>
      <c r="K5556" s="9">
        <v>44862</v>
      </c>
      <c r="L5556" t="s">
        <v>29</v>
      </c>
      <c r="M5556"/>
      <c r="N5556"/>
      <c r="O5556"/>
      <c r="P5556"/>
      <c r="Q5556" s="9">
        <v>44862</v>
      </c>
      <c r="R5556"/>
      <c r="S5556"/>
      <c r="T5556"/>
      <c r="U5556"/>
    </row>
    <row r="5557" spans="1:21" hidden="1">
      <c r="A5557" s="7" t="s">
        <v>8758</v>
      </c>
      <c r="B5557" s="7" t="s">
        <v>5405</v>
      </c>
      <c r="C5557" s="8" t="s">
        <v>5319</v>
      </c>
      <c r="D5557" t="s">
        <v>272</v>
      </c>
      <c r="E5557" t="s">
        <v>25</v>
      </c>
      <c r="F5557" t="s">
        <v>493</v>
      </c>
      <c r="G5557" t="s">
        <v>1604</v>
      </c>
      <c r="H5557" s="9">
        <v>44733</v>
      </c>
      <c r="I5557" t="s">
        <v>8634</v>
      </c>
      <c r="J5557" t="s">
        <v>0</v>
      </c>
      <c r="K5557" s="9">
        <v>44862</v>
      </c>
      <c r="L5557" t="s">
        <v>29</v>
      </c>
      <c r="M5557"/>
      <c r="N5557"/>
      <c r="O5557"/>
      <c r="P5557"/>
      <c r="Q5557" s="9">
        <v>44862</v>
      </c>
      <c r="R5557"/>
      <c r="S5557"/>
      <c r="T5557"/>
      <c r="U5557"/>
    </row>
    <row r="5558" spans="1:21" hidden="1">
      <c r="A5558" s="7" t="s">
        <v>8758</v>
      </c>
      <c r="B5558" s="7" t="s">
        <v>5405</v>
      </c>
      <c r="C5558" s="8" t="s">
        <v>5319</v>
      </c>
      <c r="D5558" t="s">
        <v>272</v>
      </c>
      <c r="E5558" t="s">
        <v>25</v>
      </c>
      <c r="F5558" t="s">
        <v>493</v>
      </c>
      <c r="G5558" t="s">
        <v>2946</v>
      </c>
      <c r="H5558" s="9">
        <v>44733</v>
      </c>
      <c r="I5558" t="s">
        <v>8634</v>
      </c>
      <c r="J5558" t="s">
        <v>0</v>
      </c>
      <c r="K5558" s="9">
        <v>44862</v>
      </c>
      <c r="L5558" t="s">
        <v>29</v>
      </c>
      <c r="M5558"/>
      <c r="N5558"/>
      <c r="O5558"/>
      <c r="P5558"/>
      <c r="Q5558" s="9">
        <v>44862</v>
      </c>
      <c r="R5558" s="9">
        <v>44776.735254629602</v>
      </c>
      <c r="S5558"/>
      <c r="T5558"/>
      <c r="U5558"/>
    </row>
    <row r="5559" spans="1:21" hidden="1">
      <c r="A5559" s="7" t="s">
        <v>8742</v>
      </c>
      <c r="B5559" s="7" t="s">
        <v>6943</v>
      </c>
      <c r="C5559" s="8" t="s">
        <v>5319</v>
      </c>
      <c r="D5559" t="s">
        <v>272</v>
      </c>
      <c r="E5559" t="s">
        <v>324</v>
      </c>
      <c r="F5559" t="s">
        <v>75</v>
      </c>
      <c r="G5559" t="s">
        <v>2947</v>
      </c>
      <c r="H5559" s="9">
        <v>44733</v>
      </c>
      <c r="I5559" t="s">
        <v>282</v>
      </c>
      <c r="J5559" t="s">
        <v>2</v>
      </c>
      <c r="K5559" s="9">
        <v>44817</v>
      </c>
      <c r="L5559" t="s">
        <v>29</v>
      </c>
      <c r="M5559" t="s">
        <v>5331</v>
      </c>
      <c r="N5559" s="9">
        <v>44778</v>
      </c>
      <c r="O5559"/>
      <c r="P5559"/>
      <c r="Q5559" s="9">
        <v>44817</v>
      </c>
      <c r="R5559" s="9">
        <v>44816.486284722203</v>
      </c>
      <c r="S5559"/>
      <c r="T5559"/>
      <c r="U5559"/>
    </row>
    <row r="5560" spans="1:21" hidden="1">
      <c r="A5560" s="7" t="s">
        <v>8742</v>
      </c>
      <c r="B5560" s="7" t="s">
        <v>6943</v>
      </c>
      <c r="C5560" s="8" t="s">
        <v>5319</v>
      </c>
      <c r="D5560" t="s">
        <v>272</v>
      </c>
      <c r="E5560" t="s">
        <v>324</v>
      </c>
      <c r="F5560" t="s">
        <v>75</v>
      </c>
      <c r="G5560" t="s">
        <v>2948</v>
      </c>
      <c r="H5560" s="9">
        <v>44733</v>
      </c>
      <c r="I5560" t="s">
        <v>282</v>
      </c>
      <c r="J5560" t="s">
        <v>2</v>
      </c>
      <c r="K5560" s="9">
        <v>44817</v>
      </c>
      <c r="L5560" t="s">
        <v>29</v>
      </c>
      <c r="M5560" t="s">
        <v>5331</v>
      </c>
      <c r="N5560" s="9">
        <v>44778</v>
      </c>
      <c r="O5560"/>
      <c r="P5560"/>
      <c r="Q5560" s="9">
        <v>44817</v>
      </c>
      <c r="R5560" s="9">
        <v>44816.486284722203</v>
      </c>
      <c r="S5560"/>
      <c r="T5560"/>
      <c r="U5560"/>
    </row>
    <row r="5561" spans="1:21" hidden="1">
      <c r="A5561" s="7" t="s">
        <v>8742</v>
      </c>
      <c r="B5561" s="7" t="s">
        <v>6943</v>
      </c>
      <c r="C5561" s="8" t="s">
        <v>5319</v>
      </c>
      <c r="D5561" t="s">
        <v>272</v>
      </c>
      <c r="E5561" t="s">
        <v>324</v>
      </c>
      <c r="F5561" t="s">
        <v>75</v>
      </c>
      <c r="G5561" t="s">
        <v>2949</v>
      </c>
      <c r="H5561" s="9">
        <v>44733</v>
      </c>
      <c r="I5561" t="s">
        <v>282</v>
      </c>
      <c r="J5561" t="s">
        <v>2</v>
      </c>
      <c r="K5561" s="9">
        <v>44817</v>
      </c>
      <c r="L5561" t="s">
        <v>29</v>
      </c>
      <c r="M5561" t="s">
        <v>5331</v>
      </c>
      <c r="N5561" s="9">
        <v>44778</v>
      </c>
      <c r="O5561"/>
      <c r="P5561"/>
      <c r="Q5561" s="9">
        <v>44817</v>
      </c>
      <c r="R5561" s="9">
        <v>44816.486284722203</v>
      </c>
      <c r="S5561"/>
      <c r="T5561"/>
      <c r="U5561"/>
    </row>
    <row r="5562" spans="1:21" hidden="1">
      <c r="A5562" s="7" t="s">
        <v>8883</v>
      </c>
      <c r="B5562" s="7" t="s">
        <v>6806</v>
      </c>
      <c r="C5562" s="8" t="s">
        <v>5319</v>
      </c>
      <c r="D5562" t="s">
        <v>272</v>
      </c>
      <c r="E5562" t="s">
        <v>2693</v>
      </c>
      <c r="F5562" t="s">
        <v>117</v>
      </c>
      <c r="G5562" t="s">
        <v>2950</v>
      </c>
      <c r="H5562" s="9">
        <v>44733</v>
      </c>
      <c r="I5562" t="s">
        <v>211</v>
      </c>
      <c r="J5562" t="s">
        <v>2</v>
      </c>
      <c r="K5562" s="9">
        <v>44834</v>
      </c>
      <c r="L5562" t="s">
        <v>29</v>
      </c>
      <c r="M5562" t="s">
        <v>5331</v>
      </c>
      <c r="N5562" s="9">
        <v>44778</v>
      </c>
      <c r="O5562" s="9">
        <v>44834</v>
      </c>
      <c r="P5562"/>
      <c r="Q5562"/>
      <c r="R5562"/>
      <c r="S5562"/>
      <c r="T5562"/>
      <c r="U5562"/>
    </row>
    <row r="5563" spans="1:21" hidden="1">
      <c r="A5563" s="7" t="s">
        <v>8883</v>
      </c>
      <c r="B5563" s="7" t="s">
        <v>6806</v>
      </c>
      <c r="C5563" s="8" t="s">
        <v>5319</v>
      </c>
      <c r="D5563" t="s">
        <v>272</v>
      </c>
      <c r="E5563" t="s">
        <v>2693</v>
      </c>
      <c r="F5563" t="s">
        <v>117</v>
      </c>
      <c r="G5563" t="s">
        <v>2951</v>
      </c>
      <c r="H5563" s="9">
        <v>44733</v>
      </c>
      <c r="I5563" t="s">
        <v>211</v>
      </c>
      <c r="J5563" t="s">
        <v>2</v>
      </c>
      <c r="K5563" s="9">
        <v>44834</v>
      </c>
      <c r="L5563" t="s">
        <v>29</v>
      </c>
      <c r="M5563" t="s">
        <v>5331</v>
      </c>
      <c r="N5563" s="9">
        <v>44778</v>
      </c>
      <c r="O5563" s="9">
        <v>44834</v>
      </c>
      <c r="P5563"/>
      <c r="Q5563"/>
      <c r="R5563"/>
      <c r="S5563"/>
      <c r="T5563"/>
      <c r="U5563"/>
    </row>
    <row r="5564" spans="1:21" hidden="1">
      <c r="A5564" s="7" t="s">
        <v>8894</v>
      </c>
      <c r="B5564" s="7" t="s">
        <v>8361</v>
      </c>
      <c r="C5564" s="8" t="s">
        <v>5319</v>
      </c>
      <c r="D5564" t="s">
        <v>272</v>
      </c>
      <c r="E5564" t="s">
        <v>2952</v>
      </c>
      <c r="F5564" t="s">
        <v>117</v>
      </c>
      <c r="G5564" t="s">
        <v>2953</v>
      </c>
      <c r="H5564" s="9">
        <v>44733</v>
      </c>
      <c r="I5564" t="s">
        <v>2187</v>
      </c>
      <c r="J5564" t="s">
        <v>2</v>
      </c>
      <c r="K5564" s="9">
        <v>44834</v>
      </c>
      <c r="L5564" t="s">
        <v>29</v>
      </c>
      <c r="M5564" t="s">
        <v>5331</v>
      </c>
      <c r="N5564" s="9">
        <v>44778</v>
      </c>
      <c r="O5564" s="9">
        <v>44834</v>
      </c>
      <c r="P5564"/>
      <c r="Q5564"/>
      <c r="R5564"/>
      <c r="S5564"/>
      <c r="T5564"/>
      <c r="U5564"/>
    </row>
    <row r="5565" spans="1:21" hidden="1">
      <c r="A5565" s="7" t="s">
        <v>8895</v>
      </c>
      <c r="B5565" s="7" t="s">
        <v>7970</v>
      </c>
      <c r="C5565" s="8" t="s">
        <v>5319</v>
      </c>
      <c r="D5565" t="s">
        <v>272</v>
      </c>
      <c r="E5565" t="s">
        <v>2954</v>
      </c>
      <c r="F5565" t="s">
        <v>117</v>
      </c>
      <c r="G5565" t="s">
        <v>2955</v>
      </c>
      <c r="H5565" s="9">
        <v>44733</v>
      </c>
      <c r="I5565" t="s">
        <v>509</v>
      </c>
      <c r="J5565" t="s">
        <v>2</v>
      </c>
      <c r="K5565" s="9">
        <v>44834</v>
      </c>
      <c r="L5565" t="s">
        <v>29</v>
      </c>
      <c r="M5565" t="s">
        <v>5331</v>
      </c>
      <c r="N5565" s="9">
        <v>44778</v>
      </c>
      <c r="O5565" s="9">
        <v>44834</v>
      </c>
      <c r="P5565"/>
      <c r="Q5565"/>
      <c r="R5565"/>
      <c r="S5565"/>
      <c r="T5565"/>
      <c r="U5565"/>
    </row>
    <row r="5566" spans="1:21" hidden="1">
      <c r="A5566" s="7" t="s">
        <v>8895</v>
      </c>
      <c r="B5566" s="7" t="s">
        <v>7970</v>
      </c>
      <c r="C5566" s="8" t="s">
        <v>5319</v>
      </c>
      <c r="D5566" t="s">
        <v>272</v>
      </c>
      <c r="E5566" t="s">
        <v>2954</v>
      </c>
      <c r="F5566" t="s">
        <v>117</v>
      </c>
      <c r="G5566" t="s">
        <v>2956</v>
      </c>
      <c r="H5566" s="9">
        <v>44733</v>
      </c>
      <c r="I5566" t="s">
        <v>509</v>
      </c>
      <c r="J5566" t="s">
        <v>2</v>
      </c>
      <c r="K5566" s="9">
        <v>44834</v>
      </c>
      <c r="L5566" t="s">
        <v>29</v>
      </c>
      <c r="M5566" t="s">
        <v>5331</v>
      </c>
      <c r="N5566" s="9">
        <v>44778</v>
      </c>
      <c r="O5566" s="9">
        <v>44834</v>
      </c>
      <c r="P5566"/>
      <c r="Q5566"/>
      <c r="R5566"/>
      <c r="S5566"/>
      <c r="T5566"/>
      <c r="U5566"/>
    </row>
    <row r="5567" spans="1:21" hidden="1">
      <c r="A5567" s="7" t="s">
        <v>8895</v>
      </c>
      <c r="B5567" s="7" t="s">
        <v>7970</v>
      </c>
      <c r="C5567" s="8" t="s">
        <v>5319</v>
      </c>
      <c r="D5567" t="s">
        <v>272</v>
      </c>
      <c r="E5567" t="s">
        <v>2954</v>
      </c>
      <c r="F5567" t="s">
        <v>117</v>
      </c>
      <c r="G5567" t="s">
        <v>2957</v>
      </c>
      <c r="H5567" s="9">
        <v>44733</v>
      </c>
      <c r="I5567" t="s">
        <v>509</v>
      </c>
      <c r="J5567" t="s">
        <v>2</v>
      </c>
      <c r="K5567" s="9">
        <v>44834</v>
      </c>
      <c r="L5567" t="s">
        <v>29</v>
      </c>
      <c r="M5567" t="s">
        <v>5331</v>
      </c>
      <c r="N5567" s="9">
        <v>44778</v>
      </c>
      <c r="O5567" s="9">
        <v>44834</v>
      </c>
      <c r="P5567"/>
      <c r="Q5567"/>
      <c r="R5567"/>
      <c r="S5567"/>
      <c r="T5567"/>
      <c r="U5567"/>
    </row>
    <row r="5568" spans="1:21" hidden="1">
      <c r="A5568" s="7" t="s">
        <v>8895</v>
      </c>
      <c r="B5568" s="7" t="s">
        <v>7970</v>
      </c>
      <c r="C5568" s="8" t="s">
        <v>5319</v>
      </c>
      <c r="D5568" t="s">
        <v>272</v>
      </c>
      <c r="E5568" t="s">
        <v>2954</v>
      </c>
      <c r="F5568" t="s">
        <v>117</v>
      </c>
      <c r="G5568" t="s">
        <v>2958</v>
      </c>
      <c r="H5568" s="9">
        <v>44733</v>
      </c>
      <c r="I5568" t="s">
        <v>509</v>
      </c>
      <c r="J5568" t="s">
        <v>2</v>
      </c>
      <c r="K5568" s="9">
        <v>44834</v>
      </c>
      <c r="L5568" t="s">
        <v>29</v>
      </c>
      <c r="M5568" t="s">
        <v>5331</v>
      </c>
      <c r="N5568" s="9">
        <v>44778</v>
      </c>
      <c r="O5568" s="9">
        <v>44834</v>
      </c>
      <c r="P5568"/>
      <c r="Q5568"/>
      <c r="R5568"/>
      <c r="S5568"/>
      <c r="T5568"/>
      <c r="U5568"/>
    </row>
    <row r="5569" spans="1:21" hidden="1">
      <c r="A5569" s="7" t="s">
        <v>8895</v>
      </c>
      <c r="B5569" s="7" t="s">
        <v>7970</v>
      </c>
      <c r="C5569" s="8" t="s">
        <v>5319</v>
      </c>
      <c r="D5569" t="s">
        <v>272</v>
      </c>
      <c r="E5569" t="s">
        <v>2954</v>
      </c>
      <c r="F5569" t="s">
        <v>117</v>
      </c>
      <c r="G5569" t="s">
        <v>2959</v>
      </c>
      <c r="H5569" s="9">
        <v>44733</v>
      </c>
      <c r="I5569" t="s">
        <v>509</v>
      </c>
      <c r="J5569" t="s">
        <v>2</v>
      </c>
      <c r="K5569" s="9">
        <v>44834</v>
      </c>
      <c r="L5569" t="s">
        <v>29</v>
      </c>
      <c r="M5569" t="s">
        <v>5331</v>
      </c>
      <c r="N5569" s="9">
        <v>44778</v>
      </c>
      <c r="O5569" s="9">
        <v>44834</v>
      </c>
      <c r="P5569"/>
      <c r="Q5569"/>
      <c r="R5569"/>
      <c r="S5569"/>
      <c r="T5569"/>
      <c r="U5569"/>
    </row>
    <row r="5570" spans="1:21" hidden="1">
      <c r="A5570" s="7" t="s">
        <v>8895</v>
      </c>
      <c r="B5570" s="7" t="s">
        <v>7970</v>
      </c>
      <c r="C5570" s="8" t="s">
        <v>5319</v>
      </c>
      <c r="D5570" t="s">
        <v>272</v>
      </c>
      <c r="E5570" t="s">
        <v>2954</v>
      </c>
      <c r="F5570" t="s">
        <v>117</v>
      </c>
      <c r="G5570" t="s">
        <v>2960</v>
      </c>
      <c r="H5570" s="9">
        <v>44733</v>
      </c>
      <c r="I5570" t="s">
        <v>509</v>
      </c>
      <c r="J5570" t="s">
        <v>2</v>
      </c>
      <c r="K5570" s="9">
        <v>44834</v>
      </c>
      <c r="L5570" t="s">
        <v>29</v>
      </c>
      <c r="M5570" t="s">
        <v>5331</v>
      </c>
      <c r="N5570" s="9">
        <v>44778</v>
      </c>
      <c r="O5570" s="9">
        <v>44834</v>
      </c>
      <c r="P5570"/>
      <c r="Q5570"/>
      <c r="R5570"/>
      <c r="S5570"/>
      <c r="T5570"/>
      <c r="U5570"/>
    </row>
    <row r="5571" spans="1:21" hidden="1">
      <c r="A5571" s="7" t="s">
        <v>8895</v>
      </c>
      <c r="B5571" s="7" t="s">
        <v>7970</v>
      </c>
      <c r="C5571" s="8" t="s">
        <v>5319</v>
      </c>
      <c r="D5571" t="s">
        <v>272</v>
      </c>
      <c r="E5571" t="s">
        <v>2954</v>
      </c>
      <c r="F5571" t="s">
        <v>117</v>
      </c>
      <c r="G5571" t="s">
        <v>2961</v>
      </c>
      <c r="H5571" s="9">
        <v>44733</v>
      </c>
      <c r="I5571" t="s">
        <v>509</v>
      </c>
      <c r="J5571" t="s">
        <v>2</v>
      </c>
      <c r="K5571" s="9">
        <v>44834</v>
      </c>
      <c r="L5571" t="s">
        <v>29</v>
      </c>
      <c r="M5571" t="s">
        <v>5331</v>
      </c>
      <c r="N5571" s="9">
        <v>44778</v>
      </c>
      <c r="O5571" s="9">
        <v>44834</v>
      </c>
      <c r="P5571"/>
      <c r="Q5571"/>
      <c r="R5571"/>
      <c r="S5571"/>
      <c r="T5571"/>
      <c r="U5571"/>
    </row>
    <row r="5572" spans="1:21" hidden="1">
      <c r="A5572" s="7" t="s">
        <v>8895</v>
      </c>
      <c r="B5572" s="7" t="s">
        <v>7970</v>
      </c>
      <c r="C5572" s="8" t="s">
        <v>5319</v>
      </c>
      <c r="D5572" t="s">
        <v>272</v>
      </c>
      <c r="E5572" t="s">
        <v>2954</v>
      </c>
      <c r="F5572" t="s">
        <v>117</v>
      </c>
      <c r="G5572" t="s">
        <v>2962</v>
      </c>
      <c r="H5572" s="9">
        <v>44733</v>
      </c>
      <c r="I5572" t="s">
        <v>509</v>
      </c>
      <c r="J5572" t="s">
        <v>2</v>
      </c>
      <c r="K5572" s="9">
        <v>44834</v>
      </c>
      <c r="L5572" t="s">
        <v>29</v>
      </c>
      <c r="M5572" t="s">
        <v>5331</v>
      </c>
      <c r="N5572" s="9">
        <v>44778</v>
      </c>
      <c r="O5572" s="9">
        <v>44834</v>
      </c>
      <c r="P5572"/>
      <c r="Q5572"/>
      <c r="R5572"/>
      <c r="S5572"/>
      <c r="T5572"/>
      <c r="U5572"/>
    </row>
    <row r="5573" spans="1:21" hidden="1">
      <c r="A5573" s="7" t="s">
        <v>8729</v>
      </c>
      <c r="B5573" s="7" t="s">
        <v>7796</v>
      </c>
      <c r="C5573" s="8" t="s">
        <v>5319</v>
      </c>
      <c r="D5573" t="s">
        <v>272</v>
      </c>
      <c r="E5573" t="s">
        <v>206</v>
      </c>
      <c r="F5573" t="s">
        <v>117</v>
      </c>
      <c r="G5573" t="s">
        <v>2963</v>
      </c>
      <c r="H5573" s="9">
        <v>44733</v>
      </c>
      <c r="I5573" t="s">
        <v>171</v>
      </c>
      <c r="J5573" t="s">
        <v>0</v>
      </c>
      <c r="K5573" s="9">
        <v>44746</v>
      </c>
      <c r="L5573" t="s">
        <v>29</v>
      </c>
      <c r="M5573"/>
      <c r="N5573"/>
      <c r="O5573"/>
      <c r="P5573"/>
      <c r="Q5573" s="9">
        <v>44746</v>
      </c>
      <c r="R5573"/>
      <c r="S5573"/>
      <c r="T5573"/>
      <c r="U5573"/>
    </row>
    <row r="5574" spans="1:21" hidden="1">
      <c r="A5574" s="7" t="s">
        <v>8729</v>
      </c>
      <c r="B5574" s="7" t="s">
        <v>7796</v>
      </c>
      <c r="C5574" s="8" t="s">
        <v>5319</v>
      </c>
      <c r="D5574" t="s">
        <v>272</v>
      </c>
      <c r="E5574" t="s">
        <v>206</v>
      </c>
      <c r="F5574" t="s">
        <v>117</v>
      </c>
      <c r="G5574" t="s">
        <v>2964</v>
      </c>
      <c r="H5574" s="9">
        <v>44733</v>
      </c>
      <c r="I5574" t="s">
        <v>171</v>
      </c>
      <c r="J5574" t="s">
        <v>0</v>
      </c>
      <c r="K5574" s="9">
        <v>44746</v>
      </c>
      <c r="L5574" t="s">
        <v>29</v>
      </c>
      <c r="M5574"/>
      <c r="N5574"/>
      <c r="O5574"/>
      <c r="P5574"/>
      <c r="Q5574" s="9">
        <v>44746</v>
      </c>
      <c r="R5574"/>
      <c r="S5574"/>
      <c r="T5574"/>
      <c r="U5574"/>
    </row>
    <row r="5575" spans="1:21" hidden="1">
      <c r="A5575" s="7" t="s">
        <v>8729</v>
      </c>
      <c r="B5575" s="7" t="s">
        <v>7796</v>
      </c>
      <c r="C5575" s="8" t="s">
        <v>5319</v>
      </c>
      <c r="D5575" t="s">
        <v>272</v>
      </c>
      <c r="E5575" t="s">
        <v>206</v>
      </c>
      <c r="F5575" t="s">
        <v>117</v>
      </c>
      <c r="G5575" t="s">
        <v>2965</v>
      </c>
      <c r="H5575" s="9">
        <v>44733</v>
      </c>
      <c r="I5575" t="s">
        <v>171</v>
      </c>
      <c r="J5575" t="s">
        <v>0</v>
      </c>
      <c r="K5575" s="9">
        <v>44746</v>
      </c>
      <c r="L5575" t="s">
        <v>29</v>
      </c>
      <c r="M5575"/>
      <c r="N5575"/>
      <c r="O5575"/>
      <c r="P5575"/>
      <c r="Q5575" s="9">
        <v>44746</v>
      </c>
      <c r="R5575"/>
      <c r="S5575"/>
      <c r="T5575"/>
      <c r="U5575"/>
    </row>
    <row r="5576" spans="1:21" hidden="1">
      <c r="A5576" s="7" t="s">
        <v>8729</v>
      </c>
      <c r="B5576" s="7" t="s">
        <v>7796</v>
      </c>
      <c r="C5576" s="8" t="s">
        <v>5319</v>
      </c>
      <c r="D5576" t="s">
        <v>272</v>
      </c>
      <c r="E5576" t="s">
        <v>206</v>
      </c>
      <c r="F5576" t="s">
        <v>117</v>
      </c>
      <c r="G5576" t="s">
        <v>2966</v>
      </c>
      <c r="H5576" s="9">
        <v>44733</v>
      </c>
      <c r="I5576" t="s">
        <v>171</v>
      </c>
      <c r="J5576" t="s">
        <v>0</v>
      </c>
      <c r="K5576" s="9">
        <v>44746</v>
      </c>
      <c r="L5576" t="s">
        <v>29</v>
      </c>
      <c r="M5576"/>
      <c r="N5576"/>
      <c r="O5576"/>
      <c r="P5576"/>
      <c r="Q5576" s="9">
        <v>44746</v>
      </c>
      <c r="R5576"/>
      <c r="S5576"/>
      <c r="T5576"/>
      <c r="U5576"/>
    </row>
    <row r="5577" spans="1:21" hidden="1">
      <c r="A5577" s="7" t="s">
        <v>8729</v>
      </c>
      <c r="B5577" s="7" t="s">
        <v>7796</v>
      </c>
      <c r="C5577" s="8" t="s">
        <v>5319</v>
      </c>
      <c r="D5577" t="s">
        <v>272</v>
      </c>
      <c r="E5577" t="s">
        <v>206</v>
      </c>
      <c r="F5577" t="s">
        <v>117</v>
      </c>
      <c r="G5577" t="s">
        <v>2967</v>
      </c>
      <c r="H5577" s="9">
        <v>44733</v>
      </c>
      <c r="I5577" t="s">
        <v>171</v>
      </c>
      <c r="J5577" t="s">
        <v>0</v>
      </c>
      <c r="K5577" s="9">
        <v>44746</v>
      </c>
      <c r="L5577" t="s">
        <v>29</v>
      </c>
      <c r="M5577"/>
      <c r="N5577"/>
      <c r="O5577"/>
      <c r="P5577"/>
      <c r="Q5577" s="9">
        <v>44746</v>
      </c>
      <c r="R5577"/>
      <c r="S5577"/>
      <c r="T5577"/>
      <c r="U5577"/>
    </row>
    <row r="5578" spans="1:21" hidden="1">
      <c r="A5578" s="7" t="s">
        <v>8729</v>
      </c>
      <c r="B5578" s="7" t="s">
        <v>7796</v>
      </c>
      <c r="C5578" s="8" t="s">
        <v>5319</v>
      </c>
      <c r="D5578" t="s">
        <v>272</v>
      </c>
      <c r="E5578" t="s">
        <v>206</v>
      </c>
      <c r="F5578" t="s">
        <v>117</v>
      </c>
      <c r="G5578" t="s">
        <v>2968</v>
      </c>
      <c r="H5578" s="9">
        <v>44733</v>
      </c>
      <c r="I5578" t="s">
        <v>171</v>
      </c>
      <c r="J5578" t="s">
        <v>0</v>
      </c>
      <c r="K5578" s="9">
        <v>44746</v>
      </c>
      <c r="L5578" t="s">
        <v>29</v>
      </c>
      <c r="M5578"/>
      <c r="N5578"/>
      <c r="O5578"/>
      <c r="P5578"/>
      <c r="Q5578" s="9">
        <v>44746</v>
      </c>
      <c r="R5578"/>
      <c r="S5578"/>
      <c r="T5578"/>
      <c r="U5578"/>
    </row>
    <row r="5579" spans="1:21" hidden="1">
      <c r="A5579" s="7" t="s">
        <v>8729</v>
      </c>
      <c r="B5579" s="7" t="s">
        <v>7796</v>
      </c>
      <c r="C5579" s="8" t="s">
        <v>5319</v>
      </c>
      <c r="D5579" t="s">
        <v>272</v>
      </c>
      <c r="E5579" t="s">
        <v>206</v>
      </c>
      <c r="F5579" t="s">
        <v>117</v>
      </c>
      <c r="G5579" t="s">
        <v>2969</v>
      </c>
      <c r="H5579" s="9">
        <v>44733</v>
      </c>
      <c r="I5579" t="s">
        <v>171</v>
      </c>
      <c r="J5579" t="s">
        <v>0</v>
      </c>
      <c r="K5579" s="9">
        <v>44746</v>
      </c>
      <c r="L5579" t="s">
        <v>29</v>
      </c>
      <c r="M5579"/>
      <c r="N5579"/>
      <c r="O5579"/>
      <c r="P5579"/>
      <c r="Q5579" s="9">
        <v>44746</v>
      </c>
      <c r="R5579"/>
      <c r="S5579"/>
      <c r="T5579"/>
      <c r="U5579"/>
    </row>
    <row r="5580" spans="1:21" hidden="1">
      <c r="A5580" s="7" t="s">
        <v>8729</v>
      </c>
      <c r="B5580" s="7" t="s">
        <v>7796</v>
      </c>
      <c r="C5580" s="8" t="s">
        <v>5319</v>
      </c>
      <c r="D5580" t="s">
        <v>272</v>
      </c>
      <c r="E5580" t="s">
        <v>206</v>
      </c>
      <c r="F5580" t="s">
        <v>117</v>
      </c>
      <c r="G5580" t="s">
        <v>2970</v>
      </c>
      <c r="H5580" s="9">
        <v>44733</v>
      </c>
      <c r="I5580" t="s">
        <v>171</v>
      </c>
      <c r="J5580" t="s">
        <v>0</v>
      </c>
      <c r="K5580" s="9">
        <v>44746</v>
      </c>
      <c r="L5580" t="s">
        <v>29</v>
      </c>
      <c r="M5580"/>
      <c r="N5580"/>
      <c r="O5580"/>
      <c r="P5580"/>
      <c r="Q5580" s="9">
        <v>44746</v>
      </c>
      <c r="R5580"/>
      <c r="S5580"/>
      <c r="T5580"/>
      <c r="U5580"/>
    </row>
    <row r="5581" spans="1:21" hidden="1">
      <c r="A5581" s="7" t="s">
        <v>8729</v>
      </c>
      <c r="B5581" s="7" t="s">
        <v>7796</v>
      </c>
      <c r="C5581" s="8" t="s">
        <v>5319</v>
      </c>
      <c r="D5581" t="s">
        <v>272</v>
      </c>
      <c r="E5581" t="s">
        <v>206</v>
      </c>
      <c r="F5581" t="s">
        <v>117</v>
      </c>
      <c r="G5581" t="s">
        <v>2971</v>
      </c>
      <c r="H5581" s="9">
        <v>44733</v>
      </c>
      <c r="I5581" t="s">
        <v>171</v>
      </c>
      <c r="J5581" t="s">
        <v>0</v>
      </c>
      <c r="K5581" s="9">
        <v>44746</v>
      </c>
      <c r="L5581" t="s">
        <v>29</v>
      </c>
      <c r="M5581"/>
      <c r="N5581"/>
      <c r="O5581"/>
      <c r="P5581"/>
      <c r="Q5581" s="9">
        <v>44746</v>
      </c>
      <c r="R5581"/>
      <c r="S5581"/>
      <c r="T5581"/>
      <c r="U5581"/>
    </row>
    <row r="5582" spans="1:21" hidden="1">
      <c r="A5582" s="7" t="s">
        <v>8893</v>
      </c>
      <c r="B5582" s="7" t="s">
        <v>5405</v>
      </c>
      <c r="C5582" s="8" t="s">
        <v>5319</v>
      </c>
      <c r="D5582" t="s">
        <v>272</v>
      </c>
      <c r="E5582" t="s">
        <v>25</v>
      </c>
      <c r="F5582" t="s">
        <v>209</v>
      </c>
      <c r="G5582" t="s">
        <v>2972</v>
      </c>
      <c r="H5582" s="9">
        <v>44733</v>
      </c>
      <c r="I5582" t="s">
        <v>8634</v>
      </c>
      <c r="J5582" t="s">
        <v>2</v>
      </c>
      <c r="K5582" s="9">
        <v>44834</v>
      </c>
      <c r="L5582" t="s">
        <v>29</v>
      </c>
      <c r="M5582" t="s">
        <v>5331</v>
      </c>
      <c r="N5582" s="9">
        <v>44778</v>
      </c>
      <c r="O5582" s="9">
        <v>44834</v>
      </c>
      <c r="P5582"/>
      <c r="Q5582"/>
      <c r="R5582"/>
      <c r="S5582"/>
      <c r="T5582"/>
      <c r="U5582"/>
    </row>
    <row r="5583" spans="1:21" hidden="1">
      <c r="A5583" s="7" t="s">
        <v>8764</v>
      </c>
      <c r="B5583" s="7" t="s">
        <v>5405</v>
      </c>
      <c r="C5583" s="8" t="s">
        <v>5319</v>
      </c>
      <c r="D5583" t="s">
        <v>272</v>
      </c>
      <c r="E5583" t="s">
        <v>25</v>
      </c>
      <c r="F5583" t="s">
        <v>75</v>
      </c>
      <c r="G5583" t="s">
        <v>2973</v>
      </c>
      <c r="H5583" s="9">
        <v>44733</v>
      </c>
      <c r="I5583" t="s">
        <v>8634</v>
      </c>
      <c r="J5583" t="s">
        <v>2</v>
      </c>
      <c r="K5583" s="9">
        <v>44834</v>
      </c>
      <c r="L5583" t="s">
        <v>29</v>
      </c>
      <c r="M5583" t="s">
        <v>5331</v>
      </c>
      <c r="N5583" s="9">
        <v>44778</v>
      </c>
      <c r="O5583" s="9">
        <v>44834</v>
      </c>
      <c r="P5583"/>
      <c r="Q5583"/>
      <c r="R5583"/>
      <c r="S5583"/>
      <c r="T5583"/>
      <c r="U5583"/>
    </row>
    <row r="5584" spans="1:21" hidden="1">
      <c r="A5584" s="7" t="s">
        <v>8883</v>
      </c>
      <c r="B5584" s="7" t="s">
        <v>6806</v>
      </c>
      <c r="C5584" s="8" t="s">
        <v>5319</v>
      </c>
      <c r="D5584" t="s">
        <v>272</v>
      </c>
      <c r="E5584" t="s">
        <v>2693</v>
      </c>
      <c r="F5584" t="s">
        <v>117</v>
      </c>
      <c r="G5584" t="s">
        <v>2974</v>
      </c>
      <c r="H5584" s="9">
        <v>44733</v>
      </c>
      <c r="I5584" t="s">
        <v>211</v>
      </c>
      <c r="J5584" t="s">
        <v>2</v>
      </c>
      <c r="K5584" s="9">
        <v>44834</v>
      </c>
      <c r="L5584" t="s">
        <v>29</v>
      </c>
      <c r="M5584" t="s">
        <v>5331</v>
      </c>
      <c r="N5584" s="9">
        <v>44778</v>
      </c>
      <c r="O5584" s="9">
        <v>44834</v>
      </c>
      <c r="P5584"/>
      <c r="Q5584"/>
      <c r="R5584"/>
      <c r="S5584"/>
      <c r="T5584"/>
      <c r="U5584"/>
    </row>
    <row r="5585" spans="1:21" hidden="1">
      <c r="A5585" s="7" t="s">
        <v>8896</v>
      </c>
      <c r="B5585" s="7" t="s">
        <v>6934</v>
      </c>
      <c r="C5585" s="8" t="s">
        <v>5319</v>
      </c>
      <c r="D5585" t="s">
        <v>272</v>
      </c>
      <c r="E5585" t="s">
        <v>2975</v>
      </c>
      <c r="F5585" t="s">
        <v>83</v>
      </c>
      <c r="G5585" t="s">
        <v>2976</v>
      </c>
      <c r="H5585" s="9">
        <v>44735</v>
      </c>
      <c r="I5585" t="s">
        <v>2977</v>
      </c>
      <c r="J5585" t="s">
        <v>0</v>
      </c>
      <c r="K5585" s="9">
        <v>44755</v>
      </c>
      <c r="L5585" t="s">
        <v>29</v>
      </c>
      <c r="M5585"/>
      <c r="N5585"/>
      <c r="O5585"/>
      <c r="P5585"/>
      <c r="Q5585" s="9">
        <v>44755</v>
      </c>
      <c r="R5585"/>
      <c r="S5585"/>
      <c r="T5585"/>
      <c r="U5585"/>
    </row>
    <row r="5586" spans="1:21" hidden="1">
      <c r="A5586" s="7" t="s">
        <v>8896</v>
      </c>
      <c r="B5586" s="7" t="s">
        <v>6934</v>
      </c>
      <c r="C5586" s="8" t="s">
        <v>5319</v>
      </c>
      <c r="D5586" t="s">
        <v>272</v>
      </c>
      <c r="E5586" t="s">
        <v>2975</v>
      </c>
      <c r="F5586" t="s">
        <v>83</v>
      </c>
      <c r="G5586" t="s">
        <v>2978</v>
      </c>
      <c r="H5586" s="9">
        <v>44735</v>
      </c>
      <c r="I5586" t="s">
        <v>2977</v>
      </c>
      <c r="J5586" t="s">
        <v>0</v>
      </c>
      <c r="K5586" s="9">
        <v>44755</v>
      </c>
      <c r="L5586" t="s">
        <v>29</v>
      </c>
      <c r="M5586"/>
      <c r="N5586"/>
      <c r="O5586"/>
      <c r="P5586"/>
      <c r="Q5586" s="9">
        <v>44755</v>
      </c>
      <c r="R5586"/>
      <c r="S5586"/>
      <c r="T5586"/>
      <c r="U5586"/>
    </row>
    <row r="5587" spans="1:21" hidden="1">
      <c r="A5587" s="7" t="s">
        <v>8896</v>
      </c>
      <c r="B5587" s="7" t="s">
        <v>6934</v>
      </c>
      <c r="C5587" s="8" t="s">
        <v>5319</v>
      </c>
      <c r="D5587" t="s">
        <v>272</v>
      </c>
      <c r="E5587" t="s">
        <v>2975</v>
      </c>
      <c r="F5587" t="s">
        <v>83</v>
      </c>
      <c r="G5587" t="s">
        <v>2979</v>
      </c>
      <c r="H5587" s="9">
        <v>44735</v>
      </c>
      <c r="I5587" t="s">
        <v>2977</v>
      </c>
      <c r="J5587" t="s">
        <v>0</v>
      </c>
      <c r="K5587" s="9">
        <v>44755</v>
      </c>
      <c r="L5587" t="s">
        <v>29</v>
      </c>
      <c r="M5587"/>
      <c r="N5587"/>
      <c r="O5587"/>
      <c r="P5587"/>
      <c r="Q5587" s="9">
        <v>44755</v>
      </c>
      <c r="R5587"/>
      <c r="S5587"/>
      <c r="T5587"/>
      <c r="U5587"/>
    </row>
    <row r="5588" spans="1:21" hidden="1">
      <c r="A5588" s="7" t="s">
        <v>8896</v>
      </c>
      <c r="B5588" s="7" t="s">
        <v>6934</v>
      </c>
      <c r="C5588" s="8" t="s">
        <v>5319</v>
      </c>
      <c r="D5588" t="s">
        <v>272</v>
      </c>
      <c r="E5588" t="s">
        <v>2975</v>
      </c>
      <c r="F5588" t="s">
        <v>83</v>
      </c>
      <c r="G5588" t="s">
        <v>2980</v>
      </c>
      <c r="H5588" s="9">
        <v>44735</v>
      </c>
      <c r="I5588" t="s">
        <v>2977</v>
      </c>
      <c r="J5588" t="s">
        <v>2</v>
      </c>
      <c r="K5588" s="9">
        <v>44755.4377662037</v>
      </c>
      <c r="L5588" t="s">
        <v>29</v>
      </c>
      <c r="M5588" t="s">
        <v>5331</v>
      </c>
      <c r="N5588"/>
      <c r="O5588"/>
      <c r="P5588"/>
      <c r="Q5588"/>
      <c r="R5588" s="9">
        <v>44755.4316203704</v>
      </c>
      <c r="S5588"/>
      <c r="T5588"/>
      <c r="U5588"/>
    </row>
    <row r="5589" spans="1:21" hidden="1">
      <c r="A5589" s="7" t="s">
        <v>8758</v>
      </c>
      <c r="B5589" s="7" t="s">
        <v>5405</v>
      </c>
      <c r="C5589" s="8" t="s">
        <v>5319</v>
      </c>
      <c r="D5589" t="s">
        <v>272</v>
      </c>
      <c r="E5589" t="s">
        <v>25</v>
      </c>
      <c r="F5589" t="s">
        <v>493</v>
      </c>
      <c r="G5589" t="s">
        <v>2981</v>
      </c>
      <c r="H5589" s="9">
        <v>44733</v>
      </c>
      <c r="I5589" t="s">
        <v>8634</v>
      </c>
      <c r="J5589" t="s">
        <v>0</v>
      </c>
      <c r="K5589" s="9">
        <v>44862</v>
      </c>
      <c r="L5589" t="s">
        <v>29</v>
      </c>
      <c r="M5589"/>
      <c r="N5589"/>
      <c r="O5589"/>
      <c r="P5589"/>
      <c r="Q5589" s="9">
        <v>44862</v>
      </c>
      <c r="R5589"/>
      <c r="S5589"/>
      <c r="T5589"/>
      <c r="U5589"/>
    </row>
    <row r="5590" spans="1:21" hidden="1">
      <c r="A5590" s="7" t="s">
        <v>8728</v>
      </c>
      <c r="B5590" s="7" t="s">
        <v>5405</v>
      </c>
      <c r="C5590" s="8" t="s">
        <v>5319</v>
      </c>
      <c r="D5590" t="s">
        <v>272</v>
      </c>
      <c r="E5590" t="s">
        <v>25</v>
      </c>
      <c r="F5590" t="s">
        <v>200</v>
      </c>
      <c r="G5590" t="s">
        <v>2982</v>
      </c>
      <c r="H5590" s="9">
        <v>44733</v>
      </c>
      <c r="I5590" t="s">
        <v>8634</v>
      </c>
      <c r="J5590" t="s">
        <v>0</v>
      </c>
      <c r="K5590" s="9">
        <v>44862</v>
      </c>
      <c r="L5590" t="s">
        <v>29</v>
      </c>
      <c r="M5590"/>
      <c r="N5590"/>
      <c r="O5590"/>
      <c r="P5590"/>
      <c r="Q5590" s="9">
        <v>44862</v>
      </c>
      <c r="R5590"/>
      <c r="S5590"/>
      <c r="T5590"/>
      <c r="U5590"/>
    </row>
    <row r="5591" spans="1:21" hidden="1">
      <c r="A5591" s="7" t="s">
        <v>8758</v>
      </c>
      <c r="B5591" s="7" t="s">
        <v>5405</v>
      </c>
      <c r="C5591" s="8" t="s">
        <v>5319</v>
      </c>
      <c r="D5591" t="s">
        <v>272</v>
      </c>
      <c r="E5591" t="s">
        <v>25</v>
      </c>
      <c r="F5591" t="s">
        <v>493</v>
      </c>
      <c r="G5591" t="s">
        <v>2983</v>
      </c>
      <c r="H5591" s="9">
        <v>44733</v>
      </c>
      <c r="I5591" t="s">
        <v>8634</v>
      </c>
      <c r="J5591" t="s">
        <v>0</v>
      </c>
      <c r="K5591" s="9">
        <v>44862</v>
      </c>
      <c r="L5591" t="s">
        <v>29</v>
      </c>
      <c r="M5591"/>
      <c r="N5591"/>
      <c r="O5591"/>
      <c r="P5591"/>
      <c r="Q5591" s="9">
        <v>44862</v>
      </c>
      <c r="R5591"/>
      <c r="S5591"/>
      <c r="T5591"/>
      <c r="U5591"/>
    </row>
    <row r="5592" spans="1:21" hidden="1">
      <c r="A5592" s="7" t="s">
        <v>8765</v>
      </c>
      <c r="B5592" s="7" t="s">
        <v>5405</v>
      </c>
      <c r="C5592" s="8" t="s">
        <v>5319</v>
      </c>
      <c r="D5592" t="s">
        <v>272</v>
      </c>
      <c r="E5592" t="s">
        <v>25</v>
      </c>
      <c r="F5592" t="s">
        <v>231</v>
      </c>
      <c r="G5592" t="s">
        <v>2984</v>
      </c>
      <c r="H5592" s="9">
        <v>44733</v>
      </c>
      <c r="I5592" t="s">
        <v>8634</v>
      </c>
      <c r="J5592" t="s">
        <v>2</v>
      </c>
      <c r="K5592" s="9">
        <v>44862</v>
      </c>
      <c r="L5592" t="s">
        <v>29</v>
      </c>
      <c r="M5592" t="s">
        <v>5331</v>
      </c>
      <c r="N5592" s="9">
        <v>44778</v>
      </c>
      <c r="O5592"/>
      <c r="P5592"/>
      <c r="Q5592" s="9">
        <v>44862</v>
      </c>
      <c r="R5592"/>
      <c r="S5592"/>
      <c r="T5592"/>
      <c r="U5592"/>
    </row>
    <row r="5593" spans="1:21" hidden="1">
      <c r="A5593" s="7" t="s">
        <v>8758</v>
      </c>
      <c r="B5593" s="7" t="s">
        <v>5405</v>
      </c>
      <c r="C5593" s="8" t="s">
        <v>5319</v>
      </c>
      <c r="D5593" t="s">
        <v>272</v>
      </c>
      <c r="E5593" t="s">
        <v>25</v>
      </c>
      <c r="F5593" t="s">
        <v>493</v>
      </c>
      <c r="G5593" t="s">
        <v>2985</v>
      </c>
      <c r="H5593" s="9">
        <v>44733</v>
      </c>
      <c r="I5593" t="s">
        <v>8634</v>
      </c>
      <c r="J5593" t="s">
        <v>0</v>
      </c>
      <c r="K5593" s="9">
        <v>44862</v>
      </c>
      <c r="L5593" t="s">
        <v>29</v>
      </c>
      <c r="M5593"/>
      <c r="N5593"/>
      <c r="O5593"/>
      <c r="P5593"/>
      <c r="Q5593" s="9">
        <v>44862</v>
      </c>
      <c r="R5593"/>
      <c r="S5593"/>
      <c r="T5593"/>
      <c r="U5593"/>
    </row>
    <row r="5594" spans="1:21" hidden="1">
      <c r="A5594" s="7" t="s">
        <v>8758</v>
      </c>
      <c r="B5594" s="7" t="s">
        <v>5405</v>
      </c>
      <c r="C5594" s="8" t="s">
        <v>5319</v>
      </c>
      <c r="D5594" t="s">
        <v>272</v>
      </c>
      <c r="E5594" t="s">
        <v>25</v>
      </c>
      <c r="F5594" t="s">
        <v>493</v>
      </c>
      <c r="G5594" t="s">
        <v>2986</v>
      </c>
      <c r="H5594" s="9">
        <v>44733</v>
      </c>
      <c r="I5594" t="s">
        <v>8634</v>
      </c>
      <c r="J5594" t="s">
        <v>0</v>
      </c>
      <c r="K5594" s="9">
        <v>44862</v>
      </c>
      <c r="L5594" t="s">
        <v>29</v>
      </c>
      <c r="M5594"/>
      <c r="N5594"/>
      <c r="O5594"/>
      <c r="P5594"/>
      <c r="Q5594" s="9">
        <v>44862</v>
      </c>
      <c r="R5594"/>
      <c r="S5594"/>
      <c r="T5594"/>
      <c r="U5594"/>
    </row>
    <row r="5595" spans="1:21" hidden="1">
      <c r="A5595" s="7" t="s">
        <v>8825</v>
      </c>
      <c r="B5595" s="7" t="s">
        <v>5405</v>
      </c>
      <c r="C5595" s="8" t="s">
        <v>5319</v>
      </c>
      <c r="D5595" t="s">
        <v>272</v>
      </c>
      <c r="E5595" t="s">
        <v>25</v>
      </c>
      <c r="F5595" t="s">
        <v>111</v>
      </c>
      <c r="G5595" t="s">
        <v>2987</v>
      </c>
      <c r="H5595" s="9">
        <v>44733</v>
      </c>
      <c r="I5595" t="s">
        <v>8634</v>
      </c>
      <c r="J5595" t="s">
        <v>0</v>
      </c>
      <c r="K5595" s="9">
        <v>44881</v>
      </c>
      <c r="L5595" t="s">
        <v>29</v>
      </c>
      <c r="M5595"/>
      <c r="N5595"/>
      <c r="O5595"/>
      <c r="P5595"/>
      <c r="Q5595" s="9">
        <v>44881</v>
      </c>
      <c r="R5595" s="9">
        <v>44762.5387037037</v>
      </c>
      <c r="S5595"/>
      <c r="T5595"/>
      <c r="U5595"/>
    </row>
    <row r="5596" spans="1:21" hidden="1">
      <c r="A5596" s="7" t="s">
        <v>8712</v>
      </c>
      <c r="B5596" s="7" t="s">
        <v>5405</v>
      </c>
      <c r="C5596" s="8" t="s">
        <v>5319</v>
      </c>
      <c r="D5596" t="s">
        <v>272</v>
      </c>
      <c r="E5596" t="s">
        <v>25</v>
      </c>
      <c r="F5596" t="s">
        <v>26</v>
      </c>
      <c r="G5596" t="s">
        <v>213</v>
      </c>
      <c r="H5596" s="9">
        <v>44733</v>
      </c>
      <c r="I5596" t="s">
        <v>8634</v>
      </c>
      <c r="J5596" t="s">
        <v>0</v>
      </c>
      <c r="K5596" s="9">
        <v>44882</v>
      </c>
      <c r="L5596" t="s">
        <v>29</v>
      </c>
      <c r="M5596"/>
      <c r="N5596"/>
      <c r="O5596"/>
      <c r="P5596"/>
      <c r="Q5596" s="9">
        <v>44882</v>
      </c>
      <c r="R5596"/>
      <c r="S5596"/>
      <c r="T5596"/>
      <c r="U5596"/>
    </row>
    <row r="5597" spans="1:21" hidden="1">
      <c r="A5597" s="7" t="s">
        <v>8758</v>
      </c>
      <c r="B5597" s="7" t="s">
        <v>5405</v>
      </c>
      <c r="C5597" s="8" t="s">
        <v>5319</v>
      </c>
      <c r="D5597" t="s">
        <v>272</v>
      </c>
      <c r="E5597" t="s">
        <v>25</v>
      </c>
      <c r="F5597" t="s">
        <v>493</v>
      </c>
      <c r="G5597" t="s">
        <v>2988</v>
      </c>
      <c r="H5597" s="9">
        <v>44733</v>
      </c>
      <c r="I5597" t="s">
        <v>8634</v>
      </c>
      <c r="J5597" t="s">
        <v>0</v>
      </c>
      <c r="K5597" s="9">
        <v>44862</v>
      </c>
      <c r="L5597" t="s">
        <v>29</v>
      </c>
      <c r="M5597"/>
      <c r="N5597"/>
      <c r="O5597"/>
      <c r="P5597"/>
      <c r="Q5597" s="9">
        <v>44862</v>
      </c>
      <c r="R5597" s="9">
        <v>44776.735254629602</v>
      </c>
      <c r="S5597"/>
      <c r="T5597"/>
      <c r="U5597"/>
    </row>
    <row r="5598" spans="1:21" hidden="1">
      <c r="A5598" s="7" t="s">
        <v>8825</v>
      </c>
      <c r="B5598" s="7" t="s">
        <v>5405</v>
      </c>
      <c r="C5598" s="8" t="s">
        <v>5319</v>
      </c>
      <c r="D5598" t="s">
        <v>272</v>
      </c>
      <c r="E5598" t="s">
        <v>25</v>
      </c>
      <c r="F5598" t="s">
        <v>111</v>
      </c>
      <c r="G5598" t="s">
        <v>1617</v>
      </c>
      <c r="H5598" s="9">
        <v>44733</v>
      </c>
      <c r="I5598" t="s">
        <v>8634</v>
      </c>
      <c r="J5598" t="s">
        <v>0</v>
      </c>
      <c r="K5598" s="9">
        <v>44881</v>
      </c>
      <c r="L5598" t="s">
        <v>29</v>
      </c>
      <c r="M5598"/>
      <c r="N5598"/>
      <c r="O5598"/>
      <c r="P5598"/>
      <c r="Q5598" s="9">
        <v>44881</v>
      </c>
      <c r="R5598"/>
      <c r="S5598"/>
      <c r="T5598"/>
      <c r="U5598"/>
    </row>
    <row r="5599" spans="1:21" hidden="1">
      <c r="A5599" s="7" t="s">
        <v>8758</v>
      </c>
      <c r="B5599" s="7" t="s">
        <v>5405</v>
      </c>
      <c r="C5599" s="8" t="s">
        <v>5319</v>
      </c>
      <c r="D5599" t="s">
        <v>272</v>
      </c>
      <c r="E5599" t="s">
        <v>25</v>
      </c>
      <c r="F5599" t="s">
        <v>493</v>
      </c>
      <c r="G5599" t="s">
        <v>2989</v>
      </c>
      <c r="H5599" s="9">
        <v>44733</v>
      </c>
      <c r="I5599" t="s">
        <v>8634</v>
      </c>
      <c r="J5599" t="s">
        <v>0</v>
      </c>
      <c r="K5599" s="9">
        <v>44862</v>
      </c>
      <c r="L5599" t="s">
        <v>29</v>
      </c>
      <c r="M5599"/>
      <c r="N5599"/>
      <c r="O5599"/>
      <c r="P5599"/>
      <c r="Q5599" s="9">
        <v>44862</v>
      </c>
      <c r="R5599"/>
      <c r="S5599"/>
      <c r="T5599"/>
      <c r="U5599"/>
    </row>
    <row r="5600" spans="1:21" hidden="1">
      <c r="A5600" s="7" t="s">
        <v>8758</v>
      </c>
      <c r="B5600" s="7" t="s">
        <v>5405</v>
      </c>
      <c r="C5600" s="8" t="s">
        <v>5319</v>
      </c>
      <c r="D5600" t="s">
        <v>272</v>
      </c>
      <c r="E5600" t="s">
        <v>25</v>
      </c>
      <c r="F5600" t="s">
        <v>493</v>
      </c>
      <c r="G5600" t="s">
        <v>2990</v>
      </c>
      <c r="H5600" s="9">
        <v>44733</v>
      </c>
      <c r="I5600" t="s">
        <v>8634</v>
      </c>
      <c r="J5600" t="s">
        <v>0</v>
      </c>
      <c r="K5600" s="9">
        <v>44862</v>
      </c>
      <c r="L5600" t="s">
        <v>29</v>
      </c>
      <c r="M5600"/>
      <c r="N5600"/>
      <c r="O5600"/>
      <c r="P5600"/>
      <c r="Q5600" s="9">
        <v>44862</v>
      </c>
      <c r="R5600" s="9">
        <v>44776.735254629602</v>
      </c>
      <c r="S5600"/>
      <c r="T5600"/>
      <c r="U5600"/>
    </row>
    <row r="5601" spans="1:21" hidden="1">
      <c r="A5601" s="7" t="s">
        <v>8728</v>
      </c>
      <c r="B5601" s="7" t="s">
        <v>5405</v>
      </c>
      <c r="C5601" s="8" t="s">
        <v>5319</v>
      </c>
      <c r="D5601" t="s">
        <v>272</v>
      </c>
      <c r="E5601" t="s">
        <v>25</v>
      </c>
      <c r="F5601" t="s">
        <v>200</v>
      </c>
      <c r="G5601" t="s">
        <v>2991</v>
      </c>
      <c r="H5601" s="9">
        <v>44733</v>
      </c>
      <c r="I5601" t="s">
        <v>8634</v>
      </c>
      <c r="J5601" t="s">
        <v>0</v>
      </c>
      <c r="K5601" s="9">
        <v>44862</v>
      </c>
      <c r="L5601" t="s">
        <v>29</v>
      </c>
      <c r="M5601"/>
      <c r="N5601"/>
      <c r="O5601"/>
      <c r="P5601"/>
      <c r="Q5601" s="9">
        <v>44862</v>
      </c>
      <c r="R5601"/>
      <c r="S5601"/>
      <c r="T5601"/>
      <c r="U5601"/>
    </row>
    <row r="5602" spans="1:21" hidden="1">
      <c r="A5602" s="7" t="s">
        <v>8728</v>
      </c>
      <c r="B5602" s="7" t="s">
        <v>5405</v>
      </c>
      <c r="C5602" s="8" t="s">
        <v>5319</v>
      </c>
      <c r="D5602" t="s">
        <v>272</v>
      </c>
      <c r="E5602" t="s">
        <v>25</v>
      </c>
      <c r="F5602" t="s">
        <v>200</v>
      </c>
      <c r="G5602" t="s">
        <v>2992</v>
      </c>
      <c r="H5602" s="9">
        <v>44733</v>
      </c>
      <c r="I5602" t="s">
        <v>8634</v>
      </c>
      <c r="J5602" t="s">
        <v>0</v>
      </c>
      <c r="K5602" s="9">
        <v>44862</v>
      </c>
      <c r="L5602" t="s">
        <v>29</v>
      </c>
      <c r="M5602"/>
      <c r="N5602"/>
      <c r="O5602"/>
      <c r="P5602"/>
      <c r="Q5602" s="9">
        <v>44862</v>
      </c>
      <c r="R5602"/>
      <c r="S5602"/>
      <c r="T5602"/>
      <c r="U5602"/>
    </row>
    <row r="5603" spans="1:21" hidden="1">
      <c r="A5603" s="7" t="s">
        <v>8758</v>
      </c>
      <c r="B5603" s="7" t="s">
        <v>5405</v>
      </c>
      <c r="C5603" s="8" t="s">
        <v>5319</v>
      </c>
      <c r="D5603" t="s">
        <v>272</v>
      </c>
      <c r="E5603" t="s">
        <v>25</v>
      </c>
      <c r="F5603" t="s">
        <v>493</v>
      </c>
      <c r="G5603" t="s">
        <v>2993</v>
      </c>
      <c r="H5603" s="9">
        <v>44733</v>
      </c>
      <c r="I5603" t="s">
        <v>8634</v>
      </c>
      <c r="J5603" t="s">
        <v>0</v>
      </c>
      <c r="K5603" s="9">
        <v>44862</v>
      </c>
      <c r="L5603" t="s">
        <v>29</v>
      </c>
      <c r="M5603"/>
      <c r="N5603"/>
      <c r="O5603"/>
      <c r="P5603"/>
      <c r="Q5603" s="9">
        <v>44862</v>
      </c>
      <c r="R5603"/>
      <c r="S5603"/>
      <c r="T5603"/>
      <c r="U5603"/>
    </row>
    <row r="5604" spans="1:21" hidden="1">
      <c r="A5604" s="7" t="s">
        <v>8758</v>
      </c>
      <c r="B5604" s="7" t="s">
        <v>5405</v>
      </c>
      <c r="C5604" s="8" t="s">
        <v>5319</v>
      </c>
      <c r="D5604" t="s">
        <v>272</v>
      </c>
      <c r="E5604" t="s">
        <v>25</v>
      </c>
      <c r="F5604" t="s">
        <v>493</v>
      </c>
      <c r="G5604" t="s">
        <v>2994</v>
      </c>
      <c r="H5604" s="9">
        <v>44733</v>
      </c>
      <c r="I5604" t="s">
        <v>8634</v>
      </c>
      <c r="J5604" t="s">
        <v>0</v>
      </c>
      <c r="K5604" s="9">
        <v>44862</v>
      </c>
      <c r="L5604" t="s">
        <v>29</v>
      </c>
      <c r="M5604"/>
      <c r="N5604"/>
      <c r="O5604"/>
      <c r="P5604"/>
      <c r="Q5604" s="9">
        <v>44862</v>
      </c>
      <c r="R5604" s="9">
        <v>44776.735254629602</v>
      </c>
      <c r="S5604"/>
      <c r="T5604"/>
      <c r="U5604"/>
    </row>
    <row r="5605" spans="1:21" hidden="1">
      <c r="A5605" s="7" t="s">
        <v>8758</v>
      </c>
      <c r="B5605" s="7" t="s">
        <v>5405</v>
      </c>
      <c r="C5605" s="8" t="s">
        <v>5319</v>
      </c>
      <c r="D5605" t="s">
        <v>272</v>
      </c>
      <c r="E5605" t="s">
        <v>25</v>
      </c>
      <c r="F5605" t="s">
        <v>493</v>
      </c>
      <c r="G5605" t="s">
        <v>1621</v>
      </c>
      <c r="H5605" s="9">
        <v>44733</v>
      </c>
      <c r="I5605" t="s">
        <v>8634</v>
      </c>
      <c r="J5605" t="s">
        <v>0</v>
      </c>
      <c r="K5605" s="9">
        <v>44862</v>
      </c>
      <c r="L5605" t="s">
        <v>29</v>
      </c>
      <c r="M5605"/>
      <c r="N5605"/>
      <c r="O5605"/>
      <c r="P5605"/>
      <c r="Q5605" s="9">
        <v>44862</v>
      </c>
      <c r="R5605" s="9">
        <v>44776.735254629602</v>
      </c>
      <c r="S5605"/>
      <c r="T5605"/>
      <c r="U5605"/>
    </row>
    <row r="5606" spans="1:21" hidden="1">
      <c r="A5606" s="7" t="s">
        <v>8758</v>
      </c>
      <c r="B5606" s="7" t="s">
        <v>5405</v>
      </c>
      <c r="C5606" s="8" t="s">
        <v>5319</v>
      </c>
      <c r="D5606" t="s">
        <v>272</v>
      </c>
      <c r="E5606" t="s">
        <v>25</v>
      </c>
      <c r="F5606" t="s">
        <v>493</v>
      </c>
      <c r="G5606" t="s">
        <v>2995</v>
      </c>
      <c r="H5606" s="9">
        <v>44733</v>
      </c>
      <c r="I5606" t="s">
        <v>8634</v>
      </c>
      <c r="J5606" t="s">
        <v>0</v>
      </c>
      <c r="K5606" s="9">
        <v>44862</v>
      </c>
      <c r="L5606" t="s">
        <v>29</v>
      </c>
      <c r="M5606"/>
      <c r="N5606"/>
      <c r="O5606"/>
      <c r="P5606"/>
      <c r="Q5606" s="9">
        <v>44862</v>
      </c>
      <c r="R5606"/>
      <c r="S5606"/>
      <c r="T5606"/>
      <c r="U5606"/>
    </row>
    <row r="5607" spans="1:21" hidden="1">
      <c r="A5607" s="7" t="s">
        <v>8728</v>
      </c>
      <c r="B5607" s="7" t="s">
        <v>5405</v>
      </c>
      <c r="C5607" s="8" t="s">
        <v>5319</v>
      </c>
      <c r="D5607" t="s">
        <v>272</v>
      </c>
      <c r="E5607" t="s">
        <v>25</v>
      </c>
      <c r="F5607" t="s">
        <v>200</v>
      </c>
      <c r="G5607" t="s">
        <v>2996</v>
      </c>
      <c r="H5607" s="9">
        <v>44733</v>
      </c>
      <c r="I5607" t="s">
        <v>8634</v>
      </c>
      <c r="J5607" t="s">
        <v>0</v>
      </c>
      <c r="K5607" s="9">
        <v>44862</v>
      </c>
      <c r="L5607" t="s">
        <v>29</v>
      </c>
      <c r="M5607"/>
      <c r="N5607"/>
      <c r="O5607"/>
      <c r="P5607"/>
      <c r="Q5607" s="9">
        <v>44862</v>
      </c>
      <c r="R5607"/>
      <c r="S5607"/>
      <c r="T5607"/>
      <c r="U5607"/>
    </row>
    <row r="5608" spans="1:21" hidden="1">
      <c r="A5608" s="7" t="s">
        <v>8728</v>
      </c>
      <c r="B5608" s="7" t="s">
        <v>5405</v>
      </c>
      <c r="C5608" s="8" t="s">
        <v>5319</v>
      </c>
      <c r="D5608" t="s">
        <v>272</v>
      </c>
      <c r="E5608" t="s">
        <v>25</v>
      </c>
      <c r="F5608" t="s">
        <v>200</v>
      </c>
      <c r="G5608" t="s">
        <v>2997</v>
      </c>
      <c r="H5608" s="9">
        <v>44733</v>
      </c>
      <c r="I5608" t="s">
        <v>8634</v>
      </c>
      <c r="J5608" t="s">
        <v>0</v>
      </c>
      <c r="K5608" s="9">
        <v>44862</v>
      </c>
      <c r="L5608" t="s">
        <v>29</v>
      </c>
      <c r="M5608"/>
      <c r="N5608"/>
      <c r="O5608"/>
      <c r="P5608"/>
      <c r="Q5608" s="9">
        <v>44862</v>
      </c>
      <c r="R5608"/>
      <c r="S5608"/>
      <c r="T5608"/>
      <c r="U5608"/>
    </row>
    <row r="5609" spans="1:21" hidden="1">
      <c r="A5609" s="7" t="s">
        <v>8758</v>
      </c>
      <c r="B5609" s="7" t="s">
        <v>5405</v>
      </c>
      <c r="C5609" s="8" t="s">
        <v>5319</v>
      </c>
      <c r="D5609" t="s">
        <v>272</v>
      </c>
      <c r="E5609" t="s">
        <v>25</v>
      </c>
      <c r="F5609" t="s">
        <v>493</v>
      </c>
      <c r="G5609" t="s">
        <v>2998</v>
      </c>
      <c r="H5609" s="9">
        <v>44733</v>
      </c>
      <c r="I5609" t="s">
        <v>8634</v>
      </c>
      <c r="J5609" t="s">
        <v>0</v>
      </c>
      <c r="K5609" s="9">
        <v>44862</v>
      </c>
      <c r="L5609" t="s">
        <v>29</v>
      </c>
      <c r="M5609"/>
      <c r="N5609"/>
      <c r="O5609"/>
      <c r="P5609"/>
      <c r="Q5609" s="9">
        <v>44862</v>
      </c>
      <c r="R5609"/>
      <c r="S5609"/>
      <c r="T5609"/>
      <c r="U5609"/>
    </row>
    <row r="5610" spans="1:21" hidden="1">
      <c r="A5610" s="7" t="s">
        <v>8758</v>
      </c>
      <c r="B5610" s="7" t="s">
        <v>5405</v>
      </c>
      <c r="C5610" s="8" t="s">
        <v>5319</v>
      </c>
      <c r="D5610" t="s">
        <v>272</v>
      </c>
      <c r="E5610" t="s">
        <v>25</v>
      </c>
      <c r="F5610" t="s">
        <v>493</v>
      </c>
      <c r="G5610" t="s">
        <v>2999</v>
      </c>
      <c r="H5610" s="9">
        <v>44733</v>
      </c>
      <c r="I5610" t="s">
        <v>8634</v>
      </c>
      <c r="J5610" t="s">
        <v>0</v>
      </c>
      <c r="K5610" s="9">
        <v>44862</v>
      </c>
      <c r="L5610" t="s">
        <v>29</v>
      </c>
      <c r="M5610"/>
      <c r="N5610"/>
      <c r="O5610"/>
      <c r="P5610"/>
      <c r="Q5610" s="9">
        <v>44862</v>
      </c>
      <c r="R5610"/>
      <c r="S5610"/>
      <c r="T5610"/>
      <c r="U5610"/>
    </row>
    <row r="5611" spans="1:21" hidden="1">
      <c r="A5611" s="7" t="s">
        <v>8728</v>
      </c>
      <c r="B5611" s="7" t="s">
        <v>5405</v>
      </c>
      <c r="C5611" s="8" t="s">
        <v>5319</v>
      </c>
      <c r="D5611" t="s">
        <v>272</v>
      </c>
      <c r="E5611" t="s">
        <v>25</v>
      </c>
      <c r="F5611" t="s">
        <v>200</v>
      </c>
      <c r="G5611" t="s">
        <v>3000</v>
      </c>
      <c r="H5611" s="9">
        <v>44733</v>
      </c>
      <c r="I5611" t="s">
        <v>8634</v>
      </c>
      <c r="J5611" t="s">
        <v>0</v>
      </c>
      <c r="K5611" s="9">
        <v>44862</v>
      </c>
      <c r="L5611" t="s">
        <v>29</v>
      </c>
      <c r="M5611"/>
      <c r="N5611"/>
      <c r="O5611"/>
      <c r="P5611"/>
      <c r="Q5611" s="9">
        <v>44862</v>
      </c>
      <c r="R5611"/>
      <c r="S5611"/>
      <c r="T5611"/>
      <c r="U5611"/>
    </row>
    <row r="5612" spans="1:21" hidden="1">
      <c r="A5612" s="7" t="s">
        <v>8758</v>
      </c>
      <c r="B5612" s="7" t="s">
        <v>5405</v>
      </c>
      <c r="C5612" s="8" t="s">
        <v>5319</v>
      </c>
      <c r="D5612" t="s">
        <v>272</v>
      </c>
      <c r="E5612" t="s">
        <v>25</v>
      </c>
      <c r="F5612" t="s">
        <v>493</v>
      </c>
      <c r="G5612" t="s">
        <v>1628</v>
      </c>
      <c r="H5612" s="9">
        <v>44733</v>
      </c>
      <c r="I5612" t="s">
        <v>8634</v>
      </c>
      <c r="J5612" t="s">
        <v>0</v>
      </c>
      <c r="K5612" s="9">
        <v>44862</v>
      </c>
      <c r="L5612" t="s">
        <v>29</v>
      </c>
      <c r="M5612"/>
      <c r="N5612"/>
      <c r="O5612"/>
      <c r="P5612"/>
      <c r="Q5612" s="9">
        <v>44862</v>
      </c>
      <c r="R5612" s="9">
        <v>44776.735254629602</v>
      </c>
      <c r="S5612"/>
      <c r="T5612"/>
      <c r="U5612"/>
    </row>
    <row r="5613" spans="1:21" hidden="1">
      <c r="A5613" s="7" t="s">
        <v>8712</v>
      </c>
      <c r="B5613" s="7" t="s">
        <v>5405</v>
      </c>
      <c r="C5613" s="8" t="s">
        <v>5319</v>
      </c>
      <c r="D5613" t="s">
        <v>272</v>
      </c>
      <c r="E5613" t="s">
        <v>25</v>
      </c>
      <c r="F5613" t="s">
        <v>26</v>
      </c>
      <c r="G5613" t="s">
        <v>3001</v>
      </c>
      <c r="H5613" s="9">
        <v>44733</v>
      </c>
      <c r="I5613" t="s">
        <v>8634</v>
      </c>
      <c r="J5613" t="s">
        <v>0</v>
      </c>
      <c r="K5613" s="9">
        <v>44882</v>
      </c>
      <c r="L5613" t="s">
        <v>29</v>
      </c>
      <c r="M5613"/>
      <c r="N5613"/>
      <c r="O5613"/>
      <c r="P5613"/>
      <c r="Q5613" s="9">
        <v>44882</v>
      </c>
      <c r="R5613"/>
      <c r="S5613"/>
      <c r="T5613"/>
      <c r="U5613"/>
    </row>
    <row r="5614" spans="1:21" hidden="1">
      <c r="A5614" s="7" t="s">
        <v>8712</v>
      </c>
      <c r="B5614" s="7" t="s">
        <v>5405</v>
      </c>
      <c r="C5614" s="8" t="s">
        <v>5319</v>
      </c>
      <c r="D5614" t="s">
        <v>272</v>
      </c>
      <c r="E5614" t="s">
        <v>25</v>
      </c>
      <c r="F5614" t="s">
        <v>26</v>
      </c>
      <c r="G5614" t="s">
        <v>3002</v>
      </c>
      <c r="H5614" s="9">
        <v>44733</v>
      </c>
      <c r="I5614" t="s">
        <v>8634</v>
      </c>
      <c r="J5614" t="s">
        <v>0</v>
      </c>
      <c r="K5614" s="9">
        <v>44882</v>
      </c>
      <c r="L5614" t="s">
        <v>29</v>
      </c>
      <c r="M5614"/>
      <c r="N5614"/>
      <c r="O5614"/>
      <c r="P5614"/>
      <c r="Q5614" s="9">
        <v>44882</v>
      </c>
      <c r="R5614"/>
      <c r="S5614"/>
      <c r="T5614"/>
      <c r="U5614"/>
    </row>
    <row r="5615" spans="1:21" hidden="1">
      <c r="A5615" s="7" t="s">
        <v>8728</v>
      </c>
      <c r="B5615" s="7" t="s">
        <v>5405</v>
      </c>
      <c r="C5615" s="8" t="s">
        <v>5319</v>
      </c>
      <c r="D5615" t="s">
        <v>272</v>
      </c>
      <c r="E5615" t="s">
        <v>25</v>
      </c>
      <c r="F5615" t="s">
        <v>200</v>
      </c>
      <c r="G5615" t="s">
        <v>3003</v>
      </c>
      <c r="H5615" s="9">
        <v>44733</v>
      </c>
      <c r="I5615" t="s">
        <v>8634</v>
      </c>
      <c r="J5615" t="s">
        <v>0</v>
      </c>
      <c r="K5615" s="9">
        <v>44862</v>
      </c>
      <c r="L5615" t="s">
        <v>29</v>
      </c>
      <c r="M5615"/>
      <c r="N5615"/>
      <c r="O5615"/>
      <c r="P5615"/>
      <c r="Q5615" s="9">
        <v>44862</v>
      </c>
      <c r="R5615"/>
      <c r="S5615"/>
      <c r="T5615"/>
      <c r="U5615"/>
    </row>
    <row r="5616" spans="1:21" hidden="1">
      <c r="A5616" s="7" t="s">
        <v>8758</v>
      </c>
      <c r="B5616" s="7" t="s">
        <v>5405</v>
      </c>
      <c r="C5616" s="8" t="s">
        <v>5319</v>
      </c>
      <c r="D5616" t="s">
        <v>272</v>
      </c>
      <c r="E5616" t="s">
        <v>25</v>
      </c>
      <c r="F5616" t="s">
        <v>493</v>
      </c>
      <c r="G5616" t="s">
        <v>3004</v>
      </c>
      <c r="H5616" s="9">
        <v>44733</v>
      </c>
      <c r="I5616" t="s">
        <v>8634</v>
      </c>
      <c r="J5616" t="s">
        <v>0</v>
      </c>
      <c r="K5616" s="9">
        <v>44862</v>
      </c>
      <c r="L5616" t="s">
        <v>29</v>
      </c>
      <c r="M5616"/>
      <c r="N5616"/>
      <c r="O5616"/>
      <c r="P5616"/>
      <c r="Q5616" s="9">
        <v>44862</v>
      </c>
      <c r="R5616"/>
      <c r="S5616"/>
      <c r="T5616"/>
      <c r="U5616"/>
    </row>
    <row r="5617" spans="1:21" hidden="1">
      <c r="A5617" s="7" t="s">
        <v>8758</v>
      </c>
      <c r="B5617" s="7" t="s">
        <v>5405</v>
      </c>
      <c r="C5617" s="8" t="s">
        <v>5319</v>
      </c>
      <c r="D5617" t="s">
        <v>272</v>
      </c>
      <c r="E5617" t="s">
        <v>25</v>
      </c>
      <c r="F5617" t="s">
        <v>493</v>
      </c>
      <c r="G5617" t="s">
        <v>3005</v>
      </c>
      <c r="H5617" s="9">
        <v>44733</v>
      </c>
      <c r="I5617" t="s">
        <v>8634</v>
      </c>
      <c r="J5617" t="s">
        <v>0</v>
      </c>
      <c r="K5617" s="9">
        <v>44862</v>
      </c>
      <c r="L5617" t="s">
        <v>29</v>
      </c>
      <c r="M5617"/>
      <c r="N5617"/>
      <c r="O5617"/>
      <c r="P5617"/>
      <c r="Q5617" s="9">
        <v>44862</v>
      </c>
      <c r="R5617" s="9">
        <v>44776.735254629602</v>
      </c>
      <c r="S5617"/>
      <c r="T5617"/>
      <c r="U5617"/>
    </row>
    <row r="5618" spans="1:21" hidden="1">
      <c r="A5618" s="7" t="s">
        <v>8758</v>
      </c>
      <c r="B5618" s="7" t="s">
        <v>5405</v>
      </c>
      <c r="C5618" s="8" t="s">
        <v>5319</v>
      </c>
      <c r="D5618" t="s">
        <v>272</v>
      </c>
      <c r="E5618" t="s">
        <v>25</v>
      </c>
      <c r="F5618" t="s">
        <v>493</v>
      </c>
      <c r="G5618" t="s">
        <v>1633</v>
      </c>
      <c r="H5618" s="9">
        <v>44733</v>
      </c>
      <c r="I5618" t="s">
        <v>8634</v>
      </c>
      <c r="J5618" t="s">
        <v>0</v>
      </c>
      <c r="K5618" s="9">
        <v>44862</v>
      </c>
      <c r="L5618" t="s">
        <v>29</v>
      </c>
      <c r="M5618"/>
      <c r="N5618"/>
      <c r="O5618"/>
      <c r="P5618"/>
      <c r="Q5618" s="9">
        <v>44862</v>
      </c>
      <c r="R5618" s="9">
        <v>44776.735254629602</v>
      </c>
      <c r="S5618"/>
      <c r="T5618"/>
      <c r="U5618"/>
    </row>
    <row r="5619" spans="1:21" hidden="1">
      <c r="A5619" s="7" t="s">
        <v>8758</v>
      </c>
      <c r="B5619" s="7" t="s">
        <v>5405</v>
      </c>
      <c r="C5619" s="8" t="s">
        <v>5319</v>
      </c>
      <c r="D5619" t="s">
        <v>272</v>
      </c>
      <c r="E5619" t="s">
        <v>25</v>
      </c>
      <c r="F5619" t="s">
        <v>493</v>
      </c>
      <c r="G5619" t="s">
        <v>1635</v>
      </c>
      <c r="H5619" s="9">
        <v>44733</v>
      </c>
      <c r="I5619" t="s">
        <v>8634</v>
      </c>
      <c r="J5619" t="s">
        <v>0</v>
      </c>
      <c r="K5619" s="9">
        <v>44862</v>
      </c>
      <c r="L5619" t="s">
        <v>29</v>
      </c>
      <c r="M5619"/>
      <c r="N5619"/>
      <c r="O5619"/>
      <c r="P5619"/>
      <c r="Q5619" s="9">
        <v>44862</v>
      </c>
      <c r="R5619" s="9">
        <v>44776.735254629602</v>
      </c>
      <c r="S5619"/>
      <c r="T5619"/>
      <c r="U5619"/>
    </row>
    <row r="5620" spans="1:21" hidden="1">
      <c r="A5620" s="7" t="s">
        <v>8758</v>
      </c>
      <c r="B5620" s="7" t="s">
        <v>5405</v>
      </c>
      <c r="C5620" s="8" t="s">
        <v>5319</v>
      </c>
      <c r="D5620" t="s">
        <v>272</v>
      </c>
      <c r="E5620" t="s">
        <v>25</v>
      </c>
      <c r="F5620" t="s">
        <v>493</v>
      </c>
      <c r="G5620" t="s">
        <v>1636</v>
      </c>
      <c r="H5620" s="9">
        <v>44733</v>
      </c>
      <c r="I5620" t="s">
        <v>8634</v>
      </c>
      <c r="J5620" t="s">
        <v>0</v>
      </c>
      <c r="K5620" s="9">
        <v>44862</v>
      </c>
      <c r="L5620" t="s">
        <v>29</v>
      </c>
      <c r="M5620"/>
      <c r="N5620"/>
      <c r="O5620"/>
      <c r="P5620"/>
      <c r="Q5620" s="9">
        <v>44862</v>
      </c>
      <c r="R5620" s="9">
        <v>44776.735254629602</v>
      </c>
      <c r="S5620"/>
      <c r="T5620"/>
      <c r="U5620"/>
    </row>
    <row r="5621" spans="1:21" hidden="1">
      <c r="A5621" s="7" t="s">
        <v>8758</v>
      </c>
      <c r="B5621" s="7" t="s">
        <v>5405</v>
      </c>
      <c r="C5621" s="8" t="s">
        <v>5319</v>
      </c>
      <c r="D5621" t="s">
        <v>272</v>
      </c>
      <c r="E5621" t="s">
        <v>25</v>
      </c>
      <c r="F5621" t="s">
        <v>493</v>
      </c>
      <c r="G5621" t="s">
        <v>1637</v>
      </c>
      <c r="H5621" s="9">
        <v>44733</v>
      </c>
      <c r="I5621" t="s">
        <v>8634</v>
      </c>
      <c r="J5621" t="s">
        <v>0</v>
      </c>
      <c r="K5621" s="9">
        <v>44862</v>
      </c>
      <c r="L5621" t="s">
        <v>29</v>
      </c>
      <c r="M5621"/>
      <c r="N5621"/>
      <c r="O5621"/>
      <c r="P5621"/>
      <c r="Q5621" s="9">
        <v>44862</v>
      </c>
      <c r="R5621"/>
      <c r="S5621"/>
      <c r="T5621"/>
      <c r="U5621"/>
    </row>
    <row r="5622" spans="1:21" hidden="1">
      <c r="A5622" s="7" t="s">
        <v>8758</v>
      </c>
      <c r="B5622" s="7" t="s">
        <v>5405</v>
      </c>
      <c r="C5622" s="8" t="s">
        <v>5319</v>
      </c>
      <c r="D5622" t="s">
        <v>272</v>
      </c>
      <c r="E5622" t="s">
        <v>25</v>
      </c>
      <c r="F5622" t="s">
        <v>493</v>
      </c>
      <c r="G5622" t="s">
        <v>3006</v>
      </c>
      <c r="H5622" s="9">
        <v>44733</v>
      </c>
      <c r="I5622" t="s">
        <v>8634</v>
      </c>
      <c r="J5622" t="s">
        <v>0</v>
      </c>
      <c r="K5622" s="9">
        <v>44862</v>
      </c>
      <c r="L5622" t="s">
        <v>29</v>
      </c>
      <c r="M5622"/>
      <c r="N5622"/>
      <c r="O5622"/>
      <c r="P5622"/>
      <c r="Q5622" s="9">
        <v>44862</v>
      </c>
      <c r="R5622"/>
      <c r="S5622"/>
      <c r="T5622"/>
      <c r="U5622"/>
    </row>
    <row r="5623" spans="1:21" hidden="1">
      <c r="A5623" s="7" t="s">
        <v>8758</v>
      </c>
      <c r="B5623" s="7" t="s">
        <v>5405</v>
      </c>
      <c r="C5623" s="8" t="s">
        <v>5319</v>
      </c>
      <c r="D5623" t="s">
        <v>272</v>
      </c>
      <c r="E5623" t="s">
        <v>25</v>
      </c>
      <c r="F5623" t="s">
        <v>493</v>
      </c>
      <c r="G5623" t="s">
        <v>3007</v>
      </c>
      <c r="H5623" s="9">
        <v>44733</v>
      </c>
      <c r="I5623" t="s">
        <v>8634</v>
      </c>
      <c r="J5623" t="s">
        <v>0</v>
      </c>
      <c r="K5623" s="9">
        <v>44862</v>
      </c>
      <c r="L5623" t="s">
        <v>29</v>
      </c>
      <c r="M5623"/>
      <c r="N5623"/>
      <c r="O5623"/>
      <c r="P5623"/>
      <c r="Q5623" s="9">
        <v>44862</v>
      </c>
      <c r="R5623" s="9">
        <v>44776.735254629602</v>
      </c>
      <c r="S5623"/>
      <c r="T5623"/>
      <c r="U5623"/>
    </row>
    <row r="5624" spans="1:21" hidden="1">
      <c r="A5624" s="7" t="s">
        <v>8728</v>
      </c>
      <c r="B5624" s="7" t="s">
        <v>5405</v>
      </c>
      <c r="C5624" s="8" t="s">
        <v>5319</v>
      </c>
      <c r="D5624" t="s">
        <v>272</v>
      </c>
      <c r="E5624" t="s">
        <v>25</v>
      </c>
      <c r="F5624" t="s">
        <v>200</v>
      </c>
      <c r="G5624" t="s">
        <v>3008</v>
      </c>
      <c r="H5624" s="9">
        <v>44733</v>
      </c>
      <c r="I5624" t="s">
        <v>8634</v>
      </c>
      <c r="J5624" t="s">
        <v>0</v>
      </c>
      <c r="K5624" s="9">
        <v>44862</v>
      </c>
      <c r="L5624" t="s">
        <v>29</v>
      </c>
      <c r="M5624"/>
      <c r="N5624"/>
      <c r="O5624"/>
      <c r="P5624"/>
      <c r="Q5624" s="9">
        <v>44862</v>
      </c>
      <c r="R5624"/>
      <c r="S5624"/>
      <c r="T5624"/>
      <c r="U5624"/>
    </row>
    <row r="5625" spans="1:21" hidden="1">
      <c r="A5625" s="7" t="s">
        <v>8893</v>
      </c>
      <c r="B5625" s="7" t="s">
        <v>5405</v>
      </c>
      <c r="C5625" s="8" t="s">
        <v>5319</v>
      </c>
      <c r="D5625" t="s">
        <v>272</v>
      </c>
      <c r="E5625" t="s">
        <v>25</v>
      </c>
      <c r="F5625" t="s">
        <v>209</v>
      </c>
      <c r="G5625" t="s">
        <v>3009</v>
      </c>
      <c r="H5625" s="9">
        <v>44733</v>
      </c>
      <c r="I5625" t="s">
        <v>8634</v>
      </c>
      <c r="J5625" t="s">
        <v>0</v>
      </c>
      <c r="K5625" s="9">
        <v>44858</v>
      </c>
      <c r="L5625" t="s">
        <v>29</v>
      </c>
      <c r="M5625"/>
      <c r="N5625"/>
      <c r="O5625"/>
      <c r="P5625"/>
      <c r="Q5625" s="9">
        <v>44858</v>
      </c>
      <c r="R5625" s="9">
        <v>44778.766145833302</v>
      </c>
      <c r="S5625"/>
      <c r="T5625"/>
      <c r="U5625"/>
    </row>
    <row r="5626" spans="1:21" hidden="1">
      <c r="A5626" s="7" t="s">
        <v>8758</v>
      </c>
      <c r="B5626" s="7" t="s">
        <v>5405</v>
      </c>
      <c r="C5626" s="8" t="s">
        <v>5319</v>
      </c>
      <c r="D5626" t="s">
        <v>272</v>
      </c>
      <c r="E5626" t="s">
        <v>25</v>
      </c>
      <c r="F5626" t="s">
        <v>493</v>
      </c>
      <c r="G5626" t="s">
        <v>3010</v>
      </c>
      <c r="H5626" s="9">
        <v>44733</v>
      </c>
      <c r="I5626" t="s">
        <v>8634</v>
      </c>
      <c r="J5626" t="s">
        <v>0</v>
      </c>
      <c r="K5626" s="9">
        <v>44862</v>
      </c>
      <c r="L5626" t="s">
        <v>29</v>
      </c>
      <c r="M5626"/>
      <c r="N5626"/>
      <c r="O5626"/>
      <c r="P5626"/>
      <c r="Q5626" s="9">
        <v>44862</v>
      </c>
      <c r="R5626"/>
      <c r="S5626"/>
      <c r="T5626"/>
      <c r="U5626"/>
    </row>
    <row r="5627" spans="1:21" hidden="1">
      <c r="A5627" s="7" t="s">
        <v>8758</v>
      </c>
      <c r="B5627" s="7" t="s">
        <v>5405</v>
      </c>
      <c r="C5627" s="8" t="s">
        <v>5319</v>
      </c>
      <c r="D5627" t="s">
        <v>272</v>
      </c>
      <c r="E5627" t="s">
        <v>25</v>
      </c>
      <c r="F5627" t="s">
        <v>493</v>
      </c>
      <c r="G5627" t="s">
        <v>3011</v>
      </c>
      <c r="H5627" s="9">
        <v>44733</v>
      </c>
      <c r="I5627" t="s">
        <v>8634</v>
      </c>
      <c r="J5627" t="s">
        <v>0</v>
      </c>
      <c r="K5627" s="9">
        <v>44862</v>
      </c>
      <c r="L5627" t="s">
        <v>29</v>
      </c>
      <c r="M5627"/>
      <c r="N5627"/>
      <c r="O5627"/>
      <c r="P5627"/>
      <c r="Q5627" s="9">
        <v>44862</v>
      </c>
      <c r="R5627"/>
      <c r="S5627"/>
      <c r="T5627"/>
      <c r="U5627"/>
    </row>
    <row r="5628" spans="1:21" hidden="1">
      <c r="A5628" s="7" t="s">
        <v>8712</v>
      </c>
      <c r="B5628" s="7" t="s">
        <v>5405</v>
      </c>
      <c r="C5628" s="8" t="s">
        <v>5319</v>
      </c>
      <c r="D5628" t="s">
        <v>272</v>
      </c>
      <c r="E5628" t="s">
        <v>25</v>
      </c>
      <c r="F5628" t="s">
        <v>26</v>
      </c>
      <c r="G5628" t="s">
        <v>3012</v>
      </c>
      <c r="H5628" s="9">
        <v>44733</v>
      </c>
      <c r="I5628" t="s">
        <v>8634</v>
      </c>
      <c r="J5628" t="s">
        <v>0</v>
      </c>
      <c r="K5628" s="9">
        <v>44882</v>
      </c>
      <c r="L5628" t="s">
        <v>29</v>
      </c>
      <c r="M5628"/>
      <c r="N5628"/>
      <c r="O5628"/>
      <c r="P5628"/>
      <c r="Q5628" s="9">
        <v>44882</v>
      </c>
      <c r="R5628"/>
      <c r="S5628"/>
      <c r="T5628"/>
      <c r="U5628"/>
    </row>
    <row r="5629" spans="1:21" hidden="1">
      <c r="A5629" s="7" t="s">
        <v>8825</v>
      </c>
      <c r="B5629" s="7" t="s">
        <v>5405</v>
      </c>
      <c r="C5629" s="8" t="s">
        <v>5319</v>
      </c>
      <c r="D5629" t="s">
        <v>272</v>
      </c>
      <c r="E5629" t="s">
        <v>25</v>
      </c>
      <c r="F5629" t="s">
        <v>111</v>
      </c>
      <c r="G5629" t="s">
        <v>3013</v>
      </c>
      <c r="H5629" s="9">
        <v>44733</v>
      </c>
      <c r="I5629" t="s">
        <v>8634</v>
      </c>
      <c r="J5629" t="s">
        <v>0</v>
      </c>
      <c r="K5629" s="9">
        <v>44881</v>
      </c>
      <c r="L5629" t="s">
        <v>29</v>
      </c>
      <c r="M5629"/>
      <c r="N5629"/>
      <c r="O5629"/>
      <c r="P5629"/>
      <c r="Q5629" s="9">
        <v>44881</v>
      </c>
      <c r="R5629"/>
      <c r="S5629"/>
      <c r="T5629"/>
      <c r="U5629"/>
    </row>
    <row r="5630" spans="1:21" hidden="1">
      <c r="A5630" s="7" t="s">
        <v>8758</v>
      </c>
      <c r="B5630" s="7" t="s">
        <v>5405</v>
      </c>
      <c r="C5630" s="8" t="s">
        <v>5319</v>
      </c>
      <c r="D5630" t="s">
        <v>272</v>
      </c>
      <c r="E5630" t="s">
        <v>25</v>
      </c>
      <c r="F5630" t="s">
        <v>493</v>
      </c>
      <c r="G5630" t="s">
        <v>3014</v>
      </c>
      <c r="H5630" s="9">
        <v>44733</v>
      </c>
      <c r="I5630" t="s">
        <v>8634</v>
      </c>
      <c r="J5630" t="s">
        <v>0</v>
      </c>
      <c r="K5630" s="9">
        <v>44862</v>
      </c>
      <c r="L5630" t="s">
        <v>29</v>
      </c>
      <c r="M5630"/>
      <c r="N5630"/>
      <c r="O5630"/>
      <c r="P5630"/>
      <c r="Q5630" s="9">
        <v>44862</v>
      </c>
      <c r="R5630" s="9">
        <v>44776.735254629602</v>
      </c>
      <c r="S5630"/>
      <c r="T5630"/>
      <c r="U5630"/>
    </row>
    <row r="5631" spans="1:21" hidden="1">
      <c r="A5631" s="7" t="s">
        <v>8758</v>
      </c>
      <c r="B5631" s="7" t="s">
        <v>5405</v>
      </c>
      <c r="C5631" s="8" t="s">
        <v>5319</v>
      </c>
      <c r="D5631" t="s">
        <v>272</v>
      </c>
      <c r="E5631" t="s">
        <v>25</v>
      </c>
      <c r="F5631" t="s">
        <v>493</v>
      </c>
      <c r="G5631" t="s">
        <v>3015</v>
      </c>
      <c r="H5631" s="9">
        <v>44733</v>
      </c>
      <c r="I5631" t="s">
        <v>8634</v>
      </c>
      <c r="J5631" t="s">
        <v>0</v>
      </c>
      <c r="K5631" s="9">
        <v>44862</v>
      </c>
      <c r="L5631" t="s">
        <v>29</v>
      </c>
      <c r="M5631"/>
      <c r="N5631"/>
      <c r="O5631"/>
      <c r="P5631"/>
      <c r="Q5631" s="9">
        <v>44862</v>
      </c>
      <c r="R5631"/>
      <c r="S5631"/>
      <c r="T5631"/>
      <c r="U5631"/>
    </row>
    <row r="5632" spans="1:21" hidden="1">
      <c r="A5632" s="7" t="s">
        <v>8758</v>
      </c>
      <c r="B5632" s="7" t="s">
        <v>5405</v>
      </c>
      <c r="C5632" s="8" t="s">
        <v>5319</v>
      </c>
      <c r="D5632" t="s">
        <v>272</v>
      </c>
      <c r="E5632" t="s">
        <v>25</v>
      </c>
      <c r="F5632" t="s">
        <v>493</v>
      </c>
      <c r="G5632" t="s">
        <v>3016</v>
      </c>
      <c r="H5632" s="9">
        <v>44733</v>
      </c>
      <c r="I5632" t="s">
        <v>8634</v>
      </c>
      <c r="J5632" t="s">
        <v>0</v>
      </c>
      <c r="K5632" s="9">
        <v>44862</v>
      </c>
      <c r="L5632" t="s">
        <v>29</v>
      </c>
      <c r="M5632"/>
      <c r="N5632"/>
      <c r="O5632"/>
      <c r="P5632"/>
      <c r="Q5632" s="9">
        <v>44862</v>
      </c>
      <c r="R5632"/>
      <c r="S5632"/>
      <c r="T5632"/>
      <c r="U5632"/>
    </row>
    <row r="5633" spans="1:21" hidden="1">
      <c r="A5633" s="7" t="s">
        <v>8758</v>
      </c>
      <c r="B5633" s="7" t="s">
        <v>5405</v>
      </c>
      <c r="C5633" s="8" t="s">
        <v>5319</v>
      </c>
      <c r="D5633" t="s">
        <v>272</v>
      </c>
      <c r="E5633" t="s">
        <v>25</v>
      </c>
      <c r="F5633" t="s">
        <v>493</v>
      </c>
      <c r="G5633" t="s">
        <v>3017</v>
      </c>
      <c r="H5633" s="9">
        <v>44733</v>
      </c>
      <c r="I5633" t="s">
        <v>8634</v>
      </c>
      <c r="J5633" t="s">
        <v>0</v>
      </c>
      <c r="K5633" s="9">
        <v>44862</v>
      </c>
      <c r="L5633" t="s">
        <v>29</v>
      </c>
      <c r="M5633"/>
      <c r="N5633"/>
      <c r="O5633"/>
      <c r="P5633"/>
      <c r="Q5633" s="9">
        <v>44862</v>
      </c>
      <c r="R5633" s="9">
        <v>44776.735254629602</v>
      </c>
      <c r="S5633"/>
      <c r="T5633"/>
      <c r="U5633"/>
    </row>
    <row r="5634" spans="1:21" hidden="1">
      <c r="A5634" s="7" t="s">
        <v>8825</v>
      </c>
      <c r="B5634" s="7" t="s">
        <v>5405</v>
      </c>
      <c r="C5634" s="8" t="s">
        <v>5319</v>
      </c>
      <c r="D5634" t="s">
        <v>272</v>
      </c>
      <c r="E5634" t="s">
        <v>25</v>
      </c>
      <c r="F5634" t="s">
        <v>111</v>
      </c>
      <c r="G5634" t="s">
        <v>3018</v>
      </c>
      <c r="H5634" s="9">
        <v>44733</v>
      </c>
      <c r="I5634" t="s">
        <v>8634</v>
      </c>
      <c r="J5634" t="s">
        <v>0</v>
      </c>
      <c r="K5634" s="9">
        <v>44881</v>
      </c>
      <c r="L5634" t="s">
        <v>29</v>
      </c>
      <c r="M5634"/>
      <c r="N5634"/>
      <c r="O5634"/>
      <c r="P5634"/>
      <c r="Q5634" s="9">
        <v>44881</v>
      </c>
      <c r="R5634"/>
      <c r="S5634"/>
      <c r="T5634"/>
      <c r="U5634"/>
    </row>
    <row r="5635" spans="1:21" hidden="1">
      <c r="A5635" s="7" t="s">
        <v>8728</v>
      </c>
      <c r="B5635" s="7" t="s">
        <v>5405</v>
      </c>
      <c r="C5635" s="8" t="s">
        <v>5319</v>
      </c>
      <c r="D5635" t="s">
        <v>272</v>
      </c>
      <c r="E5635" t="s">
        <v>25</v>
      </c>
      <c r="F5635" t="s">
        <v>200</v>
      </c>
      <c r="G5635" t="s">
        <v>3019</v>
      </c>
      <c r="H5635" s="9">
        <v>44733</v>
      </c>
      <c r="I5635" t="s">
        <v>8634</v>
      </c>
      <c r="J5635" t="s">
        <v>0</v>
      </c>
      <c r="K5635" s="9">
        <v>44862</v>
      </c>
      <c r="L5635" t="s">
        <v>29</v>
      </c>
      <c r="M5635"/>
      <c r="N5635"/>
      <c r="O5635"/>
      <c r="P5635"/>
      <c r="Q5635" s="9">
        <v>44862</v>
      </c>
      <c r="R5635" s="9">
        <v>44776.7356828704</v>
      </c>
      <c r="S5635"/>
      <c r="T5635"/>
      <c r="U5635"/>
    </row>
    <row r="5636" spans="1:21" hidden="1">
      <c r="A5636" s="7" t="s">
        <v>8825</v>
      </c>
      <c r="B5636" s="7" t="s">
        <v>5405</v>
      </c>
      <c r="C5636" s="8" t="s">
        <v>5319</v>
      </c>
      <c r="D5636" t="s">
        <v>272</v>
      </c>
      <c r="E5636" t="s">
        <v>25</v>
      </c>
      <c r="F5636" t="s">
        <v>111</v>
      </c>
      <c r="G5636" t="s">
        <v>3020</v>
      </c>
      <c r="H5636" s="9">
        <v>44733</v>
      </c>
      <c r="I5636" t="s">
        <v>8634</v>
      </c>
      <c r="J5636" t="s">
        <v>0</v>
      </c>
      <c r="K5636" s="9">
        <v>44881</v>
      </c>
      <c r="L5636" t="s">
        <v>29</v>
      </c>
      <c r="M5636"/>
      <c r="N5636"/>
      <c r="O5636"/>
      <c r="P5636"/>
      <c r="Q5636" s="9">
        <v>44881</v>
      </c>
      <c r="R5636"/>
      <c r="S5636"/>
      <c r="T5636"/>
      <c r="U5636"/>
    </row>
    <row r="5637" spans="1:21" hidden="1">
      <c r="A5637" s="7" t="s">
        <v>8825</v>
      </c>
      <c r="B5637" s="7" t="s">
        <v>5405</v>
      </c>
      <c r="C5637" s="8" t="s">
        <v>5319</v>
      </c>
      <c r="D5637" t="s">
        <v>272</v>
      </c>
      <c r="E5637" t="s">
        <v>25</v>
      </c>
      <c r="F5637" t="s">
        <v>111</v>
      </c>
      <c r="G5637" t="s">
        <v>3021</v>
      </c>
      <c r="H5637" s="9">
        <v>44733</v>
      </c>
      <c r="I5637" t="s">
        <v>8634</v>
      </c>
      <c r="J5637" t="s">
        <v>0</v>
      </c>
      <c r="K5637" s="9">
        <v>44881</v>
      </c>
      <c r="L5637" t="s">
        <v>29</v>
      </c>
      <c r="M5637"/>
      <c r="N5637"/>
      <c r="O5637"/>
      <c r="P5637"/>
      <c r="Q5637" s="9">
        <v>44881</v>
      </c>
      <c r="R5637"/>
      <c r="S5637"/>
      <c r="T5637"/>
      <c r="U5637"/>
    </row>
    <row r="5638" spans="1:21" hidden="1">
      <c r="A5638" s="7" t="s">
        <v>8742</v>
      </c>
      <c r="B5638" s="7" t="s">
        <v>6943</v>
      </c>
      <c r="C5638" s="8" t="s">
        <v>5319</v>
      </c>
      <c r="D5638" t="s">
        <v>272</v>
      </c>
      <c r="E5638" t="s">
        <v>324</v>
      </c>
      <c r="F5638" t="s">
        <v>75</v>
      </c>
      <c r="G5638" t="s">
        <v>3022</v>
      </c>
      <c r="H5638" s="9">
        <v>44733</v>
      </c>
      <c r="I5638" t="s">
        <v>282</v>
      </c>
      <c r="J5638" t="s">
        <v>2</v>
      </c>
      <c r="K5638" s="9">
        <v>44817</v>
      </c>
      <c r="L5638" t="s">
        <v>29</v>
      </c>
      <c r="M5638" t="s">
        <v>5331</v>
      </c>
      <c r="N5638" s="9">
        <v>44778</v>
      </c>
      <c r="O5638"/>
      <c r="P5638"/>
      <c r="Q5638" s="9">
        <v>44817</v>
      </c>
      <c r="R5638" s="9">
        <v>44816.486284722203</v>
      </c>
      <c r="S5638"/>
      <c r="T5638"/>
      <c r="U5638"/>
    </row>
    <row r="5639" spans="1:21" hidden="1">
      <c r="A5639" s="7" t="s">
        <v>8742</v>
      </c>
      <c r="B5639" s="7" t="s">
        <v>6943</v>
      </c>
      <c r="C5639" s="8" t="s">
        <v>5319</v>
      </c>
      <c r="D5639" t="s">
        <v>272</v>
      </c>
      <c r="E5639" t="s">
        <v>324</v>
      </c>
      <c r="F5639" t="s">
        <v>75</v>
      </c>
      <c r="G5639" t="s">
        <v>3023</v>
      </c>
      <c r="H5639" s="9">
        <v>44733</v>
      </c>
      <c r="I5639" t="s">
        <v>282</v>
      </c>
      <c r="J5639" t="s">
        <v>2</v>
      </c>
      <c r="K5639" s="9">
        <v>44817</v>
      </c>
      <c r="L5639" t="s">
        <v>29</v>
      </c>
      <c r="M5639" t="s">
        <v>5331</v>
      </c>
      <c r="N5639" s="9">
        <v>44778</v>
      </c>
      <c r="O5639"/>
      <c r="P5639"/>
      <c r="Q5639" s="9">
        <v>44817</v>
      </c>
      <c r="R5639" s="9">
        <v>44816.486284722203</v>
      </c>
      <c r="S5639"/>
      <c r="T5639"/>
      <c r="U5639"/>
    </row>
    <row r="5640" spans="1:21" hidden="1">
      <c r="A5640" s="7" t="s">
        <v>8742</v>
      </c>
      <c r="B5640" s="7" t="s">
        <v>6943</v>
      </c>
      <c r="C5640" s="8" t="s">
        <v>5319</v>
      </c>
      <c r="D5640" t="s">
        <v>272</v>
      </c>
      <c r="E5640" t="s">
        <v>324</v>
      </c>
      <c r="F5640" t="s">
        <v>75</v>
      </c>
      <c r="G5640" t="s">
        <v>3024</v>
      </c>
      <c r="H5640" s="9">
        <v>44733</v>
      </c>
      <c r="I5640" t="s">
        <v>282</v>
      </c>
      <c r="J5640" t="s">
        <v>2</v>
      </c>
      <c r="K5640" s="9">
        <v>44817</v>
      </c>
      <c r="L5640" t="s">
        <v>29</v>
      </c>
      <c r="M5640" t="s">
        <v>5331</v>
      </c>
      <c r="N5640" s="9">
        <v>44778</v>
      </c>
      <c r="O5640"/>
      <c r="P5640"/>
      <c r="Q5640" s="9">
        <v>44817</v>
      </c>
      <c r="R5640" s="9">
        <v>44816.486284722203</v>
      </c>
      <c r="S5640"/>
      <c r="T5640"/>
      <c r="U5640"/>
    </row>
    <row r="5641" spans="1:21" hidden="1">
      <c r="A5641" s="7" t="s">
        <v>8742</v>
      </c>
      <c r="B5641" s="7" t="s">
        <v>6943</v>
      </c>
      <c r="C5641" s="8" t="s">
        <v>5319</v>
      </c>
      <c r="D5641" t="s">
        <v>272</v>
      </c>
      <c r="E5641" t="s">
        <v>324</v>
      </c>
      <c r="F5641" t="s">
        <v>75</v>
      </c>
      <c r="G5641" t="s">
        <v>3025</v>
      </c>
      <c r="H5641" s="9">
        <v>44733</v>
      </c>
      <c r="I5641" t="s">
        <v>282</v>
      </c>
      <c r="J5641" t="s">
        <v>2</v>
      </c>
      <c r="K5641" s="9">
        <v>44817</v>
      </c>
      <c r="L5641" t="s">
        <v>29</v>
      </c>
      <c r="M5641" t="s">
        <v>5331</v>
      </c>
      <c r="N5641" s="9">
        <v>44778</v>
      </c>
      <c r="O5641"/>
      <c r="P5641"/>
      <c r="Q5641" s="9">
        <v>44817</v>
      </c>
      <c r="R5641" s="9">
        <v>44816.486284722203</v>
      </c>
      <c r="S5641"/>
      <c r="T5641"/>
      <c r="U5641"/>
    </row>
    <row r="5642" spans="1:21" hidden="1">
      <c r="A5642" s="7" t="s">
        <v>8742</v>
      </c>
      <c r="B5642" s="7" t="s">
        <v>6943</v>
      </c>
      <c r="C5642" s="8" t="s">
        <v>5319</v>
      </c>
      <c r="D5642" t="s">
        <v>272</v>
      </c>
      <c r="E5642" t="s">
        <v>324</v>
      </c>
      <c r="F5642" t="s">
        <v>75</v>
      </c>
      <c r="G5642" t="s">
        <v>3026</v>
      </c>
      <c r="H5642" s="9">
        <v>44733</v>
      </c>
      <c r="I5642" t="s">
        <v>282</v>
      </c>
      <c r="J5642" t="s">
        <v>2</v>
      </c>
      <c r="K5642" s="9">
        <v>44817</v>
      </c>
      <c r="L5642" t="s">
        <v>29</v>
      </c>
      <c r="M5642" t="s">
        <v>5331</v>
      </c>
      <c r="N5642" s="9">
        <v>44778</v>
      </c>
      <c r="O5642"/>
      <c r="P5642"/>
      <c r="Q5642" s="9">
        <v>44817</v>
      </c>
      <c r="R5642" s="9">
        <v>44816.486284722203</v>
      </c>
      <c r="S5642"/>
      <c r="T5642"/>
      <c r="U5642"/>
    </row>
    <row r="5643" spans="1:21" hidden="1">
      <c r="A5643" s="7" t="s">
        <v>8742</v>
      </c>
      <c r="B5643" s="7" t="s">
        <v>6943</v>
      </c>
      <c r="C5643" s="8" t="s">
        <v>5319</v>
      </c>
      <c r="D5643" t="s">
        <v>272</v>
      </c>
      <c r="E5643" t="s">
        <v>324</v>
      </c>
      <c r="F5643" t="s">
        <v>75</v>
      </c>
      <c r="G5643" t="s">
        <v>3027</v>
      </c>
      <c r="H5643" s="9">
        <v>44733</v>
      </c>
      <c r="I5643" t="s">
        <v>282</v>
      </c>
      <c r="J5643" t="s">
        <v>2</v>
      </c>
      <c r="K5643" s="9">
        <v>44817</v>
      </c>
      <c r="L5643" t="s">
        <v>29</v>
      </c>
      <c r="M5643" t="s">
        <v>5331</v>
      </c>
      <c r="N5643" s="9">
        <v>44778</v>
      </c>
      <c r="O5643"/>
      <c r="P5643"/>
      <c r="Q5643" s="9">
        <v>44817</v>
      </c>
      <c r="R5643" s="9">
        <v>44816.486284722203</v>
      </c>
      <c r="S5643"/>
      <c r="T5643"/>
      <c r="U5643"/>
    </row>
    <row r="5644" spans="1:21" hidden="1">
      <c r="A5644" s="7" t="s">
        <v>8742</v>
      </c>
      <c r="B5644" s="7" t="s">
        <v>6943</v>
      </c>
      <c r="C5644" s="8" t="s">
        <v>5319</v>
      </c>
      <c r="D5644" t="s">
        <v>272</v>
      </c>
      <c r="E5644" t="s">
        <v>324</v>
      </c>
      <c r="F5644" t="s">
        <v>75</v>
      </c>
      <c r="G5644" t="s">
        <v>3028</v>
      </c>
      <c r="H5644" s="9">
        <v>44733</v>
      </c>
      <c r="I5644" t="s">
        <v>282</v>
      </c>
      <c r="J5644" t="s">
        <v>2</v>
      </c>
      <c r="K5644" s="9">
        <v>44817</v>
      </c>
      <c r="L5644" t="s">
        <v>29</v>
      </c>
      <c r="M5644" t="s">
        <v>5331</v>
      </c>
      <c r="N5644" s="9">
        <v>44778</v>
      </c>
      <c r="O5644"/>
      <c r="P5644"/>
      <c r="Q5644" s="9">
        <v>44817</v>
      </c>
      <c r="R5644" s="9">
        <v>44816.486284722203</v>
      </c>
      <c r="S5644"/>
      <c r="T5644"/>
      <c r="U5644"/>
    </row>
    <row r="5645" spans="1:21" hidden="1">
      <c r="A5645" s="7" t="s">
        <v>8742</v>
      </c>
      <c r="B5645" s="7" t="s">
        <v>6943</v>
      </c>
      <c r="C5645" s="8" t="s">
        <v>5319</v>
      </c>
      <c r="D5645" t="s">
        <v>272</v>
      </c>
      <c r="E5645" t="s">
        <v>324</v>
      </c>
      <c r="F5645" t="s">
        <v>75</v>
      </c>
      <c r="G5645" t="s">
        <v>3029</v>
      </c>
      <c r="H5645" s="9">
        <v>44733</v>
      </c>
      <c r="I5645" t="s">
        <v>282</v>
      </c>
      <c r="J5645" t="s">
        <v>2</v>
      </c>
      <c r="K5645" s="9">
        <v>44817</v>
      </c>
      <c r="L5645" t="s">
        <v>29</v>
      </c>
      <c r="M5645" t="s">
        <v>5331</v>
      </c>
      <c r="N5645" s="9">
        <v>44778</v>
      </c>
      <c r="O5645"/>
      <c r="P5645"/>
      <c r="Q5645" s="9">
        <v>44817</v>
      </c>
      <c r="R5645" s="9">
        <v>44816.486284722203</v>
      </c>
      <c r="S5645"/>
      <c r="T5645"/>
      <c r="U5645"/>
    </row>
    <row r="5646" spans="1:21" hidden="1">
      <c r="A5646" s="7" t="s">
        <v>8742</v>
      </c>
      <c r="B5646" s="7" t="s">
        <v>6943</v>
      </c>
      <c r="C5646" s="8" t="s">
        <v>5319</v>
      </c>
      <c r="D5646" t="s">
        <v>272</v>
      </c>
      <c r="E5646" t="s">
        <v>324</v>
      </c>
      <c r="F5646" t="s">
        <v>75</v>
      </c>
      <c r="G5646" t="s">
        <v>3030</v>
      </c>
      <c r="H5646" s="9">
        <v>44733</v>
      </c>
      <c r="I5646" t="s">
        <v>282</v>
      </c>
      <c r="J5646" t="s">
        <v>2</v>
      </c>
      <c r="K5646" s="9">
        <v>44817</v>
      </c>
      <c r="L5646" t="s">
        <v>29</v>
      </c>
      <c r="M5646" t="s">
        <v>5331</v>
      </c>
      <c r="N5646" s="9">
        <v>44778</v>
      </c>
      <c r="O5646"/>
      <c r="P5646"/>
      <c r="Q5646" s="9">
        <v>44817</v>
      </c>
      <c r="R5646" s="9">
        <v>44816.486284722203</v>
      </c>
      <c r="S5646"/>
      <c r="T5646"/>
      <c r="U5646"/>
    </row>
    <row r="5647" spans="1:21" hidden="1">
      <c r="A5647" s="7" t="s">
        <v>8742</v>
      </c>
      <c r="B5647" s="7" t="s">
        <v>6943</v>
      </c>
      <c r="C5647" s="8" t="s">
        <v>5319</v>
      </c>
      <c r="D5647" t="s">
        <v>272</v>
      </c>
      <c r="E5647" t="s">
        <v>324</v>
      </c>
      <c r="F5647" t="s">
        <v>75</v>
      </c>
      <c r="G5647" t="s">
        <v>3031</v>
      </c>
      <c r="H5647" s="9">
        <v>44733</v>
      </c>
      <c r="I5647" t="s">
        <v>282</v>
      </c>
      <c r="J5647" t="s">
        <v>2</v>
      </c>
      <c r="K5647" s="9">
        <v>44817</v>
      </c>
      <c r="L5647" t="s">
        <v>29</v>
      </c>
      <c r="M5647" t="s">
        <v>5331</v>
      </c>
      <c r="N5647" s="9">
        <v>44778</v>
      </c>
      <c r="O5647"/>
      <c r="P5647"/>
      <c r="Q5647" s="9">
        <v>44817</v>
      </c>
      <c r="R5647" s="9">
        <v>44816.486284722203</v>
      </c>
      <c r="S5647"/>
      <c r="T5647"/>
      <c r="U5647"/>
    </row>
    <row r="5648" spans="1:21" hidden="1">
      <c r="A5648" s="7" t="s">
        <v>8742</v>
      </c>
      <c r="B5648" s="7" t="s">
        <v>6943</v>
      </c>
      <c r="C5648" s="8" t="s">
        <v>5319</v>
      </c>
      <c r="D5648" t="s">
        <v>272</v>
      </c>
      <c r="E5648" t="s">
        <v>324</v>
      </c>
      <c r="F5648" t="s">
        <v>75</v>
      </c>
      <c r="G5648" t="s">
        <v>3032</v>
      </c>
      <c r="H5648" s="9">
        <v>44733</v>
      </c>
      <c r="I5648" t="s">
        <v>282</v>
      </c>
      <c r="J5648" t="s">
        <v>2</v>
      </c>
      <c r="K5648" s="9">
        <v>44817</v>
      </c>
      <c r="L5648" t="s">
        <v>29</v>
      </c>
      <c r="M5648" t="s">
        <v>5331</v>
      </c>
      <c r="N5648" s="9">
        <v>44778</v>
      </c>
      <c r="O5648"/>
      <c r="P5648"/>
      <c r="Q5648" s="9">
        <v>44817</v>
      </c>
      <c r="R5648" s="9">
        <v>44816.486284722203</v>
      </c>
      <c r="S5648"/>
      <c r="T5648"/>
      <c r="U5648"/>
    </row>
    <row r="5649" spans="1:21" hidden="1">
      <c r="A5649" s="7" t="s">
        <v>8742</v>
      </c>
      <c r="B5649" s="7" t="s">
        <v>6943</v>
      </c>
      <c r="C5649" s="8" t="s">
        <v>5319</v>
      </c>
      <c r="D5649" t="s">
        <v>272</v>
      </c>
      <c r="E5649" t="s">
        <v>324</v>
      </c>
      <c r="F5649" t="s">
        <v>75</v>
      </c>
      <c r="G5649" t="s">
        <v>3033</v>
      </c>
      <c r="H5649" s="9">
        <v>44733</v>
      </c>
      <c r="I5649" t="s">
        <v>282</v>
      </c>
      <c r="J5649" t="s">
        <v>2</v>
      </c>
      <c r="K5649" s="9">
        <v>44817</v>
      </c>
      <c r="L5649" t="s">
        <v>29</v>
      </c>
      <c r="M5649" t="s">
        <v>5331</v>
      </c>
      <c r="N5649" s="9">
        <v>44778</v>
      </c>
      <c r="O5649"/>
      <c r="P5649"/>
      <c r="Q5649" s="9">
        <v>44817</v>
      </c>
      <c r="R5649" s="9">
        <v>44816.486284722203</v>
      </c>
      <c r="S5649"/>
      <c r="T5649"/>
      <c r="U5649"/>
    </row>
    <row r="5650" spans="1:21" hidden="1">
      <c r="A5650" s="7" t="s">
        <v>8742</v>
      </c>
      <c r="B5650" s="7" t="s">
        <v>6943</v>
      </c>
      <c r="C5650" s="8" t="s">
        <v>5319</v>
      </c>
      <c r="D5650" t="s">
        <v>272</v>
      </c>
      <c r="E5650" t="s">
        <v>324</v>
      </c>
      <c r="F5650" t="s">
        <v>75</v>
      </c>
      <c r="G5650" t="s">
        <v>3034</v>
      </c>
      <c r="H5650" s="9">
        <v>44733</v>
      </c>
      <c r="I5650" t="s">
        <v>282</v>
      </c>
      <c r="J5650" t="s">
        <v>2</v>
      </c>
      <c r="K5650" s="9">
        <v>44817</v>
      </c>
      <c r="L5650" t="s">
        <v>29</v>
      </c>
      <c r="M5650" t="s">
        <v>5331</v>
      </c>
      <c r="N5650" s="9">
        <v>44778</v>
      </c>
      <c r="O5650"/>
      <c r="P5650"/>
      <c r="Q5650" s="9">
        <v>44817</v>
      </c>
      <c r="R5650" s="9">
        <v>44816.486284722203</v>
      </c>
      <c r="S5650"/>
      <c r="T5650"/>
      <c r="U5650"/>
    </row>
    <row r="5651" spans="1:21" hidden="1">
      <c r="A5651" s="7" t="s">
        <v>8742</v>
      </c>
      <c r="B5651" s="7" t="s">
        <v>6943</v>
      </c>
      <c r="C5651" s="8" t="s">
        <v>5319</v>
      </c>
      <c r="D5651" t="s">
        <v>272</v>
      </c>
      <c r="E5651" t="s">
        <v>324</v>
      </c>
      <c r="F5651" t="s">
        <v>75</v>
      </c>
      <c r="G5651" t="s">
        <v>3035</v>
      </c>
      <c r="H5651" s="9">
        <v>44733</v>
      </c>
      <c r="I5651" t="s">
        <v>282</v>
      </c>
      <c r="J5651" t="s">
        <v>2</v>
      </c>
      <c r="K5651" s="9">
        <v>44817</v>
      </c>
      <c r="L5651" t="s">
        <v>29</v>
      </c>
      <c r="M5651" t="s">
        <v>5331</v>
      </c>
      <c r="N5651" s="9">
        <v>44778</v>
      </c>
      <c r="O5651"/>
      <c r="P5651"/>
      <c r="Q5651" s="9">
        <v>44817</v>
      </c>
      <c r="R5651" s="9">
        <v>44816.486284722203</v>
      </c>
      <c r="S5651"/>
      <c r="T5651"/>
      <c r="U5651"/>
    </row>
    <row r="5652" spans="1:21" hidden="1">
      <c r="A5652" s="7" t="s">
        <v>8742</v>
      </c>
      <c r="B5652" s="7" t="s">
        <v>6943</v>
      </c>
      <c r="C5652" s="8" t="s">
        <v>5319</v>
      </c>
      <c r="D5652" t="s">
        <v>272</v>
      </c>
      <c r="E5652" t="s">
        <v>324</v>
      </c>
      <c r="F5652" t="s">
        <v>75</v>
      </c>
      <c r="G5652" t="s">
        <v>3036</v>
      </c>
      <c r="H5652" s="9">
        <v>44733</v>
      </c>
      <c r="I5652" t="s">
        <v>282</v>
      </c>
      <c r="J5652" t="s">
        <v>2</v>
      </c>
      <c r="K5652" s="9">
        <v>44817</v>
      </c>
      <c r="L5652" t="s">
        <v>29</v>
      </c>
      <c r="M5652" t="s">
        <v>5331</v>
      </c>
      <c r="N5652" s="9">
        <v>44778</v>
      </c>
      <c r="O5652"/>
      <c r="P5652"/>
      <c r="Q5652" s="9">
        <v>44817</v>
      </c>
      <c r="R5652" s="9">
        <v>44816.486284722203</v>
      </c>
      <c r="S5652"/>
      <c r="T5652"/>
      <c r="U5652"/>
    </row>
    <row r="5653" spans="1:21" hidden="1">
      <c r="A5653" s="7" t="s">
        <v>8742</v>
      </c>
      <c r="B5653" s="7" t="s">
        <v>6943</v>
      </c>
      <c r="C5653" s="8" t="s">
        <v>5319</v>
      </c>
      <c r="D5653" t="s">
        <v>272</v>
      </c>
      <c r="E5653" t="s">
        <v>324</v>
      </c>
      <c r="F5653" t="s">
        <v>75</v>
      </c>
      <c r="G5653" t="s">
        <v>3037</v>
      </c>
      <c r="H5653" s="9">
        <v>44733</v>
      </c>
      <c r="I5653" t="s">
        <v>282</v>
      </c>
      <c r="J5653" t="s">
        <v>2</v>
      </c>
      <c r="K5653" s="9">
        <v>44817</v>
      </c>
      <c r="L5653" t="s">
        <v>29</v>
      </c>
      <c r="M5653" t="s">
        <v>5331</v>
      </c>
      <c r="N5653" s="9">
        <v>44778</v>
      </c>
      <c r="O5653"/>
      <c r="P5653"/>
      <c r="Q5653" s="9">
        <v>44817</v>
      </c>
      <c r="R5653" s="9">
        <v>44816.486284722203</v>
      </c>
      <c r="S5653"/>
      <c r="T5653"/>
      <c r="U5653"/>
    </row>
    <row r="5654" spans="1:21" hidden="1">
      <c r="A5654" s="7" t="s">
        <v>8764</v>
      </c>
      <c r="B5654" s="7" t="s">
        <v>5405</v>
      </c>
      <c r="C5654" s="8" t="s">
        <v>5319</v>
      </c>
      <c r="D5654" t="s">
        <v>272</v>
      </c>
      <c r="E5654" t="s">
        <v>25</v>
      </c>
      <c r="F5654" t="s">
        <v>75</v>
      </c>
      <c r="G5654" t="s">
        <v>722</v>
      </c>
      <c r="H5654" s="9">
        <v>44733</v>
      </c>
      <c r="I5654" t="s">
        <v>8634</v>
      </c>
      <c r="J5654" t="s">
        <v>2</v>
      </c>
      <c r="K5654" s="9">
        <v>44862</v>
      </c>
      <c r="L5654" t="s">
        <v>29</v>
      </c>
      <c r="M5654" t="s">
        <v>5331</v>
      </c>
      <c r="N5654" s="9">
        <v>44778</v>
      </c>
      <c r="O5654"/>
      <c r="P5654"/>
      <c r="Q5654" s="9">
        <v>44862</v>
      </c>
      <c r="R5654"/>
      <c r="S5654"/>
      <c r="T5654"/>
      <c r="U5654"/>
    </row>
    <row r="5655" spans="1:21" hidden="1">
      <c r="A5655" s="7" t="s">
        <v>8758</v>
      </c>
      <c r="B5655" s="7" t="s">
        <v>5405</v>
      </c>
      <c r="C5655" s="8" t="s">
        <v>5319</v>
      </c>
      <c r="D5655" t="s">
        <v>272</v>
      </c>
      <c r="E5655" t="s">
        <v>25</v>
      </c>
      <c r="F5655" t="s">
        <v>493</v>
      </c>
      <c r="G5655" t="s">
        <v>1650</v>
      </c>
      <c r="H5655" s="9">
        <v>44733</v>
      </c>
      <c r="I5655" t="s">
        <v>8634</v>
      </c>
      <c r="J5655" t="s">
        <v>0</v>
      </c>
      <c r="K5655" s="9">
        <v>44862</v>
      </c>
      <c r="L5655" t="s">
        <v>29</v>
      </c>
      <c r="M5655"/>
      <c r="N5655"/>
      <c r="O5655"/>
      <c r="P5655"/>
      <c r="Q5655" s="9">
        <v>44862</v>
      </c>
      <c r="R5655"/>
      <c r="S5655"/>
      <c r="T5655"/>
      <c r="U5655"/>
    </row>
    <row r="5656" spans="1:21" hidden="1">
      <c r="A5656" s="7" t="s">
        <v>8728</v>
      </c>
      <c r="B5656" s="7" t="s">
        <v>5405</v>
      </c>
      <c r="C5656" s="8" t="s">
        <v>5319</v>
      </c>
      <c r="D5656" t="s">
        <v>272</v>
      </c>
      <c r="E5656" t="s">
        <v>25</v>
      </c>
      <c r="F5656" t="s">
        <v>200</v>
      </c>
      <c r="G5656" t="s">
        <v>3038</v>
      </c>
      <c r="H5656" s="9">
        <v>44733</v>
      </c>
      <c r="I5656" t="s">
        <v>8634</v>
      </c>
      <c r="J5656" t="s">
        <v>0</v>
      </c>
      <c r="K5656" s="9">
        <v>44862</v>
      </c>
      <c r="L5656" t="s">
        <v>29</v>
      </c>
      <c r="M5656"/>
      <c r="N5656"/>
      <c r="O5656"/>
      <c r="P5656"/>
      <c r="Q5656" s="9">
        <v>44862</v>
      </c>
      <c r="R5656"/>
      <c r="S5656"/>
      <c r="T5656"/>
      <c r="U5656"/>
    </row>
    <row r="5657" spans="1:21" hidden="1">
      <c r="A5657" s="7" t="s">
        <v>8758</v>
      </c>
      <c r="B5657" s="7" t="s">
        <v>5405</v>
      </c>
      <c r="C5657" s="8" t="s">
        <v>5319</v>
      </c>
      <c r="D5657" t="s">
        <v>272</v>
      </c>
      <c r="E5657" t="s">
        <v>25</v>
      </c>
      <c r="F5657" t="s">
        <v>493</v>
      </c>
      <c r="G5657" t="s">
        <v>3039</v>
      </c>
      <c r="H5657" s="9">
        <v>44733</v>
      </c>
      <c r="I5657" t="s">
        <v>8634</v>
      </c>
      <c r="J5657" t="s">
        <v>0</v>
      </c>
      <c r="K5657" s="9">
        <v>44862</v>
      </c>
      <c r="L5657" t="s">
        <v>29</v>
      </c>
      <c r="M5657"/>
      <c r="N5657"/>
      <c r="O5657"/>
      <c r="P5657"/>
      <c r="Q5657" s="9">
        <v>44862</v>
      </c>
      <c r="R5657"/>
      <c r="S5657"/>
      <c r="T5657"/>
      <c r="U5657"/>
    </row>
    <row r="5658" spans="1:21" hidden="1">
      <c r="A5658" s="7" t="s">
        <v>8728</v>
      </c>
      <c r="B5658" s="7" t="s">
        <v>5405</v>
      </c>
      <c r="C5658" s="8" t="s">
        <v>5319</v>
      </c>
      <c r="D5658" t="s">
        <v>272</v>
      </c>
      <c r="E5658" t="s">
        <v>25</v>
      </c>
      <c r="F5658" t="s">
        <v>200</v>
      </c>
      <c r="G5658" t="s">
        <v>3040</v>
      </c>
      <c r="H5658" s="9">
        <v>44733</v>
      </c>
      <c r="I5658" t="s">
        <v>8634</v>
      </c>
      <c r="J5658" t="s">
        <v>0</v>
      </c>
      <c r="K5658" s="9">
        <v>44862</v>
      </c>
      <c r="L5658" t="s">
        <v>29</v>
      </c>
      <c r="M5658"/>
      <c r="N5658"/>
      <c r="O5658"/>
      <c r="P5658"/>
      <c r="Q5658" s="9">
        <v>44862</v>
      </c>
      <c r="R5658"/>
      <c r="S5658"/>
      <c r="T5658"/>
      <c r="U5658"/>
    </row>
    <row r="5659" spans="1:21" hidden="1">
      <c r="A5659" s="7" t="s">
        <v>8728</v>
      </c>
      <c r="B5659" s="7" t="s">
        <v>5405</v>
      </c>
      <c r="C5659" s="8" t="s">
        <v>5319</v>
      </c>
      <c r="D5659" t="s">
        <v>272</v>
      </c>
      <c r="E5659" t="s">
        <v>25</v>
      </c>
      <c r="F5659" t="s">
        <v>200</v>
      </c>
      <c r="G5659" t="s">
        <v>3041</v>
      </c>
      <c r="H5659" s="9">
        <v>44733</v>
      </c>
      <c r="I5659" t="s">
        <v>8634</v>
      </c>
      <c r="J5659" t="s">
        <v>0</v>
      </c>
      <c r="K5659" s="9">
        <v>44862</v>
      </c>
      <c r="L5659" t="s">
        <v>29</v>
      </c>
      <c r="M5659"/>
      <c r="N5659"/>
      <c r="O5659"/>
      <c r="P5659"/>
      <c r="Q5659" s="9">
        <v>44862</v>
      </c>
      <c r="R5659"/>
      <c r="S5659"/>
      <c r="T5659"/>
      <c r="U5659"/>
    </row>
    <row r="5660" spans="1:21" hidden="1">
      <c r="A5660" s="7" t="s">
        <v>8728</v>
      </c>
      <c r="B5660" s="7" t="s">
        <v>5405</v>
      </c>
      <c r="C5660" s="8" t="s">
        <v>5319</v>
      </c>
      <c r="D5660" t="s">
        <v>272</v>
      </c>
      <c r="E5660" t="s">
        <v>25</v>
      </c>
      <c r="F5660" t="s">
        <v>200</v>
      </c>
      <c r="G5660" t="s">
        <v>3042</v>
      </c>
      <c r="H5660" s="9">
        <v>44733</v>
      </c>
      <c r="I5660" t="s">
        <v>8634</v>
      </c>
      <c r="J5660" t="s">
        <v>0</v>
      </c>
      <c r="K5660" s="9">
        <v>44862</v>
      </c>
      <c r="L5660" t="s">
        <v>29</v>
      </c>
      <c r="M5660"/>
      <c r="N5660"/>
      <c r="O5660"/>
      <c r="P5660"/>
      <c r="Q5660" s="9">
        <v>44862</v>
      </c>
      <c r="R5660"/>
      <c r="S5660"/>
      <c r="T5660"/>
      <c r="U5660"/>
    </row>
    <row r="5661" spans="1:21" hidden="1">
      <c r="A5661" s="7" t="s">
        <v>8758</v>
      </c>
      <c r="B5661" s="7" t="s">
        <v>5405</v>
      </c>
      <c r="C5661" s="8" t="s">
        <v>5319</v>
      </c>
      <c r="D5661" t="s">
        <v>272</v>
      </c>
      <c r="E5661" t="s">
        <v>25</v>
      </c>
      <c r="F5661" t="s">
        <v>493</v>
      </c>
      <c r="G5661" t="s">
        <v>3043</v>
      </c>
      <c r="H5661" s="9">
        <v>44733</v>
      </c>
      <c r="I5661" t="s">
        <v>8634</v>
      </c>
      <c r="J5661" t="s">
        <v>0</v>
      </c>
      <c r="K5661" s="9">
        <v>44862</v>
      </c>
      <c r="L5661" t="s">
        <v>29</v>
      </c>
      <c r="M5661"/>
      <c r="N5661"/>
      <c r="O5661"/>
      <c r="P5661"/>
      <c r="Q5661" s="9">
        <v>44862</v>
      </c>
      <c r="R5661"/>
      <c r="S5661"/>
      <c r="T5661"/>
      <c r="U5661"/>
    </row>
    <row r="5662" spans="1:21" hidden="1">
      <c r="A5662" s="7" t="s">
        <v>8758</v>
      </c>
      <c r="B5662" s="7" t="s">
        <v>5405</v>
      </c>
      <c r="C5662" s="8" t="s">
        <v>5319</v>
      </c>
      <c r="D5662" t="s">
        <v>272</v>
      </c>
      <c r="E5662" t="s">
        <v>25</v>
      </c>
      <c r="F5662" t="s">
        <v>493</v>
      </c>
      <c r="G5662" t="s">
        <v>3044</v>
      </c>
      <c r="H5662" s="9">
        <v>44733</v>
      </c>
      <c r="I5662" t="s">
        <v>8634</v>
      </c>
      <c r="J5662" t="s">
        <v>0</v>
      </c>
      <c r="K5662" s="9">
        <v>44862</v>
      </c>
      <c r="L5662" t="s">
        <v>29</v>
      </c>
      <c r="M5662"/>
      <c r="N5662"/>
      <c r="O5662"/>
      <c r="P5662"/>
      <c r="Q5662" s="9">
        <v>44862</v>
      </c>
      <c r="R5662"/>
      <c r="S5662"/>
      <c r="T5662"/>
      <c r="U5662"/>
    </row>
    <row r="5663" spans="1:21" hidden="1">
      <c r="A5663" s="7" t="s">
        <v>8758</v>
      </c>
      <c r="B5663" s="7" t="s">
        <v>5405</v>
      </c>
      <c r="C5663" s="8" t="s">
        <v>5319</v>
      </c>
      <c r="D5663" t="s">
        <v>272</v>
      </c>
      <c r="E5663" t="s">
        <v>25</v>
      </c>
      <c r="F5663" t="s">
        <v>493</v>
      </c>
      <c r="G5663" t="s">
        <v>3045</v>
      </c>
      <c r="H5663" s="9">
        <v>44733</v>
      </c>
      <c r="I5663" t="s">
        <v>8634</v>
      </c>
      <c r="J5663" t="s">
        <v>0</v>
      </c>
      <c r="K5663" s="9">
        <v>44862</v>
      </c>
      <c r="L5663" t="s">
        <v>29</v>
      </c>
      <c r="M5663"/>
      <c r="N5663"/>
      <c r="O5663"/>
      <c r="P5663"/>
      <c r="Q5663" s="9">
        <v>44862</v>
      </c>
      <c r="R5663"/>
      <c r="S5663"/>
      <c r="T5663"/>
      <c r="U5663"/>
    </row>
    <row r="5664" spans="1:21" hidden="1">
      <c r="A5664" s="7" t="s">
        <v>8758</v>
      </c>
      <c r="B5664" s="7" t="s">
        <v>5405</v>
      </c>
      <c r="C5664" s="8" t="s">
        <v>5319</v>
      </c>
      <c r="D5664" t="s">
        <v>272</v>
      </c>
      <c r="E5664" t="s">
        <v>25</v>
      </c>
      <c r="F5664" t="s">
        <v>493</v>
      </c>
      <c r="G5664" t="s">
        <v>3046</v>
      </c>
      <c r="H5664" s="9">
        <v>44733</v>
      </c>
      <c r="I5664" t="s">
        <v>8634</v>
      </c>
      <c r="J5664" t="s">
        <v>0</v>
      </c>
      <c r="K5664" s="9">
        <v>44862</v>
      </c>
      <c r="L5664" t="s">
        <v>29</v>
      </c>
      <c r="M5664"/>
      <c r="N5664"/>
      <c r="O5664"/>
      <c r="P5664"/>
      <c r="Q5664" s="9">
        <v>44862</v>
      </c>
      <c r="R5664"/>
      <c r="S5664"/>
      <c r="T5664"/>
      <c r="U5664"/>
    </row>
    <row r="5665" spans="1:21" hidden="1">
      <c r="A5665" s="7" t="s">
        <v>8758</v>
      </c>
      <c r="B5665" s="7" t="s">
        <v>5405</v>
      </c>
      <c r="C5665" s="8" t="s">
        <v>5319</v>
      </c>
      <c r="D5665" t="s">
        <v>272</v>
      </c>
      <c r="E5665" t="s">
        <v>25</v>
      </c>
      <c r="F5665" t="s">
        <v>493</v>
      </c>
      <c r="G5665" t="s">
        <v>3047</v>
      </c>
      <c r="H5665" s="9">
        <v>44733</v>
      </c>
      <c r="I5665" t="s">
        <v>8634</v>
      </c>
      <c r="J5665" t="s">
        <v>0</v>
      </c>
      <c r="K5665" s="9">
        <v>44862</v>
      </c>
      <c r="L5665" t="s">
        <v>29</v>
      </c>
      <c r="M5665"/>
      <c r="N5665"/>
      <c r="O5665"/>
      <c r="P5665"/>
      <c r="Q5665" s="9">
        <v>44862</v>
      </c>
      <c r="R5665" s="9">
        <v>44776.735254629602</v>
      </c>
      <c r="S5665"/>
      <c r="T5665"/>
      <c r="U5665"/>
    </row>
    <row r="5666" spans="1:21" hidden="1">
      <c r="A5666" s="7" t="s">
        <v>8825</v>
      </c>
      <c r="B5666" s="7" t="s">
        <v>5405</v>
      </c>
      <c r="C5666" s="8" t="s">
        <v>5319</v>
      </c>
      <c r="D5666" t="s">
        <v>272</v>
      </c>
      <c r="E5666" t="s">
        <v>25</v>
      </c>
      <c r="F5666" t="s">
        <v>111</v>
      </c>
      <c r="G5666" t="s">
        <v>1652</v>
      </c>
      <c r="H5666" s="9">
        <v>44733</v>
      </c>
      <c r="I5666" t="s">
        <v>8634</v>
      </c>
      <c r="J5666" t="s">
        <v>0</v>
      </c>
      <c r="K5666" s="9">
        <v>44881</v>
      </c>
      <c r="L5666" t="s">
        <v>29</v>
      </c>
      <c r="M5666"/>
      <c r="N5666"/>
      <c r="O5666"/>
      <c r="P5666"/>
      <c r="Q5666" s="9">
        <v>44881</v>
      </c>
      <c r="R5666"/>
      <c r="S5666"/>
      <c r="T5666"/>
      <c r="U5666"/>
    </row>
    <row r="5667" spans="1:21" hidden="1">
      <c r="A5667" s="7" t="s">
        <v>8728</v>
      </c>
      <c r="B5667" s="7" t="s">
        <v>5405</v>
      </c>
      <c r="C5667" s="8" t="s">
        <v>5319</v>
      </c>
      <c r="D5667" t="s">
        <v>272</v>
      </c>
      <c r="E5667" t="s">
        <v>25</v>
      </c>
      <c r="F5667" t="s">
        <v>200</v>
      </c>
      <c r="G5667" t="s">
        <v>3048</v>
      </c>
      <c r="H5667" s="9">
        <v>44733</v>
      </c>
      <c r="I5667" t="s">
        <v>8634</v>
      </c>
      <c r="J5667" t="s">
        <v>0</v>
      </c>
      <c r="K5667" s="9">
        <v>44862</v>
      </c>
      <c r="L5667" t="s">
        <v>29</v>
      </c>
      <c r="M5667"/>
      <c r="N5667"/>
      <c r="O5667"/>
      <c r="P5667"/>
      <c r="Q5667" s="9">
        <v>44862</v>
      </c>
      <c r="R5667"/>
      <c r="S5667"/>
      <c r="T5667"/>
      <c r="U5667"/>
    </row>
    <row r="5668" spans="1:21" hidden="1">
      <c r="A5668" s="7" t="s">
        <v>8758</v>
      </c>
      <c r="B5668" s="7" t="s">
        <v>5405</v>
      </c>
      <c r="C5668" s="8" t="s">
        <v>5319</v>
      </c>
      <c r="D5668" t="s">
        <v>272</v>
      </c>
      <c r="E5668" t="s">
        <v>25</v>
      </c>
      <c r="F5668" t="s">
        <v>493</v>
      </c>
      <c r="G5668" t="s">
        <v>3049</v>
      </c>
      <c r="H5668" s="9">
        <v>44733</v>
      </c>
      <c r="I5668" t="s">
        <v>8634</v>
      </c>
      <c r="J5668" t="s">
        <v>0</v>
      </c>
      <c r="K5668" s="9">
        <v>44862</v>
      </c>
      <c r="L5668" t="s">
        <v>29</v>
      </c>
      <c r="M5668"/>
      <c r="N5668"/>
      <c r="O5668"/>
      <c r="P5668"/>
      <c r="Q5668" s="9">
        <v>44862</v>
      </c>
      <c r="R5668"/>
      <c r="S5668"/>
      <c r="T5668"/>
      <c r="U5668"/>
    </row>
    <row r="5669" spans="1:21" hidden="1">
      <c r="A5669" s="7" t="s">
        <v>8836</v>
      </c>
      <c r="B5669" s="7" t="s">
        <v>7786</v>
      </c>
      <c r="C5669" s="8" t="s">
        <v>5319</v>
      </c>
      <c r="D5669" t="s">
        <v>272</v>
      </c>
      <c r="E5669" t="s">
        <v>1888</v>
      </c>
      <c r="F5669" t="s">
        <v>117</v>
      </c>
      <c r="G5669" t="s">
        <v>1889</v>
      </c>
      <c r="H5669" s="9">
        <v>44733</v>
      </c>
      <c r="I5669" t="s">
        <v>275</v>
      </c>
      <c r="J5669" t="s">
        <v>2</v>
      </c>
      <c r="K5669" s="9">
        <v>44834</v>
      </c>
      <c r="L5669" t="s">
        <v>29</v>
      </c>
      <c r="M5669" t="s">
        <v>5331</v>
      </c>
      <c r="N5669" s="9">
        <v>44778</v>
      </c>
      <c r="O5669" s="9">
        <v>44834</v>
      </c>
      <c r="P5669"/>
      <c r="Q5669"/>
      <c r="R5669"/>
      <c r="S5669"/>
      <c r="T5669"/>
      <c r="U5669"/>
    </row>
    <row r="5670" spans="1:21" hidden="1">
      <c r="A5670" s="7" t="s">
        <v>8763</v>
      </c>
      <c r="B5670" s="7" t="s">
        <v>5405</v>
      </c>
      <c r="C5670" s="8" t="s">
        <v>5319</v>
      </c>
      <c r="D5670" t="s">
        <v>168</v>
      </c>
      <c r="E5670" t="s">
        <v>25</v>
      </c>
      <c r="F5670" t="s">
        <v>280</v>
      </c>
      <c r="G5670" t="s">
        <v>3050</v>
      </c>
      <c r="H5670" s="9">
        <v>44733</v>
      </c>
      <c r="I5670" t="s">
        <v>8634</v>
      </c>
      <c r="J5670" t="s">
        <v>0</v>
      </c>
      <c r="K5670" s="9">
        <v>44858</v>
      </c>
      <c r="L5670" t="s">
        <v>29</v>
      </c>
      <c r="M5670"/>
      <c r="N5670" s="9">
        <v>44778</v>
      </c>
      <c r="O5670"/>
      <c r="P5670"/>
      <c r="Q5670" s="9">
        <v>44858</v>
      </c>
      <c r="R5670"/>
      <c r="S5670"/>
      <c r="T5670"/>
      <c r="U5670"/>
    </row>
    <row r="5671" spans="1:21" hidden="1">
      <c r="A5671" s="7" t="s">
        <v>8763</v>
      </c>
      <c r="B5671" s="7" t="s">
        <v>5405</v>
      </c>
      <c r="C5671" s="8" t="s">
        <v>5319</v>
      </c>
      <c r="D5671" t="s">
        <v>168</v>
      </c>
      <c r="E5671" t="s">
        <v>25</v>
      </c>
      <c r="F5671" t="s">
        <v>280</v>
      </c>
      <c r="G5671" t="s">
        <v>3051</v>
      </c>
      <c r="H5671" s="9">
        <v>44733</v>
      </c>
      <c r="I5671" t="s">
        <v>8634</v>
      </c>
      <c r="J5671" t="s">
        <v>0</v>
      </c>
      <c r="K5671" s="9">
        <v>44858</v>
      </c>
      <c r="L5671" t="s">
        <v>29</v>
      </c>
      <c r="M5671"/>
      <c r="N5671" s="9">
        <v>44778</v>
      </c>
      <c r="O5671"/>
      <c r="P5671"/>
      <c r="Q5671" s="9">
        <v>44858</v>
      </c>
      <c r="R5671"/>
      <c r="S5671"/>
      <c r="T5671"/>
      <c r="U5671"/>
    </row>
    <row r="5672" spans="1:21" hidden="1">
      <c r="A5672" s="7" t="s">
        <v>8763</v>
      </c>
      <c r="B5672" s="7" t="s">
        <v>5405</v>
      </c>
      <c r="C5672" s="8" t="s">
        <v>5319</v>
      </c>
      <c r="D5672" t="s">
        <v>168</v>
      </c>
      <c r="E5672" t="s">
        <v>25</v>
      </c>
      <c r="F5672" t="s">
        <v>280</v>
      </c>
      <c r="G5672" t="s">
        <v>3052</v>
      </c>
      <c r="H5672" s="9">
        <v>44733</v>
      </c>
      <c r="I5672" t="s">
        <v>8634</v>
      </c>
      <c r="J5672" t="s">
        <v>0</v>
      </c>
      <c r="K5672" s="9">
        <v>44858</v>
      </c>
      <c r="L5672" t="s">
        <v>29</v>
      </c>
      <c r="M5672"/>
      <c r="N5672" s="9">
        <v>44778</v>
      </c>
      <c r="O5672"/>
      <c r="P5672"/>
      <c r="Q5672" s="9">
        <v>44858</v>
      </c>
      <c r="R5672"/>
      <c r="S5672"/>
      <c r="T5672"/>
      <c r="U5672"/>
    </row>
    <row r="5673" spans="1:21" hidden="1">
      <c r="A5673" s="7" t="s">
        <v>8763</v>
      </c>
      <c r="B5673" s="7" t="s">
        <v>5405</v>
      </c>
      <c r="C5673" s="8" t="s">
        <v>5319</v>
      </c>
      <c r="D5673" t="s">
        <v>168</v>
      </c>
      <c r="E5673" t="s">
        <v>25</v>
      </c>
      <c r="F5673" t="s">
        <v>280</v>
      </c>
      <c r="G5673" t="s">
        <v>3053</v>
      </c>
      <c r="H5673" s="9">
        <v>44733</v>
      </c>
      <c r="I5673" t="s">
        <v>8634</v>
      </c>
      <c r="J5673" t="s">
        <v>0</v>
      </c>
      <c r="K5673" s="9">
        <v>44858</v>
      </c>
      <c r="L5673" t="s">
        <v>29</v>
      </c>
      <c r="M5673"/>
      <c r="N5673" s="9">
        <v>44778</v>
      </c>
      <c r="O5673"/>
      <c r="P5673"/>
      <c r="Q5673" s="9">
        <v>44858</v>
      </c>
      <c r="R5673"/>
      <c r="S5673"/>
      <c r="T5673"/>
      <c r="U5673"/>
    </row>
    <row r="5674" spans="1:21" hidden="1">
      <c r="A5674" s="7" t="s">
        <v>8757</v>
      </c>
      <c r="B5674" s="7" t="s">
        <v>5405</v>
      </c>
      <c r="C5674" s="8" t="s">
        <v>5319</v>
      </c>
      <c r="D5674" t="s">
        <v>168</v>
      </c>
      <c r="E5674" t="s">
        <v>25</v>
      </c>
      <c r="F5674" t="s">
        <v>491</v>
      </c>
      <c r="G5674" t="s">
        <v>3054</v>
      </c>
      <c r="H5674" s="9">
        <v>44733</v>
      </c>
      <c r="I5674" t="s">
        <v>8634</v>
      </c>
      <c r="J5674" t="s">
        <v>0</v>
      </c>
      <c r="K5674" s="9">
        <v>44827</v>
      </c>
      <c r="L5674" t="s">
        <v>29</v>
      </c>
      <c r="M5674"/>
      <c r="N5674"/>
      <c r="O5674"/>
      <c r="P5674"/>
      <c r="Q5674" s="9">
        <v>44827</v>
      </c>
      <c r="R5674"/>
      <c r="S5674"/>
      <c r="T5674"/>
      <c r="U5674"/>
    </row>
    <row r="5675" spans="1:21" hidden="1">
      <c r="A5675" s="7" t="s">
        <v>8757</v>
      </c>
      <c r="B5675" s="7" t="s">
        <v>5405</v>
      </c>
      <c r="C5675" s="8" t="s">
        <v>5319</v>
      </c>
      <c r="D5675" t="s">
        <v>168</v>
      </c>
      <c r="E5675" t="s">
        <v>25</v>
      </c>
      <c r="F5675" t="s">
        <v>491</v>
      </c>
      <c r="G5675" t="s">
        <v>3055</v>
      </c>
      <c r="H5675" s="9">
        <v>44733</v>
      </c>
      <c r="I5675" t="s">
        <v>8634</v>
      </c>
      <c r="J5675" t="s">
        <v>0</v>
      </c>
      <c r="K5675" s="9">
        <v>44827</v>
      </c>
      <c r="L5675" t="s">
        <v>29</v>
      </c>
      <c r="M5675"/>
      <c r="N5675"/>
      <c r="O5675"/>
      <c r="P5675"/>
      <c r="Q5675" s="9">
        <v>44827</v>
      </c>
      <c r="R5675"/>
      <c r="S5675"/>
      <c r="T5675"/>
      <c r="U5675"/>
    </row>
    <row r="5676" spans="1:21" hidden="1">
      <c r="A5676" s="7" t="s">
        <v>8763</v>
      </c>
      <c r="B5676" s="7" t="s">
        <v>5405</v>
      </c>
      <c r="C5676" s="8" t="s">
        <v>5319</v>
      </c>
      <c r="D5676" t="s">
        <v>168</v>
      </c>
      <c r="E5676" t="s">
        <v>25</v>
      </c>
      <c r="F5676" t="s">
        <v>280</v>
      </c>
      <c r="G5676" t="s">
        <v>3056</v>
      </c>
      <c r="H5676" s="9">
        <v>44733</v>
      </c>
      <c r="I5676" t="s">
        <v>8634</v>
      </c>
      <c r="J5676" t="s">
        <v>0</v>
      </c>
      <c r="K5676" s="9">
        <v>44858</v>
      </c>
      <c r="L5676" t="s">
        <v>29</v>
      </c>
      <c r="M5676"/>
      <c r="N5676"/>
      <c r="O5676"/>
      <c r="P5676"/>
      <c r="Q5676" s="9">
        <v>44858</v>
      </c>
      <c r="R5676"/>
      <c r="S5676"/>
      <c r="T5676"/>
      <c r="U5676"/>
    </row>
    <row r="5677" spans="1:21" hidden="1">
      <c r="A5677" s="7" t="s">
        <v>8777</v>
      </c>
      <c r="B5677" s="7" t="s">
        <v>6307</v>
      </c>
      <c r="C5677" s="8" t="s">
        <v>5319</v>
      </c>
      <c r="D5677" t="s">
        <v>24</v>
      </c>
      <c r="E5677" t="s">
        <v>78</v>
      </c>
      <c r="F5677" t="s">
        <v>803</v>
      </c>
      <c r="G5677" t="s">
        <v>3057</v>
      </c>
      <c r="H5677" s="9">
        <v>44733</v>
      </c>
      <c r="I5677" t="s">
        <v>109</v>
      </c>
      <c r="J5677" t="s">
        <v>0</v>
      </c>
      <c r="K5677" s="9">
        <v>44855</v>
      </c>
      <c r="L5677" t="s">
        <v>29</v>
      </c>
      <c r="M5677"/>
      <c r="N5677" s="9">
        <v>44778</v>
      </c>
      <c r="O5677" s="9">
        <v>44834</v>
      </c>
      <c r="P5677"/>
      <c r="Q5677" s="9">
        <v>44855</v>
      </c>
      <c r="R5677"/>
      <c r="S5677"/>
      <c r="T5677"/>
      <c r="U5677"/>
    </row>
    <row r="5678" spans="1:21" hidden="1">
      <c r="A5678" s="7" t="s">
        <v>8714</v>
      </c>
      <c r="B5678" s="7" t="s">
        <v>6017</v>
      </c>
      <c r="C5678" s="8" t="s">
        <v>5319</v>
      </c>
      <c r="D5678" t="s">
        <v>24</v>
      </c>
      <c r="E5678" t="s">
        <v>74</v>
      </c>
      <c r="F5678" t="s">
        <v>75</v>
      </c>
      <c r="G5678" t="s">
        <v>2338</v>
      </c>
      <c r="H5678" s="9">
        <v>44733</v>
      </c>
      <c r="I5678" t="s">
        <v>77</v>
      </c>
      <c r="J5678" t="s">
        <v>2</v>
      </c>
      <c r="K5678" s="9">
        <v>44834</v>
      </c>
      <c r="L5678" t="s">
        <v>29</v>
      </c>
      <c r="M5678" t="s">
        <v>5331</v>
      </c>
      <c r="N5678" s="9">
        <v>44778</v>
      </c>
      <c r="O5678" s="9">
        <v>44834</v>
      </c>
      <c r="P5678"/>
      <c r="Q5678"/>
      <c r="R5678"/>
      <c r="S5678"/>
      <c r="T5678"/>
      <c r="U5678"/>
    </row>
    <row r="5679" spans="1:21" hidden="1">
      <c r="A5679" s="7" t="s">
        <v>8714</v>
      </c>
      <c r="B5679" s="7" t="s">
        <v>6017</v>
      </c>
      <c r="C5679" s="8" t="s">
        <v>5319</v>
      </c>
      <c r="D5679" t="s">
        <v>24</v>
      </c>
      <c r="E5679" t="s">
        <v>74</v>
      </c>
      <c r="F5679" t="s">
        <v>75</v>
      </c>
      <c r="G5679" t="s">
        <v>2339</v>
      </c>
      <c r="H5679" s="9">
        <v>44733</v>
      </c>
      <c r="I5679" t="s">
        <v>77</v>
      </c>
      <c r="J5679" t="s">
        <v>2</v>
      </c>
      <c r="K5679" s="9">
        <v>44834</v>
      </c>
      <c r="L5679" t="s">
        <v>29</v>
      </c>
      <c r="M5679" t="s">
        <v>5331</v>
      </c>
      <c r="N5679" s="9">
        <v>44778</v>
      </c>
      <c r="O5679" s="9">
        <v>44834</v>
      </c>
      <c r="P5679"/>
      <c r="Q5679"/>
      <c r="R5679"/>
      <c r="S5679"/>
      <c r="T5679"/>
      <c r="U5679"/>
    </row>
    <row r="5680" spans="1:21" hidden="1">
      <c r="A5680" s="7" t="s">
        <v>8806</v>
      </c>
      <c r="B5680" s="7" t="s">
        <v>7593</v>
      </c>
      <c r="C5680" s="8" t="s">
        <v>5319</v>
      </c>
      <c r="D5680" t="s">
        <v>24</v>
      </c>
      <c r="E5680" t="s">
        <v>1034</v>
      </c>
      <c r="F5680" t="s">
        <v>117</v>
      </c>
      <c r="G5680" t="s">
        <v>1905</v>
      </c>
      <c r="H5680" s="9">
        <v>44733</v>
      </c>
      <c r="I5680" t="s">
        <v>984</v>
      </c>
      <c r="J5680" t="s">
        <v>2</v>
      </c>
      <c r="K5680" s="9">
        <v>44834</v>
      </c>
      <c r="L5680" t="s">
        <v>29</v>
      </c>
      <c r="M5680" t="s">
        <v>5331</v>
      </c>
      <c r="N5680" s="9">
        <v>44778</v>
      </c>
      <c r="O5680" s="9">
        <v>44834</v>
      </c>
      <c r="P5680"/>
      <c r="Q5680"/>
      <c r="R5680"/>
      <c r="S5680"/>
      <c r="T5680"/>
      <c r="U5680"/>
    </row>
    <row r="5681" spans="1:21" hidden="1">
      <c r="A5681" s="7" t="s">
        <v>8716</v>
      </c>
      <c r="B5681" s="7" t="s">
        <v>6733</v>
      </c>
      <c r="C5681" s="8" t="s">
        <v>5319</v>
      </c>
      <c r="D5681" t="s">
        <v>24</v>
      </c>
      <c r="E5681" t="s">
        <v>82</v>
      </c>
      <c r="F5681" t="s">
        <v>83</v>
      </c>
      <c r="G5681" t="s">
        <v>3058</v>
      </c>
      <c r="H5681" s="9">
        <v>44733</v>
      </c>
      <c r="I5681" t="s">
        <v>85</v>
      </c>
      <c r="J5681" t="s">
        <v>2</v>
      </c>
      <c r="K5681" s="9">
        <v>44834</v>
      </c>
      <c r="L5681" t="s">
        <v>29</v>
      </c>
      <c r="M5681" t="s">
        <v>5331</v>
      </c>
      <c r="N5681" s="9">
        <v>44778</v>
      </c>
      <c r="O5681" s="9">
        <v>44834</v>
      </c>
      <c r="P5681"/>
      <c r="Q5681"/>
      <c r="R5681"/>
      <c r="S5681"/>
      <c r="T5681"/>
      <c r="U5681"/>
    </row>
    <row r="5682" spans="1:21" hidden="1">
      <c r="A5682" s="7" t="s">
        <v>8716</v>
      </c>
      <c r="B5682" s="7" t="s">
        <v>6733</v>
      </c>
      <c r="C5682" s="8" t="s">
        <v>5319</v>
      </c>
      <c r="D5682" t="s">
        <v>24</v>
      </c>
      <c r="E5682" t="s">
        <v>82</v>
      </c>
      <c r="F5682" t="s">
        <v>83</v>
      </c>
      <c r="G5682" t="s">
        <v>3059</v>
      </c>
      <c r="H5682" s="9">
        <v>44733</v>
      </c>
      <c r="I5682" t="s">
        <v>85</v>
      </c>
      <c r="J5682" t="s">
        <v>2</v>
      </c>
      <c r="K5682" s="9">
        <v>44834</v>
      </c>
      <c r="L5682" t="s">
        <v>29</v>
      </c>
      <c r="M5682" t="s">
        <v>5331</v>
      </c>
      <c r="N5682" s="9">
        <v>44778</v>
      </c>
      <c r="O5682" s="9">
        <v>44834</v>
      </c>
      <c r="P5682"/>
      <c r="Q5682"/>
      <c r="R5682"/>
      <c r="S5682"/>
      <c r="T5682"/>
      <c r="U5682"/>
    </row>
    <row r="5683" spans="1:21" hidden="1">
      <c r="A5683" s="7" t="s">
        <v>8716</v>
      </c>
      <c r="B5683" s="7" t="s">
        <v>6733</v>
      </c>
      <c r="C5683" s="8" t="s">
        <v>5319</v>
      </c>
      <c r="D5683" t="s">
        <v>24</v>
      </c>
      <c r="E5683" t="s">
        <v>82</v>
      </c>
      <c r="F5683" t="s">
        <v>83</v>
      </c>
      <c r="G5683" t="s">
        <v>3060</v>
      </c>
      <c r="H5683" s="9">
        <v>44733</v>
      </c>
      <c r="I5683" t="s">
        <v>85</v>
      </c>
      <c r="J5683" t="s">
        <v>2</v>
      </c>
      <c r="K5683" s="9">
        <v>44834</v>
      </c>
      <c r="L5683" t="s">
        <v>29</v>
      </c>
      <c r="M5683" t="s">
        <v>5331</v>
      </c>
      <c r="N5683" s="9">
        <v>44778</v>
      </c>
      <c r="O5683" s="9">
        <v>44834</v>
      </c>
      <c r="P5683"/>
      <c r="Q5683"/>
      <c r="R5683"/>
      <c r="S5683"/>
      <c r="T5683"/>
      <c r="U5683"/>
    </row>
    <row r="5684" spans="1:21" hidden="1">
      <c r="A5684" s="7" t="s">
        <v>8716</v>
      </c>
      <c r="B5684" s="7" t="s">
        <v>6733</v>
      </c>
      <c r="C5684" s="8" t="s">
        <v>5319</v>
      </c>
      <c r="D5684" t="s">
        <v>24</v>
      </c>
      <c r="E5684" t="s">
        <v>82</v>
      </c>
      <c r="F5684" t="s">
        <v>83</v>
      </c>
      <c r="G5684" t="s">
        <v>3061</v>
      </c>
      <c r="H5684" s="9">
        <v>44733</v>
      </c>
      <c r="I5684" t="s">
        <v>85</v>
      </c>
      <c r="J5684" t="s">
        <v>2</v>
      </c>
      <c r="K5684" s="9">
        <v>44834</v>
      </c>
      <c r="L5684" t="s">
        <v>29</v>
      </c>
      <c r="M5684" t="s">
        <v>5331</v>
      </c>
      <c r="N5684" s="9">
        <v>44778</v>
      </c>
      <c r="O5684" s="9">
        <v>44834</v>
      </c>
      <c r="P5684"/>
      <c r="Q5684"/>
      <c r="R5684"/>
      <c r="S5684"/>
      <c r="T5684"/>
      <c r="U5684"/>
    </row>
    <row r="5685" spans="1:21" hidden="1">
      <c r="A5685" s="7" t="s">
        <v>8716</v>
      </c>
      <c r="B5685" s="7" t="s">
        <v>6733</v>
      </c>
      <c r="C5685" s="8" t="s">
        <v>5319</v>
      </c>
      <c r="D5685" t="s">
        <v>24</v>
      </c>
      <c r="E5685" t="s">
        <v>82</v>
      </c>
      <c r="F5685" t="s">
        <v>83</v>
      </c>
      <c r="G5685" t="s">
        <v>3062</v>
      </c>
      <c r="H5685" s="9">
        <v>44733</v>
      </c>
      <c r="I5685" t="s">
        <v>85</v>
      </c>
      <c r="J5685" t="s">
        <v>2</v>
      </c>
      <c r="K5685" s="9">
        <v>44834</v>
      </c>
      <c r="L5685" t="s">
        <v>29</v>
      </c>
      <c r="M5685" t="s">
        <v>5331</v>
      </c>
      <c r="N5685" s="9">
        <v>44778</v>
      </c>
      <c r="O5685" s="9">
        <v>44834</v>
      </c>
      <c r="P5685"/>
      <c r="Q5685"/>
      <c r="R5685"/>
      <c r="S5685"/>
      <c r="T5685"/>
      <c r="U5685"/>
    </row>
    <row r="5686" spans="1:21" hidden="1">
      <c r="A5686" s="7" t="s">
        <v>8716</v>
      </c>
      <c r="B5686" s="7" t="s">
        <v>6733</v>
      </c>
      <c r="C5686" s="8" t="s">
        <v>5319</v>
      </c>
      <c r="D5686" t="s">
        <v>24</v>
      </c>
      <c r="E5686" t="s">
        <v>82</v>
      </c>
      <c r="F5686" t="s">
        <v>83</v>
      </c>
      <c r="G5686" t="s">
        <v>3063</v>
      </c>
      <c r="H5686" s="9">
        <v>44733</v>
      </c>
      <c r="I5686" t="s">
        <v>85</v>
      </c>
      <c r="J5686" t="s">
        <v>2</v>
      </c>
      <c r="K5686" s="9">
        <v>44834</v>
      </c>
      <c r="L5686" t="s">
        <v>29</v>
      </c>
      <c r="M5686" t="s">
        <v>5331</v>
      </c>
      <c r="N5686" s="9">
        <v>44778</v>
      </c>
      <c r="O5686" s="9">
        <v>44834</v>
      </c>
      <c r="P5686"/>
      <c r="Q5686"/>
      <c r="R5686"/>
      <c r="S5686"/>
      <c r="T5686"/>
      <c r="U5686"/>
    </row>
    <row r="5687" spans="1:21" hidden="1">
      <c r="A5687" s="7" t="s">
        <v>8716</v>
      </c>
      <c r="B5687" s="7" t="s">
        <v>6733</v>
      </c>
      <c r="C5687" s="8" t="s">
        <v>5319</v>
      </c>
      <c r="D5687" t="s">
        <v>24</v>
      </c>
      <c r="E5687" t="s">
        <v>82</v>
      </c>
      <c r="F5687" t="s">
        <v>83</v>
      </c>
      <c r="G5687" t="s">
        <v>3064</v>
      </c>
      <c r="H5687" s="9">
        <v>44733</v>
      </c>
      <c r="I5687" t="s">
        <v>85</v>
      </c>
      <c r="J5687" t="s">
        <v>2</v>
      </c>
      <c r="K5687" s="9">
        <v>44834</v>
      </c>
      <c r="L5687" t="s">
        <v>29</v>
      </c>
      <c r="M5687" t="s">
        <v>5331</v>
      </c>
      <c r="N5687" s="9">
        <v>44778</v>
      </c>
      <c r="O5687" s="9">
        <v>44834</v>
      </c>
      <c r="P5687"/>
      <c r="Q5687"/>
      <c r="R5687"/>
      <c r="S5687"/>
      <c r="T5687"/>
      <c r="U5687"/>
    </row>
    <row r="5688" spans="1:21" hidden="1">
      <c r="A5688" s="7" t="s">
        <v>8765</v>
      </c>
      <c r="B5688" s="7" t="s">
        <v>5405</v>
      </c>
      <c r="C5688" s="8" t="s">
        <v>5319</v>
      </c>
      <c r="D5688" t="s">
        <v>24</v>
      </c>
      <c r="E5688" t="s">
        <v>25</v>
      </c>
      <c r="F5688" t="s">
        <v>231</v>
      </c>
      <c r="G5688" t="s">
        <v>3065</v>
      </c>
      <c r="H5688" s="9">
        <v>44733</v>
      </c>
      <c r="I5688" t="s">
        <v>8634</v>
      </c>
      <c r="J5688" t="s">
        <v>2</v>
      </c>
      <c r="K5688" s="9">
        <v>44867</v>
      </c>
      <c r="L5688" t="s">
        <v>29</v>
      </c>
      <c r="M5688" t="s">
        <v>5329</v>
      </c>
      <c r="N5688" s="9">
        <v>44778</v>
      </c>
      <c r="O5688" s="9">
        <v>44834</v>
      </c>
      <c r="P5688"/>
      <c r="Q5688"/>
      <c r="R5688"/>
      <c r="S5688"/>
      <c r="T5688"/>
      <c r="U5688"/>
    </row>
    <row r="5689" spans="1:21" hidden="1">
      <c r="A5689" s="7" t="s">
        <v>8712</v>
      </c>
      <c r="B5689" s="7" t="s">
        <v>5405</v>
      </c>
      <c r="C5689" s="8" t="s">
        <v>5319</v>
      </c>
      <c r="D5689" t="s">
        <v>24</v>
      </c>
      <c r="E5689" t="s">
        <v>25</v>
      </c>
      <c r="F5689" t="s">
        <v>26</v>
      </c>
      <c r="G5689" t="s">
        <v>3066</v>
      </c>
      <c r="H5689" s="9">
        <v>44733</v>
      </c>
      <c r="I5689" t="s">
        <v>8634</v>
      </c>
      <c r="J5689" t="s">
        <v>0</v>
      </c>
      <c r="K5689" s="9">
        <v>44882</v>
      </c>
      <c r="L5689" t="s">
        <v>29</v>
      </c>
      <c r="M5689"/>
      <c r="N5689"/>
      <c r="O5689"/>
      <c r="P5689"/>
      <c r="Q5689" s="9">
        <v>44882</v>
      </c>
      <c r="R5689"/>
      <c r="S5689"/>
      <c r="T5689"/>
      <c r="U5689"/>
    </row>
    <row r="5690" spans="1:21" hidden="1">
      <c r="A5690" s="7" t="s">
        <v>8712</v>
      </c>
      <c r="B5690" s="7" t="s">
        <v>5405</v>
      </c>
      <c r="C5690" s="8" t="s">
        <v>5319</v>
      </c>
      <c r="D5690" t="s">
        <v>24</v>
      </c>
      <c r="E5690" t="s">
        <v>25</v>
      </c>
      <c r="F5690" t="s">
        <v>26</v>
      </c>
      <c r="G5690" t="s">
        <v>3067</v>
      </c>
      <c r="H5690" s="9">
        <v>44733</v>
      </c>
      <c r="I5690" t="s">
        <v>8634</v>
      </c>
      <c r="J5690" t="s">
        <v>0</v>
      </c>
      <c r="K5690" s="9">
        <v>44882</v>
      </c>
      <c r="L5690" t="s">
        <v>29</v>
      </c>
      <c r="M5690"/>
      <c r="N5690"/>
      <c r="O5690"/>
      <c r="P5690"/>
      <c r="Q5690" s="9">
        <v>44882</v>
      </c>
      <c r="R5690"/>
      <c r="S5690"/>
      <c r="T5690"/>
      <c r="U5690"/>
    </row>
    <row r="5691" spans="1:21" hidden="1">
      <c r="A5691" s="7" t="s">
        <v>8712</v>
      </c>
      <c r="B5691" s="7" t="s">
        <v>5405</v>
      </c>
      <c r="C5691" s="8" t="s">
        <v>5319</v>
      </c>
      <c r="D5691" t="s">
        <v>24</v>
      </c>
      <c r="E5691" t="s">
        <v>25</v>
      </c>
      <c r="F5691" t="s">
        <v>26</v>
      </c>
      <c r="G5691" t="s">
        <v>3068</v>
      </c>
      <c r="H5691" s="9">
        <v>44733</v>
      </c>
      <c r="I5691" t="s">
        <v>8634</v>
      </c>
      <c r="J5691" t="s">
        <v>0</v>
      </c>
      <c r="K5691" s="9">
        <v>44882</v>
      </c>
      <c r="L5691" t="s">
        <v>29</v>
      </c>
      <c r="M5691"/>
      <c r="N5691"/>
      <c r="O5691"/>
      <c r="P5691"/>
      <c r="Q5691" s="9">
        <v>44882</v>
      </c>
      <c r="R5691"/>
      <c r="S5691"/>
      <c r="T5691"/>
      <c r="U5691"/>
    </row>
    <row r="5692" spans="1:21" hidden="1">
      <c r="A5692" s="7" t="s">
        <v>8903</v>
      </c>
      <c r="B5692" s="7" t="s">
        <v>8151</v>
      </c>
      <c r="C5692" s="8" t="s">
        <v>5319</v>
      </c>
      <c r="D5692" t="s">
        <v>266</v>
      </c>
      <c r="E5692" t="s">
        <v>3105</v>
      </c>
      <c r="F5692" t="s">
        <v>231</v>
      </c>
      <c r="G5692" t="s">
        <v>3106</v>
      </c>
      <c r="H5692" s="9">
        <v>44735</v>
      </c>
      <c r="I5692" t="s">
        <v>3107</v>
      </c>
      <c r="J5692" t="s">
        <v>2</v>
      </c>
      <c r="K5692" s="9">
        <v>44834</v>
      </c>
      <c r="L5692" t="s">
        <v>29</v>
      </c>
      <c r="M5692" t="s">
        <v>5331</v>
      </c>
      <c r="N5692" s="9">
        <v>44778</v>
      </c>
      <c r="O5692" s="9">
        <v>44834</v>
      </c>
      <c r="P5692"/>
      <c r="Q5692"/>
      <c r="R5692"/>
      <c r="S5692"/>
      <c r="T5692"/>
      <c r="U5692"/>
    </row>
    <row r="5693" spans="1:21" hidden="1">
      <c r="A5693" s="7" t="s">
        <v>8903</v>
      </c>
      <c r="B5693" s="7" t="s">
        <v>8151</v>
      </c>
      <c r="C5693" s="8" t="s">
        <v>5319</v>
      </c>
      <c r="D5693" t="s">
        <v>266</v>
      </c>
      <c r="E5693" t="s">
        <v>3105</v>
      </c>
      <c r="F5693" t="s">
        <v>231</v>
      </c>
      <c r="G5693" t="s">
        <v>3108</v>
      </c>
      <c r="H5693" s="9">
        <v>44735</v>
      </c>
      <c r="I5693" t="s">
        <v>3107</v>
      </c>
      <c r="J5693" t="s">
        <v>2</v>
      </c>
      <c r="K5693" s="9">
        <v>44834</v>
      </c>
      <c r="L5693" t="s">
        <v>29</v>
      </c>
      <c r="M5693" t="s">
        <v>5331</v>
      </c>
      <c r="N5693" s="9">
        <v>44778</v>
      </c>
      <c r="O5693" s="9">
        <v>44834</v>
      </c>
      <c r="P5693"/>
      <c r="Q5693"/>
      <c r="R5693"/>
      <c r="S5693"/>
      <c r="T5693"/>
      <c r="U5693"/>
    </row>
    <row r="5694" spans="1:21" hidden="1">
      <c r="A5694" s="7" t="s">
        <v>8903</v>
      </c>
      <c r="B5694" s="7" t="s">
        <v>8151</v>
      </c>
      <c r="C5694" s="8" t="s">
        <v>5319</v>
      </c>
      <c r="D5694" t="s">
        <v>266</v>
      </c>
      <c r="E5694" t="s">
        <v>3105</v>
      </c>
      <c r="F5694" t="s">
        <v>231</v>
      </c>
      <c r="G5694" t="s">
        <v>3109</v>
      </c>
      <c r="H5694" s="9">
        <v>44735</v>
      </c>
      <c r="I5694" t="s">
        <v>3107</v>
      </c>
      <c r="J5694" t="s">
        <v>2</v>
      </c>
      <c r="K5694" s="9">
        <v>44834</v>
      </c>
      <c r="L5694" t="s">
        <v>29</v>
      </c>
      <c r="M5694" t="s">
        <v>5331</v>
      </c>
      <c r="N5694" s="9">
        <v>44778</v>
      </c>
      <c r="O5694" s="9">
        <v>44834</v>
      </c>
      <c r="P5694"/>
      <c r="Q5694"/>
      <c r="R5694"/>
      <c r="S5694"/>
      <c r="T5694"/>
      <c r="U5694"/>
    </row>
    <row r="5695" spans="1:21" hidden="1">
      <c r="A5695" s="7" t="s">
        <v>8825</v>
      </c>
      <c r="B5695" s="7" t="s">
        <v>5405</v>
      </c>
      <c r="C5695" s="8" t="s">
        <v>5319</v>
      </c>
      <c r="D5695" t="s">
        <v>266</v>
      </c>
      <c r="E5695" t="s">
        <v>25</v>
      </c>
      <c r="F5695" t="s">
        <v>111</v>
      </c>
      <c r="G5695" t="s">
        <v>3110</v>
      </c>
      <c r="H5695" s="9">
        <v>44733</v>
      </c>
      <c r="I5695" t="s">
        <v>8634</v>
      </c>
      <c r="J5695" t="s">
        <v>2</v>
      </c>
      <c r="K5695" s="9">
        <v>44834</v>
      </c>
      <c r="L5695" t="s">
        <v>29</v>
      </c>
      <c r="M5695" t="s">
        <v>5331</v>
      </c>
      <c r="N5695" s="9">
        <v>44778</v>
      </c>
      <c r="O5695" s="9">
        <v>44834</v>
      </c>
      <c r="P5695"/>
      <c r="Q5695"/>
      <c r="R5695"/>
      <c r="S5695"/>
      <c r="T5695"/>
      <c r="U5695"/>
    </row>
    <row r="5696" spans="1:21" hidden="1">
      <c r="A5696" s="7" t="s">
        <v>8825</v>
      </c>
      <c r="B5696" s="7" t="s">
        <v>5405</v>
      </c>
      <c r="C5696" s="8" t="s">
        <v>5319</v>
      </c>
      <c r="D5696" t="s">
        <v>266</v>
      </c>
      <c r="E5696" t="s">
        <v>25</v>
      </c>
      <c r="F5696" t="s">
        <v>111</v>
      </c>
      <c r="G5696" t="s">
        <v>3111</v>
      </c>
      <c r="H5696" s="9">
        <v>44733</v>
      </c>
      <c r="I5696" t="s">
        <v>8634</v>
      </c>
      <c r="J5696" t="s">
        <v>2</v>
      </c>
      <c r="K5696" s="9">
        <v>44834</v>
      </c>
      <c r="L5696" t="s">
        <v>29</v>
      </c>
      <c r="M5696" t="s">
        <v>5331</v>
      </c>
      <c r="N5696" s="9">
        <v>44778</v>
      </c>
      <c r="O5696" s="9">
        <v>44834</v>
      </c>
      <c r="P5696"/>
      <c r="Q5696"/>
      <c r="R5696"/>
      <c r="S5696"/>
      <c r="T5696"/>
      <c r="U5696"/>
    </row>
    <row r="5697" spans="1:21" hidden="1">
      <c r="A5697" s="7" t="s">
        <v>8873</v>
      </c>
      <c r="B5697" s="7" t="s">
        <v>7140</v>
      </c>
      <c r="C5697" s="8" t="s">
        <v>5319</v>
      </c>
      <c r="D5697" t="s">
        <v>266</v>
      </c>
      <c r="E5697" t="s">
        <v>2360</v>
      </c>
      <c r="F5697" t="s">
        <v>209</v>
      </c>
      <c r="G5697" t="s">
        <v>3112</v>
      </c>
      <c r="H5697" s="9">
        <v>44733</v>
      </c>
      <c r="I5697" t="s">
        <v>2362</v>
      </c>
      <c r="J5697" t="s">
        <v>2</v>
      </c>
      <c r="K5697" s="9">
        <v>44834</v>
      </c>
      <c r="L5697" t="s">
        <v>29</v>
      </c>
      <c r="M5697" t="s">
        <v>5331</v>
      </c>
      <c r="N5697" s="9">
        <v>44778</v>
      </c>
      <c r="O5697" s="9">
        <v>44834</v>
      </c>
      <c r="P5697"/>
      <c r="Q5697"/>
      <c r="R5697"/>
      <c r="S5697"/>
      <c r="T5697"/>
      <c r="U5697"/>
    </row>
    <row r="5698" spans="1:21" hidden="1">
      <c r="A5698" s="7" t="s">
        <v>8873</v>
      </c>
      <c r="B5698" s="7" t="s">
        <v>7140</v>
      </c>
      <c r="C5698" s="8" t="s">
        <v>5319</v>
      </c>
      <c r="D5698" t="s">
        <v>266</v>
      </c>
      <c r="E5698" t="s">
        <v>2360</v>
      </c>
      <c r="F5698" t="s">
        <v>209</v>
      </c>
      <c r="G5698" t="s">
        <v>3113</v>
      </c>
      <c r="H5698" s="9">
        <v>44733</v>
      </c>
      <c r="I5698" t="s">
        <v>2362</v>
      </c>
      <c r="J5698" t="s">
        <v>2</v>
      </c>
      <c r="K5698" s="9">
        <v>44834</v>
      </c>
      <c r="L5698" t="s">
        <v>29</v>
      </c>
      <c r="M5698" t="s">
        <v>5331</v>
      </c>
      <c r="N5698" s="9">
        <v>44778</v>
      </c>
      <c r="O5698" s="9">
        <v>44834</v>
      </c>
      <c r="P5698"/>
      <c r="Q5698"/>
      <c r="R5698"/>
      <c r="S5698"/>
      <c r="T5698"/>
      <c r="U5698"/>
    </row>
    <row r="5699" spans="1:21" hidden="1">
      <c r="A5699" s="7" t="s">
        <v>8873</v>
      </c>
      <c r="B5699" s="7" t="s">
        <v>7140</v>
      </c>
      <c r="C5699" s="8" t="s">
        <v>5319</v>
      </c>
      <c r="D5699" t="s">
        <v>266</v>
      </c>
      <c r="E5699" t="s">
        <v>2360</v>
      </c>
      <c r="F5699" t="s">
        <v>209</v>
      </c>
      <c r="G5699" t="s">
        <v>3114</v>
      </c>
      <c r="H5699" s="9">
        <v>44733</v>
      </c>
      <c r="I5699" t="s">
        <v>2362</v>
      </c>
      <c r="J5699" t="s">
        <v>2</v>
      </c>
      <c r="K5699" s="9">
        <v>44834</v>
      </c>
      <c r="L5699" t="s">
        <v>29</v>
      </c>
      <c r="M5699" t="s">
        <v>5331</v>
      </c>
      <c r="N5699" s="9">
        <v>44778</v>
      </c>
      <c r="O5699" s="9">
        <v>44834</v>
      </c>
      <c r="P5699"/>
      <c r="Q5699"/>
      <c r="R5699"/>
      <c r="S5699"/>
      <c r="T5699"/>
      <c r="U5699"/>
    </row>
    <row r="5700" spans="1:21" hidden="1">
      <c r="A5700" s="7" t="s">
        <v>8873</v>
      </c>
      <c r="B5700" s="7" t="s">
        <v>7140</v>
      </c>
      <c r="C5700" s="8" t="s">
        <v>5319</v>
      </c>
      <c r="D5700" t="s">
        <v>266</v>
      </c>
      <c r="E5700" t="s">
        <v>2360</v>
      </c>
      <c r="F5700" t="s">
        <v>209</v>
      </c>
      <c r="G5700" t="s">
        <v>3115</v>
      </c>
      <c r="H5700" s="9">
        <v>44733</v>
      </c>
      <c r="I5700" t="s">
        <v>2362</v>
      </c>
      <c r="J5700" t="s">
        <v>2</v>
      </c>
      <c r="K5700" s="9">
        <v>44834</v>
      </c>
      <c r="L5700" t="s">
        <v>29</v>
      </c>
      <c r="M5700" t="s">
        <v>5331</v>
      </c>
      <c r="N5700" s="9">
        <v>44778</v>
      </c>
      <c r="O5700" s="9">
        <v>44834</v>
      </c>
      <c r="P5700"/>
      <c r="Q5700"/>
      <c r="R5700"/>
      <c r="S5700"/>
      <c r="T5700"/>
      <c r="U5700"/>
    </row>
    <row r="5701" spans="1:21" hidden="1">
      <c r="A5701" s="7" t="s">
        <v>8873</v>
      </c>
      <c r="B5701" s="7" t="s">
        <v>7140</v>
      </c>
      <c r="C5701" s="8" t="s">
        <v>5319</v>
      </c>
      <c r="D5701" t="s">
        <v>266</v>
      </c>
      <c r="E5701" t="s">
        <v>2360</v>
      </c>
      <c r="F5701" t="s">
        <v>209</v>
      </c>
      <c r="G5701" t="s">
        <v>3116</v>
      </c>
      <c r="H5701" s="9">
        <v>44733</v>
      </c>
      <c r="I5701" t="s">
        <v>2362</v>
      </c>
      <c r="J5701" t="s">
        <v>2</v>
      </c>
      <c r="K5701" s="9">
        <v>44834</v>
      </c>
      <c r="L5701" t="s">
        <v>29</v>
      </c>
      <c r="M5701" t="s">
        <v>5331</v>
      </c>
      <c r="N5701" s="9">
        <v>44778</v>
      </c>
      <c r="O5701" s="9">
        <v>44834</v>
      </c>
      <c r="P5701"/>
      <c r="Q5701"/>
      <c r="R5701"/>
      <c r="S5701"/>
      <c r="T5701"/>
      <c r="U5701"/>
    </row>
    <row r="5702" spans="1:21" hidden="1">
      <c r="A5702" s="7" t="s">
        <v>8867</v>
      </c>
      <c r="B5702" s="7" t="s">
        <v>7140</v>
      </c>
      <c r="C5702" s="8" t="s">
        <v>5319</v>
      </c>
      <c r="D5702" t="s">
        <v>266</v>
      </c>
      <c r="E5702" t="s">
        <v>2360</v>
      </c>
      <c r="F5702" t="s">
        <v>231</v>
      </c>
      <c r="G5702" t="s">
        <v>3117</v>
      </c>
      <c r="H5702" s="9">
        <v>44733</v>
      </c>
      <c r="I5702" t="s">
        <v>2362</v>
      </c>
      <c r="J5702" t="s">
        <v>2</v>
      </c>
      <c r="K5702" s="9">
        <v>44834</v>
      </c>
      <c r="L5702" t="s">
        <v>29</v>
      </c>
      <c r="M5702" t="s">
        <v>5331</v>
      </c>
      <c r="N5702" s="9">
        <v>44778</v>
      </c>
      <c r="O5702" s="9">
        <v>44834</v>
      </c>
      <c r="P5702"/>
      <c r="Q5702"/>
      <c r="R5702"/>
      <c r="S5702"/>
      <c r="T5702"/>
      <c r="U5702"/>
    </row>
    <row r="5703" spans="1:21" hidden="1">
      <c r="A5703" s="7" t="s">
        <v>8873</v>
      </c>
      <c r="B5703" s="7" t="s">
        <v>7140</v>
      </c>
      <c r="C5703" s="8" t="s">
        <v>5319</v>
      </c>
      <c r="D5703" t="s">
        <v>266</v>
      </c>
      <c r="E5703" t="s">
        <v>2360</v>
      </c>
      <c r="F5703" t="s">
        <v>209</v>
      </c>
      <c r="G5703" t="s">
        <v>3117</v>
      </c>
      <c r="H5703" s="9">
        <v>44733</v>
      </c>
      <c r="I5703" t="s">
        <v>2362</v>
      </c>
      <c r="J5703" t="s">
        <v>2</v>
      </c>
      <c r="K5703" s="9">
        <v>44834</v>
      </c>
      <c r="L5703" t="s">
        <v>29</v>
      </c>
      <c r="M5703" t="s">
        <v>5331</v>
      </c>
      <c r="N5703" s="9">
        <v>44778</v>
      </c>
      <c r="O5703" s="9">
        <v>44834</v>
      </c>
      <c r="P5703"/>
      <c r="Q5703"/>
      <c r="R5703"/>
      <c r="S5703"/>
      <c r="T5703"/>
      <c r="U5703"/>
    </row>
    <row r="5704" spans="1:21" hidden="1">
      <c r="A5704" s="7" t="s">
        <v>8867</v>
      </c>
      <c r="B5704" s="7" t="s">
        <v>7140</v>
      </c>
      <c r="C5704" s="8" t="s">
        <v>5319</v>
      </c>
      <c r="D5704" t="s">
        <v>266</v>
      </c>
      <c r="E5704" t="s">
        <v>2360</v>
      </c>
      <c r="F5704" t="s">
        <v>231</v>
      </c>
      <c r="G5704" t="s">
        <v>3118</v>
      </c>
      <c r="H5704" s="9">
        <v>44733</v>
      </c>
      <c r="I5704" t="s">
        <v>2362</v>
      </c>
      <c r="J5704" t="s">
        <v>2</v>
      </c>
      <c r="K5704" s="9">
        <v>44834</v>
      </c>
      <c r="L5704" t="s">
        <v>29</v>
      </c>
      <c r="M5704" t="s">
        <v>5331</v>
      </c>
      <c r="N5704" s="9">
        <v>44778</v>
      </c>
      <c r="O5704" s="9">
        <v>44834</v>
      </c>
      <c r="P5704"/>
      <c r="Q5704"/>
      <c r="R5704"/>
      <c r="S5704"/>
      <c r="T5704"/>
      <c r="U5704"/>
    </row>
    <row r="5705" spans="1:21" hidden="1">
      <c r="A5705" s="7" t="s">
        <v>8873</v>
      </c>
      <c r="B5705" s="7" t="s">
        <v>7140</v>
      </c>
      <c r="C5705" s="8" t="s">
        <v>5319</v>
      </c>
      <c r="D5705" t="s">
        <v>266</v>
      </c>
      <c r="E5705" t="s">
        <v>2360</v>
      </c>
      <c r="F5705" t="s">
        <v>209</v>
      </c>
      <c r="G5705" t="s">
        <v>3118</v>
      </c>
      <c r="H5705" s="9">
        <v>44733</v>
      </c>
      <c r="I5705" t="s">
        <v>2362</v>
      </c>
      <c r="J5705" t="s">
        <v>2</v>
      </c>
      <c r="K5705" s="9">
        <v>44834</v>
      </c>
      <c r="L5705" t="s">
        <v>29</v>
      </c>
      <c r="M5705" t="s">
        <v>5331</v>
      </c>
      <c r="N5705" s="9">
        <v>44778</v>
      </c>
      <c r="O5705" s="9">
        <v>44834</v>
      </c>
      <c r="P5705"/>
      <c r="Q5705"/>
      <c r="R5705"/>
      <c r="S5705"/>
      <c r="T5705"/>
      <c r="U5705"/>
    </row>
    <row r="5706" spans="1:21" hidden="1">
      <c r="A5706" s="7" t="s">
        <v>8867</v>
      </c>
      <c r="B5706" s="7" t="s">
        <v>7140</v>
      </c>
      <c r="C5706" s="8" t="s">
        <v>5319</v>
      </c>
      <c r="D5706" t="s">
        <v>266</v>
      </c>
      <c r="E5706" t="s">
        <v>2360</v>
      </c>
      <c r="F5706" t="s">
        <v>231</v>
      </c>
      <c r="G5706" t="s">
        <v>3119</v>
      </c>
      <c r="H5706" s="9">
        <v>44733</v>
      </c>
      <c r="I5706" t="s">
        <v>2362</v>
      </c>
      <c r="J5706" t="s">
        <v>2</v>
      </c>
      <c r="K5706" s="9">
        <v>44834</v>
      </c>
      <c r="L5706" t="s">
        <v>29</v>
      </c>
      <c r="M5706" t="s">
        <v>5331</v>
      </c>
      <c r="N5706" s="9">
        <v>44778</v>
      </c>
      <c r="O5706" s="9">
        <v>44834</v>
      </c>
      <c r="P5706"/>
      <c r="Q5706"/>
      <c r="R5706"/>
      <c r="S5706"/>
      <c r="T5706"/>
      <c r="U5706"/>
    </row>
    <row r="5707" spans="1:21" hidden="1">
      <c r="A5707" s="7" t="s">
        <v>8873</v>
      </c>
      <c r="B5707" s="7" t="s">
        <v>7140</v>
      </c>
      <c r="C5707" s="8" t="s">
        <v>5319</v>
      </c>
      <c r="D5707" t="s">
        <v>266</v>
      </c>
      <c r="E5707" t="s">
        <v>2360</v>
      </c>
      <c r="F5707" t="s">
        <v>209</v>
      </c>
      <c r="G5707" t="s">
        <v>3119</v>
      </c>
      <c r="H5707" s="9">
        <v>44733</v>
      </c>
      <c r="I5707" t="s">
        <v>2362</v>
      </c>
      <c r="J5707" t="s">
        <v>2</v>
      </c>
      <c r="K5707" s="9">
        <v>44834</v>
      </c>
      <c r="L5707" t="s">
        <v>29</v>
      </c>
      <c r="M5707" t="s">
        <v>5331</v>
      </c>
      <c r="N5707" s="9">
        <v>44778</v>
      </c>
      <c r="O5707" s="9">
        <v>44834</v>
      </c>
      <c r="P5707"/>
      <c r="Q5707"/>
      <c r="R5707"/>
      <c r="S5707"/>
      <c r="T5707"/>
      <c r="U5707"/>
    </row>
    <row r="5708" spans="1:21" hidden="1">
      <c r="A5708" s="7" t="s">
        <v>8904</v>
      </c>
      <c r="B5708" s="7" t="s">
        <v>5934</v>
      </c>
      <c r="C5708" s="8" t="s">
        <v>5319</v>
      </c>
      <c r="D5708" t="s">
        <v>266</v>
      </c>
      <c r="E5708" t="s">
        <v>3120</v>
      </c>
      <c r="F5708" t="s">
        <v>3121</v>
      </c>
      <c r="G5708" t="s">
        <v>3122</v>
      </c>
      <c r="H5708" s="9">
        <v>44733</v>
      </c>
      <c r="I5708" t="s">
        <v>3123</v>
      </c>
      <c r="J5708" t="s">
        <v>2</v>
      </c>
      <c r="K5708" s="9">
        <v>44834</v>
      </c>
      <c r="L5708" t="s">
        <v>29</v>
      </c>
      <c r="M5708" t="s">
        <v>5331</v>
      </c>
      <c r="N5708" s="9">
        <v>44778</v>
      </c>
      <c r="O5708" s="9">
        <v>44834</v>
      </c>
      <c r="P5708"/>
      <c r="Q5708"/>
      <c r="R5708"/>
      <c r="S5708"/>
      <c r="T5708"/>
      <c r="U5708"/>
    </row>
    <row r="5709" spans="1:21" hidden="1">
      <c r="A5709" s="7" t="s">
        <v>8905</v>
      </c>
      <c r="B5709" s="7" t="s">
        <v>5934</v>
      </c>
      <c r="C5709" s="8" t="s">
        <v>5319</v>
      </c>
      <c r="D5709" t="s">
        <v>266</v>
      </c>
      <c r="E5709" t="s">
        <v>3120</v>
      </c>
      <c r="F5709" t="s">
        <v>200</v>
      </c>
      <c r="G5709" t="s">
        <v>3124</v>
      </c>
      <c r="H5709" s="9">
        <v>44733</v>
      </c>
      <c r="I5709" t="s">
        <v>2715</v>
      </c>
      <c r="J5709" t="s">
        <v>0</v>
      </c>
      <c r="K5709" s="9">
        <v>44804</v>
      </c>
      <c r="L5709" t="s">
        <v>29</v>
      </c>
      <c r="M5709"/>
      <c r="N5709" s="9">
        <v>44778</v>
      </c>
      <c r="O5709"/>
      <c r="P5709"/>
      <c r="Q5709" s="9">
        <v>44804</v>
      </c>
      <c r="R5709"/>
      <c r="S5709"/>
      <c r="T5709"/>
      <c r="U5709"/>
    </row>
    <row r="5710" spans="1:21" hidden="1">
      <c r="A5710" s="7" t="s">
        <v>8904</v>
      </c>
      <c r="B5710" s="7" t="s">
        <v>5934</v>
      </c>
      <c r="C5710" s="8" t="s">
        <v>5319</v>
      </c>
      <c r="D5710" t="s">
        <v>266</v>
      </c>
      <c r="E5710" t="s">
        <v>3120</v>
      </c>
      <c r="F5710" t="s">
        <v>3121</v>
      </c>
      <c r="G5710" t="s">
        <v>3124</v>
      </c>
      <c r="H5710" s="9">
        <v>44733</v>
      </c>
      <c r="I5710" t="s">
        <v>3123</v>
      </c>
      <c r="J5710" t="s">
        <v>2</v>
      </c>
      <c r="K5710" s="9">
        <v>44834</v>
      </c>
      <c r="L5710" t="s">
        <v>29</v>
      </c>
      <c r="M5710" t="s">
        <v>5331</v>
      </c>
      <c r="N5710" s="9">
        <v>44778</v>
      </c>
      <c r="O5710" s="9">
        <v>44834</v>
      </c>
      <c r="P5710"/>
      <c r="Q5710"/>
      <c r="R5710"/>
      <c r="S5710"/>
      <c r="T5710"/>
      <c r="U5710"/>
    </row>
    <row r="5711" spans="1:21" hidden="1">
      <c r="A5711" s="7" t="s">
        <v>8904</v>
      </c>
      <c r="B5711" s="7" t="s">
        <v>5934</v>
      </c>
      <c r="C5711" s="8" t="s">
        <v>5319</v>
      </c>
      <c r="D5711" t="s">
        <v>266</v>
      </c>
      <c r="E5711" t="s">
        <v>3120</v>
      </c>
      <c r="F5711" t="s">
        <v>3121</v>
      </c>
      <c r="G5711" t="s">
        <v>3125</v>
      </c>
      <c r="H5711" s="9">
        <v>44733</v>
      </c>
      <c r="I5711" t="s">
        <v>3123</v>
      </c>
      <c r="J5711" t="s">
        <v>2</v>
      </c>
      <c r="K5711" s="9">
        <v>44834</v>
      </c>
      <c r="L5711" t="s">
        <v>29</v>
      </c>
      <c r="M5711" t="s">
        <v>5331</v>
      </c>
      <c r="N5711" s="9">
        <v>44778</v>
      </c>
      <c r="O5711" s="9">
        <v>44834</v>
      </c>
      <c r="P5711"/>
      <c r="Q5711"/>
      <c r="R5711"/>
      <c r="S5711"/>
      <c r="T5711"/>
      <c r="U5711"/>
    </row>
    <row r="5712" spans="1:21" hidden="1">
      <c r="A5712" s="7" t="s">
        <v>8905</v>
      </c>
      <c r="B5712" s="7" t="s">
        <v>5934</v>
      </c>
      <c r="C5712" s="8" t="s">
        <v>5319</v>
      </c>
      <c r="D5712" t="s">
        <v>266</v>
      </c>
      <c r="E5712" t="s">
        <v>3120</v>
      </c>
      <c r="F5712" t="s">
        <v>200</v>
      </c>
      <c r="G5712" t="s">
        <v>3126</v>
      </c>
      <c r="H5712" s="9">
        <v>44733</v>
      </c>
      <c r="I5712" t="s">
        <v>2715</v>
      </c>
      <c r="J5712" t="s">
        <v>0</v>
      </c>
      <c r="K5712" s="9">
        <v>44804</v>
      </c>
      <c r="L5712" t="s">
        <v>29</v>
      </c>
      <c r="M5712"/>
      <c r="N5712" s="9">
        <v>44778</v>
      </c>
      <c r="O5712"/>
      <c r="P5712"/>
      <c r="Q5712" s="9">
        <v>44804</v>
      </c>
      <c r="R5712"/>
      <c r="S5712"/>
      <c r="T5712"/>
      <c r="U5712"/>
    </row>
    <row r="5713" spans="1:21" hidden="1">
      <c r="A5713" s="7" t="s">
        <v>8904</v>
      </c>
      <c r="B5713" s="7" t="s">
        <v>5934</v>
      </c>
      <c r="C5713" s="8" t="s">
        <v>5319</v>
      </c>
      <c r="D5713" t="s">
        <v>266</v>
      </c>
      <c r="E5713" t="s">
        <v>3120</v>
      </c>
      <c r="F5713" t="s">
        <v>3121</v>
      </c>
      <c r="G5713" t="s">
        <v>3126</v>
      </c>
      <c r="H5713" s="9">
        <v>44733</v>
      </c>
      <c r="I5713" t="s">
        <v>3123</v>
      </c>
      <c r="J5713" t="s">
        <v>2</v>
      </c>
      <c r="K5713" s="9">
        <v>44834</v>
      </c>
      <c r="L5713" t="s">
        <v>29</v>
      </c>
      <c r="M5713" t="s">
        <v>5331</v>
      </c>
      <c r="N5713" s="9">
        <v>44778</v>
      </c>
      <c r="O5713" s="9">
        <v>44834</v>
      </c>
      <c r="P5713"/>
      <c r="Q5713"/>
      <c r="R5713"/>
      <c r="S5713"/>
      <c r="T5713"/>
      <c r="U5713"/>
    </row>
    <row r="5714" spans="1:21" hidden="1">
      <c r="A5714" s="7" t="s">
        <v>8905</v>
      </c>
      <c r="B5714" s="7" t="s">
        <v>5934</v>
      </c>
      <c r="C5714" s="8" t="s">
        <v>5319</v>
      </c>
      <c r="D5714" t="s">
        <v>266</v>
      </c>
      <c r="E5714" t="s">
        <v>3120</v>
      </c>
      <c r="F5714" t="s">
        <v>200</v>
      </c>
      <c r="G5714" t="s">
        <v>3127</v>
      </c>
      <c r="H5714" s="9">
        <v>44733</v>
      </c>
      <c r="I5714" t="s">
        <v>2715</v>
      </c>
      <c r="J5714" t="s">
        <v>0</v>
      </c>
      <c r="K5714" s="9">
        <v>44804</v>
      </c>
      <c r="L5714" t="s">
        <v>29</v>
      </c>
      <c r="M5714"/>
      <c r="N5714" s="9">
        <v>44778</v>
      </c>
      <c r="O5714"/>
      <c r="P5714"/>
      <c r="Q5714" s="9">
        <v>44804</v>
      </c>
      <c r="R5714"/>
      <c r="S5714"/>
      <c r="T5714"/>
      <c r="U5714"/>
    </row>
    <row r="5715" spans="1:21" hidden="1">
      <c r="A5715" s="7" t="s">
        <v>8897</v>
      </c>
      <c r="B5715" s="7" t="s">
        <v>6320</v>
      </c>
      <c r="C5715" s="8" t="s">
        <v>5319</v>
      </c>
      <c r="D5715" t="s">
        <v>266</v>
      </c>
      <c r="E5715" t="s">
        <v>3069</v>
      </c>
      <c r="F5715" t="s">
        <v>3070</v>
      </c>
      <c r="G5715" t="s">
        <v>3128</v>
      </c>
      <c r="H5715" s="9">
        <v>44733</v>
      </c>
      <c r="I5715" t="s">
        <v>2187</v>
      </c>
      <c r="J5715" t="s">
        <v>2</v>
      </c>
      <c r="K5715" s="9">
        <v>44834</v>
      </c>
      <c r="L5715" t="s">
        <v>29</v>
      </c>
      <c r="M5715" t="s">
        <v>5331</v>
      </c>
      <c r="N5715" s="9">
        <v>44778</v>
      </c>
      <c r="O5715" s="9">
        <v>44834</v>
      </c>
      <c r="P5715"/>
      <c r="Q5715"/>
      <c r="R5715"/>
      <c r="S5715"/>
      <c r="T5715"/>
      <c r="U5715"/>
    </row>
    <row r="5716" spans="1:21" hidden="1">
      <c r="A5716" s="7" t="s">
        <v>8897</v>
      </c>
      <c r="B5716" s="7" t="s">
        <v>6320</v>
      </c>
      <c r="C5716" s="8" t="s">
        <v>5319</v>
      </c>
      <c r="D5716" t="s">
        <v>266</v>
      </c>
      <c r="E5716" t="s">
        <v>3069</v>
      </c>
      <c r="F5716" t="s">
        <v>3070</v>
      </c>
      <c r="G5716" t="s">
        <v>3129</v>
      </c>
      <c r="H5716" s="9">
        <v>44733</v>
      </c>
      <c r="I5716" t="s">
        <v>2187</v>
      </c>
      <c r="J5716" t="s">
        <v>2</v>
      </c>
      <c r="K5716" s="9">
        <v>44834</v>
      </c>
      <c r="L5716" t="s">
        <v>29</v>
      </c>
      <c r="M5716" t="s">
        <v>5331</v>
      </c>
      <c r="N5716" s="9">
        <v>44778</v>
      </c>
      <c r="O5716" s="9">
        <v>44834</v>
      </c>
      <c r="P5716"/>
      <c r="Q5716"/>
      <c r="R5716"/>
      <c r="S5716"/>
      <c r="T5716"/>
      <c r="U5716"/>
    </row>
    <row r="5717" spans="1:21" hidden="1">
      <c r="A5717" s="7" t="s">
        <v>8897</v>
      </c>
      <c r="B5717" s="7" t="s">
        <v>6320</v>
      </c>
      <c r="C5717" s="8" t="s">
        <v>5319</v>
      </c>
      <c r="D5717" t="s">
        <v>266</v>
      </c>
      <c r="E5717" t="s">
        <v>3069</v>
      </c>
      <c r="F5717" t="s">
        <v>3070</v>
      </c>
      <c r="G5717" t="s">
        <v>3130</v>
      </c>
      <c r="H5717" s="9">
        <v>44733</v>
      </c>
      <c r="I5717" t="s">
        <v>2187</v>
      </c>
      <c r="J5717" t="s">
        <v>2</v>
      </c>
      <c r="K5717" s="9">
        <v>44834</v>
      </c>
      <c r="L5717" t="s">
        <v>29</v>
      </c>
      <c r="M5717" t="s">
        <v>5331</v>
      </c>
      <c r="N5717" s="9">
        <v>44778</v>
      </c>
      <c r="O5717" s="9">
        <v>44834</v>
      </c>
      <c r="P5717"/>
      <c r="Q5717"/>
      <c r="R5717"/>
      <c r="S5717"/>
      <c r="T5717"/>
      <c r="U5717"/>
    </row>
    <row r="5718" spans="1:21" hidden="1">
      <c r="A5718" s="7" t="s">
        <v>8897</v>
      </c>
      <c r="B5718" s="7" t="s">
        <v>6320</v>
      </c>
      <c r="C5718" s="8" t="s">
        <v>5319</v>
      </c>
      <c r="D5718" t="s">
        <v>266</v>
      </c>
      <c r="E5718" t="s">
        <v>3069</v>
      </c>
      <c r="F5718" t="s">
        <v>3070</v>
      </c>
      <c r="G5718" t="s">
        <v>3131</v>
      </c>
      <c r="H5718" s="9">
        <v>44733</v>
      </c>
      <c r="I5718" t="s">
        <v>2187</v>
      </c>
      <c r="J5718" t="s">
        <v>2</v>
      </c>
      <c r="K5718" s="9">
        <v>44834</v>
      </c>
      <c r="L5718" t="s">
        <v>29</v>
      </c>
      <c r="M5718" t="s">
        <v>5331</v>
      </c>
      <c r="N5718" s="9">
        <v>44778</v>
      </c>
      <c r="O5718" s="9">
        <v>44834</v>
      </c>
      <c r="P5718"/>
      <c r="Q5718"/>
      <c r="R5718"/>
      <c r="S5718"/>
      <c r="T5718"/>
      <c r="U5718"/>
    </row>
    <row r="5719" spans="1:21" hidden="1">
      <c r="A5719" s="7" t="s">
        <v>8897</v>
      </c>
      <c r="B5719" s="7" t="s">
        <v>6320</v>
      </c>
      <c r="C5719" s="8" t="s">
        <v>5319</v>
      </c>
      <c r="D5719" t="s">
        <v>266</v>
      </c>
      <c r="E5719" t="s">
        <v>3069</v>
      </c>
      <c r="F5719" t="s">
        <v>3070</v>
      </c>
      <c r="G5719" t="s">
        <v>3132</v>
      </c>
      <c r="H5719" s="9">
        <v>44733</v>
      </c>
      <c r="I5719" t="s">
        <v>2187</v>
      </c>
      <c r="J5719" t="s">
        <v>2</v>
      </c>
      <c r="K5719" s="9">
        <v>44834</v>
      </c>
      <c r="L5719" t="s">
        <v>29</v>
      </c>
      <c r="M5719" t="s">
        <v>5331</v>
      </c>
      <c r="N5719" s="9">
        <v>44778</v>
      </c>
      <c r="O5719" s="9">
        <v>44834</v>
      </c>
      <c r="P5719"/>
      <c r="Q5719"/>
      <c r="R5719"/>
      <c r="S5719"/>
      <c r="T5719"/>
      <c r="U5719"/>
    </row>
    <row r="5720" spans="1:21" hidden="1">
      <c r="A5720" s="7" t="s">
        <v>8897</v>
      </c>
      <c r="B5720" s="7" t="s">
        <v>6320</v>
      </c>
      <c r="C5720" s="8" t="s">
        <v>5319</v>
      </c>
      <c r="D5720" t="s">
        <v>266</v>
      </c>
      <c r="E5720" t="s">
        <v>3069</v>
      </c>
      <c r="F5720" t="s">
        <v>3070</v>
      </c>
      <c r="G5720" t="s">
        <v>3133</v>
      </c>
      <c r="H5720" s="9">
        <v>44733</v>
      </c>
      <c r="I5720" t="s">
        <v>2187</v>
      </c>
      <c r="J5720" t="s">
        <v>2</v>
      </c>
      <c r="K5720" s="9">
        <v>44834</v>
      </c>
      <c r="L5720" t="s">
        <v>29</v>
      </c>
      <c r="M5720" t="s">
        <v>5331</v>
      </c>
      <c r="N5720" s="9">
        <v>44778</v>
      </c>
      <c r="O5720" s="9">
        <v>44834</v>
      </c>
      <c r="P5720"/>
      <c r="Q5720"/>
      <c r="R5720"/>
      <c r="S5720"/>
      <c r="T5720"/>
      <c r="U5720"/>
    </row>
    <row r="5721" spans="1:21" hidden="1">
      <c r="A5721" s="7" t="s">
        <v>8897</v>
      </c>
      <c r="B5721" s="7" t="s">
        <v>6320</v>
      </c>
      <c r="C5721" s="8" t="s">
        <v>5319</v>
      </c>
      <c r="D5721" t="s">
        <v>266</v>
      </c>
      <c r="E5721" t="s">
        <v>3069</v>
      </c>
      <c r="F5721" t="s">
        <v>3070</v>
      </c>
      <c r="G5721" t="s">
        <v>3134</v>
      </c>
      <c r="H5721" s="9">
        <v>44733</v>
      </c>
      <c r="I5721" t="s">
        <v>2187</v>
      </c>
      <c r="J5721" t="s">
        <v>2</v>
      </c>
      <c r="K5721" s="9">
        <v>44834</v>
      </c>
      <c r="L5721" t="s">
        <v>29</v>
      </c>
      <c r="M5721" t="s">
        <v>5331</v>
      </c>
      <c r="N5721" s="9">
        <v>44778</v>
      </c>
      <c r="O5721" s="9">
        <v>44834</v>
      </c>
      <c r="P5721"/>
      <c r="Q5721"/>
      <c r="R5721"/>
      <c r="S5721"/>
      <c r="T5721"/>
      <c r="U5721"/>
    </row>
    <row r="5722" spans="1:21" hidden="1">
      <c r="A5722" s="7" t="s">
        <v>8897</v>
      </c>
      <c r="B5722" s="7" t="s">
        <v>6320</v>
      </c>
      <c r="C5722" s="8" t="s">
        <v>5319</v>
      </c>
      <c r="D5722" t="s">
        <v>266</v>
      </c>
      <c r="E5722" t="s">
        <v>3069</v>
      </c>
      <c r="F5722" t="s">
        <v>3070</v>
      </c>
      <c r="G5722" t="s">
        <v>3071</v>
      </c>
      <c r="H5722" s="9">
        <v>44733</v>
      </c>
      <c r="I5722" t="s">
        <v>2187</v>
      </c>
      <c r="J5722" t="s">
        <v>2</v>
      </c>
      <c r="K5722" s="9">
        <v>44834</v>
      </c>
      <c r="L5722" t="s">
        <v>29</v>
      </c>
      <c r="M5722" t="s">
        <v>5331</v>
      </c>
      <c r="N5722" s="9">
        <v>44778</v>
      </c>
      <c r="O5722" s="9">
        <v>44834</v>
      </c>
      <c r="P5722"/>
      <c r="Q5722"/>
      <c r="R5722"/>
      <c r="S5722"/>
      <c r="T5722"/>
      <c r="U5722"/>
    </row>
    <row r="5723" spans="1:21" hidden="1">
      <c r="A5723" s="7" t="s">
        <v>8897</v>
      </c>
      <c r="B5723" s="7" t="s">
        <v>6320</v>
      </c>
      <c r="C5723" s="8" t="s">
        <v>5319</v>
      </c>
      <c r="D5723" t="s">
        <v>266</v>
      </c>
      <c r="E5723" t="s">
        <v>3069</v>
      </c>
      <c r="F5723" t="s">
        <v>3070</v>
      </c>
      <c r="G5723" t="s">
        <v>3072</v>
      </c>
      <c r="H5723" s="9">
        <v>44733</v>
      </c>
      <c r="I5723" t="s">
        <v>2187</v>
      </c>
      <c r="J5723" t="s">
        <v>2</v>
      </c>
      <c r="K5723" s="9">
        <v>44834</v>
      </c>
      <c r="L5723" t="s">
        <v>29</v>
      </c>
      <c r="M5723" t="s">
        <v>5331</v>
      </c>
      <c r="N5723" s="9">
        <v>44778</v>
      </c>
      <c r="O5723" s="9">
        <v>44834</v>
      </c>
      <c r="P5723"/>
      <c r="Q5723"/>
      <c r="R5723"/>
      <c r="S5723"/>
      <c r="T5723"/>
      <c r="U5723"/>
    </row>
    <row r="5724" spans="1:21" hidden="1">
      <c r="A5724" s="7" t="s">
        <v>8897</v>
      </c>
      <c r="B5724" s="7" t="s">
        <v>6320</v>
      </c>
      <c r="C5724" s="8" t="s">
        <v>5319</v>
      </c>
      <c r="D5724" t="s">
        <v>266</v>
      </c>
      <c r="E5724" t="s">
        <v>3069</v>
      </c>
      <c r="F5724" t="s">
        <v>3070</v>
      </c>
      <c r="G5724" t="s">
        <v>3073</v>
      </c>
      <c r="H5724" s="9">
        <v>44733</v>
      </c>
      <c r="I5724" t="s">
        <v>2187</v>
      </c>
      <c r="J5724" t="s">
        <v>2</v>
      </c>
      <c r="K5724" s="9">
        <v>44834</v>
      </c>
      <c r="L5724" t="s">
        <v>29</v>
      </c>
      <c r="M5724" t="s">
        <v>5331</v>
      </c>
      <c r="N5724" s="9">
        <v>44778</v>
      </c>
      <c r="O5724" s="9">
        <v>44834</v>
      </c>
      <c r="P5724"/>
      <c r="Q5724"/>
      <c r="R5724"/>
      <c r="S5724"/>
      <c r="T5724"/>
      <c r="U5724"/>
    </row>
    <row r="5725" spans="1:21" hidden="1">
      <c r="A5725" s="7" t="s">
        <v>8897</v>
      </c>
      <c r="B5725" s="7" t="s">
        <v>6320</v>
      </c>
      <c r="C5725" s="8" t="s">
        <v>5319</v>
      </c>
      <c r="D5725" t="s">
        <v>266</v>
      </c>
      <c r="E5725" t="s">
        <v>3069</v>
      </c>
      <c r="F5725" t="s">
        <v>3070</v>
      </c>
      <c r="G5725" t="s">
        <v>3074</v>
      </c>
      <c r="H5725" s="9">
        <v>44733</v>
      </c>
      <c r="I5725" t="s">
        <v>2187</v>
      </c>
      <c r="J5725" t="s">
        <v>2</v>
      </c>
      <c r="K5725" s="9">
        <v>44834</v>
      </c>
      <c r="L5725" t="s">
        <v>29</v>
      </c>
      <c r="M5725" t="s">
        <v>5331</v>
      </c>
      <c r="N5725" s="9">
        <v>44778</v>
      </c>
      <c r="O5725" s="9">
        <v>44834</v>
      </c>
      <c r="P5725"/>
      <c r="Q5725"/>
      <c r="R5725"/>
      <c r="S5725"/>
      <c r="T5725"/>
      <c r="U5725"/>
    </row>
    <row r="5726" spans="1:21" hidden="1">
      <c r="A5726" s="7" t="s">
        <v>8874</v>
      </c>
      <c r="B5726" s="7" t="s">
        <v>7053</v>
      </c>
      <c r="C5726" s="8" t="s">
        <v>5319</v>
      </c>
      <c r="D5726" t="s">
        <v>266</v>
      </c>
      <c r="E5726" t="s">
        <v>2503</v>
      </c>
      <c r="F5726" t="s">
        <v>280</v>
      </c>
      <c r="G5726" t="s">
        <v>3075</v>
      </c>
      <c r="H5726" s="9">
        <v>44733</v>
      </c>
      <c r="I5726" t="s">
        <v>903</v>
      </c>
      <c r="J5726" t="s">
        <v>276</v>
      </c>
      <c r="K5726" s="9">
        <v>44882.647395833301</v>
      </c>
      <c r="L5726" t="s">
        <v>29</v>
      </c>
      <c r="M5726" t="s">
        <v>5331</v>
      </c>
      <c r="N5726" s="9">
        <v>44778</v>
      </c>
      <c r="O5726" s="9">
        <v>44834</v>
      </c>
      <c r="P5726"/>
      <c r="Q5726"/>
      <c r="R5726" s="9">
        <v>44882.645879629599</v>
      </c>
      <c r="S5726"/>
      <c r="T5726"/>
      <c r="U5726"/>
    </row>
    <row r="5727" spans="1:21" hidden="1">
      <c r="A5727" s="7" t="s">
        <v>8874</v>
      </c>
      <c r="B5727" s="7" t="s">
        <v>7053</v>
      </c>
      <c r="C5727" s="8" t="s">
        <v>5319</v>
      </c>
      <c r="D5727" t="s">
        <v>266</v>
      </c>
      <c r="E5727" t="s">
        <v>2503</v>
      </c>
      <c r="F5727" t="s">
        <v>280</v>
      </c>
      <c r="G5727" t="s">
        <v>3076</v>
      </c>
      <c r="H5727" s="9">
        <v>44733</v>
      </c>
      <c r="I5727" t="s">
        <v>903</v>
      </c>
      <c r="J5727" t="s">
        <v>276</v>
      </c>
      <c r="K5727" s="9">
        <v>44882.647395833301</v>
      </c>
      <c r="L5727" t="s">
        <v>29</v>
      </c>
      <c r="M5727" t="s">
        <v>5331</v>
      </c>
      <c r="N5727" s="9">
        <v>44778</v>
      </c>
      <c r="O5727" s="9">
        <v>44834</v>
      </c>
      <c r="P5727"/>
      <c r="Q5727"/>
      <c r="R5727" s="9">
        <v>44882.645879629599</v>
      </c>
      <c r="S5727"/>
      <c r="T5727"/>
      <c r="U5727"/>
    </row>
    <row r="5728" spans="1:21" hidden="1">
      <c r="A5728" s="7" t="s">
        <v>8750</v>
      </c>
      <c r="B5728" s="7" t="s">
        <v>5970</v>
      </c>
      <c r="C5728" s="8" t="s">
        <v>5319</v>
      </c>
      <c r="D5728" t="s">
        <v>266</v>
      </c>
      <c r="E5728" t="s">
        <v>432</v>
      </c>
      <c r="F5728" t="s">
        <v>433</v>
      </c>
      <c r="G5728" t="s">
        <v>3077</v>
      </c>
      <c r="H5728" s="9">
        <v>44733</v>
      </c>
      <c r="I5728" t="s">
        <v>85</v>
      </c>
      <c r="J5728" t="s">
        <v>2</v>
      </c>
      <c r="K5728" s="9">
        <v>44834</v>
      </c>
      <c r="L5728" t="s">
        <v>29</v>
      </c>
      <c r="M5728" t="s">
        <v>5331</v>
      </c>
      <c r="N5728" s="9">
        <v>44778</v>
      </c>
      <c r="O5728" s="9">
        <v>44834</v>
      </c>
      <c r="P5728"/>
      <c r="Q5728"/>
      <c r="R5728"/>
      <c r="S5728"/>
      <c r="T5728"/>
      <c r="U5728"/>
    </row>
    <row r="5729" spans="1:21" hidden="1">
      <c r="A5729" s="7" t="s">
        <v>8750</v>
      </c>
      <c r="B5729" s="7" t="s">
        <v>5970</v>
      </c>
      <c r="C5729" s="8" t="s">
        <v>5319</v>
      </c>
      <c r="D5729" t="s">
        <v>266</v>
      </c>
      <c r="E5729" t="s">
        <v>432</v>
      </c>
      <c r="F5729" t="s">
        <v>433</v>
      </c>
      <c r="G5729" t="s">
        <v>434</v>
      </c>
      <c r="H5729" s="9">
        <v>44733</v>
      </c>
      <c r="I5729" t="s">
        <v>85</v>
      </c>
      <c r="J5729" t="s">
        <v>2</v>
      </c>
      <c r="K5729" s="9">
        <v>44834</v>
      </c>
      <c r="L5729" t="s">
        <v>29</v>
      </c>
      <c r="M5729" t="s">
        <v>5331</v>
      </c>
      <c r="N5729" s="9">
        <v>44778</v>
      </c>
      <c r="O5729" s="9">
        <v>44834</v>
      </c>
      <c r="P5729"/>
      <c r="Q5729"/>
      <c r="R5729"/>
      <c r="S5729"/>
      <c r="T5729"/>
      <c r="U5729"/>
    </row>
    <row r="5730" spans="1:21" hidden="1">
      <c r="A5730" s="7" t="s">
        <v>8750</v>
      </c>
      <c r="B5730" s="7" t="s">
        <v>5970</v>
      </c>
      <c r="C5730" s="8" t="s">
        <v>5319</v>
      </c>
      <c r="D5730" t="s">
        <v>266</v>
      </c>
      <c r="E5730" t="s">
        <v>432</v>
      </c>
      <c r="F5730" t="s">
        <v>433</v>
      </c>
      <c r="G5730" t="s">
        <v>3078</v>
      </c>
      <c r="H5730" s="9">
        <v>44733</v>
      </c>
      <c r="I5730" t="s">
        <v>85</v>
      </c>
      <c r="J5730" t="s">
        <v>2</v>
      </c>
      <c r="K5730" s="9">
        <v>44834</v>
      </c>
      <c r="L5730" t="s">
        <v>29</v>
      </c>
      <c r="M5730" t="s">
        <v>5331</v>
      </c>
      <c r="N5730" s="9">
        <v>44778</v>
      </c>
      <c r="O5730" s="9">
        <v>44834</v>
      </c>
      <c r="P5730"/>
      <c r="Q5730"/>
      <c r="R5730"/>
      <c r="S5730"/>
      <c r="T5730"/>
      <c r="U5730"/>
    </row>
    <row r="5731" spans="1:21" hidden="1">
      <c r="A5731" s="7" t="s">
        <v>8844</v>
      </c>
      <c r="B5731" s="7" t="s">
        <v>5466</v>
      </c>
      <c r="C5731" s="8" t="s">
        <v>5319</v>
      </c>
      <c r="D5731" t="s">
        <v>266</v>
      </c>
      <c r="E5731" t="s">
        <v>2119</v>
      </c>
      <c r="F5731" t="s">
        <v>83</v>
      </c>
      <c r="G5731" t="s">
        <v>3079</v>
      </c>
      <c r="H5731" s="9">
        <v>44733</v>
      </c>
      <c r="I5731" t="s">
        <v>2121</v>
      </c>
      <c r="J5731" t="s">
        <v>2</v>
      </c>
      <c r="K5731" s="9">
        <v>44834</v>
      </c>
      <c r="L5731" t="s">
        <v>29</v>
      </c>
      <c r="M5731" t="s">
        <v>5331</v>
      </c>
      <c r="N5731" s="9">
        <v>44778</v>
      </c>
      <c r="O5731" s="9">
        <v>44834</v>
      </c>
      <c r="P5731"/>
      <c r="Q5731"/>
      <c r="R5731"/>
      <c r="S5731"/>
      <c r="T5731"/>
      <c r="U5731"/>
    </row>
    <row r="5732" spans="1:21" hidden="1">
      <c r="A5732" s="7" t="s">
        <v>8877</v>
      </c>
      <c r="B5732" s="7" t="s">
        <v>8360</v>
      </c>
      <c r="C5732" s="8" t="s">
        <v>5319</v>
      </c>
      <c r="D5732" t="s">
        <v>266</v>
      </c>
      <c r="E5732" t="s">
        <v>2609</v>
      </c>
      <c r="F5732" t="s">
        <v>117</v>
      </c>
      <c r="G5732" t="s">
        <v>3080</v>
      </c>
      <c r="H5732" s="9">
        <v>44733</v>
      </c>
      <c r="I5732" t="s">
        <v>322</v>
      </c>
      <c r="J5732" t="s">
        <v>2</v>
      </c>
      <c r="K5732" s="9">
        <v>44834</v>
      </c>
      <c r="L5732" t="s">
        <v>29</v>
      </c>
      <c r="M5732" t="s">
        <v>5331</v>
      </c>
      <c r="N5732" s="9">
        <v>44778</v>
      </c>
      <c r="O5732" s="9">
        <v>44834</v>
      </c>
      <c r="P5732"/>
      <c r="Q5732"/>
      <c r="R5732"/>
      <c r="S5732"/>
      <c r="T5732"/>
      <c r="U5732"/>
    </row>
    <row r="5733" spans="1:21" hidden="1">
      <c r="A5733" s="7" t="s">
        <v>8877</v>
      </c>
      <c r="B5733" s="7" t="s">
        <v>8360</v>
      </c>
      <c r="C5733" s="8" t="s">
        <v>5319</v>
      </c>
      <c r="D5733" t="s">
        <v>266</v>
      </c>
      <c r="E5733" t="s">
        <v>2609</v>
      </c>
      <c r="F5733" t="s">
        <v>117</v>
      </c>
      <c r="G5733" t="s">
        <v>3081</v>
      </c>
      <c r="H5733" s="9">
        <v>44733</v>
      </c>
      <c r="I5733" t="s">
        <v>322</v>
      </c>
      <c r="J5733" t="s">
        <v>2</v>
      </c>
      <c r="K5733" s="9">
        <v>44834</v>
      </c>
      <c r="L5733" t="s">
        <v>29</v>
      </c>
      <c r="M5733" t="s">
        <v>5331</v>
      </c>
      <c r="N5733" s="9">
        <v>44778</v>
      </c>
      <c r="O5733" s="9">
        <v>44834</v>
      </c>
      <c r="P5733"/>
      <c r="Q5733"/>
      <c r="R5733"/>
      <c r="S5733"/>
      <c r="T5733"/>
      <c r="U5733"/>
    </row>
    <row r="5734" spans="1:21" hidden="1">
      <c r="A5734" s="7" t="s">
        <v>8877</v>
      </c>
      <c r="B5734" s="7" t="s">
        <v>8360</v>
      </c>
      <c r="C5734" s="8" t="s">
        <v>5319</v>
      </c>
      <c r="D5734" t="s">
        <v>266</v>
      </c>
      <c r="E5734" t="s">
        <v>2609</v>
      </c>
      <c r="F5734" t="s">
        <v>117</v>
      </c>
      <c r="G5734" t="s">
        <v>3082</v>
      </c>
      <c r="H5734" s="9">
        <v>44733</v>
      </c>
      <c r="I5734" t="s">
        <v>322</v>
      </c>
      <c r="J5734" t="s">
        <v>2</v>
      </c>
      <c r="K5734" s="9">
        <v>44834</v>
      </c>
      <c r="L5734" t="s">
        <v>29</v>
      </c>
      <c r="M5734" t="s">
        <v>5331</v>
      </c>
      <c r="N5734" s="9">
        <v>44778</v>
      </c>
      <c r="O5734" s="9">
        <v>44834</v>
      </c>
      <c r="P5734"/>
      <c r="Q5734"/>
      <c r="R5734"/>
      <c r="S5734"/>
      <c r="T5734"/>
      <c r="U5734"/>
    </row>
    <row r="5735" spans="1:21" hidden="1">
      <c r="A5735" s="7" t="s">
        <v>8898</v>
      </c>
      <c r="B5735" s="7" t="s">
        <v>6096</v>
      </c>
      <c r="C5735" s="8" t="s">
        <v>5319</v>
      </c>
      <c r="D5735" t="s">
        <v>266</v>
      </c>
      <c r="E5735" t="s">
        <v>2125</v>
      </c>
      <c r="F5735" t="s">
        <v>3083</v>
      </c>
      <c r="G5735" t="s">
        <v>3084</v>
      </c>
      <c r="H5735" s="9">
        <v>44733</v>
      </c>
      <c r="I5735" t="s">
        <v>77</v>
      </c>
      <c r="J5735" t="s">
        <v>0</v>
      </c>
      <c r="K5735" s="9">
        <v>44841</v>
      </c>
      <c r="L5735" t="s">
        <v>29</v>
      </c>
      <c r="M5735"/>
      <c r="N5735" s="9">
        <v>44778</v>
      </c>
      <c r="O5735" s="9">
        <v>44834</v>
      </c>
      <c r="P5735"/>
      <c r="Q5735" s="9">
        <v>44841</v>
      </c>
      <c r="R5735"/>
      <c r="S5735"/>
      <c r="T5735"/>
      <c r="U5735"/>
    </row>
    <row r="5736" spans="1:21" hidden="1">
      <c r="A5736" s="7" t="s">
        <v>8898</v>
      </c>
      <c r="B5736" s="7" t="s">
        <v>6096</v>
      </c>
      <c r="C5736" s="8" t="s">
        <v>5319</v>
      </c>
      <c r="D5736" t="s">
        <v>266</v>
      </c>
      <c r="E5736" t="s">
        <v>2125</v>
      </c>
      <c r="F5736" t="s">
        <v>3083</v>
      </c>
      <c r="G5736" t="s">
        <v>3085</v>
      </c>
      <c r="H5736" s="9">
        <v>44733</v>
      </c>
      <c r="I5736" t="s">
        <v>77</v>
      </c>
      <c r="J5736" t="s">
        <v>0</v>
      </c>
      <c r="K5736" s="9">
        <v>44841</v>
      </c>
      <c r="L5736" t="s">
        <v>29</v>
      </c>
      <c r="M5736"/>
      <c r="N5736" s="9">
        <v>44778</v>
      </c>
      <c r="O5736" s="9">
        <v>44834</v>
      </c>
      <c r="P5736"/>
      <c r="Q5736" s="9">
        <v>44841</v>
      </c>
      <c r="R5736"/>
      <c r="S5736"/>
      <c r="T5736"/>
      <c r="U5736"/>
    </row>
    <row r="5737" spans="1:21" hidden="1">
      <c r="A5737" s="7" t="s">
        <v>8898</v>
      </c>
      <c r="B5737" s="7" t="s">
        <v>6096</v>
      </c>
      <c r="C5737" s="8" t="s">
        <v>5319</v>
      </c>
      <c r="D5737" t="s">
        <v>266</v>
      </c>
      <c r="E5737" t="s">
        <v>2125</v>
      </c>
      <c r="F5737" t="s">
        <v>3083</v>
      </c>
      <c r="G5737" t="s">
        <v>3086</v>
      </c>
      <c r="H5737" s="9">
        <v>44733</v>
      </c>
      <c r="I5737" t="s">
        <v>77</v>
      </c>
      <c r="J5737" t="s">
        <v>0</v>
      </c>
      <c r="K5737" s="9">
        <v>44841</v>
      </c>
      <c r="L5737" t="s">
        <v>29</v>
      </c>
      <c r="M5737"/>
      <c r="N5737" s="9">
        <v>44778</v>
      </c>
      <c r="O5737" s="9">
        <v>44834</v>
      </c>
      <c r="P5737"/>
      <c r="Q5737" s="9">
        <v>44841</v>
      </c>
      <c r="R5737"/>
      <c r="S5737"/>
      <c r="T5737"/>
      <c r="U5737"/>
    </row>
    <row r="5738" spans="1:21" hidden="1">
      <c r="A5738" s="7" t="s">
        <v>8898</v>
      </c>
      <c r="B5738" s="7" t="s">
        <v>6096</v>
      </c>
      <c r="C5738" s="8" t="s">
        <v>5319</v>
      </c>
      <c r="D5738" t="s">
        <v>266</v>
      </c>
      <c r="E5738" t="s">
        <v>2125</v>
      </c>
      <c r="F5738" t="s">
        <v>3083</v>
      </c>
      <c r="G5738" t="s">
        <v>3087</v>
      </c>
      <c r="H5738" s="9">
        <v>44733</v>
      </c>
      <c r="I5738" t="s">
        <v>77</v>
      </c>
      <c r="J5738" t="s">
        <v>0</v>
      </c>
      <c r="K5738" s="9">
        <v>44841</v>
      </c>
      <c r="L5738" t="s">
        <v>29</v>
      </c>
      <c r="M5738"/>
      <c r="N5738" s="9">
        <v>44778</v>
      </c>
      <c r="O5738" s="9">
        <v>44834</v>
      </c>
      <c r="P5738"/>
      <c r="Q5738" s="9">
        <v>44841</v>
      </c>
      <c r="R5738"/>
      <c r="S5738"/>
      <c r="T5738"/>
      <c r="U5738"/>
    </row>
    <row r="5739" spans="1:21" hidden="1">
      <c r="A5739" s="7" t="s">
        <v>8899</v>
      </c>
      <c r="B5739" s="7" t="s">
        <v>6913</v>
      </c>
      <c r="C5739" s="8" t="s">
        <v>5319</v>
      </c>
      <c r="D5739" t="s">
        <v>266</v>
      </c>
      <c r="E5739" t="s">
        <v>3088</v>
      </c>
      <c r="F5739" t="s">
        <v>200</v>
      </c>
      <c r="G5739" t="s">
        <v>3089</v>
      </c>
      <c r="H5739" s="9">
        <v>44733</v>
      </c>
      <c r="I5739" t="s">
        <v>77</v>
      </c>
      <c r="J5739" t="s">
        <v>0</v>
      </c>
      <c r="K5739" s="9">
        <v>44802</v>
      </c>
      <c r="L5739" t="s">
        <v>29</v>
      </c>
      <c r="M5739"/>
      <c r="N5739" s="9">
        <v>44778</v>
      </c>
      <c r="O5739"/>
      <c r="P5739"/>
      <c r="Q5739" s="9">
        <v>44802</v>
      </c>
      <c r="R5739"/>
      <c r="S5739"/>
      <c r="T5739"/>
      <c r="U5739"/>
    </row>
    <row r="5740" spans="1:21" hidden="1">
      <c r="A5740" s="7" t="s">
        <v>8900</v>
      </c>
      <c r="B5740" s="7" t="s">
        <v>7822</v>
      </c>
      <c r="C5740" s="8" t="s">
        <v>5319</v>
      </c>
      <c r="D5740" t="s">
        <v>266</v>
      </c>
      <c r="E5740" t="s">
        <v>3090</v>
      </c>
      <c r="F5740" t="s">
        <v>111</v>
      </c>
      <c r="G5740" t="s">
        <v>3091</v>
      </c>
      <c r="H5740" s="9">
        <v>44735</v>
      </c>
      <c r="I5740" t="s">
        <v>3092</v>
      </c>
      <c r="J5740" t="s">
        <v>2</v>
      </c>
      <c r="K5740" s="9">
        <v>44834</v>
      </c>
      <c r="L5740" t="s">
        <v>29</v>
      </c>
      <c r="M5740" t="s">
        <v>5331</v>
      </c>
      <c r="N5740" s="9">
        <v>44778</v>
      </c>
      <c r="O5740" s="9">
        <v>44834</v>
      </c>
      <c r="P5740"/>
      <c r="Q5740"/>
      <c r="R5740"/>
      <c r="S5740"/>
      <c r="T5740"/>
      <c r="U5740"/>
    </row>
    <row r="5741" spans="1:21" hidden="1">
      <c r="A5741" s="7" t="s">
        <v>8900</v>
      </c>
      <c r="B5741" s="7" t="s">
        <v>7822</v>
      </c>
      <c r="C5741" s="8" t="s">
        <v>5319</v>
      </c>
      <c r="D5741" t="s">
        <v>266</v>
      </c>
      <c r="E5741" t="s">
        <v>3090</v>
      </c>
      <c r="F5741" t="s">
        <v>111</v>
      </c>
      <c r="G5741" t="s">
        <v>3093</v>
      </c>
      <c r="H5741" s="9">
        <v>44735</v>
      </c>
      <c r="I5741" t="s">
        <v>3092</v>
      </c>
      <c r="J5741" t="s">
        <v>2</v>
      </c>
      <c r="K5741" s="9">
        <v>44834</v>
      </c>
      <c r="L5741" t="s">
        <v>29</v>
      </c>
      <c r="M5741" t="s">
        <v>5331</v>
      </c>
      <c r="N5741" s="9">
        <v>44778</v>
      </c>
      <c r="O5741" s="9">
        <v>44834</v>
      </c>
      <c r="P5741"/>
      <c r="Q5741"/>
      <c r="R5741"/>
      <c r="S5741"/>
      <c r="T5741"/>
      <c r="U5741"/>
    </row>
    <row r="5742" spans="1:21" hidden="1">
      <c r="A5742" s="7" t="s">
        <v>8900</v>
      </c>
      <c r="B5742" s="7" t="s">
        <v>7822</v>
      </c>
      <c r="C5742" s="8" t="s">
        <v>5319</v>
      </c>
      <c r="D5742" t="s">
        <v>266</v>
      </c>
      <c r="E5742" t="s">
        <v>3090</v>
      </c>
      <c r="F5742" t="s">
        <v>111</v>
      </c>
      <c r="G5742" t="s">
        <v>3094</v>
      </c>
      <c r="H5742" s="9">
        <v>44735</v>
      </c>
      <c r="I5742" t="s">
        <v>3092</v>
      </c>
      <c r="J5742" t="s">
        <v>2</v>
      </c>
      <c r="K5742" s="9">
        <v>44834</v>
      </c>
      <c r="L5742" t="s">
        <v>29</v>
      </c>
      <c r="M5742" t="s">
        <v>5331</v>
      </c>
      <c r="N5742" s="9">
        <v>44778</v>
      </c>
      <c r="O5742" s="9">
        <v>44834</v>
      </c>
      <c r="P5742"/>
      <c r="Q5742"/>
      <c r="R5742"/>
      <c r="S5742"/>
      <c r="T5742"/>
      <c r="U5742"/>
    </row>
    <row r="5743" spans="1:21" hidden="1">
      <c r="A5743" s="7" t="s">
        <v>8900</v>
      </c>
      <c r="B5743" s="7" t="s">
        <v>7822</v>
      </c>
      <c r="C5743" s="8" t="s">
        <v>5319</v>
      </c>
      <c r="D5743" t="s">
        <v>266</v>
      </c>
      <c r="E5743" t="s">
        <v>3090</v>
      </c>
      <c r="F5743" t="s">
        <v>111</v>
      </c>
      <c r="G5743" t="s">
        <v>3095</v>
      </c>
      <c r="H5743" s="9">
        <v>44735</v>
      </c>
      <c r="I5743" t="s">
        <v>3092</v>
      </c>
      <c r="J5743" t="s">
        <v>2</v>
      </c>
      <c r="K5743" s="9">
        <v>44834</v>
      </c>
      <c r="L5743" t="s">
        <v>29</v>
      </c>
      <c r="M5743" t="s">
        <v>5331</v>
      </c>
      <c r="N5743" s="9">
        <v>44778</v>
      </c>
      <c r="O5743" s="9">
        <v>44834</v>
      </c>
      <c r="P5743"/>
      <c r="Q5743"/>
      <c r="R5743"/>
      <c r="S5743"/>
      <c r="T5743"/>
      <c r="U5743"/>
    </row>
    <row r="5744" spans="1:21" hidden="1">
      <c r="A5744" s="7" t="s">
        <v>8900</v>
      </c>
      <c r="B5744" s="7" t="s">
        <v>7822</v>
      </c>
      <c r="C5744" s="8" t="s">
        <v>5319</v>
      </c>
      <c r="D5744" t="s">
        <v>266</v>
      </c>
      <c r="E5744" t="s">
        <v>3090</v>
      </c>
      <c r="F5744" t="s">
        <v>111</v>
      </c>
      <c r="G5744" t="s">
        <v>3096</v>
      </c>
      <c r="H5744" s="9">
        <v>44735</v>
      </c>
      <c r="I5744" t="s">
        <v>3092</v>
      </c>
      <c r="J5744" t="s">
        <v>2</v>
      </c>
      <c r="K5744" s="9">
        <v>44834</v>
      </c>
      <c r="L5744" t="s">
        <v>29</v>
      </c>
      <c r="M5744" t="s">
        <v>5331</v>
      </c>
      <c r="N5744" s="9">
        <v>44778</v>
      </c>
      <c r="O5744" s="9">
        <v>44834</v>
      </c>
      <c r="P5744"/>
      <c r="Q5744"/>
      <c r="R5744"/>
      <c r="S5744"/>
      <c r="T5744"/>
      <c r="U5744"/>
    </row>
    <row r="5745" spans="1:21" hidden="1">
      <c r="A5745" s="7" t="s">
        <v>8849</v>
      </c>
      <c r="B5745" s="7" t="s">
        <v>6805</v>
      </c>
      <c r="C5745" s="8" t="s">
        <v>5319</v>
      </c>
      <c r="D5745" t="s">
        <v>266</v>
      </c>
      <c r="E5745" t="s">
        <v>2175</v>
      </c>
      <c r="F5745" t="s">
        <v>75</v>
      </c>
      <c r="G5745" t="s">
        <v>3097</v>
      </c>
      <c r="H5745" s="9">
        <v>44733</v>
      </c>
      <c r="I5745" t="s">
        <v>488</v>
      </c>
      <c r="J5745" t="s">
        <v>2</v>
      </c>
      <c r="K5745" s="9">
        <v>44834</v>
      </c>
      <c r="L5745" t="s">
        <v>29</v>
      </c>
      <c r="M5745" t="s">
        <v>5331</v>
      </c>
      <c r="N5745" s="9">
        <v>44778</v>
      </c>
      <c r="O5745" s="9">
        <v>44834</v>
      </c>
      <c r="P5745"/>
      <c r="Q5745"/>
      <c r="R5745"/>
      <c r="S5745"/>
      <c r="T5745"/>
      <c r="U5745"/>
    </row>
    <row r="5746" spans="1:21" hidden="1">
      <c r="A5746" s="7" t="s">
        <v>8849</v>
      </c>
      <c r="B5746" s="7" t="s">
        <v>6805</v>
      </c>
      <c r="C5746" s="8" t="s">
        <v>5319</v>
      </c>
      <c r="D5746" t="s">
        <v>266</v>
      </c>
      <c r="E5746" t="s">
        <v>2175</v>
      </c>
      <c r="F5746" t="s">
        <v>75</v>
      </c>
      <c r="G5746" t="s">
        <v>3098</v>
      </c>
      <c r="H5746" s="9">
        <v>44733</v>
      </c>
      <c r="I5746" t="s">
        <v>488</v>
      </c>
      <c r="J5746" t="s">
        <v>2</v>
      </c>
      <c r="K5746" s="9">
        <v>44834</v>
      </c>
      <c r="L5746" t="s">
        <v>29</v>
      </c>
      <c r="M5746" t="s">
        <v>5331</v>
      </c>
      <c r="N5746" s="9">
        <v>44778</v>
      </c>
      <c r="O5746" s="9">
        <v>44834</v>
      </c>
      <c r="P5746"/>
      <c r="Q5746"/>
      <c r="R5746"/>
      <c r="S5746"/>
      <c r="T5746"/>
      <c r="U5746"/>
    </row>
    <row r="5747" spans="1:21" hidden="1">
      <c r="A5747" s="7" t="s">
        <v>8768</v>
      </c>
      <c r="B5747" s="7" t="s">
        <v>6720</v>
      </c>
      <c r="C5747" s="8" t="s">
        <v>5319</v>
      </c>
      <c r="D5747" t="s">
        <v>266</v>
      </c>
      <c r="E5747" t="s">
        <v>750</v>
      </c>
      <c r="F5747" t="s">
        <v>103</v>
      </c>
      <c r="G5747" t="s">
        <v>3099</v>
      </c>
      <c r="H5747" s="9">
        <v>44733</v>
      </c>
      <c r="I5747" t="s">
        <v>43</v>
      </c>
      <c r="J5747" t="s">
        <v>0</v>
      </c>
      <c r="K5747" s="9">
        <v>44846</v>
      </c>
      <c r="L5747" t="s">
        <v>29</v>
      </c>
      <c r="M5747"/>
      <c r="N5747" s="9">
        <v>44778</v>
      </c>
      <c r="O5747" s="9">
        <v>44834</v>
      </c>
      <c r="P5747"/>
      <c r="Q5747" s="9">
        <v>44846</v>
      </c>
      <c r="R5747"/>
      <c r="S5747"/>
      <c r="T5747"/>
      <c r="U5747"/>
    </row>
    <row r="5748" spans="1:21" hidden="1">
      <c r="A5748" s="7" t="s">
        <v>8901</v>
      </c>
      <c r="B5748" s="7" t="s">
        <v>6924</v>
      </c>
      <c r="C5748" s="8" t="s">
        <v>5319</v>
      </c>
      <c r="D5748" t="s">
        <v>266</v>
      </c>
      <c r="E5748" t="s">
        <v>3100</v>
      </c>
      <c r="F5748" t="s">
        <v>26</v>
      </c>
      <c r="G5748" t="s">
        <v>3101</v>
      </c>
      <c r="H5748" s="9">
        <v>44733</v>
      </c>
      <c r="I5748" t="s">
        <v>3102</v>
      </c>
      <c r="J5748" t="s">
        <v>2</v>
      </c>
      <c r="K5748" s="9">
        <v>44834</v>
      </c>
      <c r="L5748" t="s">
        <v>29</v>
      </c>
      <c r="M5748" t="s">
        <v>5331</v>
      </c>
      <c r="N5748" s="9">
        <v>44778</v>
      </c>
      <c r="O5748" s="9">
        <v>44834</v>
      </c>
      <c r="P5748"/>
      <c r="Q5748"/>
      <c r="R5748"/>
      <c r="S5748"/>
      <c r="T5748"/>
      <c r="U5748"/>
    </row>
    <row r="5749" spans="1:21" hidden="1">
      <c r="A5749" s="7" t="s">
        <v>8758</v>
      </c>
      <c r="B5749" s="7" t="s">
        <v>5405</v>
      </c>
      <c r="C5749" s="8" t="s">
        <v>5319</v>
      </c>
      <c r="D5749" t="s">
        <v>266</v>
      </c>
      <c r="E5749" t="s">
        <v>25</v>
      </c>
      <c r="F5749" t="s">
        <v>493</v>
      </c>
      <c r="G5749" t="s">
        <v>3103</v>
      </c>
      <c r="H5749" s="9">
        <v>44733</v>
      </c>
      <c r="I5749" t="s">
        <v>8634</v>
      </c>
      <c r="J5749" t="s">
        <v>0</v>
      </c>
      <c r="K5749" s="9">
        <v>44862</v>
      </c>
      <c r="L5749" t="s">
        <v>29</v>
      </c>
      <c r="M5749"/>
      <c r="N5749" s="9">
        <v>44778</v>
      </c>
      <c r="O5749"/>
      <c r="P5749"/>
      <c r="Q5749" s="9">
        <v>44862</v>
      </c>
      <c r="R5749"/>
      <c r="S5749"/>
      <c r="T5749"/>
      <c r="U5749"/>
    </row>
    <row r="5750" spans="1:21" hidden="1">
      <c r="A5750" s="7" t="s">
        <v>8902</v>
      </c>
      <c r="B5750" s="7" t="s">
        <v>6805</v>
      </c>
      <c r="C5750" s="8" t="s">
        <v>5319</v>
      </c>
      <c r="D5750" t="s">
        <v>266</v>
      </c>
      <c r="E5750" t="s">
        <v>2175</v>
      </c>
      <c r="F5750" t="s">
        <v>117</v>
      </c>
      <c r="G5750" t="s">
        <v>3104</v>
      </c>
      <c r="H5750" s="9">
        <v>44733</v>
      </c>
      <c r="I5750" t="s">
        <v>488</v>
      </c>
      <c r="J5750" t="s">
        <v>2</v>
      </c>
      <c r="K5750" s="9">
        <v>44834</v>
      </c>
      <c r="L5750" t="s">
        <v>29</v>
      </c>
      <c r="M5750" t="s">
        <v>5331</v>
      </c>
      <c r="N5750" s="9">
        <v>44778</v>
      </c>
      <c r="O5750" s="9">
        <v>44834</v>
      </c>
      <c r="P5750"/>
      <c r="Q5750"/>
      <c r="R5750"/>
      <c r="S5750"/>
      <c r="T5750"/>
      <c r="U5750"/>
    </row>
    <row r="5751" spans="1:21" hidden="1">
      <c r="A5751" s="7" t="s">
        <v>8849</v>
      </c>
      <c r="B5751" s="7" t="s">
        <v>6805</v>
      </c>
      <c r="C5751" s="8" t="s">
        <v>5319</v>
      </c>
      <c r="D5751" t="s">
        <v>266</v>
      </c>
      <c r="E5751" t="s">
        <v>2175</v>
      </c>
      <c r="F5751" t="s">
        <v>75</v>
      </c>
      <c r="G5751" t="s">
        <v>3104</v>
      </c>
      <c r="H5751" s="9">
        <v>44733</v>
      </c>
      <c r="I5751" t="s">
        <v>488</v>
      </c>
      <c r="J5751" t="s">
        <v>2</v>
      </c>
      <c r="K5751" s="9">
        <v>44834</v>
      </c>
      <c r="L5751" t="s">
        <v>29</v>
      </c>
      <c r="M5751" t="s">
        <v>5331</v>
      </c>
      <c r="N5751" s="9">
        <v>44778</v>
      </c>
      <c r="O5751" s="9">
        <v>44834</v>
      </c>
      <c r="P5751"/>
      <c r="Q5751"/>
      <c r="R5751"/>
      <c r="S5751"/>
      <c r="T5751"/>
      <c r="U5751"/>
    </row>
    <row r="5752" spans="1:21" hidden="1">
      <c r="A5752" s="7" t="s">
        <v>8906</v>
      </c>
      <c r="B5752" s="7" t="s">
        <v>6630</v>
      </c>
      <c r="C5752" s="8" t="s">
        <v>5319</v>
      </c>
      <c r="D5752" t="s">
        <v>266</v>
      </c>
      <c r="E5752" t="s">
        <v>3135</v>
      </c>
      <c r="F5752" t="s">
        <v>231</v>
      </c>
      <c r="G5752" t="s">
        <v>3136</v>
      </c>
      <c r="H5752" s="9">
        <v>44733</v>
      </c>
      <c r="I5752" t="s">
        <v>3102</v>
      </c>
      <c r="J5752" t="s">
        <v>2</v>
      </c>
      <c r="K5752" s="9">
        <v>44834</v>
      </c>
      <c r="L5752" t="s">
        <v>29</v>
      </c>
      <c r="M5752" t="s">
        <v>5331</v>
      </c>
      <c r="N5752" s="9">
        <v>44778</v>
      </c>
      <c r="O5752" s="9">
        <v>44834</v>
      </c>
      <c r="P5752"/>
      <c r="Q5752"/>
      <c r="R5752"/>
      <c r="S5752"/>
      <c r="T5752"/>
      <c r="U5752"/>
    </row>
    <row r="5753" spans="1:21" hidden="1">
      <c r="A5753" s="7" t="s">
        <v>8906</v>
      </c>
      <c r="B5753" s="7" t="s">
        <v>6630</v>
      </c>
      <c r="C5753" s="8" t="s">
        <v>5319</v>
      </c>
      <c r="D5753" t="s">
        <v>266</v>
      </c>
      <c r="E5753" t="s">
        <v>3135</v>
      </c>
      <c r="F5753" t="s">
        <v>231</v>
      </c>
      <c r="G5753" t="s">
        <v>3137</v>
      </c>
      <c r="H5753" s="9">
        <v>44733</v>
      </c>
      <c r="I5753" t="s">
        <v>3102</v>
      </c>
      <c r="J5753" t="s">
        <v>2</v>
      </c>
      <c r="K5753" s="9">
        <v>44834</v>
      </c>
      <c r="L5753" t="s">
        <v>29</v>
      </c>
      <c r="M5753" t="s">
        <v>5331</v>
      </c>
      <c r="N5753" s="9">
        <v>44778</v>
      </c>
      <c r="O5753" s="9">
        <v>44834</v>
      </c>
      <c r="P5753"/>
      <c r="Q5753"/>
      <c r="R5753"/>
      <c r="S5753"/>
      <c r="T5753"/>
      <c r="U5753"/>
    </row>
    <row r="5754" spans="1:21" hidden="1">
      <c r="A5754" s="7" t="s">
        <v>8906</v>
      </c>
      <c r="B5754" s="7" t="s">
        <v>6630</v>
      </c>
      <c r="C5754" s="8" t="s">
        <v>5319</v>
      </c>
      <c r="D5754" t="s">
        <v>266</v>
      </c>
      <c r="E5754" t="s">
        <v>3135</v>
      </c>
      <c r="F5754" t="s">
        <v>231</v>
      </c>
      <c r="G5754" t="s">
        <v>3138</v>
      </c>
      <c r="H5754" s="9">
        <v>44733</v>
      </c>
      <c r="I5754" t="s">
        <v>3102</v>
      </c>
      <c r="J5754" t="s">
        <v>2</v>
      </c>
      <c r="K5754" s="9">
        <v>44834</v>
      </c>
      <c r="L5754" t="s">
        <v>29</v>
      </c>
      <c r="M5754" t="s">
        <v>5331</v>
      </c>
      <c r="N5754" s="9">
        <v>44778</v>
      </c>
      <c r="O5754" s="9">
        <v>44834</v>
      </c>
      <c r="P5754"/>
      <c r="Q5754"/>
      <c r="R5754"/>
      <c r="S5754"/>
      <c r="T5754"/>
      <c r="U5754"/>
    </row>
    <row r="5755" spans="1:21" hidden="1">
      <c r="A5755" s="7" t="s">
        <v>8906</v>
      </c>
      <c r="B5755" s="7" t="s">
        <v>6630</v>
      </c>
      <c r="C5755" s="8" t="s">
        <v>5319</v>
      </c>
      <c r="D5755" t="s">
        <v>266</v>
      </c>
      <c r="E5755" t="s">
        <v>3135</v>
      </c>
      <c r="F5755" t="s">
        <v>231</v>
      </c>
      <c r="G5755" t="s">
        <v>3139</v>
      </c>
      <c r="H5755" s="9">
        <v>44733</v>
      </c>
      <c r="I5755" t="s">
        <v>3102</v>
      </c>
      <c r="J5755" t="s">
        <v>2</v>
      </c>
      <c r="K5755" s="9">
        <v>44834</v>
      </c>
      <c r="L5755" t="s">
        <v>29</v>
      </c>
      <c r="M5755" t="s">
        <v>5331</v>
      </c>
      <c r="N5755" s="9">
        <v>44778</v>
      </c>
      <c r="O5755" s="9">
        <v>44834</v>
      </c>
      <c r="P5755"/>
      <c r="Q5755"/>
      <c r="R5755"/>
      <c r="S5755"/>
      <c r="T5755"/>
      <c r="U5755"/>
    </row>
    <row r="5756" spans="1:21" hidden="1">
      <c r="A5756" s="7" t="s">
        <v>8906</v>
      </c>
      <c r="B5756" s="7" t="s">
        <v>6630</v>
      </c>
      <c r="C5756" s="8" t="s">
        <v>5319</v>
      </c>
      <c r="D5756" t="s">
        <v>266</v>
      </c>
      <c r="E5756" t="s">
        <v>3135</v>
      </c>
      <c r="F5756" t="s">
        <v>231</v>
      </c>
      <c r="G5756" t="s">
        <v>3140</v>
      </c>
      <c r="H5756" s="9">
        <v>44733</v>
      </c>
      <c r="I5756" t="s">
        <v>3102</v>
      </c>
      <c r="J5756" t="s">
        <v>2</v>
      </c>
      <c r="K5756" s="9">
        <v>44834</v>
      </c>
      <c r="L5756" t="s">
        <v>29</v>
      </c>
      <c r="M5756" t="s">
        <v>5331</v>
      </c>
      <c r="N5756" s="9">
        <v>44778</v>
      </c>
      <c r="O5756" s="9">
        <v>44834</v>
      </c>
      <c r="P5756"/>
      <c r="Q5756"/>
      <c r="R5756"/>
      <c r="S5756"/>
      <c r="T5756"/>
      <c r="U5756"/>
    </row>
    <row r="5757" spans="1:21" hidden="1">
      <c r="A5757" s="7" t="s">
        <v>8906</v>
      </c>
      <c r="B5757" s="7" t="s">
        <v>6630</v>
      </c>
      <c r="C5757" s="8" t="s">
        <v>5319</v>
      </c>
      <c r="D5757" t="s">
        <v>266</v>
      </c>
      <c r="E5757" t="s">
        <v>3135</v>
      </c>
      <c r="F5757" t="s">
        <v>231</v>
      </c>
      <c r="G5757" t="s">
        <v>3141</v>
      </c>
      <c r="H5757" s="9">
        <v>44733</v>
      </c>
      <c r="I5757" t="s">
        <v>3102</v>
      </c>
      <c r="J5757" t="s">
        <v>2</v>
      </c>
      <c r="K5757" s="9">
        <v>44834</v>
      </c>
      <c r="L5757" t="s">
        <v>29</v>
      </c>
      <c r="M5757" t="s">
        <v>5331</v>
      </c>
      <c r="N5757" s="9">
        <v>44778</v>
      </c>
      <c r="O5757" s="9">
        <v>44834</v>
      </c>
      <c r="P5757"/>
      <c r="Q5757"/>
      <c r="R5757"/>
      <c r="S5757"/>
      <c r="T5757"/>
      <c r="U5757"/>
    </row>
    <row r="5758" spans="1:21" hidden="1">
      <c r="A5758" s="7" t="s">
        <v>8906</v>
      </c>
      <c r="B5758" s="7" t="s">
        <v>6630</v>
      </c>
      <c r="C5758" s="8" t="s">
        <v>5319</v>
      </c>
      <c r="D5758" t="s">
        <v>266</v>
      </c>
      <c r="E5758" t="s">
        <v>3135</v>
      </c>
      <c r="F5758" t="s">
        <v>231</v>
      </c>
      <c r="G5758" t="s">
        <v>3142</v>
      </c>
      <c r="H5758" s="9">
        <v>44733</v>
      </c>
      <c r="I5758" t="s">
        <v>3102</v>
      </c>
      <c r="J5758" t="s">
        <v>2</v>
      </c>
      <c r="K5758" s="9">
        <v>44834</v>
      </c>
      <c r="L5758" t="s">
        <v>29</v>
      </c>
      <c r="M5758" t="s">
        <v>5331</v>
      </c>
      <c r="N5758" s="9">
        <v>44778</v>
      </c>
      <c r="O5758" s="9">
        <v>44834</v>
      </c>
      <c r="P5758"/>
      <c r="Q5758"/>
      <c r="R5758"/>
      <c r="S5758"/>
      <c r="T5758"/>
      <c r="U5758"/>
    </row>
    <row r="5759" spans="1:21" hidden="1">
      <c r="A5759" s="7" t="s">
        <v>8906</v>
      </c>
      <c r="B5759" s="7" t="s">
        <v>6630</v>
      </c>
      <c r="C5759" s="8" t="s">
        <v>5319</v>
      </c>
      <c r="D5759" t="s">
        <v>266</v>
      </c>
      <c r="E5759" t="s">
        <v>3135</v>
      </c>
      <c r="F5759" t="s">
        <v>231</v>
      </c>
      <c r="G5759" t="s">
        <v>3143</v>
      </c>
      <c r="H5759" s="9">
        <v>44733</v>
      </c>
      <c r="I5759" t="s">
        <v>3102</v>
      </c>
      <c r="J5759" t="s">
        <v>2</v>
      </c>
      <c r="K5759" s="9">
        <v>44834</v>
      </c>
      <c r="L5759" t="s">
        <v>29</v>
      </c>
      <c r="M5759" t="s">
        <v>5331</v>
      </c>
      <c r="N5759" s="9">
        <v>44778</v>
      </c>
      <c r="O5759" s="9">
        <v>44834</v>
      </c>
      <c r="P5759"/>
      <c r="Q5759"/>
      <c r="R5759"/>
      <c r="S5759"/>
      <c r="T5759"/>
      <c r="U5759"/>
    </row>
    <row r="5760" spans="1:21" hidden="1">
      <c r="A5760" s="7" t="s">
        <v>8906</v>
      </c>
      <c r="B5760" s="7" t="s">
        <v>6630</v>
      </c>
      <c r="C5760" s="8" t="s">
        <v>5319</v>
      </c>
      <c r="D5760" t="s">
        <v>266</v>
      </c>
      <c r="E5760" t="s">
        <v>3135</v>
      </c>
      <c r="F5760" t="s">
        <v>231</v>
      </c>
      <c r="G5760" t="s">
        <v>3144</v>
      </c>
      <c r="H5760" s="9">
        <v>44733</v>
      </c>
      <c r="I5760" t="s">
        <v>3102</v>
      </c>
      <c r="J5760" t="s">
        <v>2</v>
      </c>
      <c r="K5760" s="9">
        <v>44834</v>
      </c>
      <c r="L5760" t="s">
        <v>29</v>
      </c>
      <c r="M5760" t="s">
        <v>5331</v>
      </c>
      <c r="N5760" s="9">
        <v>44778</v>
      </c>
      <c r="O5760" s="9">
        <v>44834</v>
      </c>
      <c r="P5760"/>
      <c r="Q5760"/>
      <c r="R5760"/>
      <c r="S5760"/>
      <c r="T5760"/>
      <c r="U5760"/>
    </row>
    <row r="5761" spans="1:21" hidden="1">
      <c r="A5761" s="7" t="s">
        <v>8906</v>
      </c>
      <c r="B5761" s="7" t="s">
        <v>6630</v>
      </c>
      <c r="C5761" s="8" t="s">
        <v>5319</v>
      </c>
      <c r="D5761" t="s">
        <v>266</v>
      </c>
      <c r="E5761" t="s">
        <v>3135</v>
      </c>
      <c r="F5761" t="s">
        <v>231</v>
      </c>
      <c r="G5761" t="s">
        <v>3145</v>
      </c>
      <c r="H5761" s="9">
        <v>44733</v>
      </c>
      <c r="I5761" t="s">
        <v>3102</v>
      </c>
      <c r="J5761" t="s">
        <v>2</v>
      </c>
      <c r="K5761" s="9">
        <v>44834</v>
      </c>
      <c r="L5761" t="s">
        <v>29</v>
      </c>
      <c r="M5761" t="s">
        <v>5331</v>
      </c>
      <c r="N5761" s="9">
        <v>44778</v>
      </c>
      <c r="O5761" s="9">
        <v>44834</v>
      </c>
      <c r="P5761"/>
      <c r="Q5761"/>
      <c r="R5761"/>
      <c r="S5761"/>
      <c r="T5761"/>
      <c r="U5761"/>
    </row>
    <row r="5762" spans="1:21" hidden="1">
      <c r="A5762" s="7" t="s">
        <v>8906</v>
      </c>
      <c r="B5762" s="7" t="s">
        <v>6630</v>
      </c>
      <c r="C5762" s="8" t="s">
        <v>5319</v>
      </c>
      <c r="D5762" t="s">
        <v>266</v>
      </c>
      <c r="E5762" t="s">
        <v>3135</v>
      </c>
      <c r="F5762" t="s">
        <v>231</v>
      </c>
      <c r="G5762" t="s">
        <v>3146</v>
      </c>
      <c r="H5762" s="9">
        <v>44733</v>
      </c>
      <c r="I5762" t="s">
        <v>3102</v>
      </c>
      <c r="J5762" t="s">
        <v>2</v>
      </c>
      <c r="K5762" s="9">
        <v>44834</v>
      </c>
      <c r="L5762" t="s">
        <v>29</v>
      </c>
      <c r="M5762" t="s">
        <v>5331</v>
      </c>
      <c r="N5762" s="9">
        <v>44778</v>
      </c>
      <c r="O5762" s="9">
        <v>44834</v>
      </c>
      <c r="P5762"/>
      <c r="Q5762"/>
      <c r="R5762"/>
      <c r="S5762"/>
      <c r="T5762"/>
      <c r="U5762"/>
    </row>
    <row r="5763" spans="1:21" hidden="1">
      <c r="A5763" s="7" t="s">
        <v>8906</v>
      </c>
      <c r="B5763" s="7" t="s">
        <v>6630</v>
      </c>
      <c r="C5763" s="8" t="s">
        <v>5319</v>
      </c>
      <c r="D5763" t="s">
        <v>266</v>
      </c>
      <c r="E5763" t="s">
        <v>3135</v>
      </c>
      <c r="F5763" t="s">
        <v>231</v>
      </c>
      <c r="G5763" t="s">
        <v>3147</v>
      </c>
      <c r="H5763" s="9">
        <v>44733</v>
      </c>
      <c r="I5763" t="s">
        <v>3102</v>
      </c>
      <c r="J5763" t="s">
        <v>2</v>
      </c>
      <c r="K5763" s="9">
        <v>44834</v>
      </c>
      <c r="L5763" t="s">
        <v>29</v>
      </c>
      <c r="M5763" t="s">
        <v>5331</v>
      </c>
      <c r="N5763" s="9">
        <v>44778</v>
      </c>
      <c r="O5763" s="9">
        <v>44834</v>
      </c>
      <c r="P5763"/>
      <c r="Q5763"/>
      <c r="R5763"/>
      <c r="S5763"/>
      <c r="T5763"/>
      <c r="U5763"/>
    </row>
    <row r="5764" spans="1:21" hidden="1">
      <c r="A5764" s="7" t="s">
        <v>8906</v>
      </c>
      <c r="B5764" s="7" t="s">
        <v>6630</v>
      </c>
      <c r="C5764" s="8" t="s">
        <v>5319</v>
      </c>
      <c r="D5764" t="s">
        <v>266</v>
      </c>
      <c r="E5764" t="s">
        <v>3135</v>
      </c>
      <c r="F5764" t="s">
        <v>231</v>
      </c>
      <c r="G5764" t="s">
        <v>3148</v>
      </c>
      <c r="H5764" s="9">
        <v>44733</v>
      </c>
      <c r="I5764" t="s">
        <v>3102</v>
      </c>
      <c r="J5764" t="s">
        <v>2</v>
      </c>
      <c r="K5764" s="9">
        <v>44834</v>
      </c>
      <c r="L5764" t="s">
        <v>29</v>
      </c>
      <c r="M5764" t="s">
        <v>5331</v>
      </c>
      <c r="N5764" s="9">
        <v>44778</v>
      </c>
      <c r="O5764" s="9">
        <v>44834</v>
      </c>
      <c r="P5764"/>
      <c r="Q5764"/>
      <c r="R5764"/>
      <c r="S5764"/>
      <c r="T5764"/>
      <c r="U5764"/>
    </row>
    <row r="5765" spans="1:21" hidden="1">
      <c r="A5765" s="7" t="s">
        <v>8906</v>
      </c>
      <c r="B5765" s="7" t="s">
        <v>6630</v>
      </c>
      <c r="C5765" s="8" t="s">
        <v>5319</v>
      </c>
      <c r="D5765" t="s">
        <v>266</v>
      </c>
      <c r="E5765" t="s">
        <v>3135</v>
      </c>
      <c r="F5765" t="s">
        <v>231</v>
      </c>
      <c r="G5765" t="s">
        <v>3149</v>
      </c>
      <c r="H5765" s="9">
        <v>44733</v>
      </c>
      <c r="I5765" t="s">
        <v>3102</v>
      </c>
      <c r="J5765" t="s">
        <v>2</v>
      </c>
      <c r="K5765" s="9">
        <v>44834</v>
      </c>
      <c r="L5765" t="s">
        <v>29</v>
      </c>
      <c r="M5765" t="s">
        <v>5331</v>
      </c>
      <c r="N5765" s="9">
        <v>44778</v>
      </c>
      <c r="O5765" s="9">
        <v>44834</v>
      </c>
      <c r="P5765"/>
      <c r="Q5765"/>
      <c r="R5765"/>
      <c r="S5765"/>
      <c r="T5765"/>
      <c r="U5765"/>
    </row>
    <row r="5766" spans="1:21" hidden="1">
      <c r="A5766" s="7" t="s">
        <v>8906</v>
      </c>
      <c r="B5766" s="7" t="s">
        <v>6630</v>
      </c>
      <c r="C5766" s="8" t="s">
        <v>5319</v>
      </c>
      <c r="D5766" t="s">
        <v>266</v>
      </c>
      <c r="E5766" t="s">
        <v>3135</v>
      </c>
      <c r="F5766" t="s">
        <v>231</v>
      </c>
      <c r="G5766" t="s">
        <v>3150</v>
      </c>
      <c r="H5766" s="9">
        <v>44733</v>
      </c>
      <c r="I5766" t="s">
        <v>3102</v>
      </c>
      <c r="J5766" t="s">
        <v>2</v>
      </c>
      <c r="K5766" s="9">
        <v>44834</v>
      </c>
      <c r="L5766" t="s">
        <v>29</v>
      </c>
      <c r="M5766" t="s">
        <v>5331</v>
      </c>
      <c r="N5766" s="9">
        <v>44778</v>
      </c>
      <c r="O5766" s="9">
        <v>44834</v>
      </c>
      <c r="P5766"/>
      <c r="Q5766"/>
      <c r="R5766"/>
      <c r="S5766"/>
      <c r="T5766"/>
      <c r="U5766"/>
    </row>
    <row r="5767" spans="1:21" hidden="1">
      <c r="A5767" s="7" t="s">
        <v>8906</v>
      </c>
      <c r="B5767" s="7" t="s">
        <v>6630</v>
      </c>
      <c r="C5767" s="8" t="s">
        <v>5319</v>
      </c>
      <c r="D5767" t="s">
        <v>266</v>
      </c>
      <c r="E5767" t="s">
        <v>3135</v>
      </c>
      <c r="F5767" t="s">
        <v>231</v>
      </c>
      <c r="G5767" t="s">
        <v>3151</v>
      </c>
      <c r="H5767" s="9">
        <v>44733</v>
      </c>
      <c r="I5767" t="s">
        <v>3102</v>
      </c>
      <c r="J5767" t="s">
        <v>2</v>
      </c>
      <c r="K5767" s="9">
        <v>44834</v>
      </c>
      <c r="L5767" t="s">
        <v>29</v>
      </c>
      <c r="M5767" t="s">
        <v>5331</v>
      </c>
      <c r="N5767" s="9">
        <v>44778</v>
      </c>
      <c r="O5767" s="9">
        <v>44834</v>
      </c>
      <c r="P5767"/>
      <c r="Q5767"/>
      <c r="R5767"/>
      <c r="S5767"/>
      <c r="T5767"/>
      <c r="U5767"/>
    </row>
    <row r="5768" spans="1:21" hidden="1">
      <c r="A5768" s="7" t="s">
        <v>8906</v>
      </c>
      <c r="B5768" s="7" t="s">
        <v>6630</v>
      </c>
      <c r="C5768" s="8" t="s">
        <v>5319</v>
      </c>
      <c r="D5768" t="s">
        <v>266</v>
      </c>
      <c r="E5768" t="s">
        <v>3135</v>
      </c>
      <c r="F5768" t="s">
        <v>231</v>
      </c>
      <c r="G5768" t="s">
        <v>3152</v>
      </c>
      <c r="H5768" s="9">
        <v>44733</v>
      </c>
      <c r="I5768" t="s">
        <v>3102</v>
      </c>
      <c r="J5768" t="s">
        <v>2</v>
      </c>
      <c r="K5768" s="9">
        <v>44834</v>
      </c>
      <c r="L5768" t="s">
        <v>29</v>
      </c>
      <c r="M5768" t="s">
        <v>5331</v>
      </c>
      <c r="N5768" s="9">
        <v>44778</v>
      </c>
      <c r="O5768" s="9">
        <v>44834</v>
      </c>
      <c r="P5768"/>
      <c r="Q5768"/>
      <c r="R5768"/>
      <c r="S5768"/>
      <c r="T5768"/>
      <c r="U5768"/>
    </row>
    <row r="5769" spans="1:21" hidden="1">
      <c r="A5769" s="7" t="s">
        <v>8906</v>
      </c>
      <c r="B5769" s="7" t="s">
        <v>6630</v>
      </c>
      <c r="C5769" s="8" t="s">
        <v>5319</v>
      </c>
      <c r="D5769" t="s">
        <v>266</v>
      </c>
      <c r="E5769" t="s">
        <v>3135</v>
      </c>
      <c r="F5769" t="s">
        <v>231</v>
      </c>
      <c r="G5769" t="s">
        <v>3153</v>
      </c>
      <c r="H5769" s="9">
        <v>44733</v>
      </c>
      <c r="I5769" t="s">
        <v>3102</v>
      </c>
      <c r="J5769" t="s">
        <v>2</v>
      </c>
      <c r="K5769" s="9">
        <v>44834</v>
      </c>
      <c r="L5769" t="s">
        <v>29</v>
      </c>
      <c r="M5769" t="s">
        <v>5331</v>
      </c>
      <c r="N5769" s="9">
        <v>44778</v>
      </c>
      <c r="O5769" s="9">
        <v>44834</v>
      </c>
      <c r="P5769"/>
      <c r="Q5769"/>
      <c r="R5769"/>
      <c r="S5769"/>
      <c r="T5769"/>
      <c r="U5769"/>
    </row>
    <row r="5770" spans="1:21" hidden="1">
      <c r="A5770" s="7" t="s">
        <v>8906</v>
      </c>
      <c r="B5770" s="7" t="s">
        <v>6630</v>
      </c>
      <c r="C5770" s="8" t="s">
        <v>5319</v>
      </c>
      <c r="D5770" t="s">
        <v>266</v>
      </c>
      <c r="E5770" t="s">
        <v>3135</v>
      </c>
      <c r="F5770" t="s">
        <v>231</v>
      </c>
      <c r="G5770" t="s">
        <v>3154</v>
      </c>
      <c r="H5770" s="9">
        <v>44733</v>
      </c>
      <c r="I5770" t="s">
        <v>3102</v>
      </c>
      <c r="J5770" t="s">
        <v>2</v>
      </c>
      <c r="K5770" s="9">
        <v>44834</v>
      </c>
      <c r="L5770" t="s">
        <v>29</v>
      </c>
      <c r="M5770" t="s">
        <v>5331</v>
      </c>
      <c r="N5770" s="9">
        <v>44778</v>
      </c>
      <c r="O5770" s="9">
        <v>44834</v>
      </c>
      <c r="P5770"/>
      <c r="Q5770"/>
      <c r="R5770"/>
      <c r="S5770"/>
      <c r="T5770"/>
      <c r="U5770"/>
    </row>
    <row r="5771" spans="1:21" hidden="1">
      <c r="A5771" s="7" t="s">
        <v>8906</v>
      </c>
      <c r="B5771" s="7" t="s">
        <v>6630</v>
      </c>
      <c r="C5771" s="8" t="s">
        <v>5319</v>
      </c>
      <c r="D5771" t="s">
        <v>266</v>
      </c>
      <c r="E5771" t="s">
        <v>3135</v>
      </c>
      <c r="F5771" t="s">
        <v>231</v>
      </c>
      <c r="G5771" t="s">
        <v>3155</v>
      </c>
      <c r="H5771" s="9">
        <v>44733</v>
      </c>
      <c r="I5771" t="s">
        <v>3102</v>
      </c>
      <c r="J5771" t="s">
        <v>2</v>
      </c>
      <c r="K5771" s="9">
        <v>44834</v>
      </c>
      <c r="L5771" t="s">
        <v>29</v>
      </c>
      <c r="M5771" t="s">
        <v>5331</v>
      </c>
      <c r="N5771" s="9">
        <v>44778</v>
      </c>
      <c r="O5771" s="9">
        <v>44834</v>
      </c>
      <c r="P5771"/>
      <c r="Q5771"/>
      <c r="R5771"/>
      <c r="S5771"/>
      <c r="T5771"/>
      <c r="U5771"/>
    </row>
    <row r="5772" spans="1:21" hidden="1">
      <c r="A5772" s="7" t="s">
        <v>8906</v>
      </c>
      <c r="B5772" s="7" t="s">
        <v>6630</v>
      </c>
      <c r="C5772" s="8" t="s">
        <v>5319</v>
      </c>
      <c r="D5772" t="s">
        <v>266</v>
      </c>
      <c r="E5772" t="s">
        <v>3135</v>
      </c>
      <c r="F5772" t="s">
        <v>231</v>
      </c>
      <c r="G5772" t="s">
        <v>3156</v>
      </c>
      <c r="H5772" s="9">
        <v>44733</v>
      </c>
      <c r="I5772" t="s">
        <v>3102</v>
      </c>
      <c r="J5772" t="s">
        <v>2</v>
      </c>
      <c r="K5772" s="9">
        <v>44834</v>
      </c>
      <c r="L5772" t="s">
        <v>29</v>
      </c>
      <c r="M5772" t="s">
        <v>5331</v>
      </c>
      <c r="N5772" s="9">
        <v>44778</v>
      </c>
      <c r="O5772" s="9">
        <v>44834</v>
      </c>
      <c r="P5772"/>
      <c r="Q5772"/>
      <c r="R5772"/>
      <c r="S5772"/>
      <c r="T5772"/>
      <c r="U5772"/>
    </row>
    <row r="5773" spans="1:21" hidden="1">
      <c r="A5773" s="7" t="s">
        <v>8906</v>
      </c>
      <c r="B5773" s="7" t="s">
        <v>6630</v>
      </c>
      <c r="C5773" s="8" t="s">
        <v>5319</v>
      </c>
      <c r="D5773" t="s">
        <v>266</v>
      </c>
      <c r="E5773" t="s">
        <v>3135</v>
      </c>
      <c r="F5773" t="s">
        <v>231</v>
      </c>
      <c r="G5773" t="s">
        <v>3157</v>
      </c>
      <c r="H5773" s="9">
        <v>44733</v>
      </c>
      <c r="I5773" t="s">
        <v>3102</v>
      </c>
      <c r="J5773" t="s">
        <v>2</v>
      </c>
      <c r="K5773" s="9">
        <v>44834</v>
      </c>
      <c r="L5773" t="s">
        <v>29</v>
      </c>
      <c r="M5773" t="s">
        <v>5331</v>
      </c>
      <c r="N5773" s="9">
        <v>44778</v>
      </c>
      <c r="O5773" s="9">
        <v>44834</v>
      </c>
      <c r="P5773"/>
      <c r="Q5773"/>
      <c r="R5773"/>
      <c r="S5773"/>
      <c r="T5773"/>
      <c r="U5773"/>
    </row>
    <row r="5774" spans="1:21" hidden="1">
      <c r="A5774" s="7" t="s">
        <v>8906</v>
      </c>
      <c r="B5774" s="7" t="s">
        <v>6630</v>
      </c>
      <c r="C5774" s="8" t="s">
        <v>5319</v>
      </c>
      <c r="D5774" t="s">
        <v>266</v>
      </c>
      <c r="E5774" t="s">
        <v>3135</v>
      </c>
      <c r="F5774" t="s">
        <v>231</v>
      </c>
      <c r="G5774" t="s">
        <v>3158</v>
      </c>
      <c r="H5774" s="9">
        <v>44733</v>
      </c>
      <c r="I5774" t="s">
        <v>3102</v>
      </c>
      <c r="J5774" t="s">
        <v>2</v>
      </c>
      <c r="K5774" s="9">
        <v>44834</v>
      </c>
      <c r="L5774" t="s">
        <v>29</v>
      </c>
      <c r="M5774" t="s">
        <v>5331</v>
      </c>
      <c r="N5774" s="9">
        <v>44778</v>
      </c>
      <c r="O5774" s="9">
        <v>44834</v>
      </c>
      <c r="P5774"/>
      <c r="Q5774"/>
      <c r="R5774"/>
      <c r="S5774"/>
      <c r="T5774"/>
      <c r="U5774"/>
    </row>
    <row r="5775" spans="1:21" hidden="1">
      <c r="A5775" s="7" t="s">
        <v>8906</v>
      </c>
      <c r="B5775" s="7" t="s">
        <v>6630</v>
      </c>
      <c r="C5775" s="8" t="s">
        <v>5319</v>
      </c>
      <c r="D5775" t="s">
        <v>266</v>
      </c>
      <c r="E5775" t="s">
        <v>3135</v>
      </c>
      <c r="F5775" t="s">
        <v>231</v>
      </c>
      <c r="G5775" t="s">
        <v>3159</v>
      </c>
      <c r="H5775" s="9">
        <v>44733</v>
      </c>
      <c r="I5775" t="s">
        <v>3102</v>
      </c>
      <c r="J5775" t="s">
        <v>2</v>
      </c>
      <c r="K5775" s="9">
        <v>44834</v>
      </c>
      <c r="L5775" t="s">
        <v>29</v>
      </c>
      <c r="M5775" t="s">
        <v>5331</v>
      </c>
      <c r="N5775" s="9">
        <v>44778</v>
      </c>
      <c r="O5775" s="9">
        <v>44834</v>
      </c>
      <c r="P5775"/>
      <c r="Q5775"/>
      <c r="R5775"/>
      <c r="S5775"/>
      <c r="T5775"/>
      <c r="U5775"/>
    </row>
    <row r="5776" spans="1:21" hidden="1">
      <c r="A5776" s="7" t="s">
        <v>8906</v>
      </c>
      <c r="B5776" s="7" t="s">
        <v>6630</v>
      </c>
      <c r="C5776" s="8" t="s">
        <v>5319</v>
      </c>
      <c r="D5776" t="s">
        <v>266</v>
      </c>
      <c r="E5776" t="s">
        <v>3135</v>
      </c>
      <c r="F5776" t="s">
        <v>231</v>
      </c>
      <c r="G5776" t="s">
        <v>3160</v>
      </c>
      <c r="H5776" s="9">
        <v>44733</v>
      </c>
      <c r="I5776" t="s">
        <v>3102</v>
      </c>
      <c r="J5776" t="s">
        <v>2</v>
      </c>
      <c r="K5776" s="9">
        <v>44834</v>
      </c>
      <c r="L5776" t="s">
        <v>29</v>
      </c>
      <c r="M5776" t="s">
        <v>5331</v>
      </c>
      <c r="N5776" s="9">
        <v>44778</v>
      </c>
      <c r="O5776" s="9">
        <v>44834</v>
      </c>
      <c r="P5776"/>
      <c r="Q5776"/>
      <c r="R5776"/>
      <c r="S5776"/>
      <c r="T5776"/>
      <c r="U5776"/>
    </row>
    <row r="5777" spans="1:21" hidden="1">
      <c r="A5777" s="7" t="s">
        <v>8906</v>
      </c>
      <c r="B5777" s="7" t="s">
        <v>6630</v>
      </c>
      <c r="C5777" s="8" t="s">
        <v>5319</v>
      </c>
      <c r="D5777" t="s">
        <v>266</v>
      </c>
      <c r="E5777" t="s">
        <v>3135</v>
      </c>
      <c r="F5777" t="s">
        <v>231</v>
      </c>
      <c r="G5777" t="s">
        <v>3161</v>
      </c>
      <c r="H5777" s="9">
        <v>44733</v>
      </c>
      <c r="I5777" t="s">
        <v>3102</v>
      </c>
      <c r="J5777" t="s">
        <v>2</v>
      </c>
      <c r="K5777" s="9">
        <v>44834</v>
      </c>
      <c r="L5777" t="s">
        <v>29</v>
      </c>
      <c r="M5777" t="s">
        <v>5331</v>
      </c>
      <c r="N5777" s="9">
        <v>44778</v>
      </c>
      <c r="O5777" s="9">
        <v>44834</v>
      </c>
      <c r="P5777"/>
      <c r="Q5777"/>
      <c r="R5777"/>
      <c r="S5777"/>
      <c r="T5777"/>
      <c r="U5777"/>
    </row>
    <row r="5778" spans="1:21" hidden="1">
      <c r="A5778" s="7" t="s">
        <v>8906</v>
      </c>
      <c r="B5778" s="7" t="s">
        <v>6630</v>
      </c>
      <c r="C5778" s="8" t="s">
        <v>5319</v>
      </c>
      <c r="D5778" t="s">
        <v>266</v>
      </c>
      <c r="E5778" t="s">
        <v>3135</v>
      </c>
      <c r="F5778" t="s">
        <v>231</v>
      </c>
      <c r="G5778" t="s">
        <v>3162</v>
      </c>
      <c r="H5778" s="9">
        <v>44733</v>
      </c>
      <c r="I5778" t="s">
        <v>3102</v>
      </c>
      <c r="J5778" t="s">
        <v>2</v>
      </c>
      <c r="K5778" s="9">
        <v>44834</v>
      </c>
      <c r="L5778" t="s">
        <v>29</v>
      </c>
      <c r="M5778" t="s">
        <v>5331</v>
      </c>
      <c r="N5778" s="9">
        <v>44778</v>
      </c>
      <c r="O5778" s="9">
        <v>44834</v>
      </c>
      <c r="P5778"/>
      <c r="Q5778"/>
      <c r="R5778"/>
      <c r="S5778"/>
      <c r="T5778"/>
      <c r="U5778"/>
    </row>
    <row r="5779" spans="1:21" hidden="1">
      <c r="A5779" s="7" t="s">
        <v>8906</v>
      </c>
      <c r="B5779" s="7" t="s">
        <v>6630</v>
      </c>
      <c r="C5779" s="8" t="s">
        <v>5319</v>
      </c>
      <c r="D5779" t="s">
        <v>266</v>
      </c>
      <c r="E5779" t="s">
        <v>3135</v>
      </c>
      <c r="F5779" t="s">
        <v>231</v>
      </c>
      <c r="G5779" t="s">
        <v>3163</v>
      </c>
      <c r="H5779" s="9">
        <v>44733</v>
      </c>
      <c r="I5779" t="s">
        <v>3102</v>
      </c>
      <c r="J5779" t="s">
        <v>2</v>
      </c>
      <c r="K5779" s="9">
        <v>44834</v>
      </c>
      <c r="L5779" t="s">
        <v>29</v>
      </c>
      <c r="M5779" t="s">
        <v>5331</v>
      </c>
      <c r="N5779" s="9">
        <v>44778</v>
      </c>
      <c r="O5779" s="9">
        <v>44834</v>
      </c>
      <c r="P5779"/>
      <c r="Q5779"/>
      <c r="R5779"/>
      <c r="S5779"/>
      <c r="T5779"/>
      <c r="U5779"/>
    </row>
    <row r="5780" spans="1:21" hidden="1">
      <c r="A5780" s="7" t="s">
        <v>8906</v>
      </c>
      <c r="B5780" s="7" t="s">
        <v>6630</v>
      </c>
      <c r="C5780" s="8" t="s">
        <v>5319</v>
      </c>
      <c r="D5780" t="s">
        <v>266</v>
      </c>
      <c r="E5780" t="s">
        <v>3135</v>
      </c>
      <c r="F5780" t="s">
        <v>231</v>
      </c>
      <c r="G5780" t="s">
        <v>3164</v>
      </c>
      <c r="H5780" s="9">
        <v>44733</v>
      </c>
      <c r="I5780" t="s">
        <v>3102</v>
      </c>
      <c r="J5780" t="s">
        <v>2</v>
      </c>
      <c r="K5780" s="9">
        <v>44834</v>
      </c>
      <c r="L5780" t="s">
        <v>29</v>
      </c>
      <c r="M5780" t="s">
        <v>5331</v>
      </c>
      <c r="N5780" s="9">
        <v>44778</v>
      </c>
      <c r="O5780" s="9">
        <v>44834</v>
      </c>
      <c r="P5780"/>
      <c r="Q5780"/>
      <c r="R5780"/>
      <c r="S5780"/>
      <c r="T5780"/>
      <c r="U5780"/>
    </row>
    <row r="5781" spans="1:21" hidden="1">
      <c r="A5781" s="7" t="s">
        <v>8906</v>
      </c>
      <c r="B5781" s="7" t="s">
        <v>6630</v>
      </c>
      <c r="C5781" s="8" t="s">
        <v>5319</v>
      </c>
      <c r="D5781" t="s">
        <v>266</v>
      </c>
      <c r="E5781" t="s">
        <v>3135</v>
      </c>
      <c r="F5781" t="s">
        <v>231</v>
      </c>
      <c r="G5781" t="s">
        <v>3165</v>
      </c>
      <c r="H5781" s="9">
        <v>44733</v>
      </c>
      <c r="I5781" t="s">
        <v>3102</v>
      </c>
      <c r="J5781" t="s">
        <v>2</v>
      </c>
      <c r="K5781" s="9">
        <v>44834</v>
      </c>
      <c r="L5781" t="s">
        <v>29</v>
      </c>
      <c r="M5781" t="s">
        <v>5331</v>
      </c>
      <c r="N5781" s="9">
        <v>44778</v>
      </c>
      <c r="O5781" s="9">
        <v>44834</v>
      </c>
      <c r="P5781"/>
      <c r="Q5781"/>
      <c r="R5781"/>
      <c r="S5781"/>
      <c r="T5781"/>
      <c r="U5781"/>
    </row>
    <row r="5782" spans="1:21" hidden="1">
      <c r="A5782" s="7" t="s">
        <v>8906</v>
      </c>
      <c r="B5782" s="7" t="s">
        <v>6630</v>
      </c>
      <c r="C5782" s="8" t="s">
        <v>5319</v>
      </c>
      <c r="D5782" t="s">
        <v>266</v>
      </c>
      <c r="E5782" t="s">
        <v>3135</v>
      </c>
      <c r="F5782" t="s">
        <v>231</v>
      </c>
      <c r="G5782" t="s">
        <v>3166</v>
      </c>
      <c r="H5782" s="9">
        <v>44733</v>
      </c>
      <c r="I5782" t="s">
        <v>3102</v>
      </c>
      <c r="J5782" t="s">
        <v>2</v>
      </c>
      <c r="K5782" s="9">
        <v>44834</v>
      </c>
      <c r="L5782" t="s">
        <v>29</v>
      </c>
      <c r="M5782" t="s">
        <v>5331</v>
      </c>
      <c r="N5782" s="9">
        <v>44778</v>
      </c>
      <c r="O5782" s="9">
        <v>44834</v>
      </c>
      <c r="P5782"/>
      <c r="Q5782"/>
      <c r="R5782"/>
      <c r="S5782"/>
      <c r="T5782"/>
      <c r="U5782"/>
    </row>
    <row r="5783" spans="1:21" hidden="1">
      <c r="A5783" s="7" t="s">
        <v>8906</v>
      </c>
      <c r="B5783" s="7" t="s">
        <v>6630</v>
      </c>
      <c r="C5783" s="8" t="s">
        <v>5319</v>
      </c>
      <c r="D5783" t="s">
        <v>266</v>
      </c>
      <c r="E5783" t="s">
        <v>3135</v>
      </c>
      <c r="F5783" t="s">
        <v>231</v>
      </c>
      <c r="G5783" t="s">
        <v>3167</v>
      </c>
      <c r="H5783" s="9">
        <v>44733</v>
      </c>
      <c r="I5783" t="s">
        <v>3102</v>
      </c>
      <c r="J5783" t="s">
        <v>2</v>
      </c>
      <c r="K5783" s="9">
        <v>44834</v>
      </c>
      <c r="L5783" t="s">
        <v>29</v>
      </c>
      <c r="M5783" t="s">
        <v>5331</v>
      </c>
      <c r="N5783" s="9">
        <v>44778</v>
      </c>
      <c r="O5783" s="9">
        <v>44834</v>
      </c>
      <c r="P5783"/>
      <c r="Q5783"/>
      <c r="R5783"/>
      <c r="S5783"/>
      <c r="T5783"/>
      <c r="U5783"/>
    </row>
    <row r="5784" spans="1:21" hidden="1">
      <c r="A5784" s="7" t="s">
        <v>8907</v>
      </c>
      <c r="B5784" s="7" t="s">
        <v>6630</v>
      </c>
      <c r="C5784" s="8" t="s">
        <v>5319</v>
      </c>
      <c r="D5784" t="s">
        <v>266</v>
      </c>
      <c r="E5784" t="s">
        <v>3135</v>
      </c>
      <c r="F5784" t="s">
        <v>75</v>
      </c>
      <c r="G5784" t="s">
        <v>3167</v>
      </c>
      <c r="H5784" s="9">
        <v>44733</v>
      </c>
      <c r="I5784" t="s">
        <v>3168</v>
      </c>
      <c r="J5784" t="s">
        <v>0</v>
      </c>
      <c r="K5784" s="9">
        <v>44802</v>
      </c>
      <c r="L5784" t="s">
        <v>29</v>
      </c>
      <c r="M5784"/>
      <c r="N5784" s="9">
        <v>44778</v>
      </c>
      <c r="O5784"/>
      <c r="P5784"/>
      <c r="Q5784" s="9">
        <v>44802</v>
      </c>
      <c r="R5784"/>
      <c r="S5784"/>
      <c r="T5784"/>
      <c r="U5784"/>
    </row>
    <row r="5785" spans="1:21" hidden="1">
      <c r="A5785" s="7" t="s">
        <v>8906</v>
      </c>
      <c r="B5785" s="7" t="s">
        <v>6630</v>
      </c>
      <c r="C5785" s="8" t="s">
        <v>5319</v>
      </c>
      <c r="D5785" t="s">
        <v>266</v>
      </c>
      <c r="E5785" t="s">
        <v>3135</v>
      </c>
      <c r="F5785" t="s">
        <v>231</v>
      </c>
      <c r="G5785" t="s">
        <v>3169</v>
      </c>
      <c r="H5785" s="9">
        <v>44733</v>
      </c>
      <c r="I5785" t="s">
        <v>3102</v>
      </c>
      <c r="J5785" t="s">
        <v>2</v>
      </c>
      <c r="K5785" s="9">
        <v>44834</v>
      </c>
      <c r="L5785" t="s">
        <v>29</v>
      </c>
      <c r="M5785" t="s">
        <v>5331</v>
      </c>
      <c r="N5785" s="9">
        <v>44778</v>
      </c>
      <c r="O5785" s="9">
        <v>44834</v>
      </c>
      <c r="P5785"/>
      <c r="Q5785"/>
      <c r="R5785"/>
      <c r="S5785"/>
      <c r="T5785"/>
      <c r="U5785"/>
    </row>
    <row r="5786" spans="1:21" hidden="1">
      <c r="A5786" s="7" t="s">
        <v>8906</v>
      </c>
      <c r="B5786" s="7" t="s">
        <v>6630</v>
      </c>
      <c r="C5786" s="8" t="s">
        <v>5319</v>
      </c>
      <c r="D5786" t="s">
        <v>266</v>
      </c>
      <c r="E5786" t="s">
        <v>3135</v>
      </c>
      <c r="F5786" t="s">
        <v>231</v>
      </c>
      <c r="G5786" t="s">
        <v>3170</v>
      </c>
      <c r="H5786" s="9">
        <v>44733</v>
      </c>
      <c r="I5786" t="s">
        <v>3102</v>
      </c>
      <c r="J5786" t="s">
        <v>2</v>
      </c>
      <c r="K5786" s="9">
        <v>44834</v>
      </c>
      <c r="L5786" t="s">
        <v>29</v>
      </c>
      <c r="M5786" t="s">
        <v>5331</v>
      </c>
      <c r="N5786" s="9">
        <v>44778</v>
      </c>
      <c r="O5786" s="9">
        <v>44834</v>
      </c>
      <c r="P5786"/>
      <c r="Q5786"/>
      <c r="R5786"/>
      <c r="S5786"/>
      <c r="T5786"/>
      <c r="U5786"/>
    </row>
    <row r="5787" spans="1:21" hidden="1">
      <c r="A5787" s="7" t="s">
        <v>8906</v>
      </c>
      <c r="B5787" s="7" t="s">
        <v>6630</v>
      </c>
      <c r="C5787" s="8" t="s">
        <v>5319</v>
      </c>
      <c r="D5787" t="s">
        <v>266</v>
      </c>
      <c r="E5787" t="s">
        <v>3135</v>
      </c>
      <c r="F5787" t="s">
        <v>231</v>
      </c>
      <c r="G5787" t="s">
        <v>3171</v>
      </c>
      <c r="H5787" s="9">
        <v>44733</v>
      </c>
      <c r="I5787" t="s">
        <v>3102</v>
      </c>
      <c r="J5787" t="s">
        <v>2</v>
      </c>
      <c r="K5787" s="9">
        <v>44834</v>
      </c>
      <c r="L5787" t="s">
        <v>29</v>
      </c>
      <c r="M5787" t="s">
        <v>5331</v>
      </c>
      <c r="N5787" s="9">
        <v>44778</v>
      </c>
      <c r="O5787" s="9">
        <v>44834</v>
      </c>
      <c r="P5787"/>
      <c r="Q5787"/>
      <c r="R5787"/>
      <c r="S5787"/>
      <c r="T5787"/>
      <c r="U5787"/>
    </row>
    <row r="5788" spans="1:21" hidden="1">
      <c r="A5788" s="7" t="s">
        <v>8906</v>
      </c>
      <c r="B5788" s="7" t="s">
        <v>6630</v>
      </c>
      <c r="C5788" s="8" t="s">
        <v>5319</v>
      </c>
      <c r="D5788" t="s">
        <v>266</v>
      </c>
      <c r="E5788" t="s">
        <v>3135</v>
      </c>
      <c r="F5788" t="s">
        <v>231</v>
      </c>
      <c r="G5788" t="s">
        <v>3172</v>
      </c>
      <c r="H5788" s="9">
        <v>44733</v>
      </c>
      <c r="I5788" t="s">
        <v>3102</v>
      </c>
      <c r="J5788" t="s">
        <v>2</v>
      </c>
      <c r="K5788" s="9">
        <v>44834</v>
      </c>
      <c r="L5788" t="s">
        <v>29</v>
      </c>
      <c r="M5788" t="s">
        <v>5331</v>
      </c>
      <c r="N5788" s="9">
        <v>44778</v>
      </c>
      <c r="O5788" s="9">
        <v>44834</v>
      </c>
      <c r="P5788"/>
      <c r="Q5788"/>
      <c r="R5788"/>
      <c r="S5788"/>
      <c r="T5788"/>
      <c r="U5788"/>
    </row>
    <row r="5789" spans="1:21" hidden="1">
      <c r="A5789" s="7" t="s">
        <v>8906</v>
      </c>
      <c r="B5789" s="7" t="s">
        <v>6630</v>
      </c>
      <c r="C5789" s="8" t="s">
        <v>5319</v>
      </c>
      <c r="D5789" t="s">
        <v>266</v>
      </c>
      <c r="E5789" t="s">
        <v>3135</v>
      </c>
      <c r="F5789" t="s">
        <v>231</v>
      </c>
      <c r="G5789" t="s">
        <v>3173</v>
      </c>
      <c r="H5789" s="9">
        <v>44733</v>
      </c>
      <c r="I5789" t="s">
        <v>3102</v>
      </c>
      <c r="J5789" t="s">
        <v>2</v>
      </c>
      <c r="K5789" s="9">
        <v>44834</v>
      </c>
      <c r="L5789" t="s">
        <v>29</v>
      </c>
      <c r="M5789" t="s">
        <v>5331</v>
      </c>
      <c r="N5789" s="9">
        <v>44778</v>
      </c>
      <c r="O5789" s="9">
        <v>44834</v>
      </c>
      <c r="P5789"/>
      <c r="Q5789"/>
      <c r="R5789"/>
      <c r="S5789"/>
      <c r="T5789"/>
      <c r="U5789"/>
    </row>
    <row r="5790" spans="1:21" hidden="1">
      <c r="A5790" s="7" t="s">
        <v>8906</v>
      </c>
      <c r="B5790" s="7" t="s">
        <v>6630</v>
      </c>
      <c r="C5790" s="8" t="s">
        <v>5319</v>
      </c>
      <c r="D5790" t="s">
        <v>266</v>
      </c>
      <c r="E5790" t="s">
        <v>3135</v>
      </c>
      <c r="F5790" t="s">
        <v>231</v>
      </c>
      <c r="G5790" t="s">
        <v>3174</v>
      </c>
      <c r="H5790" s="9">
        <v>44733</v>
      </c>
      <c r="I5790" t="s">
        <v>3102</v>
      </c>
      <c r="J5790" t="s">
        <v>2</v>
      </c>
      <c r="K5790" s="9">
        <v>44834</v>
      </c>
      <c r="L5790" t="s">
        <v>29</v>
      </c>
      <c r="M5790" t="s">
        <v>5331</v>
      </c>
      <c r="N5790" s="9">
        <v>44778</v>
      </c>
      <c r="O5790" s="9">
        <v>44834</v>
      </c>
      <c r="P5790"/>
      <c r="Q5790"/>
      <c r="R5790"/>
      <c r="S5790"/>
      <c r="T5790"/>
      <c r="U5790"/>
    </row>
    <row r="5791" spans="1:21" hidden="1">
      <c r="A5791" s="7" t="s">
        <v>8906</v>
      </c>
      <c r="B5791" s="7" t="s">
        <v>6630</v>
      </c>
      <c r="C5791" s="8" t="s">
        <v>5319</v>
      </c>
      <c r="D5791" t="s">
        <v>266</v>
      </c>
      <c r="E5791" t="s">
        <v>3135</v>
      </c>
      <c r="F5791" t="s">
        <v>231</v>
      </c>
      <c r="G5791" t="s">
        <v>3175</v>
      </c>
      <c r="H5791" s="9">
        <v>44733</v>
      </c>
      <c r="I5791" t="s">
        <v>3102</v>
      </c>
      <c r="J5791" t="s">
        <v>2</v>
      </c>
      <c r="K5791" s="9">
        <v>44834</v>
      </c>
      <c r="L5791" t="s">
        <v>29</v>
      </c>
      <c r="M5791" t="s">
        <v>5331</v>
      </c>
      <c r="N5791" s="9">
        <v>44778</v>
      </c>
      <c r="O5791" s="9">
        <v>44834</v>
      </c>
      <c r="P5791"/>
      <c r="Q5791"/>
      <c r="R5791"/>
      <c r="S5791"/>
      <c r="T5791"/>
      <c r="U5791"/>
    </row>
    <row r="5792" spans="1:21" hidden="1">
      <c r="A5792" s="7" t="s">
        <v>8906</v>
      </c>
      <c r="B5792" s="7" t="s">
        <v>6630</v>
      </c>
      <c r="C5792" s="8" t="s">
        <v>5319</v>
      </c>
      <c r="D5792" t="s">
        <v>266</v>
      </c>
      <c r="E5792" t="s">
        <v>3135</v>
      </c>
      <c r="F5792" t="s">
        <v>231</v>
      </c>
      <c r="G5792" t="s">
        <v>3176</v>
      </c>
      <c r="H5792" s="9">
        <v>44733</v>
      </c>
      <c r="I5792" t="s">
        <v>3102</v>
      </c>
      <c r="J5792" t="s">
        <v>2</v>
      </c>
      <c r="K5792" s="9">
        <v>44834</v>
      </c>
      <c r="L5792" t="s">
        <v>29</v>
      </c>
      <c r="M5792" t="s">
        <v>5331</v>
      </c>
      <c r="N5792" s="9">
        <v>44778</v>
      </c>
      <c r="O5792" s="9">
        <v>44834</v>
      </c>
      <c r="P5792"/>
      <c r="Q5792"/>
      <c r="R5792"/>
      <c r="S5792"/>
      <c r="T5792"/>
      <c r="U5792"/>
    </row>
    <row r="5793" spans="1:21" hidden="1">
      <c r="A5793" s="7" t="s">
        <v>8906</v>
      </c>
      <c r="B5793" s="7" t="s">
        <v>6630</v>
      </c>
      <c r="C5793" s="8" t="s">
        <v>5319</v>
      </c>
      <c r="D5793" t="s">
        <v>266</v>
      </c>
      <c r="E5793" t="s">
        <v>3135</v>
      </c>
      <c r="F5793" t="s">
        <v>231</v>
      </c>
      <c r="G5793" t="s">
        <v>3177</v>
      </c>
      <c r="H5793" s="9">
        <v>44733</v>
      </c>
      <c r="I5793" t="s">
        <v>3102</v>
      </c>
      <c r="J5793" t="s">
        <v>2</v>
      </c>
      <c r="K5793" s="9">
        <v>44834</v>
      </c>
      <c r="L5793" t="s">
        <v>29</v>
      </c>
      <c r="M5793" t="s">
        <v>5331</v>
      </c>
      <c r="N5793" s="9">
        <v>44778</v>
      </c>
      <c r="O5793" s="9">
        <v>44834</v>
      </c>
      <c r="P5793"/>
      <c r="Q5793"/>
      <c r="R5793"/>
      <c r="S5793"/>
      <c r="T5793"/>
      <c r="U5793"/>
    </row>
    <row r="5794" spans="1:21" hidden="1">
      <c r="A5794" s="7" t="s">
        <v>8902</v>
      </c>
      <c r="B5794" s="7" t="s">
        <v>6805</v>
      </c>
      <c r="C5794" s="8" t="s">
        <v>5319</v>
      </c>
      <c r="D5794" t="s">
        <v>266</v>
      </c>
      <c r="E5794" t="s">
        <v>2175</v>
      </c>
      <c r="F5794" t="s">
        <v>117</v>
      </c>
      <c r="G5794" t="s">
        <v>3178</v>
      </c>
      <c r="H5794" s="9">
        <v>44733</v>
      </c>
      <c r="I5794" t="s">
        <v>488</v>
      </c>
      <c r="J5794" t="s">
        <v>2</v>
      </c>
      <c r="K5794" s="9">
        <v>44834</v>
      </c>
      <c r="L5794" t="s">
        <v>29</v>
      </c>
      <c r="M5794" t="s">
        <v>5331</v>
      </c>
      <c r="N5794" s="9">
        <v>44778</v>
      </c>
      <c r="O5794" s="9">
        <v>44834</v>
      </c>
      <c r="P5794"/>
      <c r="Q5794"/>
      <c r="R5794"/>
      <c r="S5794"/>
      <c r="T5794"/>
      <c r="U5794"/>
    </row>
    <row r="5795" spans="1:21" hidden="1">
      <c r="A5795" s="7" t="s">
        <v>8849</v>
      </c>
      <c r="B5795" s="7" t="s">
        <v>6805</v>
      </c>
      <c r="C5795" s="8" t="s">
        <v>5319</v>
      </c>
      <c r="D5795" t="s">
        <v>266</v>
      </c>
      <c r="E5795" t="s">
        <v>2175</v>
      </c>
      <c r="F5795" t="s">
        <v>75</v>
      </c>
      <c r="G5795" t="s">
        <v>3178</v>
      </c>
      <c r="H5795" s="9">
        <v>44733</v>
      </c>
      <c r="I5795" t="s">
        <v>488</v>
      </c>
      <c r="J5795" t="s">
        <v>2</v>
      </c>
      <c r="K5795" s="9">
        <v>44834</v>
      </c>
      <c r="L5795" t="s">
        <v>29</v>
      </c>
      <c r="M5795" t="s">
        <v>5331</v>
      </c>
      <c r="N5795" s="9">
        <v>44778</v>
      </c>
      <c r="O5795" s="9">
        <v>44834</v>
      </c>
      <c r="P5795"/>
      <c r="Q5795"/>
      <c r="R5795"/>
      <c r="S5795"/>
      <c r="T5795"/>
      <c r="U5795"/>
    </row>
    <row r="5796" spans="1:21" hidden="1">
      <c r="A5796" s="7" t="s">
        <v>8908</v>
      </c>
      <c r="B5796" s="7" t="s">
        <v>6755</v>
      </c>
      <c r="C5796" s="8" t="s">
        <v>5319</v>
      </c>
      <c r="D5796" t="s">
        <v>266</v>
      </c>
      <c r="E5796" t="s">
        <v>3179</v>
      </c>
      <c r="F5796" t="s">
        <v>117</v>
      </c>
      <c r="G5796" t="s">
        <v>3180</v>
      </c>
      <c r="H5796" s="9">
        <v>44733</v>
      </c>
      <c r="I5796" t="s">
        <v>3102</v>
      </c>
      <c r="J5796" t="s">
        <v>2</v>
      </c>
      <c r="K5796" s="9">
        <v>44834</v>
      </c>
      <c r="L5796" t="s">
        <v>29</v>
      </c>
      <c r="M5796" t="s">
        <v>5331</v>
      </c>
      <c r="N5796" s="9">
        <v>44778</v>
      </c>
      <c r="O5796" s="9">
        <v>44834</v>
      </c>
      <c r="P5796"/>
      <c r="Q5796"/>
      <c r="R5796"/>
      <c r="S5796"/>
      <c r="T5796"/>
      <c r="U5796"/>
    </row>
    <row r="5797" spans="1:21" hidden="1">
      <c r="A5797" s="7" t="s">
        <v>8908</v>
      </c>
      <c r="B5797" s="7" t="s">
        <v>6755</v>
      </c>
      <c r="C5797" s="8" t="s">
        <v>5319</v>
      </c>
      <c r="D5797" t="s">
        <v>266</v>
      </c>
      <c r="E5797" t="s">
        <v>3179</v>
      </c>
      <c r="F5797" t="s">
        <v>117</v>
      </c>
      <c r="G5797" t="s">
        <v>3181</v>
      </c>
      <c r="H5797" s="9">
        <v>44733</v>
      </c>
      <c r="I5797" t="s">
        <v>3102</v>
      </c>
      <c r="J5797" t="s">
        <v>2</v>
      </c>
      <c r="K5797" s="9">
        <v>44834</v>
      </c>
      <c r="L5797" t="s">
        <v>29</v>
      </c>
      <c r="M5797" t="s">
        <v>5331</v>
      </c>
      <c r="N5797" s="9">
        <v>44778</v>
      </c>
      <c r="O5797" s="9">
        <v>44834</v>
      </c>
      <c r="P5797"/>
      <c r="Q5797"/>
      <c r="R5797"/>
      <c r="S5797"/>
      <c r="T5797"/>
      <c r="U5797"/>
    </row>
    <row r="5798" spans="1:21" hidden="1">
      <c r="A5798" s="7" t="s">
        <v>8908</v>
      </c>
      <c r="B5798" s="7" t="s">
        <v>6755</v>
      </c>
      <c r="C5798" s="8" t="s">
        <v>5319</v>
      </c>
      <c r="D5798" t="s">
        <v>266</v>
      </c>
      <c r="E5798" t="s">
        <v>3179</v>
      </c>
      <c r="F5798" t="s">
        <v>117</v>
      </c>
      <c r="G5798" t="s">
        <v>3182</v>
      </c>
      <c r="H5798" s="9">
        <v>44733</v>
      </c>
      <c r="I5798" t="s">
        <v>3102</v>
      </c>
      <c r="J5798" t="s">
        <v>2</v>
      </c>
      <c r="K5798" s="9">
        <v>44834</v>
      </c>
      <c r="L5798" t="s">
        <v>29</v>
      </c>
      <c r="M5798" t="s">
        <v>5331</v>
      </c>
      <c r="N5798" s="9">
        <v>44778</v>
      </c>
      <c r="O5798" s="9">
        <v>44834</v>
      </c>
      <c r="P5798"/>
      <c r="Q5798"/>
      <c r="R5798"/>
      <c r="S5798"/>
      <c r="T5798"/>
      <c r="U5798"/>
    </row>
    <row r="5799" spans="1:21" hidden="1">
      <c r="A5799" s="7" t="s">
        <v>8908</v>
      </c>
      <c r="B5799" s="7" t="s">
        <v>6755</v>
      </c>
      <c r="C5799" s="8" t="s">
        <v>5319</v>
      </c>
      <c r="D5799" t="s">
        <v>266</v>
      </c>
      <c r="E5799" t="s">
        <v>3179</v>
      </c>
      <c r="F5799" t="s">
        <v>117</v>
      </c>
      <c r="G5799" t="s">
        <v>3183</v>
      </c>
      <c r="H5799" s="9">
        <v>44733</v>
      </c>
      <c r="I5799" t="s">
        <v>3102</v>
      </c>
      <c r="J5799" t="s">
        <v>2</v>
      </c>
      <c r="K5799" s="9">
        <v>44834</v>
      </c>
      <c r="L5799" t="s">
        <v>29</v>
      </c>
      <c r="M5799" t="s">
        <v>5331</v>
      </c>
      <c r="N5799" s="9">
        <v>44778</v>
      </c>
      <c r="O5799" s="9">
        <v>44834</v>
      </c>
      <c r="P5799"/>
      <c r="Q5799"/>
      <c r="R5799"/>
      <c r="S5799"/>
      <c r="T5799"/>
      <c r="U5799"/>
    </row>
    <row r="5800" spans="1:21" hidden="1">
      <c r="A5800" s="7" t="s">
        <v>8908</v>
      </c>
      <c r="B5800" s="7" t="s">
        <v>6755</v>
      </c>
      <c r="C5800" s="8" t="s">
        <v>5319</v>
      </c>
      <c r="D5800" t="s">
        <v>266</v>
      </c>
      <c r="E5800" t="s">
        <v>3179</v>
      </c>
      <c r="F5800" t="s">
        <v>117</v>
      </c>
      <c r="G5800" t="s">
        <v>3184</v>
      </c>
      <c r="H5800" s="9">
        <v>44733</v>
      </c>
      <c r="I5800" t="s">
        <v>3102</v>
      </c>
      <c r="J5800" t="s">
        <v>2</v>
      </c>
      <c r="K5800" s="9">
        <v>44834</v>
      </c>
      <c r="L5800" t="s">
        <v>29</v>
      </c>
      <c r="M5800" t="s">
        <v>5331</v>
      </c>
      <c r="N5800" s="9">
        <v>44778</v>
      </c>
      <c r="O5800" s="9">
        <v>44834</v>
      </c>
      <c r="P5800"/>
      <c r="Q5800"/>
      <c r="R5800"/>
      <c r="S5800"/>
      <c r="T5800"/>
      <c r="U5800"/>
    </row>
    <row r="5801" spans="1:21" hidden="1">
      <c r="A5801" s="7" t="s">
        <v>8908</v>
      </c>
      <c r="B5801" s="7" t="s">
        <v>6755</v>
      </c>
      <c r="C5801" s="8" t="s">
        <v>5319</v>
      </c>
      <c r="D5801" t="s">
        <v>266</v>
      </c>
      <c r="E5801" t="s">
        <v>3179</v>
      </c>
      <c r="F5801" t="s">
        <v>117</v>
      </c>
      <c r="G5801" t="s">
        <v>3185</v>
      </c>
      <c r="H5801" s="9">
        <v>44733</v>
      </c>
      <c r="I5801" t="s">
        <v>3102</v>
      </c>
      <c r="J5801" t="s">
        <v>2</v>
      </c>
      <c r="K5801" s="9">
        <v>44834</v>
      </c>
      <c r="L5801" t="s">
        <v>29</v>
      </c>
      <c r="M5801" t="s">
        <v>5331</v>
      </c>
      <c r="N5801" s="9">
        <v>44778</v>
      </c>
      <c r="O5801" s="9">
        <v>44834</v>
      </c>
      <c r="P5801"/>
      <c r="Q5801"/>
      <c r="R5801"/>
      <c r="S5801"/>
      <c r="T5801"/>
      <c r="U5801"/>
    </row>
    <row r="5802" spans="1:21" hidden="1">
      <c r="A5802" s="7" t="s">
        <v>8908</v>
      </c>
      <c r="B5802" s="7" t="s">
        <v>6755</v>
      </c>
      <c r="C5802" s="8" t="s">
        <v>5319</v>
      </c>
      <c r="D5802" t="s">
        <v>266</v>
      </c>
      <c r="E5802" t="s">
        <v>3179</v>
      </c>
      <c r="F5802" t="s">
        <v>117</v>
      </c>
      <c r="G5802" t="s">
        <v>3186</v>
      </c>
      <c r="H5802" s="9">
        <v>44733</v>
      </c>
      <c r="I5802" t="s">
        <v>3102</v>
      </c>
      <c r="J5802" t="s">
        <v>2</v>
      </c>
      <c r="K5802" s="9">
        <v>44834</v>
      </c>
      <c r="L5802" t="s">
        <v>29</v>
      </c>
      <c r="M5802" t="s">
        <v>5331</v>
      </c>
      <c r="N5802" s="9">
        <v>44778</v>
      </c>
      <c r="O5802" s="9">
        <v>44834</v>
      </c>
      <c r="P5802"/>
      <c r="Q5802"/>
      <c r="R5802"/>
      <c r="S5802"/>
      <c r="T5802"/>
      <c r="U5802"/>
    </row>
    <row r="5803" spans="1:21" hidden="1">
      <c r="A5803" s="7" t="s">
        <v>8909</v>
      </c>
      <c r="B5803" s="7" t="s">
        <v>6924</v>
      </c>
      <c r="C5803" s="8" t="s">
        <v>5319</v>
      </c>
      <c r="D5803" t="s">
        <v>266</v>
      </c>
      <c r="E5803" t="s">
        <v>3100</v>
      </c>
      <c r="F5803" t="s">
        <v>111</v>
      </c>
      <c r="G5803" t="s">
        <v>3187</v>
      </c>
      <c r="H5803" s="9">
        <v>44733</v>
      </c>
      <c r="I5803" t="s">
        <v>2715</v>
      </c>
      <c r="J5803" t="s">
        <v>2</v>
      </c>
      <c r="K5803" s="9">
        <v>44834</v>
      </c>
      <c r="L5803" t="s">
        <v>29</v>
      </c>
      <c r="M5803" t="s">
        <v>5331</v>
      </c>
      <c r="N5803" s="9">
        <v>44778</v>
      </c>
      <c r="O5803" s="9">
        <v>44834</v>
      </c>
      <c r="P5803"/>
      <c r="Q5803"/>
      <c r="R5803"/>
      <c r="S5803"/>
      <c r="T5803"/>
      <c r="U5803"/>
    </row>
    <row r="5804" spans="1:21" hidden="1">
      <c r="A5804" s="7" t="s">
        <v>8910</v>
      </c>
      <c r="B5804" s="7" t="s">
        <v>8362</v>
      </c>
      <c r="C5804" s="8" t="s">
        <v>5319</v>
      </c>
      <c r="D5804" t="s">
        <v>266</v>
      </c>
      <c r="E5804" t="s">
        <v>3188</v>
      </c>
      <c r="F5804" t="s">
        <v>433</v>
      </c>
      <c r="G5804" t="s">
        <v>3189</v>
      </c>
      <c r="H5804" s="9">
        <v>44735</v>
      </c>
      <c r="I5804" t="s">
        <v>3190</v>
      </c>
      <c r="J5804" t="s">
        <v>2</v>
      </c>
      <c r="K5804" s="9">
        <v>44834</v>
      </c>
      <c r="L5804" t="s">
        <v>29</v>
      </c>
      <c r="M5804" t="s">
        <v>5331</v>
      </c>
      <c r="N5804" s="9">
        <v>44778</v>
      </c>
      <c r="O5804" s="9">
        <v>44834</v>
      </c>
      <c r="P5804"/>
      <c r="Q5804"/>
      <c r="R5804"/>
      <c r="S5804"/>
      <c r="T5804"/>
      <c r="U5804"/>
    </row>
    <row r="5805" spans="1:21" hidden="1">
      <c r="A5805" s="7" t="s">
        <v>8899</v>
      </c>
      <c r="B5805" s="7" t="s">
        <v>6913</v>
      </c>
      <c r="C5805" s="8" t="s">
        <v>5319</v>
      </c>
      <c r="D5805" t="s">
        <v>266</v>
      </c>
      <c r="E5805" t="s">
        <v>3088</v>
      </c>
      <c r="F5805" t="s">
        <v>200</v>
      </c>
      <c r="G5805" t="s">
        <v>3191</v>
      </c>
      <c r="H5805" s="9">
        <v>44733</v>
      </c>
      <c r="I5805" t="s">
        <v>77</v>
      </c>
      <c r="J5805" t="s">
        <v>0</v>
      </c>
      <c r="K5805" s="9">
        <v>44802</v>
      </c>
      <c r="L5805" t="s">
        <v>29</v>
      </c>
      <c r="M5805"/>
      <c r="N5805" s="9">
        <v>44778</v>
      </c>
      <c r="O5805"/>
      <c r="P5805"/>
      <c r="Q5805" s="9">
        <v>44802</v>
      </c>
      <c r="R5805"/>
      <c r="S5805"/>
      <c r="T5805"/>
      <c r="U5805"/>
    </row>
    <row r="5806" spans="1:21" hidden="1">
      <c r="A5806" s="7" t="s">
        <v>8898</v>
      </c>
      <c r="B5806" s="7" t="s">
        <v>6096</v>
      </c>
      <c r="C5806" s="8" t="s">
        <v>5319</v>
      </c>
      <c r="D5806" t="s">
        <v>266</v>
      </c>
      <c r="E5806" t="s">
        <v>2125</v>
      </c>
      <c r="F5806" t="s">
        <v>3083</v>
      </c>
      <c r="G5806" t="s">
        <v>3192</v>
      </c>
      <c r="H5806" s="9">
        <v>44733</v>
      </c>
      <c r="I5806" t="s">
        <v>77</v>
      </c>
      <c r="J5806" t="s">
        <v>0</v>
      </c>
      <c r="K5806" s="9">
        <v>44841</v>
      </c>
      <c r="L5806" t="s">
        <v>29</v>
      </c>
      <c r="M5806"/>
      <c r="N5806" s="9">
        <v>44778</v>
      </c>
      <c r="O5806" s="9">
        <v>44834</v>
      </c>
      <c r="P5806"/>
      <c r="Q5806" s="9">
        <v>44841</v>
      </c>
      <c r="R5806"/>
      <c r="S5806"/>
      <c r="T5806"/>
      <c r="U5806"/>
    </row>
    <row r="5807" spans="1:21" hidden="1">
      <c r="A5807" s="7" t="s">
        <v>8898</v>
      </c>
      <c r="B5807" s="7" t="s">
        <v>6096</v>
      </c>
      <c r="C5807" s="8" t="s">
        <v>5319</v>
      </c>
      <c r="D5807" t="s">
        <v>266</v>
      </c>
      <c r="E5807" t="s">
        <v>2125</v>
      </c>
      <c r="F5807" t="s">
        <v>3083</v>
      </c>
      <c r="G5807" t="s">
        <v>3193</v>
      </c>
      <c r="H5807" s="9">
        <v>44733</v>
      </c>
      <c r="I5807" t="s">
        <v>77</v>
      </c>
      <c r="J5807" t="s">
        <v>0</v>
      </c>
      <c r="K5807" s="9">
        <v>44841</v>
      </c>
      <c r="L5807" t="s">
        <v>29</v>
      </c>
      <c r="M5807"/>
      <c r="N5807" s="9">
        <v>44778</v>
      </c>
      <c r="O5807" s="9">
        <v>44834</v>
      </c>
      <c r="P5807"/>
      <c r="Q5807" s="9">
        <v>44841</v>
      </c>
      <c r="R5807"/>
      <c r="S5807"/>
      <c r="T5807"/>
      <c r="U5807"/>
    </row>
    <row r="5808" spans="1:21" hidden="1">
      <c r="A5808" s="7" t="s">
        <v>8898</v>
      </c>
      <c r="B5808" s="7" t="s">
        <v>6096</v>
      </c>
      <c r="C5808" s="8" t="s">
        <v>5319</v>
      </c>
      <c r="D5808" t="s">
        <v>266</v>
      </c>
      <c r="E5808" t="s">
        <v>2125</v>
      </c>
      <c r="F5808" t="s">
        <v>3083</v>
      </c>
      <c r="G5808" t="s">
        <v>3194</v>
      </c>
      <c r="H5808" s="9">
        <v>44733</v>
      </c>
      <c r="I5808" t="s">
        <v>77</v>
      </c>
      <c r="J5808" t="s">
        <v>0</v>
      </c>
      <c r="K5808" s="9">
        <v>44841</v>
      </c>
      <c r="L5808" t="s">
        <v>29</v>
      </c>
      <c r="M5808"/>
      <c r="N5808" s="9">
        <v>44778</v>
      </c>
      <c r="O5808" s="9">
        <v>44834</v>
      </c>
      <c r="P5808"/>
      <c r="Q5808" s="9">
        <v>44841</v>
      </c>
      <c r="R5808"/>
      <c r="S5808"/>
      <c r="T5808"/>
      <c r="U5808"/>
    </row>
    <row r="5809" spans="1:21" hidden="1">
      <c r="A5809" s="7" t="s">
        <v>8898</v>
      </c>
      <c r="B5809" s="7" t="s">
        <v>6096</v>
      </c>
      <c r="C5809" s="8" t="s">
        <v>5319</v>
      </c>
      <c r="D5809" t="s">
        <v>266</v>
      </c>
      <c r="E5809" t="s">
        <v>2125</v>
      </c>
      <c r="F5809" t="s">
        <v>3083</v>
      </c>
      <c r="G5809" t="s">
        <v>3195</v>
      </c>
      <c r="H5809" s="9">
        <v>44733</v>
      </c>
      <c r="I5809" t="s">
        <v>77</v>
      </c>
      <c r="J5809" t="s">
        <v>0</v>
      </c>
      <c r="K5809" s="9">
        <v>44841</v>
      </c>
      <c r="L5809" t="s">
        <v>29</v>
      </c>
      <c r="M5809"/>
      <c r="N5809" s="9">
        <v>44778</v>
      </c>
      <c r="O5809" s="9">
        <v>44834</v>
      </c>
      <c r="P5809"/>
      <c r="Q5809" s="9">
        <v>44841</v>
      </c>
      <c r="R5809"/>
      <c r="S5809"/>
      <c r="T5809"/>
      <c r="U5809"/>
    </row>
    <row r="5810" spans="1:21" hidden="1">
      <c r="A5810" s="7" t="s">
        <v>8899</v>
      </c>
      <c r="B5810" s="7" t="s">
        <v>6913</v>
      </c>
      <c r="C5810" s="8" t="s">
        <v>5319</v>
      </c>
      <c r="D5810" t="s">
        <v>266</v>
      </c>
      <c r="E5810" t="s">
        <v>3088</v>
      </c>
      <c r="F5810" t="s">
        <v>200</v>
      </c>
      <c r="G5810" t="s">
        <v>3196</v>
      </c>
      <c r="H5810" s="9">
        <v>44733</v>
      </c>
      <c r="I5810" t="s">
        <v>77</v>
      </c>
      <c r="J5810" t="s">
        <v>0</v>
      </c>
      <c r="K5810" s="9">
        <v>44802</v>
      </c>
      <c r="L5810" t="s">
        <v>29</v>
      </c>
      <c r="M5810"/>
      <c r="N5810" s="9">
        <v>44778</v>
      </c>
      <c r="O5810"/>
      <c r="P5810"/>
      <c r="Q5810" s="9">
        <v>44802</v>
      </c>
      <c r="R5810"/>
      <c r="S5810"/>
      <c r="T5810"/>
      <c r="U5810"/>
    </row>
    <row r="5811" spans="1:21" hidden="1">
      <c r="A5811" s="7" t="s">
        <v>8898</v>
      </c>
      <c r="B5811" s="7" t="s">
        <v>6096</v>
      </c>
      <c r="C5811" s="8" t="s">
        <v>5319</v>
      </c>
      <c r="D5811" t="s">
        <v>266</v>
      </c>
      <c r="E5811" t="s">
        <v>2125</v>
      </c>
      <c r="F5811" t="s">
        <v>3083</v>
      </c>
      <c r="G5811" t="s">
        <v>3197</v>
      </c>
      <c r="H5811" s="9">
        <v>44733</v>
      </c>
      <c r="I5811" t="s">
        <v>77</v>
      </c>
      <c r="J5811" t="s">
        <v>0</v>
      </c>
      <c r="K5811" s="9">
        <v>44841</v>
      </c>
      <c r="L5811" t="s">
        <v>29</v>
      </c>
      <c r="M5811"/>
      <c r="N5811" s="9">
        <v>44778</v>
      </c>
      <c r="O5811" s="9">
        <v>44834</v>
      </c>
      <c r="P5811"/>
      <c r="Q5811" s="9">
        <v>44841</v>
      </c>
      <c r="R5811"/>
      <c r="S5811"/>
      <c r="T5811"/>
      <c r="U5811"/>
    </row>
    <row r="5812" spans="1:21" hidden="1">
      <c r="A5812" s="7" t="s">
        <v>8861</v>
      </c>
      <c r="B5812" s="7" t="s">
        <v>8218</v>
      </c>
      <c r="C5812" s="8" t="s">
        <v>5319</v>
      </c>
      <c r="D5812" t="s">
        <v>266</v>
      </c>
      <c r="E5812" t="s">
        <v>2260</v>
      </c>
      <c r="F5812" t="s">
        <v>117</v>
      </c>
      <c r="G5812" t="s">
        <v>3198</v>
      </c>
      <c r="H5812" s="9">
        <v>44733</v>
      </c>
      <c r="I5812" t="s">
        <v>2262</v>
      </c>
      <c r="J5812" t="s">
        <v>2</v>
      </c>
      <c r="K5812" s="9">
        <v>44834</v>
      </c>
      <c r="L5812" t="s">
        <v>29</v>
      </c>
      <c r="M5812" t="s">
        <v>5331</v>
      </c>
      <c r="N5812" s="9">
        <v>44778</v>
      </c>
      <c r="O5812" s="9">
        <v>44834</v>
      </c>
      <c r="P5812"/>
      <c r="Q5812" s="9">
        <v>44879</v>
      </c>
      <c r="R5812"/>
      <c r="S5812"/>
      <c r="T5812"/>
      <c r="U5812"/>
    </row>
    <row r="5813" spans="1:21" hidden="1">
      <c r="A5813" s="7" t="s">
        <v>8911</v>
      </c>
      <c r="B5813" s="7" t="s">
        <v>6887</v>
      </c>
      <c r="C5813" s="8" t="s">
        <v>5319</v>
      </c>
      <c r="D5813" t="s">
        <v>266</v>
      </c>
      <c r="E5813" t="s">
        <v>3199</v>
      </c>
      <c r="F5813" t="s">
        <v>209</v>
      </c>
      <c r="G5813" t="s">
        <v>3200</v>
      </c>
      <c r="H5813" s="9">
        <v>44733</v>
      </c>
      <c r="I5813" t="s">
        <v>2262</v>
      </c>
      <c r="J5813" t="s">
        <v>2</v>
      </c>
      <c r="K5813" s="9">
        <v>44790.585023148102</v>
      </c>
      <c r="L5813" t="s">
        <v>29</v>
      </c>
      <c r="M5813" t="s">
        <v>5331</v>
      </c>
      <c r="N5813" s="9">
        <v>44778</v>
      </c>
      <c r="O5813"/>
      <c r="P5813"/>
      <c r="Q5813"/>
      <c r="R5813" s="9">
        <v>44790.573379629597</v>
      </c>
      <c r="S5813"/>
      <c r="T5813"/>
      <c r="U5813"/>
    </row>
    <row r="5814" spans="1:21" hidden="1">
      <c r="A5814" s="7" t="s">
        <v>8911</v>
      </c>
      <c r="B5814" s="7" t="s">
        <v>6887</v>
      </c>
      <c r="C5814" s="8" t="s">
        <v>5319</v>
      </c>
      <c r="D5814" t="s">
        <v>266</v>
      </c>
      <c r="E5814" t="s">
        <v>3199</v>
      </c>
      <c r="F5814" t="s">
        <v>209</v>
      </c>
      <c r="G5814" t="s">
        <v>3201</v>
      </c>
      <c r="H5814" s="9">
        <v>44733</v>
      </c>
      <c r="I5814" t="s">
        <v>2262</v>
      </c>
      <c r="J5814" t="s">
        <v>2</v>
      </c>
      <c r="K5814" s="9">
        <v>44790.585023148102</v>
      </c>
      <c r="L5814" t="s">
        <v>29</v>
      </c>
      <c r="M5814" t="s">
        <v>5331</v>
      </c>
      <c r="N5814" s="9">
        <v>44778</v>
      </c>
      <c r="O5814"/>
      <c r="P5814"/>
      <c r="Q5814"/>
      <c r="R5814" s="9">
        <v>44790.573379629597</v>
      </c>
      <c r="S5814"/>
      <c r="T5814"/>
      <c r="U5814"/>
    </row>
    <row r="5815" spans="1:21" hidden="1">
      <c r="A5815" s="7" t="s">
        <v>8898</v>
      </c>
      <c r="B5815" s="7" t="s">
        <v>6096</v>
      </c>
      <c r="C5815" s="8" t="s">
        <v>5319</v>
      </c>
      <c r="D5815" t="s">
        <v>266</v>
      </c>
      <c r="E5815" t="s">
        <v>2125</v>
      </c>
      <c r="F5815" t="s">
        <v>3083</v>
      </c>
      <c r="G5815" t="s">
        <v>3202</v>
      </c>
      <c r="H5815" s="9">
        <v>44733</v>
      </c>
      <c r="I5815" t="s">
        <v>77</v>
      </c>
      <c r="J5815" t="s">
        <v>0</v>
      </c>
      <c r="K5815" s="9">
        <v>44841</v>
      </c>
      <c r="L5815" t="s">
        <v>29</v>
      </c>
      <c r="M5815"/>
      <c r="N5815" s="9">
        <v>44778</v>
      </c>
      <c r="O5815" s="9">
        <v>44834</v>
      </c>
      <c r="P5815"/>
      <c r="Q5815" s="9">
        <v>44841</v>
      </c>
      <c r="R5815"/>
      <c r="S5815"/>
      <c r="T5815"/>
      <c r="U5815"/>
    </row>
    <row r="5816" spans="1:21" hidden="1">
      <c r="A5816" s="7" t="s">
        <v>8861</v>
      </c>
      <c r="B5816" s="7" t="s">
        <v>8218</v>
      </c>
      <c r="C5816" s="8" t="s">
        <v>5319</v>
      </c>
      <c r="D5816" t="s">
        <v>266</v>
      </c>
      <c r="E5816" t="s">
        <v>2260</v>
      </c>
      <c r="F5816" t="s">
        <v>117</v>
      </c>
      <c r="G5816" t="s">
        <v>2261</v>
      </c>
      <c r="H5816" s="9">
        <v>44733</v>
      </c>
      <c r="I5816" t="s">
        <v>2262</v>
      </c>
      <c r="J5816" t="s">
        <v>2</v>
      </c>
      <c r="K5816" s="9">
        <v>44834</v>
      </c>
      <c r="L5816" t="s">
        <v>29</v>
      </c>
      <c r="M5816" t="s">
        <v>5331</v>
      </c>
      <c r="N5816" s="9">
        <v>44778</v>
      </c>
      <c r="O5816" s="9">
        <v>44834</v>
      </c>
      <c r="P5816"/>
      <c r="Q5816" s="9">
        <v>44879</v>
      </c>
      <c r="R5816"/>
      <c r="S5816"/>
      <c r="T5816"/>
      <c r="U5816"/>
    </row>
    <row r="5817" spans="1:21" hidden="1">
      <c r="A5817" s="7" t="s">
        <v>8911</v>
      </c>
      <c r="B5817" s="7" t="s">
        <v>6887</v>
      </c>
      <c r="C5817" s="8" t="s">
        <v>5319</v>
      </c>
      <c r="D5817" t="s">
        <v>266</v>
      </c>
      <c r="E5817" t="s">
        <v>3199</v>
      </c>
      <c r="F5817" t="s">
        <v>209</v>
      </c>
      <c r="G5817" t="s">
        <v>3203</v>
      </c>
      <c r="H5817" s="9">
        <v>44733</v>
      </c>
      <c r="I5817" t="s">
        <v>2262</v>
      </c>
      <c r="J5817" t="s">
        <v>2</v>
      </c>
      <c r="K5817" s="9">
        <v>44790.585023148102</v>
      </c>
      <c r="L5817" t="s">
        <v>29</v>
      </c>
      <c r="M5817" t="s">
        <v>5331</v>
      </c>
      <c r="N5817" s="9">
        <v>44778</v>
      </c>
      <c r="O5817"/>
      <c r="P5817"/>
      <c r="Q5817"/>
      <c r="R5817" s="9">
        <v>44790.573379629597</v>
      </c>
      <c r="S5817"/>
      <c r="T5817"/>
      <c r="U5817"/>
    </row>
    <row r="5818" spans="1:21" hidden="1">
      <c r="A5818" s="7" t="s">
        <v>8861</v>
      </c>
      <c r="B5818" s="7" t="s">
        <v>8218</v>
      </c>
      <c r="C5818" s="8" t="s">
        <v>5319</v>
      </c>
      <c r="D5818" t="s">
        <v>266</v>
      </c>
      <c r="E5818" t="s">
        <v>2260</v>
      </c>
      <c r="F5818" t="s">
        <v>117</v>
      </c>
      <c r="G5818" t="s">
        <v>3204</v>
      </c>
      <c r="H5818" s="9">
        <v>44733</v>
      </c>
      <c r="I5818" t="s">
        <v>2262</v>
      </c>
      <c r="J5818" t="s">
        <v>2</v>
      </c>
      <c r="K5818" s="9">
        <v>44834</v>
      </c>
      <c r="L5818" t="s">
        <v>29</v>
      </c>
      <c r="M5818" t="s">
        <v>5331</v>
      </c>
      <c r="N5818" s="9">
        <v>44778</v>
      </c>
      <c r="O5818" s="9">
        <v>44834</v>
      </c>
      <c r="P5818"/>
      <c r="Q5818" s="9">
        <v>44879</v>
      </c>
      <c r="R5818"/>
      <c r="S5818"/>
      <c r="T5818"/>
      <c r="U5818"/>
    </row>
    <row r="5819" spans="1:21" hidden="1">
      <c r="A5819" s="7" t="s">
        <v>8861</v>
      </c>
      <c r="B5819" s="7" t="s">
        <v>8218</v>
      </c>
      <c r="C5819" s="8" t="s">
        <v>5319</v>
      </c>
      <c r="D5819" t="s">
        <v>266</v>
      </c>
      <c r="E5819" t="s">
        <v>2260</v>
      </c>
      <c r="F5819" t="s">
        <v>117</v>
      </c>
      <c r="G5819" t="s">
        <v>3205</v>
      </c>
      <c r="H5819" s="9">
        <v>44733</v>
      </c>
      <c r="I5819" t="s">
        <v>2262</v>
      </c>
      <c r="J5819" t="s">
        <v>2</v>
      </c>
      <c r="K5819" s="9">
        <v>44834</v>
      </c>
      <c r="L5819" t="s">
        <v>29</v>
      </c>
      <c r="M5819" t="s">
        <v>5331</v>
      </c>
      <c r="N5819" s="9">
        <v>44778</v>
      </c>
      <c r="O5819" s="9">
        <v>44834</v>
      </c>
      <c r="P5819"/>
      <c r="Q5819" s="9">
        <v>44879</v>
      </c>
      <c r="R5819"/>
      <c r="S5819"/>
      <c r="T5819"/>
      <c r="U5819"/>
    </row>
    <row r="5820" spans="1:21" hidden="1">
      <c r="A5820" s="7" t="s">
        <v>8861</v>
      </c>
      <c r="B5820" s="7" t="s">
        <v>8218</v>
      </c>
      <c r="C5820" s="8" t="s">
        <v>5319</v>
      </c>
      <c r="D5820" t="s">
        <v>266</v>
      </c>
      <c r="E5820" t="s">
        <v>2260</v>
      </c>
      <c r="F5820" t="s">
        <v>117</v>
      </c>
      <c r="G5820" t="s">
        <v>3206</v>
      </c>
      <c r="H5820" s="9">
        <v>44733</v>
      </c>
      <c r="I5820" t="s">
        <v>2262</v>
      </c>
      <c r="J5820" t="s">
        <v>2</v>
      </c>
      <c r="K5820" s="9">
        <v>44834</v>
      </c>
      <c r="L5820" t="s">
        <v>29</v>
      </c>
      <c r="M5820" t="s">
        <v>5331</v>
      </c>
      <c r="N5820" s="9">
        <v>44778</v>
      </c>
      <c r="O5820" s="9">
        <v>44834</v>
      </c>
      <c r="P5820"/>
      <c r="Q5820" s="9">
        <v>44879</v>
      </c>
      <c r="R5820"/>
      <c r="S5820"/>
      <c r="T5820"/>
      <c r="U5820"/>
    </row>
    <row r="5821" spans="1:21" hidden="1">
      <c r="A5821" s="7" t="s">
        <v>8861</v>
      </c>
      <c r="B5821" s="7" t="s">
        <v>8218</v>
      </c>
      <c r="C5821" s="8" t="s">
        <v>5319</v>
      </c>
      <c r="D5821" t="s">
        <v>266</v>
      </c>
      <c r="E5821" t="s">
        <v>2260</v>
      </c>
      <c r="F5821" t="s">
        <v>117</v>
      </c>
      <c r="G5821" t="s">
        <v>2306</v>
      </c>
      <c r="H5821" s="9">
        <v>44733</v>
      </c>
      <c r="I5821" t="s">
        <v>2262</v>
      </c>
      <c r="J5821" t="s">
        <v>2</v>
      </c>
      <c r="K5821" s="9">
        <v>44834</v>
      </c>
      <c r="L5821" t="s">
        <v>29</v>
      </c>
      <c r="M5821" t="s">
        <v>5331</v>
      </c>
      <c r="N5821" s="9">
        <v>44778</v>
      </c>
      <c r="O5821" s="9">
        <v>44834</v>
      </c>
      <c r="P5821"/>
      <c r="Q5821" s="9">
        <v>44879</v>
      </c>
      <c r="R5821"/>
      <c r="S5821"/>
      <c r="T5821"/>
      <c r="U5821"/>
    </row>
    <row r="5822" spans="1:21" hidden="1">
      <c r="A5822" s="7" t="s">
        <v>8861</v>
      </c>
      <c r="B5822" s="7" t="s">
        <v>8218</v>
      </c>
      <c r="C5822" s="8" t="s">
        <v>5319</v>
      </c>
      <c r="D5822" t="s">
        <v>266</v>
      </c>
      <c r="E5822" t="s">
        <v>2260</v>
      </c>
      <c r="F5822" t="s">
        <v>117</v>
      </c>
      <c r="G5822" t="s">
        <v>3207</v>
      </c>
      <c r="H5822" s="9">
        <v>44733</v>
      </c>
      <c r="I5822" t="s">
        <v>2262</v>
      </c>
      <c r="J5822" t="s">
        <v>2</v>
      </c>
      <c r="K5822" s="9">
        <v>44834</v>
      </c>
      <c r="L5822" t="s">
        <v>29</v>
      </c>
      <c r="M5822" t="s">
        <v>5331</v>
      </c>
      <c r="N5822" s="9">
        <v>44778</v>
      </c>
      <c r="O5822" s="9">
        <v>44834</v>
      </c>
      <c r="P5822"/>
      <c r="Q5822" s="9">
        <v>44879</v>
      </c>
      <c r="R5822"/>
      <c r="S5822"/>
      <c r="T5822"/>
      <c r="U5822"/>
    </row>
    <row r="5823" spans="1:21" hidden="1">
      <c r="A5823" s="7" t="s">
        <v>8861</v>
      </c>
      <c r="B5823" s="7" t="s">
        <v>8218</v>
      </c>
      <c r="C5823" s="8" t="s">
        <v>5319</v>
      </c>
      <c r="D5823" t="s">
        <v>266</v>
      </c>
      <c r="E5823" t="s">
        <v>2260</v>
      </c>
      <c r="F5823" t="s">
        <v>117</v>
      </c>
      <c r="G5823" t="s">
        <v>3208</v>
      </c>
      <c r="H5823" s="9">
        <v>44733</v>
      </c>
      <c r="I5823" t="s">
        <v>2262</v>
      </c>
      <c r="J5823" t="s">
        <v>2</v>
      </c>
      <c r="K5823" s="9">
        <v>44834</v>
      </c>
      <c r="L5823" t="s">
        <v>29</v>
      </c>
      <c r="M5823" t="s">
        <v>5331</v>
      </c>
      <c r="N5823" s="9">
        <v>44778</v>
      </c>
      <c r="O5823" s="9">
        <v>44834</v>
      </c>
      <c r="P5823"/>
      <c r="Q5823" s="9">
        <v>44879</v>
      </c>
      <c r="R5823"/>
      <c r="S5823"/>
      <c r="T5823"/>
      <c r="U5823"/>
    </row>
    <row r="5824" spans="1:21" hidden="1">
      <c r="A5824" s="7" t="s">
        <v>8912</v>
      </c>
      <c r="B5824" s="7" t="s">
        <v>7969</v>
      </c>
      <c r="C5824" s="8" t="s">
        <v>5319</v>
      </c>
      <c r="D5824" t="s">
        <v>266</v>
      </c>
      <c r="E5824" t="s">
        <v>3209</v>
      </c>
      <c r="F5824" t="s">
        <v>209</v>
      </c>
      <c r="G5824" t="s">
        <v>3210</v>
      </c>
      <c r="H5824" s="9">
        <v>44733</v>
      </c>
      <c r="I5824" t="s">
        <v>3211</v>
      </c>
      <c r="J5824" t="s">
        <v>2</v>
      </c>
      <c r="K5824" s="9">
        <v>44834</v>
      </c>
      <c r="L5824" t="s">
        <v>29</v>
      </c>
      <c r="M5824" t="s">
        <v>5331</v>
      </c>
      <c r="N5824" s="9">
        <v>44778</v>
      </c>
      <c r="O5824" s="9">
        <v>44834</v>
      </c>
      <c r="P5824"/>
      <c r="Q5824"/>
      <c r="R5824"/>
      <c r="S5824"/>
      <c r="T5824"/>
      <c r="U5824"/>
    </row>
    <row r="5825" spans="1:21" hidden="1">
      <c r="A5825" s="7" t="s">
        <v>8912</v>
      </c>
      <c r="B5825" s="7" t="s">
        <v>7969</v>
      </c>
      <c r="C5825" s="8" t="s">
        <v>5319</v>
      </c>
      <c r="D5825" t="s">
        <v>266</v>
      </c>
      <c r="E5825" t="s">
        <v>3209</v>
      </c>
      <c r="F5825" t="s">
        <v>209</v>
      </c>
      <c r="G5825" t="s">
        <v>3212</v>
      </c>
      <c r="H5825" s="9">
        <v>44733</v>
      </c>
      <c r="I5825" t="s">
        <v>3211</v>
      </c>
      <c r="J5825" t="s">
        <v>2</v>
      </c>
      <c r="K5825" s="9">
        <v>44834</v>
      </c>
      <c r="L5825" t="s">
        <v>29</v>
      </c>
      <c r="M5825" t="s">
        <v>5331</v>
      </c>
      <c r="N5825" s="9">
        <v>44778</v>
      </c>
      <c r="O5825" s="9">
        <v>44834</v>
      </c>
      <c r="P5825"/>
      <c r="Q5825"/>
      <c r="R5825"/>
      <c r="S5825"/>
      <c r="T5825"/>
      <c r="U5825"/>
    </row>
    <row r="5826" spans="1:21" hidden="1">
      <c r="A5826" s="7" t="s">
        <v>8785</v>
      </c>
      <c r="B5826" s="7" t="s">
        <v>6820</v>
      </c>
      <c r="C5826" s="8" t="s">
        <v>5319</v>
      </c>
      <c r="D5826" t="s">
        <v>266</v>
      </c>
      <c r="E5826" t="s">
        <v>892</v>
      </c>
      <c r="F5826" t="s">
        <v>117</v>
      </c>
      <c r="G5826" t="s">
        <v>3213</v>
      </c>
      <c r="H5826" s="9">
        <v>44733</v>
      </c>
      <c r="I5826" t="s">
        <v>99</v>
      </c>
      <c r="J5826" t="s">
        <v>2</v>
      </c>
      <c r="K5826" s="9">
        <v>44834</v>
      </c>
      <c r="L5826" t="s">
        <v>29</v>
      </c>
      <c r="M5826" t="s">
        <v>5331</v>
      </c>
      <c r="N5826" s="9">
        <v>44778</v>
      </c>
      <c r="O5826" s="9">
        <v>44834</v>
      </c>
      <c r="P5826"/>
      <c r="Q5826"/>
      <c r="R5826"/>
      <c r="S5826"/>
      <c r="T5826"/>
      <c r="U5826"/>
    </row>
    <row r="5827" spans="1:21" hidden="1">
      <c r="A5827" s="7" t="s">
        <v>8861</v>
      </c>
      <c r="B5827" s="7" t="s">
        <v>8218</v>
      </c>
      <c r="C5827" s="8" t="s">
        <v>5319</v>
      </c>
      <c r="D5827" t="s">
        <v>266</v>
      </c>
      <c r="E5827" t="s">
        <v>2260</v>
      </c>
      <c r="F5827" t="s">
        <v>117</v>
      </c>
      <c r="G5827" t="s">
        <v>3214</v>
      </c>
      <c r="H5827" s="9">
        <v>44733</v>
      </c>
      <c r="I5827" t="s">
        <v>2262</v>
      </c>
      <c r="J5827" t="s">
        <v>2</v>
      </c>
      <c r="K5827" s="9">
        <v>44834</v>
      </c>
      <c r="L5827" t="s">
        <v>29</v>
      </c>
      <c r="M5827" t="s">
        <v>5331</v>
      </c>
      <c r="N5827" s="9">
        <v>44778</v>
      </c>
      <c r="O5827" s="9">
        <v>44834</v>
      </c>
      <c r="P5827"/>
      <c r="Q5827" s="9">
        <v>44879</v>
      </c>
      <c r="R5827"/>
      <c r="S5827"/>
      <c r="T5827"/>
      <c r="U5827"/>
    </row>
    <row r="5828" spans="1:21" hidden="1">
      <c r="A5828" s="7" t="s">
        <v>8861</v>
      </c>
      <c r="B5828" s="7" t="s">
        <v>8218</v>
      </c>
      <c r="C5828" s="8" t="s">
        <v>5319</v>
      </c>
      <c r="D5828" t="s">
        <v>266</v>
      </c>
      <c r="E5828" t="s">
        <v>2260</v>
      </c>
      <c r="F5828" t="s">
        <v>117</v>
      </c>
      <c r="G5828" t="s">
        <v>3215</v>
      </c>
      <c r="H5828" s="9">
        <v>44733</v>
      </c>
      <c r="I5828" t="s">
        <v>2262</v>
      </c>
      <c r="J5828" t="s">
        <v>2</v>
      </c>
      <c r="K5828" s="9">
        <v>44834</v>
      </c>
      <c r="L5828" t="s">
        <v>29</v>
      </c>
      <c r="M5828" t="s">
        <v>5331</v>
      </c>
      <c r="N5828" s="9">
        <v>44778</v>
      </c>
      <c r="O5828" s="9">
        <v>44834</v>
      </c>
      <c r="P5828"/>
      <c r="Q5828" s="9">
        <v>44879</v>
      </c>
      <c r="R5828"/>
      <c r="S5828"/>
      <c r="T5828"/>
      <c r="U5828"/>
    </row>
    <row r="5829" spans="1:21" hidden="1">
      <c r="A5829" s="7" t="s">
        <v>8861</v>
      </c>
      <c r="B5829" s="7" t="s">
        <v>8218</v>
      </c>
      <c r="C5829" s="8" t="s">
        <v>5319</v>
      </c>
      <c r="D5829" t="s">
        <v>266</v>
      </c>
      <c r="E5829" t="s">
        <v>2260</v>
      </c>
      <c r="F5829" t="s">
        <v>117</v>
      </c>
      <c r="G5829" t="s">
        <v>2350</v>
      </c>
      <c r="H5829" s="9">
        <v>44733</v>
      </c>
      <c r="I5829" t="s">
        <v>2262</v>
      </c>
      <c r="J5829" t="s">
        <v>2</v>
      </c>
      <c r="K5829" s="9">
        <v>44834</v>
      </c>
      <c r="L5829" t="s">
        <v>29</v>
      </c>
      <c r="M5829" t="s">
        <v>5331</v>
      </c>
      <c r="N5829" s="9">
        <v>44778</v>
      </c>
      <c r="O5829" s="9">
        <v>44834</v>
      </c>
      <c r="P5829"/>
      <c r="Q5829" s="9">
        <v>44879</v>
      </c>
      <c r="R5829"/>
      <c r="S5829"/>
      <c r="T5829"/>
      <c r="U5829"/>
    </row>
    <row r="5830" spans="1:21" hidden="1">
      <c r="A5830" s="7" t="s">
        <v>8861</v>
      </c>
      <c r="B5830" s="7" t="s">
        <v>8218</v>
      </c>
      <c r="C5830" s="8" t="s">
        <v>5319</v>
      </c>
      <c r="D5830" t="s">
        <v>266</v>
      </c>
      <c r="E5830" t="s">
        <v>2260</v>
      </c>
      <c r="F5830" t="s">
        <v>117</v>
      </c>
      <c r="G5830" t="s">
        <v>3216</v>
      </c>
      <c r="H5830" s="9">
        <v>44733</v>
      </c>
      <c r="I5830" t="s">
        <v>2262</v>
      </c>
      <c r="J5830" t="s">
        <v>2</v>
      </c>
      <c r="K5830" s="9">
        <v>44834</v>
      </c>
      <c r="L5830" t="s">
        <v>29</v>
      </c>
      <c r="M5830" t="s">
        <v>5331</v>
      </c>
      <c r="N5830" s="9">
        <v>44778</v>
      </c>
      <c r="O5830" s="9">
        <v>44834</v>
      </c>
      <c r="P5830"/>
      <c r="Q5830" s="9">
        <v>44879</v>
      </c>
      <c r="R5830"/>
      <c r="S5830"/>
      <c r="T5830"/>
      <c r="U5830"/>
    </row>
    <row r="5831" spans="1:21" hidden="1">
      <c r="A5831" s="7" t="s">
        <v>8861</v>
      </c>
      <c r="B5831" s="7" t="s">
        <v>8218</v>
      </c>
      <c r="C5831" s="8" t="s">
        <v>5319</v>
      </c>
      <c r="D5831" t="s">
        <v>266</v>
      </c>
      <c r="E5831" t="s">
        <v>2260</v>
      </c>
      <c r="F5831" t="s">
        <v>117</v>
      </c>
      <c r="G5831" t="s">
        <v>3217</v>
      </c>
      <c r="H5831" s="9">
        <v>44733</v>
      </c>
      <c r="I5831" t="s">
        <v>2262</v>
      </c>
      <c r="J5831" t="s">
        <v>2</v>
      </c>
      <c r="K5831" s="9">
        <v>44834</v>
      </c>
      <c r="L5831" t="s">
        <v>29</v>
      </c>
      <c r="M5831" t="s">
        <v>5331</v>
      </c>
      <c r="N5831" s="9">
        <v>44778</v>
      </c>
      <c r="O5831" s="9">
        <v>44834</v>
      </c>
      <c r="P5831"/>
      <c r="Q5831" s="9">
        <v>44879</v>
      </c>
      <c r="R5831"/>
      <c r="S5831"/>
      <c r="T5831"/>
      <c r="U5831"/>
    </row>
    <row r="5832" spans="1:21" hidden="1">
      <c r="A5832" s="7" t="s">
        <v>8861</v>
      </c>
      <c r="B5832" s="7" t="s">
        <v>8218</v>
      </c>
      <c r="C5832" s="8" t="s">
        <v>5319</v>
      </c>
      <c r="D5832" t="s">
        <v>266</v>
      </c>
      <c r="E5832" t="s">
        <v>2260</v>
      </c>
      <c r="F5832" t="s">
        <v>117</v>
      </c>
      <c r="G5832" t="s">
        <v>2351</v>
      </c>
      <c r="H5832" s="9">
        <v>44733</v>
      </c>
      <c r="I5832" t="s">
        <v>2262</v>
      </c>
      <c r="J5832" t="s">
        <v>2</v>
      </c>
      <c r="K5832" s="9">
        <v>44834</v>
      </c>
      <c r="L5832" t="s">
        <v>29</v>
      </c>
      <c r="M5832" t="s">
        <v>5331</v>
      </c>
      <c r="N5832" s="9">
        <v>44778</v>
      </c>
      <c r="O5832" s="9">
        <v>44834</v>
      </c>
      <c r="P5832"/>
      <c r="Q5832" s="9">
        <v>44879</v>
      </c>
      <c r="R5832"/>
      <c r="S5832"/>
      <c r="T5832"/>
      <c r="U5832"/>
    </row>
    <row r="5833" spans="1:21" hidden="1">
      <c r="A5833" s="7" t="s">
        <v>8861</v>
      </c>
      <c r="B5833" s="7" t="s">
        <v>8218</v>
      </c>
      <c r="C5833" s="8" t="s">
        <v>5319</v>
      </c>
      <c r="D5833" t="s">
        <v>266</v>
      </c>
      <c r="E5833" t="s">
        <v>2260</v>
      </c>
      <c r="F5833" t="s">
        <v>117</v>
      </c>
      <c r="G5833" t="s">
        <v>3218</v>
      </c>
      <c r="H5833" s="9">
        <v>44733</v>
      </c>
      <c r="I5833" t="s">
        <v>2262</v>
      </c>
      <c r="J5833" t="s">
        <v>2</v>
      </c>
      <c r="K5833" s="9">
        <v>44834</v>
      </c>
      <c r="L5833" t="s">
        <v>29</v>
      </c>
      <c r="M5833" t="s">
        <v>5331</v>
      </c>
      <c r="N5833" s="9">
        <v>44778</v>
      </c>
      <c r="O5833" s="9">
        <v>44834</v>
      </c>
      <c r="P5833"/>
      <c r="Q5833" s="9">
        <v>44879</v>
      </c>
      <c r="R5833"/>
      <c r="S5833"/>
      <c r="T5833"/>
      <c r="U5833"/>
    </row>
    <row r="5834" spans="1:21" hidden="1">
      <c r="A5834" s="7" t="s">
        <v>8861</v>
      </c>
      <c r="B5834" s="7" t="s">
        <v>8218</v>
      </c>
      <c r="C5834" s="8" t="s">
        <v>5319</v>
      </c>
      <c r="D5834" t="s">
        <v>266</v>
      </c>
      <c r="E5834" t="s">
        <v>2260</v>
      </c>
      <c r="F5834" t="s">
        <v>117</v>
      </c>
      <c r="G5834" t="s">
        <v>3219</v>
      </c>
      <c r="H5834" s="9">
        <v>44733</v>
      </c>
      <c r="I5834" t="s">
        <v>2262</v>
      </c>
      <c r="J5834" t="s">
        <v>2</v>
      </c>
      <c r="K5834" s="9">
        <v>44834</v>
      </c>
      <c r="L5834" t="s">
        <v>29</v>
      </c>
      <c r="M5834" t="s">
        <v>5331</v>
      </c>
      <c r="N5834" s="9">
        <v>44778</v>
      </c>
      <c r="O5834" s="9">
        <v>44834</v>
      </c>
      <c r="P5834"/>
      <c r="Q5834" s="9">
        <v>44879</v>
      </c>
      <c r="R5834"/>
      <c r="S5834"/>
      <c r="T5834"/>
      <c r="U5834"/>
    </row>
    <row r="5835" spans="1:21" hidden="1">
      <c r="A5835" s="7" t="s">
        <v>8867</v>
      </c>
      <c r="B5835" s="7" t="s">
        <v>7140</v>
      </c>
      <c r="C5835" s="8" t="s">
        <v>5319</v>
      </c>
      <c r="D5835" t="s">
        <v>266</v>
      </c>
      <c r="E5835" t="s">
        <v>2360</v>
      </c>
      <c r="F5835" t="s">
        <v>231</v>
      </c>
      <c r="G5835" t="s">
        <v>3220</v>
      </c>
      <c r="H5835" s="9">
        <v>44733</v>
      </c>
      <c r="I5835" t="s">
        <v>2362</v>
      </c>
      <c r="J5835" t="s">
        <v>2</v>
      </c>
      <c r="K5835" s="9">
        <v>44834</v>
      </c>
      <c r="L5835" t="s">
        <v>29</v>
      </c>
      <c r="M5835" t="s">
        <v>5331</v>
      </c>
      <c r="N5835" s="9">
        <v>44778</v>
      </c>
      <c r="O5835" s="9">
        <v>44834</v>
      </c>
      <c r="P5835"/>
      <c r="Q5835"/>
      <c r="R5835"/>
      <c r="S5835"/>
      <c r="T5835"/>
      <c r="U5835"/>
    </row>
    <row r="5836" spans="1:21" hidden="1">
      <c r="A5836" s="7" t="s">
        <v>8867</v>
      </c>
      <c r="B5836" s="7" t="s">
        <v>7140</v>
      </c>
      <c r="C5836" s="8" t="s">
        <v>5319</v>
      </c>
      <c r="D5836" t="s">
        <v>266</v>
      </c>
      <c r="E5836" t="s">
        <v>2360</v>
      </c>
      <c r="F5836" t="s">
        <v>231</v>
      </c>
      <c r="G5836" t="s">
        <v>3221</v>
      </c>
      <c r="H5836" s="9">
        <v>44733</v>
      </c>
      <c r="I5836" t="s">
        <v>2362</v>
      </c>
      <c r="J5836" t="s">
        <v>2</v>
      </c>
      <c r="K5836" s="9">
        <v>44834</v>
      </c>
      <c r="L5836" t="s">
        <v>29</v>
      </c>
      <c r="M5836" t="s">
        <v>5331</v>
      </c>
      <c r="N5836" s="9">
        <v>44778</v>
      </c>
      <c r="O5836" s="9">
        <v>44834</v>
      </c>
      <c r="P5836"/>
      <c r="Q5836"/>
      <c r="R5836"/>
      <c r="S5836"/>
      <c r="T5836"/>
      <c r="U5836"/>
    </row>
    <row r="5837" spans="1:21" hidden="1">
      <c r="A5837" s="7" t="s">
        <v>8867</v>
      </c>
      <c r="B5837" s="7" t="s">
        <v>7140</v>
      </c>
      <c r="C5837" s="8" t="s">
        <v>5319</v>
      </c>
      <c r="D5837" t="s">
        <v>266</v>
      </c>
      <c r="E5837" t="s">
        <v>2360</v>
      </c>
      <c r="F5837" t="s">
        <v>231</v>
      </c>
      <c r="G5837" t="s">
        <v>3222</v>
      </c>
      <c r="H5837" s="9">
        <v>44733</v>
      </c>
      <c r="I5837" t="s">
        <v>2362</v>
      </c>
      <c r="J5837" t="s">
        <v>2</v>
      </c>
      <c r="K5837" s="9">
        <v>44834</v>
      </c>
      <c r="L5837" t="s">
        <v>29</v>
      </c>
      <c r="M5837" t="s">
        <v>5331</v>
      </c>
      <c r="N5837" s="9">
        <v>44778</v>
      </c>
      <c r="O5837" s="9">
        <v>44834</v>
      </c>
      <c r="P5837"/>
      <c r="Q5837"/>
      <c r="R5837"/>
      <c r="S5837"/>
      <c r="T5837"/>
      <c r="U5837"/>
    </row>
    <row r="5838" spans="1:21" hidden="1">
      <c r="A5838" s="7" t="s">
        <v>8873</v>
      </c>
      <c r="B5838" s="7" t="s">
        <v>7140</v>
      </c>
      <c r="C5838" s="8" t="s">
        <v>5319</v>
      </c>
      <c r="D5838" t="s">
        <v>266</v>
      </c>
      <c r="E5838" t="s">
        <v>2360</v>
      </c>
      <c r="F5838" t="s">
        <v>209</v>
      </c>
      <c r="G5838" t="s">
        <v>3222</v>
      </c>
      <c r="H5838" s="9">
        <v>44733</v>
      </c>
      <c r="I5838" t="s">
        <v>2362</v>
      </c>
      <c r="J5838" t="s">
        <v>2</v>
      </c>
      <c r="K5838" s="9">
        <v>44834</v>
      </c>
      <c r="L5838" t="s">
        <v>29</v>
      </c>
      <c r="M5838" t="s">
        <v>5331</v>
      </c>
      <c r="N5838" s="9">
        <v>44778</v>
      </c>
      <c r="O5838" s="9">
        <v>44834</v>
      </c>
      <c r="P5838"/>
      <c r="Q5838"/>
      <c r="R5838"/>
      <c r="S5838"/>
      <c r="T5838"/>
      <c r="U5838"/>
    </row>
    <row r="5839" spans="1:21" hidden="1">
      <c r="A5839" s="7" t="s">
        <v>8873</v>
      </c>
      <c r="B5839" s="7" t="s">
        <v>7140</v>
      </c>
      <c r="C5839" s="8" t="s">
        <v>5319</v>
      </c>
      <c r="D5839" t="s">
        <v>266</v>
      </c>
      <c r="E5839" t="s">
        <v>2360</v>
      </c>
      <c r="F5839" t="s">
        <v>209</v>
      </c>
      <c r="G5839" t="s">
        <v>3223</v>
      </c>
      <c r="H5839" s="9">
        <v>44733</v>
      </c>
      <c r="I5839" t="s">
        <v>2362</v>
      </c>
      <c r="J5839" t="s">
        <v>2</v>
      </c>
      <c r="K5839" s="9">
        <v>44834</v>
      </c>
      <c r="L5839" t="s">
        <v>29</v>
      </c>
      <c r="M5839" t="s">
        <v>5331</v>
      </c>
      <c r="N5839" s="9">
        <v>44778</v>
      </c>
      <c r="O5839" s="9">
        <v>44834</v>
      </c>
      <c r="P5839"/>
      <c r="Q5839"/>
      <c r="R5839"/>
      <c r="S5839"/>
      <c r="T5839"/>
      <c r="U5839"/>
    </row>
    <row r="5840" spans="1:21" hidden="1">
      <c r="A5840" s="7" t="s">
        <v>8866</v>
      </c>
      <c r="B5840" s="7" t="s">
        <v>6820</v>
      </c>
      <c r="C5840" s="8" t="s">
        <v>5319</v>
      </c>
      <c r="D5840" t="s">
        <v>266</v>
      </c>
      <c r="E5840" t="s">
        <v>892</v>
      </c>
      <c r="F5840" t="s">
        <v>75</v>
      </c>
      <c r="G5840" t="s">
        <v>2363</v>
      </c>
      <c r="H5840" s="9">
        <v>44733</v>
      </c>
      <c r="I5840" t="s">
        <v>99</v>
      </c>
      <c r="J5840" t="s">
        <v>2</v>
      </c>
      <c r="K5840" s="9">
        <v>44834</v>
      </c>
      <c r="L5840" t="s">
        <v>29</v>
      </c>
      <c r="M5840" t="s">
        <v>5331</v>
      </c>
      <c r="N5840" s="9">
        <v>44778</v>
      </c>
      <c r="O5840" s="9">
        <v>44834</v>
      </c>
      <c r="P5840"/>
      <c r="Q5840"/>
      <c r="R5840"/>
      <c r="S5840"/>
      <c r="T5840"/>
      <c r="U5840"/>
    </row>
    <row r="5841" spans="1:21" hidden="1">
      <c r="A5841" s="7" t="s">
        <v>8866</v>
      </c>
      <c r="B5841" s="7" t="s">
        <v>6820</v>
      </c>
      <c r="C5841" s="8" t="s">
        <v>5319</v>
      </c>
      <c r="D5841" t="s">
        <v>266</v>
      </c>
      <c r="E5841" t="s">
        <v>892</v>
      </c>
      <c r="F5841" t="s">
        <v>75</v>
      </c>
      <c r="G5841" t="s">
        <v>2364</v>
      </c>
      <c r="H5841" s="9">
        <v>44733</v>
      </c>
      <c r="I5841" t="s">
        <v>99</v>
      </c>
      <c r="J5841" t="s">
        <v>2</v>
      </c>
      <c r="K5841" s="9">
        <v>44834</v>
      </c>
      <c r="L5841" t="s">
        <v>29</v>
      </c>
      <c r="M5841" t="s">
        <v>5331</v>
      </c>
      <c r="N5841" s="9">
        <v>44778</v>
      </c>
      <c r="O5841" s="9">
        <v>44834</v>
      </c>
      <c r="P5841"/>
      <c r="Q5841"/>
      <c r="R5841"/>
      <c r="S5841"/>
      <c r="T5841"/>
      <c r="U5841"/>
    </row>
    <row r="5842" spans="1:21" hidden="1">
      <c r="A5842" s="7" t="s">
        <v>8785</v>
      </c>
      <c r="B5842" s="7" t="s">
        <v>6820</v>
      </c>
      <c r="C5842" s="8" t="s">
        <v>5319</v>
      </c>
      <c r="D5842" t="s">
        <v>266</v>
      </c>
      <c r="E5842" t="s">
        <v>892</v>
      </c>
      <c r="F5842" t="s">
        <v>117</v>
      </c>
      <c r="G5842" t="s">
        <v>3224</v>
      </c>
      <c r="H5842" s="9">
        <v>44733</v>
      </c>
      <c r="I5842" t="s">
        <v>99</v>
      </c>
      <c r="J5842" t="s">
        <v>2</v>
      </c>
      <c r="K5842" s="9">
        <v>44834</v>
      </c>
      <c r="L5842" t="s">
        <v>29</v>
      </c>
      <c r="M5842" t="s">
        <v>5331</v>
      </c>
      <c r="N5842" s="9">
        <v>44778</v>
      </c>
      <c r="O5842" s="9">
        <v>44834</v>
      </c>
      <c r="P5842"/>
      <c r="Q5842"/>
      <c r="R5842"/>
      <c r="S5842"/>
      <c r="T5842"/>
      <c r="U5842"/>
    </row>
    <row r="5843" spans="1:21" hidden="1">
      <c r="A5843" s="7" t="s">
        <v>8785</v>
      </c>
      <c r="B5843" s="7" t="s">
        <v>6820</v>
      </c>
      <c r="C5843" s="8" t="s">
        <v>5319</v>
      </c>
      <c r="D5843" t="s">
        <v>266</v>
      </c>
      <c r="E5843" t="s">
        <v>892</v>
      </c>
      <c r="F5843" t="s">
        <v>117</v>
      </c>
      <c r="G5843" t="s">
        <v>3225</v>
      </c>
      <c r="H5843" s="9">
        <v>44733</v>
      </c>
      <c r="I5843" t="s">
        <v>99</v>
      </c>
      <c r="J5843" t="s">
        <v>2</v>
      </c>
      <c r="K5843" s="9">
        <v>44834</v>
      </c>
      <c r="L5843" t="s">
        <v>29</v>
      </c>
      <c r="M5843" t="s">
        <v>5331</v>
      </c>
      <c r="N5843" s="9">
        <v>44778</v>
      </c>
      <c r="O5843" s="9">
        <v>44834</v>
      </c>
      <c r="P5843"/>
      <c r="Q5843"/>
      <c r="R5843"/>
      <c r="S5843"/>
      <c r="T5843"/>
      <c r="U5843"/>
    </row>
    <row r="5844" spans="1:21" hidden="1">
      <c r="A5844" s="7" t="s">
        <v>8785</v>
      </c>
      <c r="B5844" s="7" t="s">
        <v>6820</v>
      </c>
      <c r="C5844" s="8" t="s">
        <v>5319</v>
      </c>
      <c r="D5844" t="s">
        <v>266</v>
      </c>
      <c r="E5844" t="s">
        <v>892</v>
      </c>
      <c r="F5844" t="s">
        <v>117</v>
      </c>
      <c r="G5844" t="s">
        <v>3226</v>
      </c>
      <c r="H5844" s="9">
        <v>44733</v>
      </c>
      <c r="I5844" t="s">
        <v>99</v>
      </c>
      <c r="J5844" t="s">
        <v>2</v>
      </c>
      <c r="K5844" s="9">
        <v>44834</v>
      </c>
      <c r="L5844" t="s">
        <v>29</v>
      </c>
      <c r="M5844" t="s">
        <v>5331</v>
      </c>
      <c r="N5844" s="9">
        <v>44778</v>
      </c>
      <c r="O5844" s="9">
        <v>44834</v>
      </c>
      <c r="P5844"/>
      <c r="Q5844"/>
      <c r="R5844"/>
      <c r="S5844"/>
      <c r="T5844"/>
      <c r="U5844"/>
    </row>
    <row r="5845" spans="1:21" hidden="1">
      <c r="A5845" s="7" t="s">
        <v>8785</v>
      </c>
      <c r="B5845" s="7" t="s">
        <v>6820</v>
      </c>
      <c r="C5845" s="8" t="s">
        <v>5319</v>
      </c>
      <c r="D5845" t="s">
        <v>266</v>
      </c>
      <c r="E5845" t="s">
        <v>892</v>
      </c>
      <c r="F5845" t="s">
        <v>117</v>
      </c>
      <c r="G5845" t="s">
        <v>3227</v>
      </c>
      <c r="H5845" s="9">
        <v>44733</v>
      </c>
      <c r="I5845" t="s">
        <v>99</v>
      </c>
      <c r="J5845" t="s">
        <v>2</v>
      </c>
      <c r="K5845" s="9">
        <v>44834</v>
      </c>
      <c r="L5845" t="s">
        <v>29</v>
      </c>
      <c r="M5845" t="s">
        <v>5331</v>
      </c>
      <c r="N5845" s="9">
        <v>44778</v>
      </c>
      <c r="O5845" s="9">
        <v>44834</v>
      </c>
      <c r="P5845"/>
      <c r="Q5845"/>
      <c r="R5845"/>
      <c r="S5845"/>
      <c r="T5845"/>
      <c r="U5845"/>
    </row>
    <row r="5846" spans="1:21" hidden="1">
      <c r="A5846" s="7" t="s">
        <v>8873</v>
      </c>
      <c r="B5846" s="7" t="s">
        <v>7140</v>
      </c>
      <c r="C5846" s="8" t="s">
        <v>5319</v>
      </c>
      <c r="D5846" t="s">
        <v>266</v>
      </c>
      <c r="E5846" t="s">
        <v>2360</v>
      </c>
      <c r="F5846" t="s">
        <v>209</v>
      </c>
      <c r="G5846" t="s">
        <v>3228</v>
      </c>
      <c r="H5846" s="9">
        <v>44733</v>
      </c>
      <c r="I5846" t="s">
        <v>2362</v>
      </c>
      <c r="J5846" t="s">
        <v>2</v>
      </c>
      <c r="K5846" s="9">
        <v>44834</v>
      </c>
      <c r="L5846" t="s">
        <v>29</v>
      </c>
      <c r="M5846" t="s">
        <v>5331</v>
      </c>
      <c r="N5846" s="9">
        <v>44778</v>
      </c>
      <c r="O5846" s="9">
        <v>44834</v>
      </c>
      <c r="P5846"/>
      <c r="Q5846"/>
      <c r="R5846"/>
      <c r="S5846"/>
      <c r="T5846"/>
      <c r="U5846"/>
    </row>
    <row r="5847" spans="1:21" hidden="1">
      <c r="A5847" s="7" t="s">
        <v>8873</v>
      </c>
      <c r="B5847" s="7" t="s">
        <v>7140</v>
      </c>
      <c r="C5847" s="8" t="s">
        <v>5319</v>
      </c>
      <c r="D5847" t="s">
        <v>266</v>
      </c>
      <c r="E5847" t="s">
        <v>2360</v>
      </c>
      <c r="F5847" t="s">
        <v>209</v>
      </c>
      <c r="G5847" t="s">
        <v>3229</v>
      </c>
      <c r="H5847" s="9">
        <v>44733</v>
      </c>
      <c r="I5847" t="s">
        <v>2362</v>
      </c>
      <c r="J5847" t="s">
        <v>2</v>
      </c>
      <c r="K5847" s="9">
        <v>44834</v>
      </c>
      <c r="L5847" t="s">
        <v>29</v>
      </c>
      <c r="M5847" t="s">
        <v>5331</v>
      </c>
      <c r="N5847" s="9">
        <v>44778</v>
      </c>
      <c r="O5847" s="9">
        <v>44834</v>
      </c>
      <c r="P5847"/>
      <c r="Q5847"/>
      <c r="R5847"/>
      <c r="S5847"/>
      <c r="T5847"/>
      <c r="U5847"/>
    </row>
    <row r="5848" spans="1:21" hidden="1">
      <c r="A5848" s="7" t="s">
        <v>8873</v>
      </c>
      <c r="B5848" s="7" t="s">
        <v>7140</v>
      </c>
      <c r="C5848" s="8" t="s">
        <v>5319</v>
      </c>
      <c r="D5848" t="s">
        <v>266</v>
      </c>
      <c r="E5848" t="s">
        <v>2360</v>
      </c>
      <c r="F5848" t="s">
        <v>209</v>
      </c>
      <c r="G5848" t="s">
        <v>3230</v>
      </c>
      <c r="H5848" s="9">
        <v>44733</v>
      </c>
      <c r="I5848" t="s">
        <v>2362</v>
      </c>
      <c r="J5848" t="s">
        <v>2</v>
      </c>
      <c r="K5848" s="9">
        <v>44834</v>
      </c>
      <c r="L5848" t="s">
        <v>29</v>
      </c>
      <c r="M5848" t="s">
        <v>5331</v>
      </c>
      <c r="N5848" s="9">
        <v>44778</v>
      </c>
      <c r="O5848" s="9">
        <v>44834</v>
      </c>
      <c r="P5848"/>
      <c r="Q5848"/>
      <c r="R5848"/>
      <c r="S5848"/>
      <c r="T5848"/>
      <c r="U5848"/>
    </row>
    <row r="5849" spans="1:21" hidden="1">
      <c r="A5849" s="7" t="s">
        <v>8913</v>
      </c>
      <c r="B5849" s="7" t="s">
        <v>6153</v>
      </c>
      <c r="C5849" s="8" t="s">
        <v>5319</v>
      </c>
      <c r="D5849" t="s">
        <v>266</v>
      </c>
      <c r="E5849" t="s">
        <v>3231</v>
      </c>
      <c r="F5849" t="s">
        <v>280</v>
      </c>
      <c r="G5849" t="s">
        <v>3232</v>
      </c>
      <c r="H5849" s="9">
        <v>44733</v>
      </c>
      <c r="I5849" t="s">
        <v>322</v>
      </c>
      <c r="J5849" t="s">
        <v>2</v>
      </c>
      <c r="K5849" s="9">
        <v>44834</v>
      </c>
      <c r="L5849" t="s">
        <v>29</v>
      </c>
      <c r="M5849" t="s">
        <v>5331</v>
      </c>
      <c r="N5849" s="9">
        <v>44778</v>
      </c>
      <c r="O5849" s="9">
        <v>44834</v>
      </c>
      <c r="P5849"/>
      <c r="Q5849"/>
      <c r="R5849"/>
      <c r="S5849"/>
      <c r="T5849"/>
      <c r="U5849"/>
    </row>
    <row r="5850" spans="1:21" hidden="1">
      <c r="A5850" s="7" t="s">
        <v>8861</v>
      </c>
      <c r="B5850" s="7" t="s">
        <v>8218</v>
      </c>
      <c r="C5850" s="8" t="s">
        <v>5319</v>
      </c>
      <c r="D5850" t="s">
        <v>266</v>
      </c>
      <c r="E5850" t="s">
        <v>2260</v>
      </c>
      <c r="F5850" t="s">
        <v>117</v>
      </c>
      <c r="G5850" t="s">
        <v>3233</v>
      </c>
      <c r="H5850" s="9">
        <v>44733</v>
      </c>
      <c r="I5850" t="s">
        <v>2262</v>
      </c>
      <c r="J5850" t="s">
        <v>2</v>
      </c>
      <c r="K5850" s="9">
        <v>44834</v>
      </c>
      <c r="L5850" t="s">
        <v>29</v>
      </c>
      <c r="M5850" t="s">
        <v>5331</v>
      </c>
      <c r="N5850" s="9">
        <v>44778</v>
      </c>
      <c r="O5850" s="9">
        <v>44834</v>
      </c>
      <c r="P5850"/>
      <c r="Q5850" s="9">
        <v>44879</v>
      </c>
      <c r="R5850"/>
      <c r="S5850"/>
      <c r="T5850"/>
      <c r="U5850"/>
    </row>
    <row r="5851" spans="1:21" hidden="1">
      <c r="A5851" s="7" t="s">
        <v>8861</v>
      </c>
      <c r="B5851" s="7" t="s">
        <v>8218</v>
      </c>
      <c r="C5851" s="8" t="s">
        <v>5319</v>
      </c>
      <c r="D5851" t="s">
        <v>266</v>
      </c>
      <c r="E5851" t="s">
        <v>2260</v>
      </c>
      <c r="F5851" t="s">
        <v>117</v>
      </c>
      <c r="G5851" t="s">
        <v>3234</v>
      </c>
      <c r="H5851" s="9">
        <v>44733</v>
      </c>
      <c r="I5851" t="s">
        <v>2262</v>
      </c>
      <c r="J5851" t="s">
        <v>2</v>
      </c>
      <c r="K5851" s="9">
        <v>44834</v>
      </c>
      <c r="L5851" t="s">
        <v>29</v>
      </c>
      <c r="M5851" t="s">
        <v>5331</v>
      </c>
      <c r="N5851" s="9">
        <v>44778</v>
      </c>
      <c r="O5851" s="9">
        <v>44834</v>
      </c>
      <c r="P5851"/>
      <c r="Q5851" s="9">
        <v>44879</v>
      </c>
      <c r="R5851"/>
      <c r="S5851"/>
      <c r="T5851"/>
      <c r="U5851"/>
    </row>
    <row r="5852" spans="1:21" hidden="1">
      <c r="A5852" s="7" t="s">
        <v>8861</v>
      </c>
      <c r="B5852" s="7" t="s">
        <v>8218</v>
      </c>
      <c r="C5852" s="8" t="s">
        <v>5319</v>
      </c>
      <c r="D5852" t="s">
        <v>266</v>
      </c>
      <c r="E5852" t="s">
        <v>2260</v>
      </c>
      <c r="F5852" t="s">
        <v>117</v>
      </c>
      <c r="G5852" t="s">
        <v>3235</v>
      </c>
      <c r="H5852" s="9">
        <v>44733</v>
      </c>
      <c r="I5852" t="s">
        <v>2262</v>
      </c>
      <c r="J5852" t="s">
        <v>2</v>
      </c>
      <c r="K5852" s="9">
        <v>44834</v>
      </c>
      <c r="L5852" t="s">
        <v>29</v>
      </c>
      <c r="M5852" t="s">
        <v>5331</v>
      </c>
      <c r="N5852" s="9">
        <v>44778</v>
      </c>
      <c r="O5852" s="9">
        <v>44834</v>
      </c>
      <c r="P5852"/>
      <c r="Q5852" s="9">
        <v>44879</v>
      </c>
      <c r="R5852"/>
      <c r="S5852"/>
      <c r="T5852"/>
      <c r="U5852"/>
    </row>
    <row r="5853" spans="1:21" hidden="1">
      <c r="A5853" s="7" t="s">
        <v>8861</v>
      </c>
      <c r="B5853" s="7" t="s">
        <v>8218</v>
      </c>
      <c r="C5853" s="8" t="s">
        <v>5319</v>
      </c>
      <c r="D5853" t="s">
        <v>266</v>
      </c>
      <c r="E5853" t="s">
        <v>2260</v>
      </c>
      <c r="F5853" t="s">
        <v>117</v>
      </c>
      <c r="G5853" t="s">
        <v>3236</v>
      </c>
      <c r="H5853" s="9">
        <v>44733</v>
      </c>
      <c r="I5853" t="s">
        <v>2262</v>
      </c>
      <c r="J5853" t="s">
        <v>2</v>
      </c>
      <c r="K5853" s="9">
        <v>44834</v>
      </c>
      <c r="L5853" t="s">
        <v>29</v>
      </c>
      <c r="M5853" t="s">
        <v>5331</v>
      </c>
      <c r="N5853" s="9">
        <v>44778</v>
      </c>
      <c r="O5853" s="9">
        <v>44834</v>
      </c>
      <c r="P5853"/>
      <c r="Q5853" s="9">
        <v>44879</v>
      </c>
      <c r="R5853"/>
      <c r="S5853"/>
      <c r="T5853"/>
      <c r="U5853"/>
    </row>
    <row r="5854" spans="1:21" hidden="1">
      <c r="A5854" s="7" t="s">
        <v>8849</v>
      </c>
      <c r="B5854" s="7" t="s">
        <v>6805</v>
      </c>
      <c r="C5854" s="8" t="s">
        <v>5319</v>
      </c>
      <c r="D5854" t="s">
        <v>266</v>
      </c>
      <c r="E5854" t="s">
        <v>2175</v>
      </c>
      <c r="F5854" t="s">
        <v>75</v>
      </c>
      <c r="G5854" t="s">
        <v>3237</v>
      </c>
      <c r="H5854" s="9">
        <v>44733</v>
      </c>
      <c r="I5854" t="s">
        <v>488</v>
      </c>
      <c r="J5854" t="s">
        <v>2</v>
      </c>
      <c r="K5854" s="9">
        <v>44834</v>
      </c>
      <c r="L5854" t="s">
        <v>29</v>
      </c>
      <c r="M5854" t="s">
        <v>5331</v>
      </c>
      <c r="N5854" s="9">
        <v>44778</v>
      </c>
      <c r="O5854" s="9">
        <v>44834</v>
      </c>
      <c r="P5854"/>
      <c r="Q5854"/>
      <c r="R5854"/>
      <c r="S5854"/>
      <c r="T5854"/>
      <c r="U5854"/>
    </row>
    <row r="5855" spans="1:21" hidden="1">
      <c r="A5855" s="7" t="s">
        <v>8914</v>
      </c>
      <c r="B5855" s="7" t="s">
        <v>8340</v>
      </c>
      <c r="C5855" s="8" t="s">
        <v>5319</v>
      </c>
      <c r="D5855" t="s">
        <v>266</v>
      </c>
      <c r="E5855" t="s">
        <v>3238</v>
      </c>
      <c r="F5855" t="s">
        <v>117</v>
      </c>
      <c r="G5855" t="s">
        <v>3239</v>
      </c>
      <c r="H5855" s="9">
        <v>44733</v>
      </c>
      <c r="I5855" t="s">
        <v>2187</v>
      </c>
      <c r="J5855" t="s">
        <v>2</v>
      </c>
      <c r="K5855" s="9">
        <v>44834</v>
      </c>
      <c r="L5855" t="s">
        <v>29</v>
      </c>
      <c r="M5855" t="s">
        <v>5331</v>
      </c>
      <c r="N5855" s="9">
        <v>44778</v>
      </c>
      <c r="O5855" s="9">
        <v>44834</v>
      </c>
      <c r="P5855"/>
      <c r="Q5855"/>
      <c r="R5855"/>
      <c r="S5855"/>
      <c r="T5855"/>
      <c r="U5855"/>
    </row>
    <row r="5856" spans="1:21" hidden="1">
      <c r="A5856" s="7" t="s">
        <v>8873</v>
      </c>
      <c r="B5856" s="7" t="s">
        <v>7140</v>
      </c>
      <c r="C5856" s="8" t="s">
        <v>5319</v>
      </c>
      <c r="D5856" t="s">
        <v>266</v>
      </c>
      <c r="E5856" t="s">
        <v>2360</v>
      </c>
      <c r="F5856" t="s">
        <v>209</v>
      </c>
      <c r="G5856" t="s">
        <v>3240</v>
      </c>
      <c r="H5856" s="9">
        <v>44733</v>
      </c>
      <c r="I5856" t="s">
        <v>2362</v>
      </c>
      <c r="J5856" t="s">
        <v>2</v>
      </c>
      <c r="K5856" s="9">
        <v>44834</v>
      </c>
      <c r="L5856" t="s">
        <v>29</v>
      </c>
      <c r="M5856" t="s">
        <v>5331</v>
      </c>
      <c r="N5856" s="9">
        <v>44778</v>
      </c>
      <c r="O5856" s="9">
        <v>44834</v>
      </c>
      <c r="P5856"/>
      <c r="Q5856"/>
      <c r="R5856"/>
      <c r="S5856"/>
      <c r="T5856"/>
      <c r="U5856"/>
    </row>
    <row r="5857" spans="1:21" hidden="1">
      <c r="A5857" s="7" t="s">
        <v>8795</v>
      </c>
      <c r="B5857" s="7" t="s">
        <v>5590</v>
      </c>
      <c r="C5857" s="8" t="s">
        <v>5319</v>
      </c>
      <c r="D5857" t="s">
        <v>266</v>
      </c>
      <c r="E5857" t="s">
        <v>990</v>
      </c>
      <c r="F5857" t="s">
        <v>111</v>
      </c>
      <c r="G5857" t="s">
        <v>3241</v>
      </c>
      <c r="H5857" s="9">
        <v>44733</v>
      </c>
      <c r="I5857" t="s">
        <v>408</v>
      </c>
      <c r="J5857" t="s">
        <v>2</v>
      </c>
      <c r="K5857" s="9">
        <v>44834</v>
      </c>
      <c r="L5857" t="s">
        <v>29</v>
      </c>
      <c r="M5857" t="s">
        <v>5331</v>
      </c>
      <c r="N5857" s="9">
        <v>44778</v>
      </c>
      <c r="O5857" s="9">
        <v>44834</v>
      </c>
      <c r="P5857"/>
      <c r="Q5857"/>
      <c r="R5857"/>
      <c r="S5857"/>
      <c r="T5857"/>
      <c r="U5857"/>
    </row>
    <row r="5858" spans="1:21" hidden="1">
      <c r="A5858" s="7" t="s">
        <v>8873</v>
      </c>
      <c r="B5858" s="7" t="s">
        <v>7140</v>
      </c>
      <c r="C5858" s="8" t="s">
        <v>5319</v>
      </c>
      <c r="D5858" t="s">
        <v>266</v>
      </c>
      <c r="E5858" t="s">
        <v>2360</v>
      </c>
      <c r="F5858" t="s">
        <v>209</v>
      </c>
      <c r="G5858" t="s">
        <v>3242</v>
      </c>
      <c r="H5858" s="9">
        <v>44733</v>
      </c>
      <c r="I5858" t="s">
        <v>2362</v>
      </c>
      <c r="J5858" t="s">
        <v>2</v>
      </c>
      <c r="K5858" s="9">
        <v>44834</v>
      </c>
      <c r="L5858" t="s">
        <v>29</v>
      </c>
      <c r="M5858" t="s">
        <v>5331</v>
      </c>
      <c r="N5858" s="9">
        <v>44778</v>
      </c>
      <c r="O5858" s="9">
        <v>44834</v>
      </c>
      <c r="P5858"/>
      <c r="Q5858"/>
      <c r="R5858"/>
      <c r="S5858"/>
      <c r="T5858"/>
      <c r="U5858"/>
    </row>
    <row r="5859" spans="1:21" hidden="1">
      <c r="A5859" s="7" t="s">
        <v>8873</v>
      </c>
      <c r="B5859" s="7" t="s">
        <v>7140</v>
      </c>
      <c r="C5859" s="8" t="s">
        <v>5319</v>
      </c>
      <c r="D5859" t="s">
        <v>266</v>
      </c>
      <c r="E5859" t="s">
        <v>2360</v>
      </c>
      <c r="F5859" t="s">
        <v>209</v>
      </c>
      <c r="G5859" t="s">
        <v>3243</v>
      </c>
      <c r="H5859" s="9">
        <v>44733</v>
      </c>
      <c r="I5859" t="s">
        <v>2362</v>
      </c>
      <c r="J5859" t="s">
        <v>2</v>
      </c>
      <c r="K5859" s="9">
        <v>44834</v>
      </c>
      <c r="L5859" t="s">
        <v>29</v>
      </c>
      <c r="M5859" t="s">
        <v>5331</v>
      </c>
      <c r="N5859" s="9">
        <v>44778</v>
      </c>
      <c r="O5859" s="9">
        <v>44834</v>
      </c>
      <c r="P5859"/>
      <c r="Q5859"/>
      <c r="R5859"/>
      <c r="S5859"/>
      <c r="T5859"/>
      <c r="U5859"/>
    </row>
    <row r="5860" spans="1:21" hidden="1">
      <c r="A5860" s="7" t="s">
        <v>8909</v>
      </c>
      <c r="B5860" s="7" t="s">
        <v>6924</v>
      </c>
      <c r="C5860" s="8" t="s">
        <v>5319</v>
      </c>
      <c r="D5860" t="s">
        <v>266</v>
      </c>
      <c r="E5860" t="s">
        <v>3100</v>
      </c>
      <c r="F5860" t="s">
        <v>111</v>
      </c>
      <c r="G5860" t="s">
        <v>3244</v>
      </c>
      <c r="H5860" s="9">
        <v>44733</v>
      </c>
      <c r="I5860" t="s">
        <v>2715</v>
      </c>
      <c r="J5860" t="s">
        <v>2</v>
      </c>
      <c r="K5860" s="9">
        <v>44834</v>
      </c>
      <c r="L5860" t="s">
        <v>29</v>
      </c>
      <c r="M5860" t="s">
        <v>5331</v>
      </c>
      <c r="N5860" s="9">
        <v>44778</v>
      </c>
      <c r="O5860" s="9">
        <v>44834</v>
      </c>
      <c r="P5860"/>
      <c r="Q5860"/>
      <c r="R5860"/>
      <c r="S5860"/>
      <c r="T5860"/>
      <c r="U5860"/>
    </row>
    <row r="5861" spans="1:21" hidden="1">
      <c r="A5861" s="7" t="s">
        <v>8874</v>
      </c>
      <c r="B5861" s="7" t="s">
        <v>7053</v>
      </c>
      <c r="C5861" s="8" t="s">
        <v>5319</v>
      </c>
      <c r="D5861" t="s">
        <v>266</v>
      </c>
      <c r="E5861" t="s">
        <v>2503</v>
      </c>
      <c r="F5861" t="s">
        <v>280</v>
      </c>
      <c r="G5861" t="s">
        <v>3245</v>
      </c>
      <c r="H5861" s="9">
        <v>44733</v>
      </c>
      <c r="I5861" t="s">
        <v>903</v>
      </c>
      <c r="J5861" t="s">
        <v>276</v>
      </c>
      <c r="K5861" s="9">
        <v>44882.647395833301</v>
      </c>
      <c r="L5861" t="s">
        <v>29</v>
      </c>
      <c r="M5861" t="s">
        <v>5331</v>
      </c>
      <c r="N5861" s="9">
        <v>44778</v>
      </c>
      <c r="O5861" s="9">
        <v>44834</v>
      </c>
      <c r="P5861"/>
      <c r="Q5861"/>
      <c r="R5861" s="9">
        <v>44882.645879629599</v>
      </c>
      <c r="S5861"/>
      <c r="T5861"/>
      <c r="U5861"/>
    </row>
    <row r="5862" spans="1:21" hidden="1">
      <c r="A5862" s="7" t="s">
        <v>8867</v>
      </c>
      <c r="B5862" s="7" t="s">
        <v>7140</v>
      </c>
      <c r="C5862" s="8" t="s">
        <v>5319</v>
      </c>
      <c r="D5862" t="s">
        <v>266</v>
      </c>
      <c r="E5862" t="s">
        <v>2360</v>
      </c>
      <c r="F5862" t="s">
        <v>231</v>
      </c>
      <c r="G5862" t="s">
        <v>3246</v>
      </c>
      <c r="H5862" s="9">
        <v>44733</v>
      </c>
      <c r="I5862" t="s">
        <v>2362</v>
      </c>
      <c r="J5862" t="s">
        <v>2</v>
      </c>
      <c r="K5862" s="9">
        <v>44834</v>
      </c>
      <c r="L5862" t="s">
        <v>29</v>
      </c>
      <c r="M5862" t="s">
        <v>5331</v>
      </c>
      <c r="N5862" s="9">
        <v>44778</v>
      </c>
      <c r="O5862" s="9">
        <v>44834</v>
      </c>
      <c r="P5862"/>
      <c r="Q5862"/>
      <c r="R5862"/>
      <c r="S5862"/>
      <c r="T5862"/>
      <c r="U5862"/>
    </row>
    <row r="5863" spans="1:21" hidden="1">
      <c r="A5863" s="7" t="s">
        <v>8915</v>
      </c>
      <c r="B5863" s="7" t="s">
        <v>8363</v>
      </c>
      <c r="C5863" s="8" t="s">
        <v>5319</v>
      </c>
      <c r="D5863" t="s">
        <v>266</v>
      </c>
      <c r="E5863" t="s">
        <v>3247</v>
      </c>
      <c r="F5863" t="s">
        <v>117</v>
      </c>
      <c r="G5863" t="s">
        <v>3248</v>
      </c>
      <c r="H5863" s="9">
        <v>44733</v>
      </c>
      <c r="I5863" t="s">
        <v>99</v>
      </c>
      <c r="J5863" t="s">
        <v>2</v>
      </c>
      <c r="K5863" s="9">
        <v>44834</v>
      </c>
      <c r="L5863" t="s">
        <v>29</v>
      </c>
      <c r="M5863" t="s">
        <v>5331</v>
      </c>
      <c r="N5863" s="9">
        <v>44778</v>
      </c>
      <c r="O5863" s="9">
        <v>44834</v>
      </c>
      <c r="P5863"/>
      <c r="Q5863" s="9">
        <v>44879</v>
      </c>
      <c r="R5863"/>
      <c r="S5863"/>
      <c r="T5863"/>
      <c r="U5863"/>
    </row>
    <row r="5864" spans="1:21" hidden="1">
      <c r="A5864" s="7" t="s">
        <v>8915</v>
      </c>
      <c r="B5864" s="7" t="s">
        <v>8363</v>
      </c>
      <c r="C5864" s="8" t="s">
        <v>5319</v>
      </c>
      <c r="D5864" t="s">
        <v>266</v>
      </c>
      <c r="E5864" t="s">
        <v>3247</v>
      </c>
      <c r="F5864" t="s">
        <v>117</v>
      </c>
      <c r="G5864" t="s">
        <v>3249</v>
      </c>
      <c r="H5864" s="9">
        <v>44733</v>
      </c>
      <c r="I5864" t="s">
        <v>99</v>
      </c>
      <c r="J5864" t="s">
        <v>2</v>
      </c>
      <c r="K5864" s="9">
        <v>44834</v>
      </c>
      <c r="L5864" t="s">
        <v>29</v>
      </c>
      <c r="M5864" t="s">
        <v>5331</v>
      </c>
      <c r="N5864" s="9">
        <v>44778</v>
      </c>
      <c r="O5864" s="9">
        <v>44834</v>
      </c>
      <c r="P5864"/>
      <c r="Q5864" s="9">
        <v>44879</v>
      </c>
      <c r="R5864"/>
      <c r="S5864"/>
      <c r="T5864"/>
      <c r="U5864"/>
    </row>
    <row r="5865" spans="1:21" hidden="1">
      <c r="A5865" s="7" t="s">
        <v>8915</v>
      </c>
      <c r="B5865" s="7" t="s">
        <v>8363</v>
      </c>
      <c r="C5865" s="8" t="s">
        <v>5319</v>
      </c>
      <c r="D5865" t="s">
        <v>266</v>
      </c>
      <c r="E5865" t="s">
        <v>3247</v>
      </c>
      <c r="F5865" t="s">
        <v>117</v>
      </c>
      <c r="G5865" t="s">
        <v>3250</v>
      </c>
      <c r="H5865" s="9">
        <v>44733</v>
      </c>
      <c r="I5865" t="s">
        <v>99</v>
      </c>
      <c r="J5865" t="s">
        <v>2</v>
      </c>
      <c r="K5865" s="9">
        <v>44834</v>
      </c>
      <c r="L5865" t="s">
        <v>29</v>
      </c>
      <c r="M5865" t="s">
        <v>5331</v>
      </c>
      <c r="N5865" s="9">
        <v>44778</v>
      </c>
      <c r="O5865" s="9">
        <v>44834</v>
      </c>
      <c r="P5865"/>
      <c r="Q5865" s="9">
        <v>44879</v>
      </c>
      <c r="R5865"/>
      <c r="S5865"/>
      <c r="T5865"/>
      <c r="U5865"/>
    </row>
    <row r="5866" spans="1:21" hidden="1">
      <c r="A5866" s="7" t="s">
        <v>8915</v>
      </c>
      <c r="B5866" s="7" t="s">
        <v>8363</v>
      </c>
      <c r="C5866" s="8" t="s">
        <v>5319</v>
      </c>
      <c r="D5866" t="s">
        <v>266</v>
      </c>
      <c r="E5866" t="s">
        <v>3247</v>
      </c>
      <c r="F5866" t="s">
        <v>117</v>
      </c>
      <c r="G5866" t="s">
        <v>3251</v>
      </c>
      <c r="H5866" s="9">
        <v>44733</v>
      </c>
      <c r="I5866" t="s">
        <v>99</v>
      </c>
      <c r="J5866" t="s">
        <v>2</v>
      </c>
      <c r="K5866" s="9">
        <v>44834</v>
      </c>
      <c r="L5866" t="s">
        <v>29</v>
      </c>
      <c r="M5866" t="s">
        <v>5331</v>
      </c>
      <c r="N5866" s="9">
        <v>44778</v>
      </c>
      <c r="O5866" s="9">
        <v>44834</v>
      </c>
      <c r="P5866"/>
      <c r="Q5866" s="9">
        <v>44879</v>
      </c>
      <c r="R5866"/>
      <c r="S5866"/>
      <c r="T5866"/>
      <c r="U5866"/>
    </row>
    <row r="5867" spans="1:21" hidden="1">
      <c r="A5867" s="7" t="s">
        <v>8915</v>
      </c>
      <c r="B5867" s="7" t="s">
        <v>8363</v>
      </c>
      <c r="C5867" s="8" t="s">
        <v>5319</v>
      </c>
      <c r="D5867" t="s">
        <v>266</v>
      </c>
      <c r="E5867" t="s">
        <v>3247</v>
      </c>
      <c r="F5867" t="s">
        <v>117</v>
      </c>
      <c r="G5867" t="s">
        <v>3252</v>
      </c>
      <c r="H5867" s="9">
        <v>44733</v>
      </c>
      <c r="I5867" t="s">
        <v>99</v>
      </c>
      <c r="J5867" t="s">
        <v>2</v>
      </c>
      <c r="K5867" s="9">
        <v>44834</v>
      </c>
      <c r="L5867" t="s">
        <v>29</v>
      </c>
      <c r="M5867" t="s">
        <v>5331</v>
      </c>
      <c r="N5867" s="9">
        <v>44778</v>
      </c>
      <c r="O5867" s="9">
        <v>44834</v>
      </c>
      <c r="P5867"/>
      <c r="Q5867" s="9">
        <v>44879</v>
      </c>
      <c r="R5867"/>
      <c r="S5867"/>
      <c r="T5867"/>
      <c r="U5867"/>
    </row>
    <row r="5868" spans="1:21" hidden="1">
      <c r="A5868" s="7" t="s">
        <v>8915</v>
      </c>
      <c r="B5868" s="7" t="s">
        <v>8363</v>
      </c>
      <c r="C5868" s="8" t="s">
        <v>5319</v>
      </c>
      <c r="D5868" t="s">
        <v>266</v>
      </c>
      <c r="E5868" t="s">
        <v>3247</v>
      </c>
      <c r="F5868" t="s">
        <v>117</v>
      </c>
      <c r="G5868" t="s">
        <v>3253</v>
      </c>
      <c r="H5868" s="9">
        <v>44733</v>
      </c>
      <c r="I5868" t="s">
        <v>99</v>
      </c>
      <c r="J5868" t="s">
        <v>2</v>
      </c>
      <c r="K5868" s="9">
        <v>44834</v>
      </c>
      <c r="L5868" t="s">
        <v>29</v>
      </c>
      <c r="M5868" t="s">
        <v>5331</v>
      </c>
      <c r="N5868" s="9">
        <v>44778</v>
      </c>
      <c r="O5868" s="9">
        <v>44834</v>
      </c>
      <c r="P5868"/>
      <c r="Q5868" s="9">
        <v>44879</v>
      </c>
      <c r="R5868"/>
      <c r="S5868"/>
      <c r="T5868"/>
      <c r="U5868"/>
    </row>
    <row r="5869" spans="1:21" hidden="1">
      <c r="A5869" s="7" t="s">
        <v>8915</v>
      </c>
      <c r="B5869" s="7" t="s">
        <v>8363</v>
      </c>
      <c r="C5869" s="8" t="s">
        <v>5319</v>
      </c>
      <c r="D5869" t="s">
        <v>266</v>
      </c>
      <c r="E5869" t="s">
        <v>3247</v>
      </c>
      <c r="F5869" t="s">
        <v>117</v>
      </c>
      <c r="G5869" t="s">
        <v>3254</v>
      </c>
      <c r="H5869" s="9">
        <v>44733</v>
      </c>
      <c r="I5869" t="s">
        <v>99</v>
      </c>
      <c r="J5869" t="s">
        <v>2</v>
      </c>
      <c r="K5869" s="9">
        <v>44834</v>
      </c>
      <c r="L5869" t="s">
        <v>29</v>
      </c>
      <c r="M5869" t="s">
        <v>5331</v>
      </c>
      <c r="N5869" s="9">
        <v>44778</v>
      </c>
      <c r="O5869" s="9">
        <v>44834</v>
      </c>
      <c r="P5869"/>
      <c r="Q5869" s="9">
        <v>44879</v>
      </c>
      <c r="R5869"/>
      <c r="S5869"/>
      <c r="T5869"/>
      <c r="U5869"/>
    </row>
    <row r="5870" spans="1:21" hidden="1">
      <c r="A5870" s="7" t="s">
        <v>8915</v>
      </c>
      <c r="B5870" s="7" t="s">
        <v>8363</v>
      </c>
      <c r="C5870" s="8" t="s">
        <v>5319</v>
      </c>
      <c r="D5870" t="s">
        <v>266</v>
      </c>
      <c r="E5870" t="s">
        <v>3247</v>
      </c>
      <c r="F5870" t="s">
        <v>117</v>
      </c>
      <c r="G5870" t="s">
        <v>3255</v>
      </c>
      <c r="H5870" s="9">
        <v>44733</v>
      </c>
      <c r="I5870" t="s">
        <v>99</v>
      </c>
      <c r="J5870" t="s">
        <v>2</v>
      </c>
      <c r="K5870" s="9">
        <v>44834</v>
      </c>
      <c r="L5870" t="s">
        <v>29</v>
      </c>
      <c r="M5870" t="s">
        <v>5331</v>
      </c>
      <c r="N5870" s="9">
        <v>44778</v>
      </c>
      <c r="O5870" s="9">
        <v>44834</v>
      </c>
      <c r="P5870"/>
      <c r="Q5870" s="9">
        <v>44879</v>
      </c>
      <c r="R5870"/>
      <c r="S5870"/>
      <c r="T5870"/>
      <c r="U5870"/>
    </row>
    <row r="5871" spans="1:21" hidden="1">
      <c r="A5871" s="7" t="s">
        <v>8915</v>
      </c>
      <c r="B5871" s="7" t="s">
        <v>8363</v>
      </c>
      <c r="C5871" s="8" t="s">
        <v>5319</v>
      </c>
      <c r="D5871" t="s">
        <v>266</v>
      </c>
      <c r="E5871" t="s">
        <v>3247</v>
      </c>
      <c r="F5871" t="s">
        <v>117</v>
      </c>
      <c r="G5871" t="s">
        <v>3256</v>
      </c>
      <c r="H5871" s="9">
        <v>44733</v>
      </c>
      <c r="I5871" t="s">
        <v>99</v>
      </c>
      <c r="J5871" t="s">
        <v>2</v>
      </c>
      <c r="K5871" s="9">
        <v>44834</v>
      </c>
      <c r="L5871" t="s">
        <v>29</v>
      </c>
      <c r="M5871" t="s">
        <v>5331</v>
      </c>
      <c r="N5871" s="9">
        <v>44778</v>
      </c>
      <c r="O5871" s="9">
        <v>44834</v>
      </c>
      <c r="P5871"/>
      <c r="Q5871" s="9">
        <v>44879</v>
      </c>
      <c r="R5871"/>
      <c r="S5871"/>
      <c r="T5871"/>
      <c r="U5871"/>
    </row>
    <row r="5872" spans="1:21" hidden="1">
      <c r="A5872" s="7" t="s">
        <v>8916</v>
      </c>
      <c r="B5872" s="7" t="s">
        <v>6766</v>
      </c>
      <c r="C5872" s="8" t="s">
        <v>5319</v>
      </c>
      <c r="D5872" t="s">
        <v>266</v>
      </c>
      <c r="E5872" t="s">
        <v>3257</v>
      </c>
      <c r="F5872" t="s">
        <v>117</v>
      </c>
      <c r="G5872" t="s">
        <v>3258</v>
      </c>
      <c r="H5872" s="9">
        <v>44733</v>
      </c>
      <c r="I5872" t="s">
        <v>408</v>
      </c>
      <c r="J5872" t="s">
        <v>2</v>
      </c>
      <c r="K5872" s="9">
        <v>44858</v>
      </c>
      <c r="L5872" t="s">
        <v>29</v>
      </c>
      <c r="M5872" t="s">
        <v>5329</v>
      </c>
      <c r="N5872" s="9">
        <v>44778</v>
      </c>
      <c r="O5872" s="9">
        <v>44834</v>
      </c>
      <c r="P5872"/>
      <c r="Q5872"/>
      <c r="R5872"/>
      <c r="S5872"/>
      <c r="T5872"/>
      <c r="U5872"/>
    </row>
    <row r="5873" spans="1:21" hidden="1">
      <c r="A5873" s="7" t="s">
        <v>8916</v>
      </c>
      <c r="B5873" s="7" t="s">
        <v>6766</v>
      </c>
      <c r="C5873" s="8" t="s">
        <v>5319</v>
      </c>
      <c r="D5873" t="s">
        <v>266</v>
      </c>
      <c r="E5873" t="s">
        <v>3257</v>
      </c>
      <c r="F5873" t="s">
        <v>117</v>
      </c>
      <c r="G5873" t="s">
        <v>3259</v>
      </c>
      <c r="H5873" s="9">
        <v>44733</v>
      </c>
      <c r="I5873" t="s">
        <v>408</v>
      </c>
      <c r="J5873" t="s">
        <v>2</v>
      </c>
      <c r="K5873" s="9">
        <v>44858</v>
      </c>
      <c r="L5873" t="s">
        <v>29</v>
      </c>
      <c r="M5873" t="s">
        <v>5329</v>
      </c>
      <c r="N5873" s="9">
        <v>44778</v>
      </c>
      <c r="O5873" s="9">
        <v>44834</v>
      </c>
      <c r="P5873"/>
      <c r="Q5873"/>
      <c r="R5873"/>
      <c r="S5873"/>
      <c r="T5873"/>
      <c r="U5873"/>
    </row>
    <row r="5874" spans="1:21" hidden="1">
      <c r="A5874" s="7" t="s">
        <v>8874</v>
      </c>
      <c r="B5874" s="7" t="s">
        <v>7053</v>
      </c>
      <c r="C5874" s="8" t="s">
        <v>5319</v>
      </c>
      <c r="D5874" t="s">
        <v>266</v>
      </c>
      <c r="E5874" t="s">
        <v>2503</v>
      </c>
      <c r="F5874" t="s">
        <v>280</v>
      </c>
      <c r="G5874" t="s">
        <v>3260</v>
      </c>
      <c r="H5874" s="9">
        <v>44733</v>
      </c>
      <c r="I5874" t="s">
        <v>903</v>
      </c>
      <c r="J5874" t="s">
        <v>276</v>
      </c>
      <c r="K5874" s="9">
        <v>44882.647395833301</v>
      </c>
      <c r="L5874" t="s">
        <v>29</v>
      </c>
      <c r="M5874" t="s">
        <v>5331</v>
      </c>
      <c r="N5874" s="9">
        <v>44778</v>
      </c>
      <c r="O5874" s="9">
        <v>44834</v>
      </c>
      <c r="P5874"/>
      <c r="Q5874"/>
      <c r="R5874" s="9">
        <v>44882.645879629599</v>
      </c>
      <c r="S5874"/>
      <c r="T5874"/>
      <c r="U5874"/>
    </row>
    <row r="5875" spans="1:21" hidden="1">
      <c r="A5875" s="7" t="s">
        <v>8916</v>
      </c>
      <c r="B5875" s="7" t="s">
        <v>6766</v>
      </c>
      <c r="C5875" s="8" t="s">
        <v>5319</v>
      </c>
      <c r="D5875" t="s">
        <v>266</v>
      </c>
      <c r="E5875" t="s">
        <v>3257</v>
      </c>
      <c r="F5875" t="s">
        <v>117</v>
      </c>
      <c r="G5875" t="s">
        <v>3261</v>
      </c>
      <c r="H5875" s="9">
        <v>44733</v>
      </c>
      <c r="I5875" t="s">
        <v>408</v>
      </c>
      <c r="J5875" t="s">
        <v>2</v>
      </c>
      <c r="K5875" s="9">
        <v>44858</v>
      </c>
      <c r="L5875" t="s">
        <v>29</v>
      </c>
      <c r="M5875" t="s">
        <v>5329</v>
      </c>
      <c r="N5875" s="9">
        <v>44778</v>
      </c>
      <c r="O5875" s="9">
        <v>44834</v>
      </c>
      <c r="P5875"/>
      <c r="Q5875"/>
      <c r="R5875"/>
      <c r="S5875"/>
      <c r="T5875"/>
      <c r="U5875"/>
    </row>
    <row r="5876" spans="1:21" hidden="1">
      <c r="A5876" s="7" t="s">
        <v>8916</v>
      </c>
      <c r="B5876" s="7" t="s">
        <v>6766</v>
      </c>
      <c r="C5876" s="8" t="s">
        <v>5319</v>
      </c>
      <c r="D5876" t="s">
        <v>266</v>
      </c>
      <c r="E5876" t="s">
        <v>3257</v>
      </c>
      <c r="F5876" t="s">
        <v>117</v>
      </c>
      <c r="G5876" t="s">
        <v>3262</v>
      </c>
      <c r="H5876" s="9">
        <v>44733</v>
      </c>
      <c r="I5876" t="s">
        <v>408</v>
      </c>
      <c r="J5876" t="s">
        <v>2</v>
      </c>
      <c r="K5876" s="9">
        <v>44858</v>
      </c>
      <c r="L5876" t="s">
        <v>29</v>
      </c>
      <c r="M5876" t="s">
        <v>5329</v>
      </c>
      <c r="N5876" s="9">
        <v>44778</v>
      </c>
      <c r="O5876" s="9">
        <v>44834</v>
      </c>
      <c r="P5876"/>
      <c r="Q5876"/>
      <c r="R5876"/>
      <c r="S5876"/>
      <c r="T5876"/>
      <c r="U5876"/>
    </row>
    <row r="5877" spans="1:21" hidden="1">
      <c r="A5877" s="7" t="s">
        <v>8916</v>
      </c>
      <c r="B5877" s="7" t="s">
        <v>6766</v>
      </c>
      <c r="C5877" s="8" t="s">
        <v>5319</v>
      </c>
      <c r="D5877" t="s">
        <v>266</v>
      </c>
      <c r="E5877" t="s">
        <v>3257</v>
      </c>
      <c r="F5877" t="s">
        <v>117</v>
      </c>
      <c r="G5877" t="s">
        <v>3263</v>
      </c>
      <c r="H5877" s="9">
        <v>44733</v>
      </c>
      <c r="I5877" t="s">
        <v>408</v>
      </c>
      <c r="J5877" t="s">
        <v>2</v>
      </c>
      <c r="K5877" s="9">
        <v>44858</v>
      </c>
      <c r="L5877" t="s">
        <v>29</v>
      </c>
      <c r="M5877" t="s">
        <v>5329</v>
      </c>
      <c r="N5877" s="9">
        <v>44778</v>
      </c>
      <c r="O5877" s="9">
        <v>44834</v>
      </c>
      <c r="P5877"/>
      <c r="Q5877"/>
      <c r="R5877"/>
      <c r="S5877"/>
      <c r="T5877"/>
      <c r="U5877"/>
    </row>
    <row r="5878" spans="1:21" hidden="1">
      <c r="A5878" s="7" t="s">
        <v>8916</v>
      </c>
      <c r="B5878" s="7" t="s">
        <v>6766</v>
      </c>
      <c r="C5878" s="8" t="s">
        <v>5319</v>
      </c>
      <c r="D5878" t="s">
        <v>266</v>
      </c>
      <c r="E5878" t="s">
        <v>3257</v>
      </c>
      <c r="F5878" t="s">
        <v>117</v>
      </c>
      <c r="G5878" t="s">
        <v>3264</v>
      </c>
      <c r="H5878" s="9">
        <v>44733</v>
      </c>
      <c r="I5878" t="s">
        <v>408</v>
      </c>
      <c r="J5878" t="s">
        <v>2</v>
      </c>
      <c r="K5878" s="9">
        <v>44858</v>
      </c>
      <c r="L5878" t="s">
        <v>29</v>
      </c>
      <c r="M5878" t="s">
        <v>5329</v>
      </c>
      <c r="N5878" s="9">
        <v>44778</v>
      </c>
      <c r="O5878" s="9">
        <v>44834</v>
      </c>
      <c r="P5878"/>
      <c r="Q5878"/>
      <c r="R5878"/>
      <c r="S5878"/>
      <c r="T5878"/>
      <c r="U5878"/>
    </row>
    <row r="5879" spans="1:21" hidden="1">
      <c r="A5879" s="7" t="s">
        <v>8909</v>
      </c>
      <c r="B5879" s="7" t="s">
        <v>6924</v>
      </c>
      <c r="C5879" s="8" t="s">
        <v>5319</v>
      </c>
      <c r="D5879" t="s">
        <v>266</v>
      </c>
      <c r="E5879" t="s">
        <v>3100</v>
      </c>
      <c r="F5879" t="s">
        <v>111</v>
      </c>
      <c r="G5879" t="s">
        <v>3265</v>
      </c>
      <c r="H5879" s="9">
        <v>44733</v>
      </c>
      <c r="I5879" t="s">
        <v>2715</v>
      </c>
      <c r="J5879" t="s">
        <v>2</v>
      </c>
      <c r="K5879" s="9">
        <v>44834</v>
      </c>
      <c r="L5879" t="s">
        <v>29</v>
      </c>
      <c r="M5879" t="s">
        <v>5331</v>
      </c>
      <c r="N5879" s="9">
        <v>44778</v>
      </c>
      <c r="O5879" s="9">
        <v>44834</v>
      </c>
      <c r="P5879"/>
      <c r="Q5879"/>
      <c r="R5879"/>
      <c r="S5879"/>
      <c r="T5879"/>
      <c r="U5879"/>
    </row>
    <row r="5880" spans="1:21" hidden="1">
      <c r="A5880" s="7" t="s">
        <v>8849</v>
      </c>
      <c r="B5880" s="7" t="s">
        <v>6805</v>
      </c>
      <c r="C5880" s="8" t="s">
        <v>5319</v>
      </c>
      <c r="D5880" t="s">
        <v>266</v>
      </c>
      <c r="E5880" t="s">
        <v>2175</v>
      </c>
      <c r="F5880" t="s">
        <v>75</v>
      </c>
      <c r="G5880" t="s">
        <v>3266</v>
      </c>
      <c r="H5880" s="9">
        <v>44733</v>
      </c>
      <c r="I5880" t="s">
        <v>488</v>
      </c>
      <c r="J5880" t="s">
        <v>2</v>
      </c>
      <c r="K5880" s="9">
        <v>44834</v>
      </c>
      <c r="L5880" t="s">
        <v>29</v>
      </c>
      <c r="M5880" t="s">
        <v>5331</v>
      </c>
      <c r="N5880" s="9">
        <v>44778</v>
      </c>
      <c r="O5880" s="9">
        <v>44834</v>
      </c>
      <c r="P5880"/>
      <c r="Q5880"/>
      <c r="R5880"/>
      <c r="S5880"/>
      <c r="T5880"/>
      <c r="U5880"/>
    </row>
    <row r="5881" spans="1:21" hidden="1">
      <c r="A5881" s="7" t="s">
        <v>8849</v>
      </c>
      <c r="B5881" s="7" t="s">
        <v>6805</v>
      </c>
      <c r="C5881" s="8" t="s">
        <v>5319</v>
      </c>
      <c r="D5881" t="s">
        <v>266</v>
      </c>
      <c r="E5881" t="s">
        <v>2175</v>
      </c>
      <c r="F5881" t="s">
        <v>75</v>
      </c>
      <c r="G5881" t="s">
        <v>3267</v>
      </c>
      <c r="H5881" s="9">
        <v>44733</v>
      </c>
      <c r="I5881" t="s">
        <v>488</v>
      </c>
      <c r="J5881" t="s">
        <v>2</v>
      </c>
      <c r="K5881" s="9">
        <v>44834</v>
      </c>
      <c r="L5881" t="s">
        <v>29</v>
      </c>
      <c r="M5881" t="s">
        <v>5331</v>
      </c>
      <c r="N5881" s="9">
        <v>44778</v>
      </c>
      <c r="O5881" s="9">
        <v>44834</v>
      </c>
      <c r="P5881"/>
      <c r="Q5881"/>
      <c r="R5881"/>
      <c r="S5881"/>
      <c r="T5881"/>
      <c r="U5881"/>
    </row>
    <row r="5882" spans="1:21" hidden="1">
      <c r="A5882" s="7" t="s">
        <v>8901</v>
      </c>
      <c r="B5882" s="7" t="s">
        <v>6924</v>
      </c>
      <c r="C5882" s="8" t="s">
        <v>5319</v>
      </c>
      <c r="D5882" t="s">
        <v>266</v>
      </c>
      <c r="E5882" t="s">
        <v>3100</v>
      </c>
      <c r="F5882" t="s">
        <v>26</v>
      </c>
      <c r="G5882" t="s">
        <v>3268</v>
      </c>
      <c r="H5882" s="9">
        <v>44733</v>
      </c>
      <c r="I5882" t="s">
        <v>3102</v>
      </c>
      <c r="J5882" t="s">
        <v>2</v>
      </c>
      <c r="K5882" s="9">
        <v>44834</v>
      </c>
      <c r="L5882" t="s">
        <v>29</v>
      </c>
      <c r="M5882" t="s">
        <v>5331</v>
      </c>
      <c r="N5882" s="9">
        <v>44778</v>
      </c>
      <c r="O5882" s="9">
        <v>44834</v>
      </c>
      <c r="P5882"/>
      <c r="Q5882"/>
      <c r="R5882"/>
      <c r="S5882"/>
      <c r="T5882"/>
      <c r="U5882"/>
    </row>
    <row r="5883" spans="1:21" hidden="1">
      <c r="A5883" s="7" t="s">
        <v>8901</v>
      </c>
      <c r="B5883" s="7" t="s">
        <v>6924</v>
      </c>
      <c r="C5883" s="8" t="s">
        <v>5319</v>
      </c>
      <c r="D5883" t="s">
        <v>266</v>
      </c>
      <c r="E5883" t="s">
        <v>3100</v>
      </c>
      <c r="F5883" t="s">
        <v>26</v>
      </c>
      <c r="G5883" t="s">
        <v>3269</v>
      </c>
      <c r="H5883" s="9">
        <v>44733</v>
      </c>
      <c r="I5883" t="s">
        <v>3102</v>
      </c>
      <c r="J5883" t="s">
        <v>2</v>
      </c>
      <c r="K5883" s="9">
        <v>44834</v>
      </c>
      <c r="L5883" t="s">
        <v>29</v>
      </c>
      <c r="M5883" t="s">
        <v>5331</v>
      </c>
      <c r="N5883" s="9">
        <v>44778</v>
      </c>
      <c r="O5883" s="9">
        <v>44834</v>
      </c>
      <c r="P5883"/>
      <c r="Q5883"/>
      <c r="R5883"/>
      <c r="S5883"/>
      <c r="T5883"/>
      <c r="U5883"/>
    </row>
    <row r="5884" spans="1:21" hidden="1">
      <c r="A5884" s="7" t="s">
        <v>8901</v>
      </c>
      <c r="B5884" s="7" t="s">
        <v>6924</v>
      </c>
      <c r="C5884" s="8" t="s">
        <v>5319</v>
      </c>
      <c r="D5884" t="s">
        <v>266</v>
      </c>
      <c r="E5884" t="s">
        <v>3100</v>
      </c>
      <c r="F5884" t="s">
        <v>26</v>
      </c>
      <c r="G5884" t="s">
        <v>3270</v>
      </c>
      <c r="H5884" s="9">
        <v>44733</v>
      </c>
      <c r="I5884" t="s">
        <v>3102</v>
      </c>
      <c r="J5884" t="s">
        <v>2</v>
      </c>
      <c r="K5884" s="9">
        <v>44834</v>
      </c>
      <c r="L5884" t="s">
        <v>29</v>
      </c>
      <c r="M5884" t="s">
        <v>5331</v>
      </c>
      <c r="N5884" s="9">
        <v>44778</v>
      </c>
      <c r="O5884" s="9">
        <v>44834</v>
      </c>
      <c r="P5884"/>
      <c r="Q5884"/>
      <c r="R5884"/>
      <c r="S5884"/>
      <c r="T5884"/>
      <c r="U5884"/>
    </row>
    <row r="5885" spans="1:21" hidden="1">
      <c r="A5885" s="7" t="s">
        <v>8795</v>
      </c>
      <c r="B5885" s="7" t="s">
        <v>5590</v>
      </c>
      <c r="C5885" s="8" t="s">
        <v>5319</v>
      </c>
      <c r="D5885" t="s">
        <v>266</v>
      </c>
      <c r="E5885" t="s">
        <v>990</v>
      </c>
      <c r="F5885" t="s">
        <v>111</v>
      </c>
      <c r="G5885" t="s">
        <v>3271</v>
      </c>
      <c r="H5885" s="9">
        <v>44733</v>
      </c>
      <c r="I5885" t="s">
        <v>408</v>
      </c>
      <c r="J5885" t="s">
        <v>2</v>
      </c>
      <c r="K5885" s="9">
        <v>44834</v>
      </c>
      <c r="L5885" t="s">
        <v>29</v>
      </c>
      <c r="M5885" t="s">
        <v>5331</v>
      </c>
      <c r="N5885" s="9">
        <v>44778</v>
      </c>
      <c r="O5885" s="9">
        <v>44834</v>
      </c>
      <c r="P5885"/>
      <c r="Q5885"/>
      <c r="R5885"/>
      <c r="S5885"/>
      <c r="T5885"/>
      <c r="U5885"/>
    </row>
    <row r="5886" spans="1:21" hidden="1">
      <c r="A5886" s="7" t="s">
        <v>8917</v>
      </c>
      <c r="B5886" s="7" t="s">
        <v>6774</v>
      </c>
      <c r="C5886" s="8" t="s">
        <v>5319</v>
      </c>
      <c r="D5886" t="s">
        <v>266</v>
      </c>
      <c r="E5886" t="s">
        <v>3272</v>
      </c>
      <c r="F5886" t="s">
        <v>117</v>
      </c>
      <c r="G5886" t="s">
        <v>3273</v>
      </c>
      <c r="H5886" s="9">
        <v>44733</v>
      </c>
      <c r="I5886" t="s">
        <v>2715</v>
      </c>
      <c r="J5886" t="s">
        <v>2</v>
      </c>
      <c r="K5886" s="9">
        <v>44834</v>
      </c>
      <c r="L5886" t="s">
        <v>29</v>
      </c>
      <c r="M5886" t="s">
        <v>5331</v>
      </c>
      <c r="N5886" s="9">
        <v>44778</v>
      </c>
      <c r="O5886" s="9">
        <v>44834</v>
      </c>
      <c r="P5886"/>
      <c r="Q5886"/>
      <c r="R5886"/>
      <c r="S5886"/>
      <c r="T5886"/>
      <c r="U5886"/>
    </row>
    <row r="5887" spans="1:21" hidden="1">
      <c r="A5887" s="7" t="s">
        <v>8917</v>
      </c>
      <c r="B5887" s="7" t="s">
        <v>6774</v>
      </c>
      <c r="C5887" s="8" t="s">
        <v>5319</v>
      </c>
      <c r="D5887" t="s">
        <v>266</v>
      </c>
      <c r="E5887" t="s">
        <v>3272</v>
      </c>
      <c r="F5887" t="s">
        <v>117</v>
      </c>
      <c r="G5887" t="s">
        <v>3274</v>
      </c>
      <c r="H5887" s="9">
        <v>44733</v>
      </c>
      <c r="I5887" t="s">
        <v>2715</v>
      </c>
      <c r="J5887" t="s">
        <v>2</v>
      </c>
      <c r="K5887" s="9">
        <v>44834</v>
      </c>
      <c r="L5887" t="s">
        <v>29</v>
      </c>
      <c r="M5887" t="s">
        <v>5331</v>
      </c>
      <c r="N5887" s="9">
        <v>44778</v>
      </c>
      <c r="O5887" s="9">
        <v>44834</v>
      </c>
      <c r="P5887"/>
      <c r="Q5887"/>
      <c r="R5887"/>
      <c r="S5887"/>
      <c r="T5887"/>
      <c r="U5887"/>
    </row>
    <row r="5888" spans="1:21" hidden="1">
      <c r="A5888" s="7" t="s">
        <v>8788</v>
      </c>
      <c r="B5888" s="7" t="s">
        <v>7708</v>
      </c>
      <c r="C5888" s="8" t="s">
        <v>5319</v>
      </c>
      <c r="D5888" t="s">
        <v>266</v>
      </c>
      <c r="E5888" t="s">
        <v>905</v>
      </c>
      <c r="F5888" t="s">
        <v>75</v>
      </c>
      <c r="G5888" t="s">
        <v>2398</v>
      </c>
      <c r="H5888" s="9">
        <v>44733</v>
      </c>
      <c r="I5888" t="s">
        <v>408</v>
      </c>
      <c r="J5888" t="s">
        <v>2</v>
      </c>
      <c r="K5888" s="9">
        <v>44834</v>
      </c>
      <c r="L5888" t="s">
        <v>29</v>
      </c>
      <c r="M5888" t="s">
        <v>5331</v>
      </c>
      <c r="N5888" s="9">
        <v>44778</v>
      </c>
      <c r="O5888" s="9">
        <v>44834</v>
      </c>
      <c r="P5888"/>
      <c r="Q5888"/>
      <c r="R5888"/>
      <c r="S5888"/>
      <c r="T5888"/>
      <c r="U5888"/>
    </row>
    <row r="5889" spans="1:21" hidden="1">
      <c r="A5889" s="7" t="s">
        <v>8788</v>
      </c>
      <c r="B5889" s="7" t="s">
        <v>7708</v>
      </c>
      <c r="C5889" s="8" t="s">
        <v>5319</v>
      </c>
      <c r="D5889" t="s">
        <v>266</v>
      </c>
      <c r="E5889" t="s">
        <v>905</v>
      </c>
      <c r="F5889" t="s">
        <v>75</v>
      </c>
      <c r="G5889" t="s">
        <v>2399</v>
      </c>
      <c r="H5889" s="9">
        <v>44733</v>
      </c>
      <c r="I5889" t="s">
        <v>408</v>
      </c>
      <c r="J5889" t="s">
        <v>2</v>
      </c>
      <c r="K5889" s="9">
        <v>44834</v>
      </c>
      <c r="L5889" t="s">
        <v>29</v>
      </c>
      <c r="M5889" t="s">
        <v>5331</v>
      </c>
      <c r="N5889" s="9">
        <v>44778</v>
      </c>
      <c r="O5889" s="9">
        <v>44834</v>
      </c>
      <c r="P5889"/>
      <c r="Q5889"/>
      <c r="R5889"/>
      <c r="S5889"/>
      <c r="T5889"/>
      <c r="U5889"/>
    </row>
    <row r="5890" spans="1:21" hidden="1">
      <c r="A5890" s="7" t="s">
        <v>8916</v>
      </c>
      <c r="B5890" s="7" t="s">
        <v>6766</v>
      </c>
      <c r="C5890" s="8" t="s">
        <v>5319</v>
      </c>
      <c r="D5890" t="s">
        <v>266</v>
      </c>
      <c r="E5890" t="s">
        <v>3257</v>
      </c>
      <c r="F5890" t="s">
        <v>117</v>
      </c>
      <c r="G5890" t="s">
        <v>3275</v>
      </c>
      <c r="H5890" s="9">
        <v>44733</v>
      </c>
      <c r="I5890" t="s">
        <v>408</v>
      </c>
      <c r="J5890" t="s">
        <v>2</v>
      </c>
      <c r="K5890" s="9">
        <v>44858</v>
      </c>
      <c r="L5890" t="s">
        <v>29</v>
      </c>
      <c r="M5890" t="s">
        <v>5329</v>
      </c>
      <c r="N5890" s="9">
        <v>44778</v>
      </c>
      <c r="O5890" s="9">
        <v>44834</v>
      </c>
      <c r="P5890"/>
      <c r="Q5890"/>
      <c r="R5890"/>
      <c r="S5890"/>
      <c r="T5890"/>
      <c r="U5890"/>
    </row>
    <row r="5891" spans="1:21" hidden="1">
      <c r="A5891" s="7" t="s">
        <v>8916</v>
      </c>
      <c r="B5891" s="7" t="s">
        <v>6766</v>
      </c>
      <c r="C5891" s="8" t="s">
        <v>5319</v>
      </c>
      <c r="D5891" t="s">
        <v>266</v>
      </c>
      <c r="E5891" t="s">
        <v>3257</v>
      </c>
      <c r="F5891" t="s">
        <v>117</v>
      </c>
      <c r="G5891" t="s">
        <v>3276</v>
      </c>
      <c r="H5891" s="9">
        <v>44733</v>
      </c>
      <c r="I5891" t="s">
        <v>408</v>
      </c>
      <c r="J5891" t="s">
        <v>2</v>
      </c>
      <c r="K5891" s="9">
        <v>44858</v>
      </c>
      <c r="L5891" t="s">
        <v>29</v>
      </c>
      <c r="M5891" t="s">
        <v>5329</v>
      </c>
      <c r="N5891" s="9">
        <v>44778</v>
      </c>
      <c r="O5891" s="9">
        <v>44834</v>
      </c>
      <c r="P5891"/>
      <c r="Q5891"/>
      <c r="R5891"/>
      <c r="S5891"/>
      <c r="T5891"/>
      <c r="U5891"/>
    </row>
    <row r="5892" spans="1:21" hidden="1">
      <c r="A5892" s="7" t="s">
        <v>8916</v>
      </c>
      <c r="B5892" s="7" t="s">
        <v>6766</v>
      </c>
      <c r="C5892" s="8" t="s">
        <v>5319</v>
      </c>
      <c r="D5892" t="s">
        <v>266</v>
      </c>
      <c r="E5892" t="s">
        <v>3257</v>
      </c>
      <c r="F5892" t="s">
        <v>117</v>
      </c>
      <c r="G5892" t="s">
        <v>3277</v>
      </c>
      <c r="H5892" s="9">
        <v>44733</v>
      </c>
      <c r="I5892" t="s">
        <v>408</v>
      </c>
      <c r="J5892" t="s">
        <v>2</v>
      </c>
      <c r="K5892" s="9">
        <v>44858</v>
      </c>
      <c r="L5892" t="s">
        <v>29</v>
      </c>
      <c r="M5892" t="s">
        <v>5329</v>
      </c>
      <c r="N5892" s="9">
        <v>44778</v>
      </c>
      <c r="O5892" s="9">
        <v>44834</v>
      </c>
      <c r="P5892"/>
      <c r="Q5892"/>
      <c r="R5892"/>
      <c r="S5892"/>
      <c r="T5892"/>
      <c r="U5892"/>
    </row>
    <row r="5893" spans="1:21" hidden="1">
      <c r="A5893" s="7" t="s">
        <v>8918</v>
      </c>
      <c r="B5893" s="7" t="s">
        <v>6755</v>
      </c>
      <c r="C5893" s="8" t="s">
        <v>5319</v>
      </c>
      <c r="D5893" t="s">
        <v>266</v>
      </c>
      <c r="E5893" t="s">
        <v>3179</v>
      </c>
      <c r="F5893" t="s">
        <v>79</v>
      </c>
      <c r="G5893" t="s">
        <v>3278</v>
      </c>
      <c r="H5893" s="9">
        <v>44733</v>
      </c>
      <c r="I5893" t="s">
        <v>984</v>
      </c>
      <c r="J5893" t="s">
        <v>2</v>
      </c>
      <c r="K5893" s="9">
        <v>44834</v>
      </c>
      <c r="L5893" t="s">
        <v>29</v>
      </c>
      <c r="M5893" t="s">
        <v>5331</v>
      </c>
      <c r="N5893" s="9">
        <v>44778</v>
      </c>
      <c r="O5893" s="9">
        <v>44834</v>
      </c>
      <c r="P5893"/>
      <c r="Q5893"/>
      <c r="R5893"/>
      <c r="S5893"/>
      <c r="T5893"/>
      <c r="U5893"/>
    </row>
    <row r="5894" spans="1:21" hidden="1">
      <c r="A5894" s="7" t="s">
        <v>8919</v>
      </c>
      <c r="B5894" s="7" t="s">
        <v>8364</v>
      </c>
      <c r="C5894" s="8" t="s">
        <v>5319</v>
      </c>
      <c r="D5894" t="s">
        <v>266</v>
      </c>
      <c r="E5894" t="s">
        <v>3279</v>
      </c>
      <c r="F5894" t="s">
        <v>75</v>
      </c>
      <c r="G5894" t="s">
        <v>3278</v>
      </c>
      <c r="H5894" s="9">
        <v>44733</v>
      </c>
      <c r="I5894" t="s">
        <v>984</v>
      </c>
      <c r="J5894" t="s">
        <v>2</v>
      </c>
      <c r="K5894" s="9">
        <v>44834</v>
      </c>
      <c r="L5894" t="s">
        <v>29</v>
      </c>
      <c r="M5894" t="s">
        <v>5331</v>
      </c>
      <c r="N5894" s="9">
        <v>44778</v>
      </c>
      <c r="O5894" s="9">
        <v>44834</v>
      </c>
      <c r="P5894"/>
      <c r="Q5894"/>
      <c r="R5894"/>
      <c r="S5894"/>
      <c r="T5894"/>
      <c r="U5894"/>
    </row>
    <row r="5895" spans="1:21" hidden="1">
      <c r="A5895" s="7" t="s">
        <v>8918</v>
      </c>
      <c r="B5895" s="7" t="s">
        <v>6755</v>
      </c>
      <c r="C5895" s="8" t="s">
        <v>5319</v>
      </c>
      <c r="D5895" t="s">
        <v>266</v>
      </c>
      <c r="E5895" t="s">
        <v>3179</v>
      </c>
      <c r="F5895" t="s">
        <v>79</v>
      </c>
      <c r="G5895" t="s">
        <v>3280</v>
      </c>
      <c r="H5895" s="9">
        <v>44733</v>
      </c>
      <c r="I5895" t="s">
        <v>984</v>
      </c>
      <c r="J5895" t="s">
        <v>2</v>
      </c>
      <c r="K5895" s="9">
        <v>44834</v>
      </c>
      <c r="L5895" t="s">
        <v>29</v>
      </c>
      <c r="M5895" t="s">
        <v>5331</v>
      </c>
      <c r="N5895" s="9">
        <v>44778</v>
      </c>
      <c r="O5895" s="9">
        <v>44834</v>
      </c>
      <c r="P5895"/>
      <c r="Q5895"/>
      <c r="R5895"/>
      <c r="S5895"/>
      <c r="T5895"/>
      <c r="U5895"/>
    </row>
    <row r="5896" spans="1:21" hidden="1">
      <c r="A5896" s="7" t="s">
        <v>8919</v>
      </c>
      <c r="B5896" s="7" t="s">
        <v>8364</v>
      </c>
      <c r="C5896" s="8" t="s">
        <v>5319</v>
      </c>
      <c r="D5896" t="s">
        <v>266</v>
      </c>
      <c r="E5896" t="s">
        <v>3279</v>
      </c>
      <c r="F5896" t="s">
        <v>75</v>
      </c>
      <c r="G5896" t="s">
        <v>3280</v>
      </c>
      <c r="H5896" s="9">
        <v>44733</v>
      </c>
      <c r="I5896" t="s">
        <v>984</v>
      </c>
      <c r="J5896" t="s">
        <v>2</v>
      </c>
      <c r="K5896" s="9">
        <v>44834</v>
      </c>
      <c r="L5896" t="s">
        <v>29</v>
      </c>
      <c r="M5896" t="s">
        <v>5331</v>
      </c>
      <c r="N5896" s="9">
        <v>44778</v>
      </c>
      <c r="O5896" s="9">
        <v>44834</v>
      </c>
      <c r="P5896"/>
      <c r="Q5896"/>
      <c r="R5896"/>
      <c r="S5896"/>
      <c r="T5896"/>
      <c r="U5896"/>
    </row>
    <row r="5897" spans="1:21" hidden="1">
      <c r="A5897" s="7" t="s">
        <v>8918</v>
      </c>
      <c r="B5897" s="7" t="s">
        <v>6755</v>
      </c>
      <c r="C5897" s="8" t="s">
        <v>5319</v>
      </c>
      <c r="D5897" t="s">
        <v>266</v>
      </c>
      <c r="E5897" t="s">
        <v>3179</v>
      </c>
      <c r="F5897" t="s">
        <v>79</v>
      </c>
      <c r="G5897" t="s">
        <v>3281</v>
      </c>
      <c r="H5897" s="9">
        <v>44733</v>
      </c>
      <c r="I5897" t="s">
        <v>984</v>
      </c>
      <c r="J5897" t="s">
        <v>2</v>
      </c>
      <c r="K5897" s="9">
        <v>44834</v>
      </c>
      <c r="L5897" t="s">
        <v>29</v>
      </c>
      <c r="M5897" t="s">
        <v>5331</v>
      </c>
      <c r="N5897" s="9">
        <v>44778</v>
      </c>
      <c r="O5897" s="9">
        <v>44834</v>
      </c>
      <c r="P5897"/>
      <c r="Q5897"/>
      <c r="R5897"/>
      <c r="S5897"/>
      <c r="T5897"/>
      <c r="U5897"/>
    </row>
    <row r="5898" spans="1:21" hidden="1">
      <c r="A5898" s="7" t="s">
        <v>8919</v>
      </c>
      <c r="B5898" s="7" t="s">
        <v>8364</v>
      </c>
      <c r="C5898" s="8" t="s">
        <v>5319</v>
      </c>
      <c r="D5898" t="s">
        <v>266</v>
      </c>
      <c r="E5898" t="s">
        <v>3279</v>
      </c>
      <c r="F5898" t="s">
        <v>75</v>
      </c>
      <c r="G5898" t="s">
        <v>3281</v>
      </c>
      <c r="H5898" s="9">
        <v>44733</v>
      </c>
      <c r="I5898" t="s">
        <v>984</v>
      </c>
      <c r="J5898" t="s">
        <v>2</v>
      </c>
      <c r="K5898" s="9">
        <v>44834</v>
      </c>
      <c r="L5898" t="s">
        <v>29</v>
      </c>
      <c r="M5898" t="s">
        <v>5331</v>
      </c>
      <c r="N5898" s="9">
        <v>44778</v>
      </c>
      <c r="O5898" s="9">
        <v>44834</v>
      </c>
      <c r="P5898"/>
      <c r="Q5898"/>
      <c r="R5898"/>
      <c r="S5898"/>
      <c r="T5898"/>
      <c r="U5898"/>
    </row>
    <row r="5899" spans="1:21" hidden="1">
      <c r="A5899" s="7" t="s">
        <v>8920</v>
      </c>
      <c r="B5899" s="7" t="s">
        <v>7673</v>
      </c>
      <c r="C5899" s="8" t="s">
        <v>5319</v>
      </c>
      <c r="D5899" t="s">
        <v>266</v>
      </c>
      <c r="E5899" t="s">
        <v>3282</v>
      </c>
      <c r="F5899" t="s">
        <v>117</v>
      </c>
      <c r="G5899" t="s">
        <v>3283</v>
      </c>
      <c r="H5899" s="9">
        <v>44733</v>
      </c>
      <c r="I5899" t="s">
        <v>758</v>
      </c>
      <c r="J5899" t="s">
        <v>2</v>
      </c>
      <c r="K5899" s="9">
        <v>44834</v>
      </c>
      <c r="L5899" t="s">
        <v>29</v>
      </c>
      <c r="M5899" t="s">
        <v>5331</v>
      </c>
      <c r="N5899" s="9">
        <v>44778</v>
      </c>
      <c r="O5899" s="9">
        <v>44834</v>
      </c>
      <c r="P5899"/>
      <c r="Q5899"/>
      <c r="R5899"/>
      <c r="S5899"/>
      <c r="T5899"/>
      <c r="U5899"/>
    </row>
    <row r="5900" spans="1:21" hidden="1">
      <c r="A5900" s="7" t="s">
        <v>8781</v>
      </c>
      <c r="B5900" s="7" t="s">
        <v>8313</v>
      </c>
      <c r="C5900" s="8" t="s">
        <v>5319</v>
      </c>
      <c r="D5900" t="s">
        <v>266</v>
      </c>
      <c r="E5900" t="s">
        <v>880</v>
      </c>
      <c r="F5900" t="s">
        <v>231</v>
      </c>
      <c r="G5900" t="s">
        <v>3284</v>
      </c>
      <c r="H5900" s="9">
        <v>44733</v>
      </c>
      <c r="I5900" t="s">
        <v>882</v>
      </c>
      <c r="J5900" t="s">
        <v>276</v>
      </c>
      <c r="K5900" s="9">
        <v>44881.653749999998</v>
      </c>
      <c r="L5900" t="s">
        <v>29</v>
      </c>
      <c r="M5900" t="s">
        <v>5331</v>
      </c>
      <c r="N5900" s="9">
        <v>44778</v>
      </c>
      <c r="O5900" s="9">
        <v>44834</v>
      </c>
      <c r="P5900"/>
      <c r="Q5900"/>
      <c r="R5900" s="9">
        <v>44881.650972222204</v>
      </c>
      <c r="S5900"/>
      <c r="T5900"/>
      <c r="U5900"/>
    </row>
    <row r="5901" spans="1:21" hidden="1">
      <c r="A5901" s="7" t="s">
        <v>8781</v>
      </c>
      <c r="B5901" s="7" t="s">
        <v>8313</v>
      </c>
      <c r="C5901" s="8" t="s">
        <v>5319</v>
      </c>
      <c r="D5901" t="s">
        <v>266</v>
      </c>
      <c r="E5901" t="s">
        <v>880</v>
      </c>
      <c r="F5901" t="s">
        <v>231</v>
      </c>
      <c r="G5901" t="s">
        <v>3285</v>
      </c>
      <c r="H5901" s="9">
        <v>44733</v>
      </c>
      <c r="I5901" t="s">
        <v>882</v>
      </c>
      <c r="J5901" t="s">
        <v>276</v>
      </c>
      <c r="K5901" s="9">
        <v>44881.653749999998</v>
      </c>
      <c r="L5901" t="s">
        <v>29</v>
      </c>
      <c r="M5901" t="s">
        <v>5331</v>
      </c>
      <c r="N5901" s="9">
        <v>44778</v>
      </c>
      <c r="O5901" s="9">
        <v>44834</v>
      </c>
      <c r="P5901"/>
      <c r="Q5901"/>
      <c r="R5901" s="9">
        <v>44881.650972222204</v>
      </c>
      <c r="S5901"/>
      <c r="T5901"/>
      <c r="U5901"/>
    </row>
    <row r="5902" spans="1:21" hidden="1">
      <c r="A5902" s="7" t="s">
        <v>8781</v>
      </c>
      <c r="B5902" s="7" t="s">
        <v>8313</v>
      </c>
      <c r="C5902" s="8" t="s">
        <v>5319</v>
      </c>
      <c r="D5902" t="s">
        <v>266</v>
      </c>
      <c r="E5902" t="s">
        <v>880</v>
      </c>
      <c r="F5902" t="s">
        <v>231</v>
      </c>
      <c r="G5902" t="s">
        <v>3286</v>
      </c>
      <c r="H5902" s="9">
        <v>44733</v>
      </c>
      <c r="I5902" t="s">
        <v>882</v>
      </c>
      <c r="J5902" t="s">
        <v>276</v>
      </c>
      <c r="K5902" s="9">
        <v>44881.653749999998</v>
      </c>
      <c r="L5902" t="s">
        <v>29</v>
      </c>
      <c r="M5902" t="s">
        <v>5331</v>
      </c>
      <c r="N5902" s="9">
        <v>44778</v>
      </c>
      <c r="O5902" s="9">
        <v>44834</v>
      </c>
      <c r="P5902"/>
      <c r="Q5902"/>
      <c r="R5902" s="9">
        <v>44881.650972222204</v>
      </c>
      <c r="S5902"/>
      <c r="T5902"/>
      <c r="U5902"/>
    </row>
    <row r="5903" spans="1:21" hidden="1">
      <c r="A5903" s="7" t="s">
        <v>8781</v>
      </c>
      <c r="B5903" s="7" t="s">
        <v>8313</v>
      </c>
      <c r="C5903" s="8" t="s">
        <v>5319</v>
      </c>
      <c r="D5903" t="s">
        <v>266</v>
      </c>
      <c r="E5903" t="s">
        <v>880</v>
      </c>
      <c r="F5903" t="s">
        <v>231</v>
      </c>
      <c r="G5903" t="s">
        <v>3287</v>
      </c>
      <c r="H5903" s="9">
        <v>44733</v>
      </c>
      <c r="I5903" t="s">
        <v>882</v>
      </c>
      <c r="J5903" t="s">
        <v>276</v>
      </c>
      <c r="K5903" s="9">
        <v>44881.653749999998</v>
      </c>
      <c r="L5903" t="s">
        <v>29</v>
      </c>
      <c r="M5903" t="s">
        <v>5331</v>
      </c>
      <c r="N5903" s="9">
        <v>44778</v>
      </c>
      <c r="O5903" s="9">
        <v>44834</v>
      </c>
      <c r="P5903"/>
      <c r="Q5903"/>
      <c r="R5903" s="9">
        <v>44881.650972222204</v>
      </c>
      <c r="S5903"/>
      <c r="T5903"/>
      <c r="U5903"/>
    </row>
    <row r="5904" spans="1:21" hidden="1">
      <c r="A5904" s="7" t="s">
        <v>8921</v>
      </c>
      <c r="B5904" s="7" t="s">
        <v>6949</v>
      </c>
      <c r="C5904" s="8" t="s">
        <v>5319</v>
      </c>
      <c r="D5904" t="s">
        <v>266</v>
      </c>
      <c r="E5904" t="s">
        <v>3288</v>
      </c>
      <c r="F5904" t="s">
        <v>75</v>
      </c>
      <c r="G5904" t="s">
        <v>3289</v>
      </c>
      <c r="H5904" s="9">
        <v>44733</v>
      </c>
      <c r="I5904" t="s">
        <v>882</v>
      </c>
      <c r="J5904" t="s">
        <v>2</v>
      </c>
      <c r="K5904" s="9">
        <v>44834</v>
      </c>
      <c r="L5904" t="s">
        <v>29</v>
      </c>
      <c r="M5904" t="s">
        <v>5331</v>
      </c>
      <c r="N5904" s="9">
        <v>44778</v>
      </c>
      <c r="O5904" s="9">
        <v>44834</v>
      </c>
      <c r="P5904"/>
      <c r="Q5904"/>
      <c r="R5904"/>
      <c r="S5904"/>
      <c r="T5904"/>
      <c r="U5904"/>
    </row>
    <row r="5905" spans="1:21" hidden="1">
      <c r="A5905" s="7" t="s">
        <v>8921</v>
      </c>
      <c r="B5905" s="7" t="s">
        <v>6949</v>
      </c>
      <c r="C5905" s="8" t="s">
        <v>5319</v>
      </c>
      <c r="D5905" t="s">
        <v>266</v>
      </c>
      <c r="E5905" t="s">
        <v>3288</v>
      </c>
      <c r="F5905" t="s">
        <v>75</v>
      </c>
      <c r="G5905" t="s">
        <v>3290</v>
      </c>
      <c r="H5905" s="9">
        <v>44733</v>
      </c>
      <c r="I5905" t="s">
        <v>882</v>
      </c>
      <c r="J5905" t="s">
        <v>2</v>
      </c>
      <c r="K5905" s="9">
        <v>44834</v>
      </c>
      <c r="L5905" t="s">
        <v>29</v>
      </c>
      <c r="M5905" t="s">
        <v>5331</v>
      </c>
      <c r="N5905" s="9">
        <v>44778</v>
      </c>
      <c r="O5905" s="9">
        <v>44834</v>
      </c>
      <c r="P5905"/>
      <c r="Q5905"/>
      <c r="R5905"/>
      <c r="S5905"/>
      <c r="T5905"/>
      <c r="U5905"/>
    </row>
    <row r="5906" spans="1:21" hidden="1">
      <c r="A5906" s="7" t="s">
        <v>8921</v>
      </c>
      <c r="B5906" s="7" t="s">
        <v>6949</v>
      </c>
      <c r="C5906" s="8" t="s">
        <v>5319</v>
      </c>
      <c r="D5906" t="s">
        <v>266</v>
      </c>
      <c r="E5906" t="s">
        <v>3288</v>
      </c>
      <c r="F5906" t="s">
        <v>75</v>
      </c>
      <c r="G5906" t="s">
        <v>3291</v>
      </c>
      <c r="H5906" s="9">
        <v>44733</v>
      </c>
      <c r="I5906" t="s">
        <v>882</v>
      </c>
      <c r="J5906" t="s">
        <v>2</v>
      </c>
      <c r="K5906" s="9">
        <v>44834</v>
      </c>
      <c r="L5906" t="s">
        <v>29</v>
      </c>
      <c r="M5906" t="s">
        <v>5331</v>
      </c>
      <c r="N5906" s="9">
        <v>44778</v>
      </c>
      <c r="O5906" s="9">
        <v>44834</v>
      </c>
      <c r="P5906"/>
      <c r="Q5906"/>
      <c r="R5906"/>
      <c r="S5906"/>
      <c r="T5906"/>
      <c r="U5906"/>
    </row>
    <row r="5907" spans="1:21" hidden="1">
      <c r="A5907" s="7" t="s">
        <v>8921</v>
      </c>
      <c r="B5907" s="7" t="s">
        <v>6949</v>
      </c>
      <c r="C5907" s="8" t="s">
        <v>5319</v>
      </c>
      <c r="D5907" t="s">
        <v>266</v>
      </c>
      <c r="E5907" t="s">
        <v>3288</v>
      </c>
      <c r="F5907" t="s">
        <v>75</v>
      </c>
      <c r="G5907" t="s">
        <v>3292</v>
      </c>
      <c r="H5907" s="9">
        <v>44733</v>
      </c>
      <c r="I5907" t="s">
        <v>882</v>
      </c>
      <c r="J5907" t="s">
        <v>2</v>
      </c>
      <c r="K5907" s="9">
        <v>44834</v>
      </c>
      <c r="L5907" t="s">
        <v>29</v>
      </c>
      <c r="M5907" t="s">
        <v>5331</v>
      </c>
      <c r="N5907" s="9">
        <v>44778</v>
      </c>
      <c r="O5907" s="9">
        <v>44834</v>
      </c>
      <c r="P5907"/>
      <c r="Q5907"/>
      <c r="R5907"/>
      <c r="S5907"/>
      <c r="T5907"/>
      <c r="U5907"/>
    </row>
    <row r="5908" spans="1:21" hidden="1">
      <c r="A5908" s="7" t="s">
        <v>8918</v>
      </c>
      <c r="B5908" s="7" t="s">
        <v>6755</v>
      </c>
      <c r="C5908" s="8" t="s">
        <v>5319</v>
      </c>
      <c r="D5908" t="s">
        <v>266</v>
      </c>
      <c r="E5908" t="s">
        <v>3179</v>
      </c>
      <c r="F5908" t="s">
        <v>79</v>
      </c>
      <c r="G5908" t="s">
        <v>3293</v>
      </c>
      <c r="H5908" s="9">
        <v>44733</v>
      </c>
      <c r="I5908" t="s">
        <v>984</v>
      </c>
      <c r="J5908" t="s">
        <v>2</v>
      </c>
      <c r="K5908" s="9">
        <v>44834</v>
      </c>
      <c r="L5908" t="s">
        <v>29</v>
      </c>
      <c r="M5908" t="s">
        <v>5331</v>
      </c>
      <c r="N5908" s="9">
        <v>44778</v>
      </c>
      <c r="O5908" s="9">
        <v>44834</v>
      </c>
      <c r="P5908"/>
      <c r="Q5908"/>
      <c r="R5908"/>
      <c r="S5908"/>
      <c r="T5908"/>
      <c r="U5908"/>
    </row>
    <row r="5909" spans="1:21" hidden="1">
      <c r="A5909" s="7" t="s">
        <v>8919</v>
      </c>
      <c r="B5909" s="7" t="s">
        <v>8364</v>
      </c>
      <c r="C5909" s="8" t="s">
        <v>5319</v>
      </c>
      <c r="D5909" t="s">
        <v>266</v>
      </c>
      <c r="E5909" t="s">
        <v>3279</v>
      </c>
      <c r="F5909" t="s">
        <v>75</v>
      </c>
      <c r="G5909" t="s">
        <v>3293</v>
      </c>
      <c r="H5909" s="9">
        <v>44733</v>
      </c>
      <c r="I5909" t="s">
        <v>984</v>
      </c>
      <c r="J5909" t="s">
        <v>2</v>
      </c>
      <c r="K5909" s="9">
        <v>44834</v>
      </c>
      <c r="L5909" t="s">
        <v>29</v>
      </c>
      <c r="M5909" t="s">
        <v>5331</v>
      </c>
      <c r="N5909" s="9">
        <v>44778</v>
      </c>
      <c r="O5909" s="9">
        <v>44834</v>
      </c>
      <c r="P5909"/>
      <c r="Q5909"/>
      <c r="R5909"/>
      <c r="S5909"/>
      <c r="T5909"/>
      <c r="U5909"/>
    </row>
    <row r="5910" spans="1:21" hidden="1">
      <c r="A5910" s="7" t="s">
        <v>8874</v>
      </c>
      <c r="B5910" s="7" t="s">
        <v>7053</v>
      </c>
      <c r="C5910" s="8" t="s">
        <v>5319</v>
      </c>
      <c r="D5910" t="s">
        <v>266</v>
      </c>
      <c r="E5910" t="s">
        <v>2503</v>
      </c>
      <c r="F5910" t="s">
        <v>280</v>
      </c>
      <c r="G5910" t="s">
        <v>3294</v>
      </c>
      <c r="H5910" s="9">
        <v>44733</v>
      </c>
      <c r="I5910" t="s">
        <v>903</v>
      </c>
      <c r="J5910" t="s">
        <v>276</v>
      </c>
      <c r="K5910" s="9">
        <v>44882.647395833301</v>
      </c>
      <c r="L5910" t="s">
        <v>29</v>
      </c>
      <c r="M5910" t="s">
        <v>5331</v>
      </c>
      <c r="N5910" s="9">
        <v>44778</v>
      </c>
      <c r="O5910" s="9">
        <v>44834</v>
      </c>
      <c r="P5910"/>
      <c r="Q5910"/>
      <c r="R5910" s="9">
        <v>44882.645879629599</v>
      </c>
      <c r="S5910"/>
      <c r="T5910"/>
      <c r="U5910"/>
    </row>
    <row r="5911" spans="1:21" hidden="1">
      <c r="A5911" s="7" t="s">
        <v>8874</v>
      </c>
      <c r="B5911" s="7" t="s">
        <v>7053</v>
      </c>
      <c r="C5911" s="8" t="s">
        <v>5319</v>
      </c>
      <c r="D5911" t="s">
        <v>266</v>
      </c>
      <c r="E5911" t="s">
        <v>2503</v>
      </c>
      <c r="F5911" t="s">
        <v>280</v>
      </c>
      <c r="G5911" t="s">
        <v>3295</v>
      </c>
      <c r="H5911" s="9">
        <v>44733</v>
      </c>
      <c r="I5911" t="s">
        <v>903</v>
      </c>
      <c r="J5911" t="s">
        <v>276</v>
      </c>
      <c r="K5911" s="9">
        <v>44882.647395833301</v>
      </c>
      <c r="L5911" t="s">
        <v>29</v>
      </c>
      <c r="M5911" t="s">
        <v>5331</v>
      </c>
      <c r="N5911" s="9">
        <v>44778</v>
      </c>
      <c r="O5911" s="9">
        <v>44834</v>
      </c>
      <c r="P5911"/>
      <c r="Q5911"/>
      <c r="R5911" s="9">
        <v>44882.645879629599</v>
      </c>
      <c r="S5911"/>
      <c r="T5911"/>
      <c r="U5911"/>
    </row>
    <row r="5912" spans="1:21" hidden="1">
      <c r="A5912" s="7" t="s">
        <v>8874</v>
      </c>
      <c r="B5912" s="7" t="s">
        <v>7053</v>
      </c>
      <c r="C5912" s="8" t="s">
        <v>5319</v>
      </c>
      <c r="D5912" t="s">
        <v>266</v>
      </c>
      <c r="E5912" t="s">
        <v>2503</v>
      </c>
      <c r="F5912" t="s">
        <v>280</v>
      </c>
      <c r="G5912" t="s">
        <v>3296</v>
      </c>
      <c r="H5912" s="9">
        <v>44733</v>
      </c>
      <c r="I5912" t="s">
        <v>903</v>
      </c>
      <c r="J5912" t="s">
        <v>276</v>
      </c>
      <c r="K5912" s="9">
        <v>44882.647395833301</v>
      </c>
      <c r="L5912" t="s">
        <v>29</v>
      </c>
      <c r="M5912" t="s">
        <v>5331</v>
      </c>
      <c r="N5912" s="9">
        <v>44778</v>
      </c>
      <c r="O5912" s="9">
        <v>44834</v>
      </c>
      <c r="P5912"/>
      <c r="Q5912"/>
      <c r="R5912" s="9">
        <v>44882.645879629599</v>
      </c>
      <c r="S5912"/>
      <c r="T5912"/>
      <c r="U5912"/>
    </row>
    <row r="5913" spans="1:21" hidden="1">
      <c r="A5913" s="7" t="s">
        <v>8874</v>
      </c>
      <c r="B5913" s="7" t="s">
        <v>7053</v>
      </c>
      <c r="C5913" s="8" t="s">
        <v>5319</v>
      </c>
      <c r="D5913" t="s">
        <v>266</v>
      </c>
      <c r="E5913" t="s">
        <v>2503</v>
      </c>
      <c r="F5913" t="s">
        <v>280</v>
      </c>
      <c r="G5913" t="s">
        <v>3297</v>
      </c>
      <c r="H5913" s="9">
        <v>44733</v>
      </c>
      <c r="I5913" t="s">
        <v>903</v>
      </c>
      <c r="J5913" t="s">
        <v>276</v>
      </c>
      <c r="K5913" s="9">
        <v>44882.647395833301</v>
      </c>
      <c r="L5913" t="s">
        <v>29</v>
      </c>
      <c r="M5913" t="s">
        <v>5331</v>
      </c>
      <c r="N5913" s="9">
        <v>44778</v>
      </c>
      <c r="O5913" s="9">
        <v>44834</v>
      </c>
      <c r="P5913"/>
      <c r="Q5913"/>
      <c r="R5913" s="9">
        <v>44882.645879629599</v>
      </c>
      <c r="S5913"/>
      <c r="T5913"/>
      <c r="U5913"/>
    </row>
    <row r="5914" spans="1:21" hidden="1">
      <c r="A5914" s="7" t="s">
        <v>8916</v>
      </c>
      <c r="B5914" s="7" t="s">
        <v>6766</v>
      </c>
      <c r="C5914" s="8" t="s">
        <v>5319</v>
      </c>
      <c r="D5914" t="s">
        <v>266</v>
      </c>
      <c r="E5914" t="s">
        <v>3257</v>
      </c>
      <c r="F5914" t="s">
        <v>117</v>
      </c>
      <c r="G5914" t="s">
        <v>3298</v>
      </c>
      <c r="H5914" s="9">
        <v>44733</v>
      </c>
      <c r="I5914" t="s">
        <v>408</v>
      </c>
      <c r="J5914" t="s">
        <v>2</v>
      </c>
      <c r="K5914" s="9">
        <v>44858</v>
      </c>
      <c r="L5914" t="s">
        <v>29</v>
      </c>
      <c r="M5914" t="s">
        <v>5329</v>
      </c>
      <c r="N5914" s="9">
        <v>44778</v>
      </c>
      <c r="O5914" s="9">
        <v>44834</v>
      </c>
      <c r="P5914"/>
      <c r="Q5914"/>
      <c r="R5914"/>
      <c r="S5914"/>
      <c r="T5914"/>
      <c r="U5914"/>
    </row>
    <row r="5915" spans="1:21" hidden="1">
      <c r="A5915" s="7" t="s">
        <v>8916</v>
      </c>
      <c r="B5915" s="7" t="s">
        <v>6766</v>
      </c>
      <c r="C5915" s="8" t="s">
        <v>5319</v>
      </c>
      <c r="D5915" t="s">
        <v>266</v>
      </c>
      <c r="E5915" t="s">
        <v>3257</v>
      </c>
      <c r="F5915" t="s">
        <v>117</v>
      </c>
      <c r="G5915" t="s">
        <v>3299</v>
      </c>
      <c r="H5915" s="9">
        <v>44733</v>
      </c>
      <c r="I5915" t="s">
        <v>408</v>
      </c>
      <c r="J5915" t="s">
        <v>2</v>
      </c>
      <c r="K5915" s="9">
        <v>44858</v>
      </c>
      <c r="L5915" t="s">
        <v>29</v>
      </c>
      <c r="M5915" t="s">
        <v>5329</v>
      </c>
      <c r="N5915" s="9">
        <v>44778</v>
      </c>
      <c r="O5915" s="9">
        <v>44834</v>
      </c>
      <c r="P5915"/>
      <c r="Q5915"/>
      <c r="R5915"/>
      <c r="S5915"/>
      <c r="T5915"/>
      <c r="U5915"/>
    </row>
    <row r="5916" spans="1:21" hidden="1">
      <c r="A5916" s="7" t="s">
        <v>8789</v>
      </c>
      <c r="B5916" s="7" t="s">
        <v>6643</v>
      </c>
      <c r="C5916" s="8" t="s">
        <v>5319</v>
      </c>
      <c r="D5916" t="s">
        <v>266</v>
      </c>
      <c r="E5916" t="s">
        <v>908</v>
      </c>
      <c r="F5916" t="s">
        <v>83</v>
      </c>
      <c r="G5916" t="s">
        <v>3300</v>
      </c>
      <c r="H5916" s="9">
        <v>44733</v>
      </c>
      <c r="I5916" t="s">
        <v>408</v>
      </c>
      <c r="J5916" t="s">
        <v>2</v>
      </c>
      <c r="K5916" s="9">
        <v>44834</v>
      </c>
      <c r="L5916" t="s">
        <v>29</v>
      </c>
      <c r="M5916" t="s">
        <v>5331</v>
      </c>
      <c r="N5916" s="9">
        <v>44778</v>
      </c>
      <c r="O5916" s="9">
        <v>44834</v>
      </c>
      <c r="P5916"/>
      <c r="Q5916" s="9">
        <v>44888</v>
      </c>
      <c r="R5916"/>
      <c r="S5916"/>
      <c r="T5916"/>
      <c r="U5916"/>
    </row>
    <row r="5917" spans="1:21" hidden="1">
      <c r="A5917" s="7" t="s">
        <v>8918</v>
      </c>
      <c r="B5917" s="7" t="s">
        <v>6755</v>
      </c>
      <c r="C5917" s="8" t="s">
        <v>5319</v>
      </c>
      <c r="D5917" t="s">
        <v>266</v>
      </c>
      <c r="E5917" t="s">
        <v>3179</v>
      </c>
      <c r="F5917" t="s">
        <v>79</v>
      </c>
      <c r="G5917" t="s">
        <v>3301</v>
      </c>
      <c r="H5917" s="9">
        <v>44733</v>
      </c>
      <c r="I5917" t="s">
        <v>984</v>
      </c>
      <c r="J5917" t="s">
        <v>2</v>
      </c>
      <c r="K5917" s="9">
        <v>44834</v>
      </c>
      <c r="L5917" t="s">
        <v>29</v>
      </c>
      <c r="M5917" t="s">
        <v>5331</v>
      </c>
      <c r="N5917" s="9">
        <v>44778</v>
      </c>
      <c r="O5917" s="9">
        <v>44834</v>
      </c>
      <c r="P5917"/>
      <c r="Q5917"/>
      <c r="R5917"/>
      <c r="S5917"/>
      <c r="T5917"/>
      <c r="U5917"/>
    </row>
    <row r="5918" spans="1:21" hidden="1">
      <c r="A5918" s="7" t="s">
        <v>8919</v>
      </c>
      <c r="B5918" s="7" t="s">
        <v>8364</v>
      </c>
      <c r="C5918" s="8" t="s">
        <v>5319</v>
      </c>
      <c r="D5918" t="s">
        <v>266</v>
      </c>
      <c r="E5918" t="s">
        <v>3279</v>
      </c>
      <c r="F5918" t="s">
        <v>75</v>
      </c>
      <c r="G5918" t="s">
        <v>3301</v>
      </c>
      <c r="H5918" s="9">
        <v>44733</v>
      </c>
      <c r="I5918" t="s">
        <v>984</v>
      </c>
      <c r="J5918" t="s">
        <v>2</v>
      </c>
      <c r="K5918" s="9">
        <v>44834</v>
      </c>
      <c r="L5918" t="s">
        <v>29</v>
      </c>
      <c r="M5918" t="s">
        <v>5331</v>
      </c>
      <c r="N5918" s="9">
        <v>44778</v>
      </c>
      <c r="O5918" s="9">
        <v>44834</v>
      </c>
      <c r="P5918"/>
      <c r="Q5918"/>
      <c r="R5918"/>
      <c r="S5918"/>
      <c r="T5918"/>
      <c r="U5918"/>
    </row>
    <row r="5919" spans="1:21" hidden="1">
      <c r="A5919" s="7" t="s">
        <v>8918</v>
      </c>
      <c r="B5919" s="7" t="s">
        <v>6755</v>
      </c>
      <c r="C5919" s="8" t="s">
        <v>5319</v>
      </c>
      <c r="D5919" t="s">
        <v>266</v>
      </c>
      <c r="E5919" t="s">
        <v>3179</v>
      </c>
      <c r="F5919" t="s">
        <v>79</v>
      </c>
      <c r="G5919" t="s">
        <v>3302</v>
      </c>
      <c r="H5919" s="9">
        <v>44733</v>
      </c>
      <c r="I5919" t="s">
        <v>984</v>
      </c>
      <c r="J5919" t="s">
        <v>2</v>
      </c>
      <c r="K5919" s="9">
        <v>44834</v>
      </c>
      <c r="L5919" t="s">
        <v>29</v>
      </c>
      <c r="M5919" t="s">
        <v>5331</v>
      </c>
      <c r="N5919" s="9">
        <v>44778</v>
      </c>
      <c r="O5919" s="9">
        <v>44834</v>
      </c>
      <c r="P5919"/>
      <c r="Q5919"/>
      <c r="R5919"/>
      <c r="S5919"/>
      <c r="T5919"/>
      <c r="U5919"/>
    </row>
    <row r="5920" spans="1:21" hidden="1">
      <c r="A5920" s="7" t="s">
        <v>8919</v>
      </c>
      <c r="B5920" s="7" t="s">
        <v>8364</v>
      </c>
      <c r="C5920" s="8" t="s">
        <v>5319</v>
      </c>
      <c r="D5920" t="s">
        <v>266</v>
      </c>
      <c r="E5920" t="s">
        <v>3279</v>
      </c>
      <c r="F5920" t="s">
        <v>75</v>
      </c>
      <c r="G5920" t="s">
        <v>3302</v>
      </c>
      <c r="H5920" s="9">
        <v>44733</v>
      </c>
      <c r="I5920" t="s">
        <v>984</v>
      </c>
      <c r="J5920" t="s">
        <v>2</v>
      </c>
      <c r="K5920" s="9">
        <v>44834</v>
      </c>
      <c r="L5920" t="s">
        <v>29</v>
      </c>
      <c r="M5920" t="s">
        <v>5331</v>
      </c>
      <c r="N5920" s="9">
        <v>44778</v>
      </c>
      <c r="O5920" s="9">
        <v>44834</v>
      </c>
      <c r="P5920"/>
      <c r="Q5920"/>
      <c r="R5920"/>
      <c r="S5920"/>
      <c r="T5920"/>
      <c r="U5920"/>
    </row>
    <row r="5921" spans="1:21" hidden="1">
      <c r="A5921" s="7" t="s">
        <v>8918</v>
      </c>
      <c r="B5921" s="7" t="s">
        <v>6755</v>
      </c>
      <c r="C5921" s="8" t="s">
        <v>5319</v>
      </c>
      <c r="D5921" t="s">
        <v>266</v>
      </c>
      <c r="E5921" t="s">
        <v>3179</v>
      </c>
      <c r="F5921" t="s">
        <v>79</v>
      </c>
      <c r="G5921" t="s">
        <v>3303</v>
      </c>
      <c r="H5921" s="9">
        <v>44733</v>
      </c>
      <c r="I5921" t="s">
        <v>984</v>
      </c>
      <c r="J5921" t="s">
        <v>2</v>
      </c>
      <c r="K5921" s="9">
        <v>44834</v>
      </c>
      <c r="L5921" t="s">
        <v>29</v>
      </c>
      <c r="M5921" t="s">
        <v>5331</v>
      </c>
      <c r="N5921" s="9">
        <v>44778</v>
      </c>
      <c r="O5921" s="9">
        <v>44834</v>
      </c>
      <c r="P5921"/>
      <c r="Q5921"/>
      <c r="R5921"/>
      <c r="S5921"/>
      <c r="T5921"/>
      <c r="U5921"/>
    </row>
    <row r="5922" spans="1:21" hidden="1">
      <c r="A5922" s="7" t="s">
        <v>8919</v>
      </c>
      <c r="B5922" s="7" t="s">
        <v>8364</v>
      </c>
      <c r="C5922" s="8" t="s">
        <v>5319</v>
      </c>
      <c r="D5922" t="s">
        <v>266</v>
      </c>
      <c r="E5922" t="s">
        <v>3279</v>
      </c>
      <c r="F5922" t="s">
        <v>75</v>
      </c>
      <c r="G5922" t="s">
        <v>3303</v>
      </c>
      <c r="H5922" s="9">
        <v>44733</v>
      </c>
      <c r="I5922" t="s">
        <v>984</v>
      </c>
      <c r="J5922" t="s">
        <v>2</v>
      </c>
      <c r="K5922" s="9">
        <v>44834</v>
      </c>
      <c r="L5922" t="s">
        <v>29</v>
      </c>
      <c r="M5922" t="s">
        <v>5331</v>
      </c>
      <c r="N5922" s="9">
        <v>44778</v>
      </c>
      <c r="O5922" s="9">
        <v>44834</v>
      </c>
      <c r="P5922"/>
      <c r="Q5922"/>
      <c r="R5922"/>
      <c r="S5922"/>
      <c r="T5922"/>
      <c r="U5922"/>
    </row>
    <row r="5923" spans="1:21" hidden="1">
      <c r="A5923" s="7" t="s">
        <v>8918</v>
      </c>
      <c r="B5923" s="7" t="s">
        <v>6755</v>
      </c>
      <c r="C5923" s="8" t="s">
        <v>5319</v>
      </c>
      <c r="D5923" t="s">
        <v>266</v>
      </c>
      <c r="E5923" t="s">
        <v>3179</v>
      </c>
      <c r="F5923" t="s">
        <v>79</v>
      </c>
      <c r="G5923" t="s">
        <v>3304</v>
      </c>
      <c r="H5923" s="9">
        <v>44733</v>
      </c>
      <c r="I5923" t="s">
        <v>984</v>
      </c>
      <c r="J5923" t="s">
        <v>2</v>
      </c>
      <c r="K5923" s="9">
        <v>44834</v>
      </c>
      <c r="L5923" t="s">
        <v>29</v>
      </c>
      <c r="M5923" t="s">
        <v>5331</v>
      </c>
      <c r="N5923" s="9">
        <v>44778</v>
      </c>
      <c r="O5923" s="9">
        <v>44834</v>
      </c>
      <c r="P5923"/>
      <c r="Q5923"/>
      <c r="R5923"/>
      <c r="S5923"/>
      <c r="T5923"/>
      <c r="U5923"/>
    </row>
    <row r="5924" spans="1:21" hidden="1">
      <c r="A5924" s="7" t="s">
        <v>8919</v>
      </c>
      <c r="B5924" s="7" t="s">
        <v>8364</v>
      </c>
      <c r="C5924" s="8" t="s">
        <v>5319</v>
      </c>
      <c r="D5924" t="s">
        <v>266</v>
      </c>
      <c r="E5924" t="s">
        <v>3279</v>
      </c>
      <c r="F5924" t="s">
        <v>75</v>
      </c>
      <c r="G5924" t="s">
        <v>3304</v>
      </c>
      <c r="H5924" s="9">
        <v>44733</v>
      </c>
      <c r="I5924" t="s">
        <v>984</v>
      </c>
      <c r="J5924" t="s">
        <v>2</v>
      </c>
      <c r="K5924" s="9">
        <v>44834</v>
      </c>
      <c r="L5924" t="s">
        <v>29</v>
      </c>
      <c r="M5924" t="s">
        <v>5331</v>
      </c>
      <c r="N5924" s="9">
        <v>44778</v>
      </c>
      <c r="O5924" s="9">
        <v>44834</v>
      </c>
      <c r="P5924"/>
      <c r="Q5924"/>
      <c r="R5924"/>
      <c r="S5924"/>
      <c r="T5924"/>
      <c r="U5924"/>
    </row>
    <row r="5925" spans="1:21" hidden="1">
      <c r="A5925" s="7" t="s">
        <v>8869</v>
      </c>
      <c r="B5925" s="7" t="s">
        <v>7903</v>
      </c>
      <c r="C5925" s="8" t="s">
        <v>5319</v>
      </c>
      <c r="D5925" t="s">
        <v>266</v>
      </c>
      <c r="E5925" t="s">
        <v>2407</v>
      </c>
      <c r="F5925" t="s">
        <v>231</v>
      </c>
      <c r="G5925" t="s">
        <v>2408</v>
      </c>
      <c r="H5925" s="9">
        <v>44733</v>
      </c>
      <c r="I5925" t="s">
        <v>99</v>
      </c>
      <c r="J5925" t="s">
        <v>0</v>
      </c>
      <c r="K5925" s="9">
        <v>44839</v>
      </c>
      <c r="L5925" t="s">
        <v>29</v>
      </c>
      <c r="M5925"/>
      <c r="N5925" s="9">
        <v>44778</v>
      </c>
      <c r="O5925" s="9">
        <v>44834</v>
      </c>
      <c r="P5925"/>
      <c r="Q5925" s="9">
        <v>44839</v>
      </c>
      <c r="R5925"/>
      <c r="S5925"/>
      <c r="T5925"/>
      <c r="U5925"/>
    </row>
    <row r="5926" spans="1:21" hidden="1">
      <c r="A5926" s="7" t="s">
        <v>8869</v>
      </c>
      <c r="B5926" s="7" t="s">
        <v>7903</v>
      </c>
      <c r="C5926" s="8" t="s">
        <v>5319</v>
      </c>
      <c r="D5926" t="s">
        <v>266</v>
      </c>
      <c r="E5926" t="s">
        <v>2407</v>
      </c>
      <c r="F5926" t="s">
        <v>231</v>
      </c>
      <c r="G5926" t="s">
        <v>2409</v>
      </c>
      <c r="H5926" s="9">
        <v>44733</v>
      </c>
      <c r="I5926" t="s">
        <v>99</v>
      </c>
      <c r="J5926" t="s">
        <v>0</v>
      </c>
      <c r="K5926" s="9">
        <v>44839</v>
      </c>
      <c r="L5926" t="s">
        <v>29</v>
      </c>
      <c r="M5926"/>
      <c r="N5926" s="9">
        <v>44778</v>
      </c>
      <c r="O5926" s="9">
        <v>44834</v>
      </c>
      <c r="P5926"/>
      <c r="Q5926" s="9">
        <v>44839</v>
      </c>
      <c r="R5926"/>
      <c r="S5926"/>
      <c r="T5926"/>
      <c r="U5926"/>
    </row>
    <row r="5927" spans="1:21" hidden="1">
      <c r="A5927" s="7" t="s">
        <v>8869</v>
      </c>
      <c r="B5927" s="7" t="s">
        <v>7903</v>
      </c>
      <c r="C5927" s="8" t="s">
        <v>5319</v>
      </c>
      <c r="D5927" t="s">
        <v>266</v>
      </c>
      <c r="E5927" t="s">
        <v>2407</v>
      </c>
      <c r="F5927" t="s">
        <v>231</v>
      </c>
      <c r="G5927" t="s">
        <v>2410</v>
      </c>
      <c r="H5927" s="9">
        <v>44733</v>
      </c>
      <c r="I5927" t="s">
        <v>99</v>
      </c>
      <c r="J5927" t="s">
        <v>0</v>
      </c>
      <c r="K5927" s="9">
        <v>44839</v>
      </c>
      <c r="L5927" t="s">
        <v>29</v>
      </c>
      <c r="M5927"/>
      <c r="N5927" s="9">
        <v>44778</v>
      </c>
      <c r="O5927" s="9">
        <v>44834</v>
      </c>
      <c r="P5927"/>
      <c r="Q5927" s="9">
        <v>44839</v>
      </c>
      <c r="R5927"/>
      <c r="S5927"/>
      <c r="T5927"/>
      <c r="U5927"/>
    </row>
    <row r="5928" spans="1:21" hidden="1">
      <c r="A5928" s="7" t="s">
        <v>8869</v>
      </c>
      <c r="B5928" s="7" t="s">
        <v>7903</v>
      </c>
      <c r="C5928" s="8" t="s">
        <v>5319</v>
      </c>
      <c r="D5928" t="s">
        <v>266</v>
      </c>
      <c r="E5928" t="s">
        <v>2407</v>
      </c>
      <c r="F5928" t="s">
        <v>231</v>
      </c>
      <c r="G5928" t="s">
        <v>2411</v>
      </c>
      <c r="H5928" s="9">
        <v>44733</v>
      </c>
      <c r="I5928" t="s">
        <v>99</v>
      </c>
      <c r="J5928" t="s">
        <v>0</v>
      </c>
      <c r="K5928" s="9">
        <v>44839</v>
      </c>
      <c r="L5928" t="s">
        <v>29</v>
      </c>
      <c r="M5928"/>
      <c r="N5928" s="9">
        <v>44778</v>
      </c>
      <c r="O5928" s="9">
        <v>44834</v>
      </c>
      <c r="P5928"/>
      <c r="Q5928" s="9">
        <v>44839</v>
      </c>
      <c r="R5928"/>
      <c r="S5928"/>
      <c r="T5928"/>
      <c r="U5928"/>
    </row>
    <row r="5929" spans="1:21" hidden="1">
      <c r="A5929" s="7" t="s">
        <v>8869</v>
      </c>
      <c r="B5929" s="7" t="s">
        <v>7903</v>
      </c>
      <c r="C5929" s="8" t="s">
        <v>5319</v>
      </c>
      <c r="D5929" t="s">
        <v>266</v>
      </c>
      <c r="E5929" t="s">
        <v>2407</v>
      </c>
      <c r="F5929" t="s">
        <v>231</v>
      </c>
      <c r="G5929" t="s">
        <v>2412</v>
      </c>
      <c r="H5929" s="9">
        <v>44733</v>
      </c>
      <c r="I5929" t="s">
        <v>99</v>
      </c>
      <c r="J5929" t="s">
        <v>0</v>
      </c>
      <c r="K5929" s="9">
        <v>44839</v>
      </c>
      <c r="L5929" t="s">
        <v>29</v>
      </c>
      <c r="M5929"/>
      <c r="N5929" s="9">
        <v>44778</v>
      </c>
      <c r="O5929" s="9">
        <v>44834</v>
      </c>
      <c r="P5929"/>
      <c r="Q5929" s="9">
        <v>44839</v>
      </c>
      <c r="R5929"/>
      <c r="S5929"/>
      <c r="T5929"/>
      <c r="U5929"/>
    </row>
    <row r="5930" spans="1:21" hidden="1">
      <c r="A5930" s="7" t="s">
        <v>8869</v>
      </c>
      <c r="B5930" s="7" t="s">
        <v>7903</v>
      </c>
      <c r="C5930" s="8" t="s">
        <v>5319</v>
      </c>
      <c r="D5930" t="s">
        <v>266</v>
      </c>
      <c r="E5930" t="s">
        <v>2407</v>
      </c>
      <c r="F5930" t="s">
        <v>231</v>
      </c>
      <c r="G5930" t="s">
        <v>3305</v>
      </c>
      <c r="H5930" s="9">
        <v>44733</v>
      </c>
      <c r="I5930" t="s">
        <v>99</v>
      </c>
      <c r="J5930" t="s">
        <v>0</v>
      </c>
      <c r="K5930" s="9">
        <v>44839</v>
      </c>
      <c r="L5930" t="s">
        <v>29</v>
      </c>
      <c r="M5930"/>
      <c r="N5930" s="9">
        <v>44778</v>
      </c>
      <c r="O5930" s="9">
        <v>44834</v>
      </c>
      <c r="P5930"/>
      <c r="Q5930" s="9">
        <v>44839</v>
      </c>
      <c r="R5930"/>
      <c r="S5930"/>
      <c r="T5930"/>
      <c r="U5930"/>
    </row>
    <row r="5931" spans="1:21" hidden="1">
      <c r="A5931" s="7" t="s">
        <v>8869</v>
      </c>
      <c r="B5931" s="7" t="s">
        <v>7903</v>
      </c>
      <c r="C5931" s="8" t="s">
        <v>5319</v>
      </c>
      <c r="D5931" t="s">
        <v>266</v>
      </c>
      <c r="E5931" t="s">
        <v>2407</v>
      </c>
      <c r="F5931" t="s">
        <v>231</v>
      </c>
      <c r="G5931" t="s">
        <v>3306</v>
      </c>
      <c r="H5931" s="9">
        <v>44733</v>
      </c>
      <c r="I5931" t="s">
        <v>99</v>
      </c>
      <c r="J5931" t="s">
        <v>0</v>
      </c>
      <c r="K5931" s="9">
        <v>44839</v>
      </c>
      <c r="L5931" t="s">
        <v>29</v>
      </c>
      <c r="M5931"/>
      <c r="N5931" s="9">
        <v>44778</v>
      </c>
      <c r="O5931" s="9">
        <v>44834</v>
      </c>
      <c r="P5931"/>
      <c r="Q5931" s="9">
        <v>44839</v>
      </c>
      <c r="R5931"/>
      <c r="S5931"/>
      <c r="T5931"/>
      <c r="U5931"/>
    </row>
    <row r="5932" spans="1:21" hidden="1">
      <c r="A5932" s="7" t="s">
        <v>8869</v>
      </c>
      <c r="B5932" s="7" t="s">
        <v>7903</v>
      </c>
      <c r="C5932" s="8" t="s">
        <v>5319</v>
      </c>
      <c r="D5932" t="s">
        <v>266</v>
      </c>
      <c r="E5932" t="s">
        <v>2407</v>
      </c>
      <c r="F5932" t="s">
        <v>231</v>
      </c>
      <c r="G5932" t="s">
        <v>3307</v>
      </c>
      <c r="H5932" s="9">
        <v>44733</v>
      </c>
      <c r="I5932" t="s">
        <v>99</v>
      </c>
      <c r="J5932" t="s">
        <v>0</v>
      </c>
      <c r="K5932" s="9">
        <v>44839</v>
      </c>
      <c r="L5932" t="s">
        <v>29</v>
      </c>
      <c r="M5932"/>
      <c r="N5932" s="9">
        <v>44778</v>
      </c>
      <c r="O5932" s="9">
        <v>44834</v>
      </c>
      <c r="P5932"/>
      <c r="Q5932" s="9">
        <v>44839</v>
      </c>
      <c r="R5932"/>
      <c r="S5932"/>
      <c r="T5932"/>
      <c r="U5932"/>
    </row>
    <row r="5933" spans="1:21" hidden="1">
      <c r="A5933" s="7" t="s">
        <v>8869</v>
      </c>
      <c r="B5933" s="7" t="s">
        <v>7903</v>
      </c>
      <c r="C5933" s="8" t="s">
        <v>5319</v>
      </c>
      <c r="D5933" t="s">
        <v>266</v>
      </c>
      <c r="E5933" t="s">
        <v>2407</v>
      </c>
      <c r="F5933" t="s">
        <v>231</v>
      </c>
      <c r="G5933" t="s">
        <v>3308</v>
      </c>
      <c r="H5933" s="9">
        <v>44733</v>
      </c>
      <c r="I5933" t="s">
        <v>99</v>
      </c>
      <c r="J5933" t="s">
        <v>0</v>
      </c>
      <c r="K5933" s="9">
        <v>44839</v>
      </c>
      <c r="L5933" t="s">
        <v>29</v>
      </c>
      <c r="M5933"/>
      <c r="N5933" s="9">
        <v>44778</v>
      </c>
      <c r="O5933" s="9">
        <v>44834</v>
      </c>
      <c r="P5933"/>
      <c r="Q5933" s="9">
        <v>44839</v>
      </c>
      <c r="R5933"/>
      <c r="S5933"/>
      <c r="T5933"/>
      <c r="U5933"/>
    </row>
    <row r="5934" spans="1:21" hidden="1">
      <c r="A5934" s="7" t="s">
        <v>8869</v>
      </c>
      <c r="B5934" s="7" t="s">
        <v>7903</v>
      </c>
      <c r="C5934" s="8" t="s">
        <v>5319</v>
      </c>
      <c r="D5934" t="s">
        <v>266</v>
      </c>
      <c r="E5934" t="s">
        <v>2407</v>
      </c>
      <c r="F5934" t="s">
        <v>231</v>
      </c>
      <c r="G5934" t="s">
        <v>3309</v>
      </c>
      <c r="H5934" s="9">
        <v>44733</v>
      </c>
      <c r="I5934" t="s">
        <v>99</v>
      </c>
      <c r="J5934" t="s">
        <v>0</v>
      </c>
      <c r="K5934" s="9">
        <v>44839</v>
      </c>
      <c r="L5934" t="s">
        <v>29</v>
      </c>
      <c r="M5934"/>
      <c r="N5934" s="9">
        <v>44778</v>
      </c>
      <c r="O5934" s="9">
        <v>44834</v>
      </c>
      <c r="P5934"/>
      <c r="Q5934" s="9">
        <v>44839</v>
      </c>
      <c r="R5934"/>
      <c r="S5934"/>
      <c r="T5934"/>
      <c r="U5934"/>
    </row>
    <row r="5935" spans="1:21" hidden="1">
      <c r="A5935" s="7" t="s">
        <v>8869</v>
      </c>
      <c r="B5935" s="7" t="s">
        <v>7903</v>
      </c>
      <c r="C5935" s="8" t="s">
        <v>5319</v>
      </c>
      <c r="D5935" t="s">
        <v>266</v>
      </c>
      <c r="E5935" t="s">
        <v>2407</v>
      </c>
      <c r="F5935" t="s">
        <v>231</v>
      </c>
      <c r="G5935" t="s">
        <v>2413</v>
      </c>
      <c r="H5935" s="9">
        <v>44733</v>
      </c>
      <c r="I5935" t="s">
        <v>99</v>
      </c>
      <c r="J5935" t="s">
        <v>0</v>
      </c>
      <c r="K5935" s="9">
        <v>44839</v>
      </c>
      <c r="L5935" t="s">
        <v>29</v>
      </c>
      <c r="M5935"/>
      <c r="N5935" s="9">
        <v>44778</v>
      </c>
      <c r="O5935" s="9">
        <v>44834</v>
      </c>
      <c r="P5935"/>
      <c r="Q5935" s="9">
        <v>44839</v>
      </c>
      <c r="R5935"/>
      <c r="S5935"/>
      <c r="T5935"/>
      <c r="U5935"/>
    </row>
    <row r="5936" spans="1:21" hidden="1">
      <c r="A5936" s="7" t="s">
        <v>8795</v>
      </c>
      <c r="B5936" s="7" t="s">
        <v>5590</v>
      </c>
      <c r="C5936" s="8" t="s">
        <v>5319</v>
      </c>
      <c r="D5936" t="s">
        <v>266</v>
      </c>
      <c r="E5936" t="s">
        <v>990</v>
      </c>
      <c r="F5936" t="s">
        <v>111</v>
      </c>
      <c r="G5936" t="s">
        <v>3310</v>
      </c>
      <c r="H5936" s="9">
        <v>44733</v>
      </c>
      <c r="I5936" t="s">
        <v>408</v>
      </c>
      <c r="J5936" t="s">
        <v>2</v>
      </c>
      <c r="K5936" s="9">
        <v>44834</v>
      </c>
      <c r="L5936" t="s">
        <v>29</v>
      </c>
      <c r="M5936" t="s">
        <v>5331</v>
      </c>
      <c r="N5936" s="9">
        <v>44778</v>
      </c>
      <c r="O5936" s="9">
        <v>44834</v>
      </c>
      <c r="P5936"/>
      <c r="Q5936"/>
      <c r="R5936"/>
      <c r="S5936"/>
      <c r="T5936"/>
      <c r="U5936"/>
    </row>
    <row r="5937" spans="1:21" hidden="1">
      <c r="A5937" s="7" t="s">
        <v>8921</v>
      </c>
      <c r="B5937" s="7" t="s">
        <v>6949</v>
      </c>
      <c r="C5937" s="8" t="s">
        <v>5319</v>
      </c>
      <c r="D5937" t="s">
        <v>266</v>
      </c>
      <c r="E5937" t="s">
        <v>3288</v>
      </c>
      <c r="F5937" t="s">
        <v>75</v>
      </c>
      <c r="G5937" t="s">
        <v>3311</v>
      </c>
      <c r="H5937" s="9">
        <v>44733</v>
      </c>
      <c r="I5937" t="s">
        <v>882</v>
      </c>
      <c r="J5937" t="s">
        <v>2</v>
      </c>
      <c r="K5937" s="9">
        <v>44834</v>
      </c>
      <c r="L5937" t="s">
        <v>29</v>
      </c>
      <c r="M5937" t="s">
        <v>5331</v>
      </c>
      <c r="N5937" s="9">
        <v>44778</v>
      </c>
      <c r="O5937" s="9">
        <v>44834</v>
      </c>
      <c r="P5937"/>
      <c r="Q5937"/>
      <c r="R5937"/>
      <c r="S5937"/>
      <c r="T5937"/>
      <c r="U5937"/>
    </row>
    <row r="5938" spans="1:21" hidden="1">
      <c r="A5938" s="7" t="s">
        <v>8921</v>
      </c>
      <c r="B5938" s="7" t="s">
        <v>6949</v>
      </c>
      <c r="C5938" s="8" t="s">
        <v>5319</v>
      </c>
      <c r="D5938" t="s">
        <v>266</v>
      </c>
      <c r="E5938" t="s">
        <v>3288</v>
      </c>
      <c r="F5938" t="s">
        <v>75</v>
      </c>
      <c r="G5938" t="s">
        <v>3312</v>
      </c>
      <c r="H5938" s="9">
        <v>44733</v>
      </c>
      <c r="I5938" t="s">
        <v>882</v>
      </c>
      <c r="J5938" t="s">
        <v>2</v>
      </c>
      <c r="K5938" s="9">
        <v>44834</v>
      </c>
      <c r="L5938" t="s">
        <v>29</v>
      </c>
      <c r="M5938" t="s">
        <v>5331</v>
      </c>
      <c r="N5938" s="9">
        <v>44778</v>
      </c>
      <c r="O5938" s="9">
        <v>44834</v>
      </c>
      <c r="P5938"/>
      <c r="Q5938"/>
      <c r="R5938"/>
      <c r="S5938"/>
      <c r="T5938"/>
      <c r="U5938"/>
    </row>
    <row r="5939" spans="1:21" hidden="1">
      <c r="A5939" s="7" t="s">
        <v>8921</v>
      </c>
      <c r="B5939" s="7" t="s">
        <v>6949</v>
      </c>
      <c r="C5939" s="8" t="s">
        <v>5319</v>
      </c>
      <c r="D5939" t="s">
        <v>266</v>
      </c>
      <c r="E5939" t="s">
        <v>3288</v>
      </c>
      <c r="F5939" t="s">
        <v>75</v>
      </c>
      <c r="G5939" t="s">
        <v>3313</v>
      </c>
      <c r="H5939" s="9">
        <v>44733</v>
      </c>
      <c r="I5939" t="s">
        <v>882</v>
      </c>
      <c r="J5939" t="s">
        <v>2</v>
      </c>
      <c r="K5939" s="9">
        <v>44834</v>
      </c>
      <c r="L5939" t="s">
        <v>29</v>
      </c>
      <c r="M5939" t="s">
        <v>5331</v>
      </c>
      <c r="N5939" s="9">
        <v>44778</v>
      </c>
      <c r="O5939" s="9">
        <v>44834</v>
      </c>
      <c r="P5939"/>
      <c r="Q5939"/>
      <c r="R5939"/>
      <c r="S5939"/>
      <c r="T5939"/>
      <c r="U5939"/>
    </row>
    <row r="5940" spans="1:21" hidden="1">
      <c r="A5940" s="7" t="s">
        <v>8916</v>
      </c>
      <c r="B5940" s="7" t="s">
        <v>6766</v>
      </c>
      <c r="C5940" s="8" t="s">
        <v>5319</v>
      </c>
      <c r="D5940" t="s">
        <v>266</v>
      </c>
      <c r="E5940" t="s">
        <v>3257</v>
      </c>
      <c r="F5940" t="s">
        <v>117</v>
      </c>
      <c r="G5940" t="s">
        <v>3314</v>
      </c>
      <c r="H5940" s="9">
        <v>44733</v>
      </c>
      <c r="I5940" t="s">
        <v>408</v>
      </c>
      <c r="J5940" t="s">
        <v>2</v>
      </c>
      <c r="K5940" s="9">
        <v>44858</v>
      </c>
      <c r="L5940" t="s">
        <v>29</v>
      </c>
      <c r="M5940" t="s">
        <v>5329</v>
      </c>
      <c r="N5940" s="9">
        <v>44778</v>
      </c>
      <c r="O5940" s="9">
        <v>44834</v>
      </c>
      <c r="P5940"/>
      <c r="Q5940"/>
      <c r="R5940"/>
      <c r="S5940"/>
      <c r="T5940"/>
      <c r="U5940"/>
    </row>
    <row r="5941" spans="1:21" hidden="1">
      <c r="A5941" s="7" t="s">
        <v>8796</v>
      </c>
      <c r="B5941" s="7" t="s">
        <v>6933</v>
      </c>
      <c r="C5941" s="8" t="s">
        <v>5319</v>
      </c>
      <c r="D5941" t="s">
        <v>266</v>
      </c>
      <c r="E5941" t="s">
        <v>993</v>
      </c>
      <c r="F5941" t="s">
        <v>117</v>
      </c>
      <c r="G5941" t="s">
        <v>3315</v>
      </c>
      <c r="H5941" s="9">
        <v>44733</v>
      </c>
      <c r="I5941" t="s">
        <v>408</v>
      </c>
      <c r="J5941" t="s">
        <v>2</v>
      </c>
      <c r="K5941" s="9">
        <v>44834</v>
      </c>
      <c r="L5941" t="s">
        <v>29</v>
      </c>
      <c r="M5941" t="s">
        <v>5331</v>
      </c>
      <c r="N5941" s="9">
        <v>44778</v>
      </c>
      <c r="O5941" s="9">
        <v>44834</v>
      </c>
      <c r="P5941"/>
      <c r="Q5941"/>
      <c r="R5941"/>
      <c r="S5941"/>
      <c r="T5941"/>
      <c r="U5941"/>
    </row>
    <row r="5942" spans="1:21" hidden="1">
      <c r="A5942" s="7" t="s">
        <v>8796</v>
      </c>
      <c r="B5942" s="7" t="s">
        <v>6933</v>
      </c>
      <c r="C5942" s="8" t="s">
        <v>5319</v>
      </c>
      <c r="D5942" t="s">
        <v>266</v>
      </c>
      <c r="E5942" t="s">
        <v>993</v>
      </c>
      <c r="F5942" t="s">
        <v>117</v>
      </c>
      <c r="G5942" t="s">
        <v>3316</v>
      </c>
      <c r="H5942" s="9">
        <v>44733</v>
      </c>
      <c r="I5942" t="s">
        <v>408</v>
      </c>
      <c r="J5942" t="s">
        <v>2</v>
      </c>
      <c r="K5942" s="9">
        <v>44834</v>
      </c>
      <c r="L5942" t="s">
        <v>29</v>
      </c>
      <c r="M5942" t="s">
        <v>5331</v>
      </c>
      <c r="N5942" s="9">
        <v>44778</v>
      </c>
      <c r="O5942" s="9">
        <v>44834</v>
      </c>
      <c r="P5942"/>
      <c r="Q5942"/>
      <c r="R5942"/>
      <c r="S5942"/>
      <c r="T5942"/>
      <c r="U5942"/>
    </row>
    <row r="5943" spans="1:21" hidden="1">
      <c r="A5943" s="7" t="s">
        <v>8781</v>
      </c>
      <c r="B5943" s="7" t="s">
        <v>8313</v>
      </c>
      <c r="C5943" s="8" t="s">
        <v>5319</v>
      </c>
      <c r="D5943" t="s">
        <v>266</v>
      </c>
      <c r="E5943" t="s">
        <v>880</v>
      </c>
      <c r="F5943" t="s">
        <v>231</v>
      </c>
      <c r="G5943" t="s">
        <v>3317</v>
      </c>
      <c r="H5943" s="9">
        <v>44733</v>
      </c>
      <c r="I5943" t="s">
        <v>882</v>
      </c>
      <c r="J5943" t="s">
        <v>276</v>
      </c>
      <c r="K5943" s="9">
        <v>44881.653749999998</v>
      </c>
      <c r="L5943" t="s">
        <v>29</v>
      </c>
      <c r="M5943" t="s">
        <v>5331</v>
      </c>
      <c r="N5943" s="9">
        <v>44778</v>
      </c>
      <c r="O5943" s="9">
        <v>44834</v>
      </c>
      <c r="P5943"/>
      <c r="Q5943"/>
      <c r="R5943" s="9">
        <v>44881.650972222204</v>
      </c>
      <c r="S5943"/>
      <c r="T5943"/>
      <c r="U5943"/>
    </row>
    <row r="5944" spans="1:21" hidden="1">
      <c r="A5944" s="7" t="s">
        <v>8781</v>
      </c>
      <c r="B5944" s="7" t="s">
        <v>8313</v>
      </c>
      <c r="C5944" s="8" t="s">
        <v>5319</v>
      </c>
      <c r="D5944" t="s">
        <v>266</v>
      </c>
      <c r="E5944" t="s">
        <v>880</v>
      </c>
      <c r="F5944" t="s">
        <v>231</v>
      </c>
      <c r="G5944" t="s">
        <v>3318</v>
      </c>
      <c r="H5944" s="9">
        <v>44733</v>
      </c>
      <c r="I5944" t="s">
        <v>882</v>
      </c>
      <c r="J5944" t="s">
        <v>276</v>
      </c>
      <c r="K5944" s="9">
        <v>44881.653749999998</v>
      </c>
      <c r="L5944" t="s">
        <v>29</v>
      </c>
      <c r="M5944" t="s">
        <v>5331</v>
      </c>
      <c r="N5944" s="9">
        <v>44778</v>
      </c>
      <c r="O5944" s="9">
        <v>44834</v>
      </c>
      <c r="P5944"/>
      <c r="Q5944"/>
      <c r="R5944" s="9">
        <v>44881.650972222204</v>
      </c>
      <c r="S5944"/>
      <c r="T5944"/>
      <c r="U5944"/>
    </row>
    <row r="5945" spans="1:21" hidden="1">
      <c r="A5945" s="7" t="s">
        <v>8781</v>
      </c>
      <c r="B5945" s="7" t="s">
        <v>8313</v>
      </c>
      <c r="C5945" s="8" t="s">
        <v>5319</v>
      </c>
      <c r="D5945" t="s">
        <v>266</v>
      </c>
      <c r="E5945" t="s">
        <v>880</v>
      </c>
      <c r="F5945" t="s">
        <v>231</v>
      </c>
      <c r="G5945" t="s">
        <v>3319</v>
      </c>
      <c r="H5945" s="9">
        <v>44733</v>
      </c>
      <c r="I5945" t="s">
        <v>882</v>
      </c>
      <c r="J5945" t="s">
        <v>276</v>
      </c>
      <c r="K5945" s="9">
        <v>44881.653749999998</v>
      </c>
      <c r="L5945" t="s">
        <v>29</v>
      </c>
      <c r="M5945" t="s">
        <v>5331</v>
      </c>
      <c r="N5945" s="9">
        <v>44778</v>
      </c>
      <c r="O5945" s="9">
        <v>44834</v>
      </c>
      <c r="P5945"/>
      <c r="Q5945"/>
      <c r="R5945" s="9">
        <v>44881.650972222204</v>
      </c>
      <c r="S5945"/>
      <c r="T5945"/>
      <c r="U5945"/>
    </row>
    <row r="5946" spans="1:21" hidden="1">
      <c r="A5946" s="7" t="s">
        <v>8781</v>
      </c>
      <c r="B5946" s="7" t="s">
        <v>8313</v>
      </c>
      <c r="C5946" s="8" t="s">
        <v>5319</v>
      </c>
      <c r="D5946" t="s">
        <v>266</v>
      </c>
      <c r="E5946" t="s">
        <v>880</v>
      </c>
      <c r="F5946" t="s">
        <v>231</v>
      </c>
      <c r="G5946" t="s">
        <v>3320</v>
      </c>
      <c r="H5946" s="9">
        <v>44733</v>
      </c>
      <c r="I5946" t="s">
        <v>882</v>
      </c>
      <c r="J5946" t="s">
        <v>276</v>
      </c>
      <c r="K5946" s="9">
        <v>44881.653749999998</v>
      </c>
      <c r="L5946" t="s">
        <v>29</v>
      </c>
      <c r="M5946" t="s">
        <v>5331</v>
      </c>
      <c r="N5946" s="9">
        <v>44778</v>
      </c>
      <c r="O5946" s="9">
        <v>44834</v>
      </c>
      <c r="P5946"/>
      <c r="Q5946"/>
      <c r="R5946" s="9">
        <v>44881.650972222204</v>
      </c>
      <c r="S5946"/>
      <c r="T5946"/>
      <c r="U5946"/>
    </row>
    <row r="5947" spans="1:21" hidden="1">
      <c r="A5947" s="7" t="s">
        <v>8781</v>
      </c>
      <c r="B5947" s="7" t="s">
        <v>8313</v>
      </c>
      <c r="C5947" s="8" t="s">
        <v>5319</v>
      </c>
      <c r="D5947" t="s">
        <v>266</v>
      </c>
      <c r="E5947" t="s">
        <v>880</v>
      </c>
      <c r="F5947" t="s">
        <v>231</v>
      </c>
      <c r="G5947" t="s">
        <v>3321</v>
      </c>
      <c r="H5947" s="9">
        <v>44733</v>
      </c>
      <c r="I5947" t="s">
        <v>882</v>
      </c>
      <c r="J5947" t="s">
        <v>276</v>
      </c>
      <c r="K5947" s="9">
        <v>44881.653749999998</v>
      </c>
      <c r="L5947" t="s">
        <v>29</v>
      </c>
      <c r="M5947" t="s">
        <v>5331</v>
      </c>
      <c r="N5947" s="9">
        <v>44778</v>
      </c>
      <c r="O5947" s="9">
        <v>44834</v>
      </c>
      <c r="P5947"/>
      <c r="Q5947"/>
      <c r="R5947" s="9">
        <v>44881.650972222204</v>
      </c>
      <c r="S5947"/>
      <c r="T5947"/>
      <c r="U5947"/>
    </row>
    <row r="5948" spans="1:21" hidden="1">
      <c r="A5948" s="7" t="s">
        <v>8871</v>
      </c>
      <c r="B5948" s="7" t="s">
        <v>8280</v>
      </c>
      <c r="C5948" s="8" t="s">
        <v>5319</v>
      </c>
      <c r="D5948" t="s">
        <v>266</v>
      </c>
      <c r="E5948" t="s">
        <v>2463</v>
      </c>
      <c r="F5948" t="s">
        <v>231</v>
      </c>
      <c r="G5948" t="s">
        <v>3322</v>
      </c>
      <c r="H5948" s="9">
        <v>44733</v>
      </c>
      <c r="I5948" t="s">
        <v>903</v>
      </c>
      <c r="J5948" t="s">
        <v>2</v>
      </c>
      <c r="K5948" s="9">
        <v>44806.4850925926</v>
      </c>
      <c r="L5948" t="s">
        <v>29</v>
      </c>
      <c r="M5948" t="s">
        <v>5331</v>
      </c>
      <c r="N5948" s="9">
        <v>44778</v>
      </c>
      <c r="O5948"/>
      <c r="P5948"/>
      <c r="Q5948"/>
      <c r="R5948" s="9">
        <v>44806.484525462998</v>
      </c>
      <c r="S5948"/>
      <c r="T5948"/>
      <c r="U5948"/>
    </row>
    <row r="5949" spans="1:21" hidden="1">
      <c r="A5949" s="7" t="s">
        <v>8871</v>
      </c>
      <c r="B5949" s="7" t="s">
        <v>8280</v>
      </c>
      <c r="C5949" s="8" t="s">
        <v>5319</v>
      </c>
      <c r="D5949" t="s">
        <v>266</v>
      </c>
      <c r="E5949" t="s">
        <v>2463</v>
      </c>
      <c r="F5949" t="s">
        <v>231</v>
      </c>
      <c r="G5949" t="s">
        <v>3323</v>
      </c>
      <c r="H5949" s="9">
        <v>44733</v>
      </c>
      <c r="I5949" t="s">
        <v>903</v>
      </c>
      <c r="J5949" t="s">
        <v>2</v>
      </c>
      <c r="K5949" s="9">
        <v>44806.4850925926</v>
      </c>
      <c r="L5949" t="s">
        <v>29</v>
      </c>
      <c r="M5949" t="s">
        <v>5331</v>
      </c>
      <c r="N5949" s="9">
        <v>44778</v>
      </c>
      <c r="O5949"/>
      <c r="P5949"/>
      <c r="Q5949"/>
      <c r="R5949" s="9">
        <v>44806.484525462998</v>
      </c>
      <c r="S5949"/>
      <c r="T5949"/>
      <c r="U5949"/>
    </row>
    <row r="5950" spans="1:21" hidden="1">
      <c r="A5950" s="7" t="s">
        <v>8871</v>
      </c>
      <c r="B5950" s="7" t="s">
        <v>8280</v>
      </c>
      <c r="C5950" s="8" t="s">
        <v>5319</v>
      </c>
      <c r="D5950" t="s">
        <v>266</v>
      </c>
      <c r="E5950" t="s">
        <v>2463</v>
      </c>
      <c r="F5950" t="s">
        <v>231</v>
      </c>
      <c r="G5950" t="s">
        <v>3324</v>
      </c>
      <c r="H5950" s="9">
        <v>44733</v>
      </c>
      <c r="I5950" t="s">
        <v>903</v>
      </c>
      <c r="J5950" t="s">
        <v>2</v>
      </c>
      <c r="K5950" s="9">
        <v>44806.4850925926</v>
      </c>
      <c r="L5950" t="s">
        <v>29</v>
      </c>
      <c r="M5950" t="s">
        <v>5331</v>
      </c>
      <c r="N5950" s="9">
        <v>44778</v>
      </c>
      <c r="O5950"/>
      <c r="P5950"/>
      <c r="Q5950"/>
      <c r="R5950" s="9">
        <v>44806.484525462998</v>
      </c>
      <c r="S5950"/>
      <c r="T5950"/>
      <c r="U5950"/>
    </row>
    <row r="5951" spans="1:21" hidden="1">
      <c r="A5951" s="7" t="s">
        <v>8871</v>
      </c>
      <c r="B5951" s="7" t="s">
        <v>8280</v>
      </c>
      <c r="C5951" s="8" t="s">
        <v>5319</v>
      </c>
      <c r="D5951" t="s">
        <v>266</v>
      </c>
      <c r="E5951" t="s">
        <v>2463</v>
      </c>
      <c r="F5951" t="s">
        <v>231</v>
      </c>
      <c r="G5951" t="s">
        <v>3325</v>
      </c>
      <c r="H5951" s="9">
        <v>44733</v>
      </c>
      <c r="I5951" t="s">
        <v>903</v>
      </c>
      <c r="J5951" t="s">
        <v>2</v>
      </c>
      <c r="K5951" s="9">
        <v>44806.4850925926</v>
      </c>
      <c r="L5951" t="s">
        <v>29</v>
      </c>
      <c r="M5951" t="s">
        <v>5331</v>
      </c>
      <c r="N5951" s="9">
        <v>44778</v>
      </c>
      <c r="O5951"/>
      <c r="P5951"/>
      <c r="Q5951"/>
      <c r="R5951" s="9">
        <v>44806.484525462998</v>
      </c>
      <c r="S5951"/>
      <c r="T5951"/>
      <c r="U5951"/>
    </row>
    <row r="5952" spans="1:21" hidden="1">
      <c r="A5952" s="7" t="s">
        <v>8871</v>
      </c>
      <c r="B5952" s="7" t="s">
        <v>8280</v>
      </c>
      <c r="C5952" s="8" t="s">
        <v>5319</v>
      </c>
      <c r="D5952" t="s">
        <v>266</v>
      </c>
      <c r="E5952" t="s">
        <v>2463</v>
      </c>
      <c r="F5952" t="s">
        <v>231</v>
      </c>
      <c r="G5952" t="s">
        <v>3326</v>
      </c>
      <c r="H5952" s="9">
        <v>44733</v>
      </c>
      <c r="I5952" t="s">
        <v>903</v>
      </c>
      <c r="J5952" t="s">
        <v>2</v>
      </c>
      <c r="K5952" s="9">
        <v>44806.4850925926</v>
      </c>
      <c r="L5952" t="s">
        <v>29</v>
      </c>
      <c r="M5952" t="s">
        <v>5331</v>
      </c>
      <c r="N5952" s="9">
        <v>44778</v>
      </c>
      <c r="O5952"/>
      <c r="P5952"/>
      <c r="Q5952"/>
      <c r="R5952" s="9">
        <v>44806.484525462998</v>
      </c>
      <c r="S5952"/>
      <c r="T5952"/>
      <c r="U5952"/>
    </row>
    <row r="5953" spans="1:21" hidden="1">
      <c r="A5953" s="7" t="s">
        <v>8871</v>
      </c>
      <c r="B5953" s="7" t="s">
        <v>8280</v>
      </c>
      <c r="C5953" s="8" t="s">
        <v>5319</v>
      </c>
      <c r="D5953" t="s">
        <v>266</v>
      </c>
      <c r="E5953" t="s">
        <v>2463</v>
      </c>
      <c r="F5953" t="s">
        <v>231</v>
      </c>
      <c r="G5953" t="s">
        <v>3327</v>
      </c>
      <c r="H5953" s="9">
        <v>44733</v>
      </c>
      <c r="I5953" t="s">
        <v>903</v>
      </c>
      <c r="J5953" t="s">
        <v>2</v>
      </c>
      <c r="K5953" s="9">
        <v>44806.4850925926</v>
      </c>
      <c r="L5953" t="s">
        <v>29</v>
      </c>
      <c r="M5953" t="s">
        <v>5331</v>
      </c>
      <c r="N5953" s="9">
        <v>44778</v>
      </c>
      <c r="O5953"/>
      <c r="P5953"/>
      <c r="Q5953"/>
      <c r="R5953" s="9">
        <v>44806.484525462998</v>
      </c>
      <c r="S5953"/>
      <c r="T5953"/>
      <c r="U5953"/>
    </row>
    <row r="5954" spans="1:21" hidden="1">
      <c r="A5954" s="7" t="s">
        <v>8871</v>
      </c>
      <c r="B5954" s="7" t="s">
        <v>8280</v>
      </c>
      <c r="C5954" s="8" t="s">
        <v>5319</v>
      </c>
      <c r="D5954" t="s">
        <v>266</v>
      </c>
      <c r="E5954" t="s">
        <v>2463</v>
      </c>
      <c r="F5954" t="s">
        <v>231</v>
      </c>
      <c r="G5954" t="s">
        <v>3328</v>
      </c>
      <c r="H5954" s="9">
        <v>44733</v>
      </c>
      <c r="I5954" t="s">
        <v>903</v>
      </c>
      <c r="J5954" t="s">
        <v>2</v>
      </c>
      <c r="K5954" s="9">
        <v>44806.4850925926</v>
      </c>
      <c r="L5954" t="s">
        <v>29</v>
      </c>
      <c r="M5954" t="s">
        <v>5331</v>
      </c>
      <c r="N5954" s="9">
        <v>44778</v>
      </c>
      <c r="O5954"/>
      <c r="P5954"/>
      <c r="Q5954"/>
      <c r="R5954" s="9">
        <v>44806.484525462998</v>
      </c>
      <c r="S5954"/>
      <c r="T5954"/>
      <c r="U5954"/>
    </row>
    <row r="5955" spans="1:21" hidden="1">
      <c r="A5955" s="7" t="s">
        <v>8871</v>
      </c>
      <c r="B5955" s="7" t="s">
        <v>8280</v>
      </c>
      <c r="C5955" s="8" t="s">
        <v>5319</v>
      </c>
      <c r="D5955" t="s">
        <v>266</v>
      </c>
      <c r="E5955" t="s">
        <v>2463</v>
      </c>
      <c r="F5955" t="s">
        <v>231</v>
      </c>
      <c r="G5955" t="s">
        <v>3329</v>
      </c>
      <c r="H5955" s="9">
        <v>44733</v>
      </c>
      <c r="I5955" t="s">
        <v>903</v>
      </c>
      <c r="J5955" t="s">
        <v>2</v>
      </c>
      <c r="K5955" s="9">
        <v>44806.4850925926</v>
      </c>
      <c r="L5955" t="s">
        <v>29</v>
      </c>
      <c r="M5955" t="s">
        <v>5331</v>
      </c>
      <c r="N5955" s="9">
        <v>44778</v>
      </c>
      <c r="O5955"/>
      <c r="P5955"/>
      <c r="Q5955"/>
      <c r="R5955" s="9">
        <v>44806.484525462998</v>
      </c>
      <c r="S5955"/>
      <c r="T5955"/>
      <c r="U5955"/>
    </row>
    <row r="5956" spans="1:21" hidden="1">
      <c r="A5956" s="7" t="s">
        <v>8871</v>
      </c>
      <c r="B5956" s="7" t="s">
        <v>8280</v>
      </c>
      <c r="C5956" s="8" t="s">
        <v>5319</v>
      </c>
      <c r="D5956" t="s">
        <v>266</v>
      </c>
      <c r="E5956" t="s">
        <v>2463</v>
      </c>
      <c r="F5956" t="s">
        <v>231</v>
      </c>
      <c r="G5956" t="s">
        <v>3330</v>
      </c>
      <c r="H5956" s="9">
        <v>44733</v>
      </c>
      <c r="I5956" t="s">
        <v>903</v>
      </c>
      <c r="J5956" t="s">
        <v>2</v>
      </c>
      <c r="K5956" s="9">
        <v>44806.4850925926</v>
      </c>
      <c r="L5956" t="s">
        <v>29</v>
      </c>
      <c r="M5956" t="s">
        <v>5331</v>
      </c>
      <c r="N5956" s="9">
        <v>44778</v>
      </c>
      <c r="O5956"/>
      <c r="P5956"/>
      <c r="Q5956"/>
      <c r="R5956" s="9">
        <v>44806.484525462998</v>
      </c>
      <c r="S5956"/>
      <c r="T5956"/>
      <c r="U5956"/>
    </row>
    <row r="5957" spans="1:21" hidden="1">
      <c r="A5957" s="7" t="s">
        <v>8871</v>
      </c>
      <c r="B5957" s="7" t="s">
        <v>8280</v>
      </c>
      <c r="C5957" s="8" t="s">
        <v>5319</v>
      </c>
      <c r="D5957" t="s">
        <v>266</v>
      </c>
      <c r="E5957" t="s">
        <v>2463</v>
      </c>
      <c r="F5957" t="s">
        <v>231</v>
      </c>
      <c r="G5957" t="s">
        <v>3331</v>
      </c>
      <c r="H5957" s="9">
        <v>44733</v>
      </c>
      <c r="I5957" t="s">
        <v>903</v>
      </c>
      <c r="J5957" t="s">
        <v>2</v>
      </c>
      <c r="K5957" s="9">
        <v>44806.4850925926</v>
      </c>
      <c r="L5957" t="s">
        <v>29</v>
      </c>
      <c r="M5957" t="s">
        <v>5331</v>
      </c>
      <c r="N5957" s="9">
        <v>44778</v>
      </c>
      <c r="O5957"/>
      <c r="P5957"/>
      <c r="Q5957"/>
      <c r="R5957" s="9">
        <v>44806.484525462998</v>
      </c>
      <c r="S5957"/>
      <c r="T5957"/>
      <c r="U5957"/>
    </row>
    <row r="5958" spans="1:21" hidden="1">
      <c r="A5958" s="7" t="s">
        <v>8871</v>
      </c>
      <c r="B5958" s="7" t="s">
        <v>8280</v>
      </c>
      <c r="C5958" s="8" t="s">
        <v>5319</v>
      </c>
      <c r="D5958" t="s">
        <v>266</v>
      </c>
      <c r="E5958" t="s">
        <v>2463</v>
      </c>
      <c r="F5958" t="s">
        <v>231</v>
      </c>
      <c r="G5958" t="s">
        <v>3332</v>
      </c>
      <c r="H5958" s="9">
        <v>44733</v>
      </c>
      <c r="I5958" t="s">
        <v>903</v>
      </c>
      <c r="J5958" t="s">
        <v>2</v>
      </c>
      <c r="K5958" s="9">
        <v>44806.4850925926</v>
      </c>
      <c r="L5958" t="s">
        <v>29</v>
      </c>
      <c r="M5958" t="s">
        <v>5331</v>
      </c>
      <c r="N5958" s="9">
        <v>44778</v>
      </c>
      <c r="O5958"/>
      <c r="P5958"/>
      <c r="Q5958"/>
      <c r="R5958" s="9">
        <v>44806.484525462998</v>
      </c>
      <c r="S5958"/>
      <c r="T5958"/>
      <c r="U5958"/>
    </row>
    <row r="5959" spans="1:21" hidden="1">
      <c r="A5959" s="7" t="s">
        <v>8922</v>
      </c>
      <c r="B5959" s="7" t="s">
        <v>8091</v>
      </c>
      <c r="C5959" s="8" t="s">
        <v>5319</v>
      </c>
      <c r="D5959" t="s">
        <v>266</v>
      </c>
      <c r="E5959" t="s">
        <v>3333</v>
      </c>
      <c r="F5959" t="s">
        <v>117</v>
      </c>
      <c r="G5959" t="s">
        <v>3334</v>
      </c>
      <c r="H5959" s="9">
        <v>44733</v>
      </c>
      <c r="I5959" t="s">
        <v>903</v>
      </c>
      <c r="J5959" t="s">
        <v>2</v>
      </c>
      <c r="K5959" s="9">
        <v>44834</v>
      </c>
      <c r="L5959" t="s">
        <v>29</v>
      </c>
      <c r="M5959" t="s">
        <v>5331</v>
      </c>
      <c r="N5959" s="9">
        <v>44778</v>
      </c>
      <c r="O5959" s="9">
        <v>44834</v>
      </c>
      <c r="P5959"/>
      <c r="Q5959"/>
      <c r="R5959"/>
      <c r="S5959"/>
      <c r="T5959"/>
      <c r="U5959"/>
    </row>
    <row r="5960" spans="1:21" hidden="1">
      <c r="A5960" s="7" t="s">
        <v>8922</v>
      </c>
      <c r="B5960" s="7" t="s">
        <v>8091</v>
      </c>
      <c r="C5960" s="8" t="s">
        <v>5319</v>
      </c>
      <c r="D5960" t="s">
        <v>266</v>
      </c>
      <c r="E5960" t="s">
        <v>3333</v>
      </c>
      <c r="F5960" t="s">
        <v>117</v>
      </c>
      <c r="G5960" t="s">
        <v>3335</v>
      </c>
      <c r="H5960" s="9">
        <v>44733</v>
      </c>
      <c r="I5960" t="s">
        <v>903</v>
      </c>
      <c r="J5960" t="s">
        <v>2</v>
      </c>
      <c r="K5960" s="9">
        <v>44834</v>
      </c>
      <c r="L5960" t="s">
        <v>29</v>
      </c>
      <c r="M5960" t="s">
        <v>5331</v>
      </c>
      <c r="N5960" s="9">
        <v>44778</v>
      </c>
      <c r="O5960" s="9">
        <v>44834</v>
      </c>
      <c r="P5960"/>
      <c r="Q5960"/>
      <c r="R5960"/>
      <c r="S5960"/>
      <c r="T5960"/>
      <c r="U5960"/>
    </row>
    <row r="5961" spans="1:21" hidden="1">
      <c r="A5961" s="7" t="s">
        <v>8922</v>
      </c>
      <c r="B5961" s="7" t="s">
        <v>8091</v>
      </c>
      <c r="C5961" s="8" t="s">
        <v>5319</v>
      </c>
      <c r="D5961" t="s">
        <v>266</v>
      </c>
      <c r="E5961" t="s">
        <v>3333</v>
      </c>
      <c r="F5961" t="s">
        <v>117</v>
      </c>
      <c r="G5961" t="s">
        <v>3336</v>
      </c>
      <c r="H5961" s="9">
        <v>44733</v>
      </c>
      <c r="I5961" t="s">
        <v>903</v>
      </c>
      <c r="J5961" t="s">
        <v>2</v>
      </c>
      <c r="K5961" s="9">
        <v>44834</v>
      </c>
      <c r="L5961" t="s">
        <v>29</v>
      </c>
      <c r="M5961" t="s">
        <v>5331</v>
      </c>
      <c r="N5961" s="9">
        <v>44778</v>
      </c>
      <c r="O5961" s="9">
        <v>44834</v>
      </c>
      <c r="P5961"/>
      <c r="Q5961"/>
      <c r="R5961"/>
      <c r="S5961"/>
      <c r="T5961"/>
      <c r="U5961"/>
    </row>
    <row r="5962" spans="1:21" hidden="1">
      <c r="A5962" s="7" t="s">
        <v>8922</v>
      </c>
      <c r="B5962" s="7" t="s">
        <v>8091</v>
      </c>
      <c r="C5962" s="8" t="s">
        <v>5319</v>
      </c>
      <c r="D5962" t="s">
        <v>266</v>
      </c>
      <c r="E5962" t="s">
        <v>3333</v>
      </c>
      <c r="F5962" t="s">
        <v>117</v>
      </c>
      <c r="G5962" t="s">
        <v>3337</v>
      </c>
      <c r="H5962" s="9">
        <v>44733</v>
      </c>
      <c r="I5962" t="s">
        <v>903</v>
      </c>
      <c r="J5962" t="s">
        <v>2</v>
      </c>
      <c r="K5962" s="9">
        <v>44834</v>
      </c>
      <c r="L5962" t="s">
        <v>29</v>
      </c>
      <c r="M5962" t="s">
        <v>5331</v>
      </c>
      <c r="N5962" s="9">
        <v>44778</v>
      </c>
      <c r="O5962" s="9">
        <v>44834</v>
      </c>
      <c r="P5962"/>
      <c r="Q5962"/>
      <c r="R5962"/>
      <c r="S5962"/>
      <c r="T5962"/>
      <c r="U5962"/>
    </row>
    <row r="5963" spans="1:21" hidden="1">
      <c r="A5963" s="7" t="s">
        <v>8922</v>
      </c>
      <c r="B5963" s="7" t="s">
        <v>8091</v>
      </c>
      <c r="C5963" s="8" t="s">
        <v>5319</v>
      </c>
      <c r="D5963" t="s">
        <v>266</v>
      </c>
      <c r="E5963" t="s">
        <v>3333</v>
      </c>
      <c r="F5963" t="s">
        <v>117</v>
      </c>
      <c r="G5963" t="s">
        <v>3338</v>
      </c>
      <c r="H5963" s="9">
        <v>44733</v>
      </c>
      <c r="I5963" t="s">
        <v>903</v>
      </c>
      <c r="J5963" t="s">
        <v>2</v>
      </c>
      <c r="K5963" s="9">
        <v>44834</v>
      </c>
      <c r="L5963" t="s">
        <v>29</v>
      </c>
      <c r="M5963" t="s">
        <v>5331</v>
      </c>
      <c r="N5963" s="9">
        <v>44778</v>
      </c>
      <c r="O5963" s="9">
        <v>44834</v>
      </c>
      <c r="P5963"/>
      <c r="Q5963"/>
      <c r="R5963"/>
      <c r="S5963"/>
      <c r="T5963"/>
      <c r="U5963"/>
    </row>
    <row r="5964" spans="1:21" hidden="1">
      <c r="A5964" s="7" t="s">
        <v>8922</v>
      </c>
      <c r="B5964" s="7" t="s">
        <v>8091</v>
      </c>
      <c r="C5964" s="8" t="s">
        <v>5319</v>
      </c>
      <c r="D5964" t="s">
        <v>266</v>
      </c>
      <c r="E5964" t="s">
        <v>3333</v>
      </c>
      <c r="F5964" t="s">
        <v>117</v>
      </c>
      <c r="G5964" t="s">
        <v>3339</v>
      </c>
      <c r="H5964" s="9">
        <v>44733</v>
      </c>
      <c r="I5964" t="s">
        <v>903</v>
      </c>
      <c r="J5964" t="s">
        <v>2</v>
      </c>
      <c r="K5964" s="9">
        <v>44834</v>
      </c>
      <c r="L5964" t="s">
        <v>29</v>
      </c>
      <c r="M5964" t="s">
        <v>5331</v>
      </c>
      <c r="N5964" s="9">
        <v>44778</v>
      </c>
      <c r="O5964" s="9">
        <v>44834</v>
      </c>
      <c r="P5964"/>
      <c r="Q5964"/>
      <c r="R5964"/>
      <c r="S5964"/>
      <c r="T5964"/>
      <c r="U5964"/>
    </row>
    <row r="5965" spans="1:21" hidden="1">
      <c r="A5965" s="7" t="s">
        <v>8922</v>
      </c>
      <c r="B5965" s="7" t="s">
        <v>8091</v>
      </c>
      <c r="C5965" s="8" t="s">
        <v>5319</v>
      </c>
      <c r="D5965" t="s">
        <v>266</v>
      </c>
      <c r="E5965" t="s">
        <v>3333</v>
      </c>
      <c r="F5965" t="s">
        <v>117</v>
      </c>
      <c r="G5965" t="s">
        <v>3340</v>
      </c>
      <c r="H5965" s="9">
        <v>44733</v>
      </c>
      <c r="I5965" t="s">
        <v>903</v>
      </c>
      <c r="J5965" t="s">
        <v>2</v>
      </c>
      <c r="K5965" s="9">
        <v>44834</v>
      </c>
      <c r="L5965" t="s">
        <v>29</v>
      </c>
      <c r="M5965" t="s">
        <v>5331</v>
      </c>
      <c r="N5965" s="9">
        <v>44778</v>
      </c>
      <c r="O5965" s="9">
        <v>44834</v>
      </c>
      <c r="P5965"/>
      <c r="Q5965"/>
      <c r="R5965"/>
      <c r="S5965"/>
      <c r="T5965"/>
      <c r="U5965"/>
    </row>
    <row r="5966" spans="1:21" hidden="1">
      <c r="A5966" s="7" t="s">
        <v>8922</v>
      </c>
      <c r="B5966" s="7" t="s">
        <v>8091</v>
      </c>
      <c r="C5966" s="8" t="s">
        <v>5319</v>
      </c>
      <c r="D5966" t="s">
        <v>266</v>
      </c>
      <c r="E5966" t="s">
        <v>3333</v>
      </c>
      <c r="F5966" t="s">
        <v>117</v>
      </c>
      <c r="G5966" t="s">
        <v>3341</v>
      </c>
      <c r="H5966" s="9">
        <v>44733</v>
      </c>
      <c r="I5966" t="s">
        <v>903</v>
      </c>
      <c r="J5966" t="s">
        <v>2</v>
      </c>
      <c r="K5966" s="9">
        <v>44834</v>
      </c>
      <c r="L5966" t="s">
        <v>29</v>
      </c>
      <c r="M5966" t="s">
        <v>5331</v>
      </c>
      <c r="N5966" s="9">
        <v>44778</v>
      </c>
      <c r="O5966" s="9">
        <v>44834</v>
      </c>
      <c r="P5966"/>
      <c r="Q5966"/>
      <c r="R5966"/>
      <c r="S5966"/>
      <c r="T5966"/>
      <c r="U5966"/>
    </row>
    <row r="5967" spans="1:21" hidden="1">
      <c r="A5967" s="7" t="s">
        <v>8922</v>
      </c>
      <c r="B5967" s="7" t="s">
        <v>8091</v>
      </c>
      <c r="C5967" s="8" t="s">
        <v>5319</v>
      </c>
      <c r="D5967" t="s">
        <v>266</v>
      </c>
      <c r="E5967" t="s">
        <v>3333</v>
      </c>
      <c r="F5967" t="s">
        <v>117</v>
      </c>
      <c r="G5967" t="s">
        <v>3342</v>
      </c>
      <c r="H5967" s="9">
        <v>44733</v>
      </c>
      <c r="I5967" t="s">
        <v>903</v>
      </c>
      <c r="J5967" t="s">
        <v>2</v>
      </c>
      <c r="K5967" s="9">
        <v>44834</v>
      </c>
      <c r="L5967" t="s">
        <v>29</v>
      </c>
      <c r="M5967" t="s">
        <v>5331</v>
      </c>
      <c r="N5967" s="9">
        <v>44778</v>
      </c>
      <c r="O5967" s="9">
        <v>44834</v>
      </c>
      <c r="P5967"/>
      <c r="Q5967"/>
      <c r="R5967"/>
      <c r="S5967"/>
      <c r="T5967"/>
      <c r="U5967"/>
    </row>
    <row r="5968" spans="1:21" hidden="1">
      <c r="A5968" s="7" t="s">
        <v>8922</v>
      </c>
      <c r="B5968" s="7" t="s">
        <v>8091</v>
      </c>
      <c r="C5968" s="8" t="s">
        <v>5319</v>
      </c>
      <c r="D5968" t="s">
        <v>266</v>
      </c>
      <c r="E5968" t="s">
        <v>3333</v>
      </c>
      <c r="F5968" t="s">
        <v>117</v>
      </c>
      <c r="G5968" t="s">
        <v>3343</v>
      </c>
      <c r="H5968" s="9">
        <v>44733</v>
      </c>
      <c r="I5968" t="s">
        <v>903</v>
      </c>
      <c r="J5968" t="s">
        <v>2</v>
      </c>
      <c r="K5968" s="9">
        <v>44834</v>
      </c>
      <c r="L5968" t="s">
        <v>29</v>
      </c>
      <c r="M5968" t="s">
        <v>5331</v>
      </c>
      <c r="N5968" s="9">
        <v>44778</v>
      </c>
      <c r="O5968" s="9">
        <v>44834</v>
      </c>
      <c r="P5968"/>
      <c r="Q5968"/>
      <c r="R5968"/>
      <c r="S5968"/>
      <c r="T5968"/>
      <c r="U5968"/>
    </row>
    <row r="5969" spans="1:21" hidden="1">
      <c r="A5969" s="7" t="s">
        <v>8922</v>
      </c>
      <c r="B5969" s="7" t="s">
        <v>8091</v>
      </c>
      <c r="C5969" s="8" t="s">
        <v>5319</v>
      </c>
      <c r="D5969" t="s">
        <v>266</v>
      </c>
      <c r="E5969" t="s">
        <v>3333</v>
      </c>
      <c r="F5969" t="s">
        <v>117</v>
      </c>
      <c r="G5969" t="s">
        <v>3344</v>
      </c>
      <c r="H5969" s="9">
        <v>44733</v>
      </c>
      <c r="I5969" t="s">
        <v>903</v>
      </c>
      <c r="J5969" t="s">
        <v>2</v>
      </c>
      <c r="K5969" s="9">
        <v>44834</v>
      </c>
      <c r="L5969" t="s">
        <v>29</v>
      </c>
      <c r="M5969" t="s">
        <v>5331</v>
      </c>
      <c r="N5969" s="9">
        <v>44778</v>
      </c>
      <c r="O5969" s="9">
        <v>44834</v>
      </c>
      <c r="P5969"/>
      <c r="Q5969"/>
      <c r="R5969"/>
      <c r="S5969"/>
      <c r="T5969"/>
      <c r="U5969"/>
    </row>
    <row r="5970" spans="1:21" hidden="1">
      <c r="A5970" s="7" t="s">
        <v>8922</v>
      </c>
      <c r="B5970" s="7" t="s">
        <v>8091</v>
      </c>
      <c r="C5970" s="8" t="s">
        <v>5319</v>
      </c>
      <c r="D5970" t="s">
        <v>266</v>
      </c>
      <c r="E5970" t="s">
        <v>3333</v>
      </c>
      <c r="F5970" t="s">
        <v>117</v>
      </c>
      <c r="G5970" t="s">
        <v>3345</v>
      </c>
      <c r="H5970" s="9">
        <v>44733</v>
      </c>
      <c r="I5970" t="s">
        <v>903</v>
      </c>
      <c r="J5970" t="s">
        <v>2</v>
      </c>
      <c r="K5970" s="9">
        <v>44834</v>
      </c>
      <c r="L5970" t="s">
        <v>29</v>
      </c>
      <c r="M5970" t="s">
        <v>5331</v>
      </c>
      <c r="N5970" s="9">
        <v>44778</v>
      </c>
      <c r="O5970" s="9">
        <v>44834</v>
      </c>
      <c r="P5970"/>
      <c r="Q5970"/>
      <c r="R5970"/>
      <c r="S5970"/>
      <c r="T5970"/>
      <c r="U5970"/>
    </row>
    <row r="5971" spans="1:21" hidden="1">
      <c r="A5971" s="7" t="s">
        <v>8922</v>
      </c>
      <c r="B5971" s="7" t="s">
        <v>8091</v>
      </c>
      <c r="C5971" s="8" t="s">
        <v>5319</v>
      </c>
      <c r="D5971" t="s">
        <v>266</v>
      </c>
      <c r="E5971" t="s">
        <v>3333</v>
      </c>
      <c r="F5971" t="s">
        <v>117</v>
      </c>
      <c r="G5971" t="s">
        <v>3346</v>
      </c>
      <c r="H5971" s="9">
        <v>44733</v>
      </c>
      <c r="I5971" t="s">
        <v>903</v>
      </c>
      <c r="J5971" t="s">
        <v>2</v>
      </c>
      <c r="K5971" s="9">
        <v>44834</v>
      </c>
      <c r="L5971" t="s">
        <v>29</v>
      </c>
      <c r="M5971" t="s">
        <v>5331</v>
      </c>
      <c r="N5971" s="9">
        <v>44778</v>
      </c>
      <c r="O5971" s="9">
        <v>44834</v>
      </c>
      <c r="P5971"/>
      <c r="Q5971"/>
      <c r="R5971"/>
      <c r="S5971"/>
      <c r="T5971"/>
      <c r="U5971"/>
    </row>
    <row r="5972" spans="1:21" hidden="1">
      <c r="A5972" s="7" t="s">
        <v>8923</v>
      </c>
      <c r="B5972" s="7" t="s">
        <v>7641</v>
      </c>
      <c r="C5972" s="8" t="s">
        <v>5319</v>
      </c>
      <c r="D5972" t="s">
        <v>266</v>
      </c>
      <c r="E5972" t="s">
        <v>3347</v>
      </c>
      <c r="F5972" t="s">
        <v>231</v>
      </c>
      <c r="G5972" t="s">
        <v>3348</v>
      </c>
      <c r="H5972" s="9">
        <v>44733</v>
      </c>
      <c r="I5972" t="s">
        <v>3102</v>
      </c>
      <c r="J5972" t="s">
        <v>2</v>
      </c>
      <c r="K5972" s="9">
        <v>44834</v>
      </c>
      <c r="L5972" t="s">
        <v>29</v>
      </c>
      <c r="M5972" t="s">
        <v>5331</v>
      </c>
      <c r="N5972" s="9">
        <v>44778</v>
      </c>
      <c r="O5972" s="9">
        <v>44834</v>
      </c>
      <c r="P5972"/>
      <c r="Q5972"/>
      <c r="R5972"/>
      <c r="S5972"/>
      <c r="T5972"/>
      <c r="U5972"/>
    </row>
    <row r="5973" spans="1:21" hidden="1">
      <c r="A5973" s="7" t="s">
        <v>8923</v>
      </c>
      <c r="B5973" s="7" t="s">
        <v>7641</v>
      </c>
      <c r="C5973" s="8" t="s">
        <v>5319</v>
      </c>
      <c r="D5973" t="s">
        <v>266</v>
      </c>
      <c r="E5973" t="s">
        <v>3347</v>
      </c>
      <c r="F5973" t="s">
        <v>231</v>
      </c>
      <c r="G5973" t="s">
        <v>3349</v>
      </c>
      <c r="H5973" s="9">
        <v>44733</v>
      </c>
      <c r="I5973" t="s">
        <v>3102</v>
      </c>
      <c r="J5973" t="s">
        <v>2</v>
      </c>
      <c r="K5973" s="9">
        <v>44834</v>
      </c>
      <c r="L5973" t="s">
        <v>29</v>
      </c>
      <c r="M5973" t="s">
        <v>5331</v>
      </c>
      <c r="N5973" s="9">
        <v>44778</v>
      </c>
      <c r="O5973" s="9">
        <v>44834</v>
      </c>
      <c r="P5973"/>
      <c r="Q5973"/>
      <c r="R5973"/>
      <c r="S5973"/>
      <c r="T5973"/>
      <c r="U5973"/>
    </row>
    <row r="5974" spans="1:21" hidden="1">
      <c r="A5974" s="7" t="s">
        <v>8849</v>
      </c>
      <c r="B5974" s="7" t="s">
        <v>6805</v>
      </c>
      <c r="C5974" s="8" t="s">
        <v>5319</v>
      </c>
      <c r="D5974" t="s">
        <v>266</v>
      </c>
      <c r="E5974" t="s">
        <v>2175</v>
      </c>
      <c r="F5974" t="s">
        <v>75</v>
      </c>
      <c r="G5974" t="s">
        <v>3350</v>
      </c>
      <c r="H5974" s="9">
        <v>44733</v>
      </c>
      <c r="I5974" t="s">
        <v>488</v>
      </c>
      <c r="J5974" t="s">
        <v>2</v>
      </c>
      <c r="K5974" s="9">
        <v>44834</v>
      </c>
      <c r="L5974" t="s">
        <v>29</v>
      </c>
      <c r="M5974" t="s">
        <v>5331</v>
      </c>
      <c r="N5974" s="9">
        <v>44778</v>
      </c>
      <c r="O5974" s="9">
        <v>44834</v>
      </c>
      <c r="P5974"/>
      <c r="Q5974"/>
      <c r="R5974"/>
      <c r="S5974"/>
      <c r="T5974"/>
      <c r="U5974"/>
    </row>
    <row r="5975" spans="1:21" hidden="1">
      <c r="A5975" s="7" t="s">
        <v>8849</v>
      </c>
      <c r="B5975" s="7" t="s">
        <v>6805</v>
      </c>
      <c r="C5975" s="8" t="s">
        <v>5319</v>
      </c>
      <c r="D5975" t="s">
        <v>266</v>
      </c>
      <c r="E5975" t="s">
        <v>2175</v>
      </c>
      <c r="F5975" t="s">
        <v>75</v>
      </c>
      <c r="G5975" t="s">
        <v>3351</v>
      </c>
      <c r="H5975" s="9">
        <v>44733</v>
      </c>
      <c r="I5975" t="s">
        <v>488</v>
      </c>
      <c r="J5975" t="s">
        <v>2</v>
      </c>
      <c r="K5975" s="9">
        <v>44834</v>
      </c>
      <c r="L5975" t="s">
        <v>29</v>
      </c>
      <c r="M5975" t="s">
        <v>5331</v>
      </c>
      <c r="N5975" s="9">
        <v>44778</v>
      </c>
      <c r="O5975" s="9">
        <v>44834</v>
      </c>
      <c r="P5975"/>
      <c r="Q5975"/>
      <c r="R5975"/>
      <c r="S5975"/>
      <c r="T5975"/>
      <c r="U5975"/>
    </row>
    <row r="5976" spans="1:21" hidden="1">
      <c r="A5976" s="7" t="s">
        <v>8849</v>
      </c>
      <c r="B5976" s="7" t="s">
        <v>6805</v>
      </c>
      <c r="C5976" s="8" t="s">
        <v>5319</v>
      </c>
      <c r="D5976" t="s">
        <v>266</v>
      </c>
      <c r="E5976" t="s">
        <v>2175</v>
      </c>
      <c r="F5976" t="s">
        <v>75</v>
      </c>
      <c r="G5976" t="s">
        <v>3352</v>
      </c>
      <c r="H5976" s="9">
        <v>44733</v>
      </c>
      <c r="I5976" t="s">
        <v>488</v>
      </c>
      <c r="J5976" t="s">
        <v>2</v>
      </c>
      <c r="K5976" s="9">
        <v>44834</v>
      </c>
      <c r="L5976" t="s">
        <v>29</v>
      </c>
      <c r="M5976" t="s">
        <v>5331</v>
      </c>
      <c r="N5976" s="9">
        <v>44778</v>
      </c>
      <c r="O5976" s="9">
        <v>44834</v>
      </c>
      <c r="P5976"/>
      <c r="Q5976"/>
      <c r="R5976"/>
      <c r="S5976"/>
      <c r="T5976"/>
      <c r="U5976"/>
    </row>
    <row r="5977" spans="1:21" hidden="1">
      <c r="A5977" s="7" t="s">
        <v>8849</v>
      </c>
      <c r="B5977" s="7" t="s">
        <v>6805</v>
      </c>
      <c r="C5977" s="8" t="s">
        <v>5319</v>
      </c>
      <c r="D5977" t="s">
        <v>266</v>
      </c>
      <c r="E5977" t="s">
        <v>2175</v>
      </c>
      <c r="F5977" t="s">
        <v>75</v>
      </c>
      <c r="G5977" t="s">
        <v>3353</v>
      </c>
      <c r="H5977" s="9">
        <v>44733</v>
      </c>
      <c r="I5977" t="s">
        <v>488</v>
      </c>
      <c r="J5977" t="s">
        <v>2</v>
      </c>
      <c r="K5977" s="9">
        <v>44834</v>
      </c>
      <c r="L5977" t="s">
        <v>29</v>
      </c>
      <c r="M5977" t="s">
        <v>5331</v>
      </c>
      <c r="N5977" s="9">
        <v>44778</v>
      </c>
      <c r="O5977" s="9">
        <v>44834</v>
      </c>
      <c r="P5977"/>
      <c r="Q5977"/>
      <c r="R5977"/>
      <c r="S5977"/>
      <c r="T5977"/>
      <c r="U5977"/>
    </row>
    <row r="5978" spans="1:21" hidden="1">
      <c r="A5978" s="7" t="s">
        <v>8849</v>
      </c>
      <c r="B5978" s="7" t="s">
        <v>6805</v>
      </c>
      <c r="C5978" s="8" t="s">
        <v>5319</v>
      </c>
      <c r="D5978" t="s">
        <v>266</v>
      </c>
      <c r="E5978" t="s">
        <v>2175</v>
      </c>
      <c r="F5978" t="s">
        <v>75</v>
      </c>
      <c r="G5978" t="s">
        <v>3354</v>
      </c>
      <c r="H5978" s="9">
        <v>44733</v>
      </c>
      <c r="I5978" t="s">
        <v>488</v>
      </c>
      <c r="J5978" t="s">
        <v>2</v>
      </c>
      <c r="K5978" s="9">
        <v>44834</v>
      </c>
      <c r="L5978" t="s">
        <v>29</v>
      </c>
      <c r="M5978" t="s">
        <v>5331</v>
      </c>
      <c r="N5978" s="9">
        <v>44778</v>
      </c>
      <c r="O5978" s="9">
        <v>44834</v>
      </c>
      <c r="P5978"/>
      <c r="Q5978"/>
      <c r="R5978"/>
      <c r="S5978"/>
      <c r="T5978"/>
      <c r="U5978"/>
    </row>
    <row r="5979" spans="1:21" hidden="1">
      <c r="A5979" s="7" t="s">
        <v>8849</v>
      </c>
      <c r="B5979" s="7" t="s">
        <v>6805</v>
      </c>
      <c r="C5979" s="8" t="s">
        <v>5319</v>
      </c>
      <c r="D5979" t="s">
        <v>266</v>
      </c>
      <c r="E5979" t="s">
        <v>2175</v>
      </c>
      <c r="F5979" t="s">
        <v>75</v>
      </c>
      <c r="G5979" t="s">
        <v>3355</v>
      </c>
      <c r="H5979" s="9">
        <v>44733</v>
      </c>
      <c r="I5979" t="s">
        <v>488</v>
      </c>
      <c r="J5979" t="s">
        <v>2</v>
      </c>
      <c r="K5979" s="9">
        <v>44834</v>
      </c>
      <c r="L5979" t="s">
        <v>29</v>
      </c>
      <c r="M5979" t="s">
        <v>5331</v>
      </c>
      <c r="N5979" s="9">
        <v>44778</v>
      </c>
      <c r="O5979" s="9">
        <v>44834</v>
      </c>
      <c r="P5979"/>
      <c r="Q5979"/>
      <c r="R5979"/>
      <c r="S5979"/>
      <c r="T5979"/>
      <c r="U5979"/>
    </row>
    <row r="5980" spans="1:21" hidden="1">
      <c r="A5980" s="7" t="s">
        <v>8849</v>
      </c>
      <c r="B5980" s="7" t="s">
        <v>6805</v>
      </c>
      <c r="C5980" s="8" t="s">
        <v>5319</v>
      </c>
      <c r="D5980" t="s">
        <v>266</v>
      </c>
      <c r="E5980" t="s">
        <v>2175</v>
      </c>
      <c r="F5980" t="s">
        <v>75</v>
      </c>
      <c r="G5980" t="s">
        <v>3356</v>
      </c>
      <c r="H5980" s="9">
        <v>44733</v>
      </c>
      <c r="I5980" t="s">
        <v>488</v>
      </c>
      <c r="J5980" t="s">
        <v>2</v>
      </c>
      <c r="K5980" s="9">
        <v>44834</v>
      </c>
      <c r="L5980" t="s">
        <v>29</v>
      </c>
      <c r="M5980" t="s">
        <v>5331</v>
      </c>
      <c r="N5980" s="9">
        <v>44778</v>
      </c>
      <c r="O5980" s="9">
        <v>44834</v>
      </c>
      <c r="P5980"/>
      <c r="Q5980"/>
      <c r="R5980"/>
      <c r="S5980"/>
      <c r="T5980"/>
      <c r="U5980"/>
    </row>
    <row r="5981" spans="1:21" hidden="1">
      <c r="A5981" s="7" t="s">
        <v>8849</v>
      </c>
      <c r="B5981" s="7" t="s">
        <v>6805</v>
      </c>
      <c r="C5981" s="8" t="s">
        <v>5319</v>
      </c>
      <c r="D5981" t="s">
        <v>266</v>
      </c>
      <c r="E5981" t="s">
        <v>2175</v>
      </c>
      <c r="F5981" t="s">
        <v>75</v>
      </c>
      <c r="G5981" t="s">
        <v>3357</v>
      </c>
      <c r="H5981" s="9">
        <v>44733</v>
      </c>
      <c r="I5981" t="s">
        <v>488</v>
      </c>
      <c r="J5981" t="s">
        <v>2</v>
      </c>
      <c r="K5981" s="9">
        <v>44834</v>
      </c>
      <c r="L5981" t="s">
        <v>29</v>
      </c>
      <c r="M5981" t="s">
        <v>5331</v>
      </c>
      <c r="N5981" s="9">
        <v>44778</v>
      </c>
      <c r="O5981" s="9">
        <v>44834</v>
      </c>
      <c r="P5981"/>
      <c r="Q5981"/>
      <c r="R5981"/>
      <c r="S5981"/>
      <c r="T5981"/>
      <c r="U5981"/>
    </row>
    <row r="5982" spans="1:21" hidden="1">
      <c r="A5982" s="7" t="s">
        <v>8795</v>
      </c>
      <c r="B5982" s="7" t="s">
        <v>5590</v>
      </c>
      <c r="C5982" s="8" t="s">
        <v>5319</v>
      </c>
      <c r="D5982" t="s">
        <v>266</v>
      </c>
      <c r="E5982" t="s">
        <v>990</v>
      </c>
      <c r="F5982" t="s">
        <v>111</v>
      </c>
      <c r="G5982" t="s">
        <v>3358</v>
      </c>
      <c r="H5982" s="9">
        <v>44733</v>
      </c>
      <c r="I5982" t="s">
        <v>408</v>
      </c>
      <c r="J5982" t="s">
        <v>2</v>
      </c>
      <c r="K5982" s="9">
        <v>44834</v>
      </c>
      <c r="L5982" t="s">
        <v>29</v>
      </c>
      <c r="M5982" t="s">
        <v>5331</v>
      </c>
      <c r="N5982" s="9">
        <v>44778</v>
      </c>
      <c r="O5982" s="9">
        <v>44834</v>
      </c>
      <c r="P5982"/>
      <c r="Q5982"/>
      <c r="R5982"/>
      <c r="S5982"/>
      <c r="T5982"/>
      <c r="U5982"/>
    </row>
    <row r="5983" spans="1:21" hidden="1">
      <c r="A5983" s="7" t="s">
        <v>8795</v>
      </c>
      <c r="B5983" s="7" t="s">
        <v>5590</v>
      </c>
      <c r="C5983" s="8" t="s">
        <v>5319</v>
      </c>
      <c r="D5983" t="s">
        <v>266</v>
      </c>
      <c r="E5983" t="s">
        <v>990</v>
      </c>
      <c r="F5983" t="s">
        <v>111</v>
      </c>
      <c r="G5983" t="s">
        <v>3359</v>
      </c>
      <c r="H5983" s="9">
        <v>44733</v>
      </c>
      <c r="I5983" t="s">
        <v>408</v>
      </c>
      <c r="J5983" t="s">
        <v>2</v>
      </c>
      <c r="K5983" s="9">
        <v>44834</v>
      </c>
      <c r="L5983" t="s">
        <v>29</v>
      </c>
      <c r="M5983" t="s">
        <v>5331</v>
      </c>
      <c r="N5983" s="9">
        <v>44778</v>
      </c>
      <c r="O5983" s="9">
        <v>44834</v>
      </c>
      <c r="P5983"/>
      <c r="Q5983"/>
      <c r="R5983"/>
      <c r="S5983"/>
      <c r="T5983"/>
      <c r="U5983"/>
    </row>
    <row r="5984" spans="1:21" hidden="1">
      <c r="A5984" s="7" t="s">
        <v>8795</v>
      </c>
      <c r="B5984" s="7" t="s">
        <v>5590</v>
      </c>
      <c r="C5984" s="8" t="s">
        <v>5319</v>
      </c>
      <c r="D5984" t="s">
        <v>266</v>
      </c>
      <c r="E5984" t="s">
        <v>990</v>
      </c>
      <c r="F5984" t="s">
        <v>111</v>
      </c>
      <c r="G5984" t="s">
        <v>3360</v>
      </c>
      <c r="H5984" s="9">
        <v>44733</v>
      </c>
      <c r="I5984" t="s">
        <v>408</v>
      </c>
      <c r="J5984" t="s">
        <v>2</v>
      </c>
      <c r="K5984" s="9">
        <v>44834</v>
      </c>
      <c r="L5984" t="s">
        <v>29</v>
      </c>
      <c r="M5984" t="s">
        <v>5331</v>
      </c>
      <c r="N5984" s="9">
        <v>44778</v>
      </c>
      <c r="O5984" s="9">
        <v>44834</v>
      </c>
      <c r="P5984"/>
      <c r="Q5984"/>
      <c r="R5984"/>
      <c r="S5984"/>
      <c r="T5984"/>
      <c r="U5984"/>
    </row>
    <row r="5985" spans="1:21" hidden="1">
      <c r="A5985" s="7" t="s">
        <v>8795</v>
      </c>
      <c r="B5985" s="7" t="s">
        <v>5590</v>
      </c>
      <c r="C5985" s="8" t="s">
        <v>5319</v>
      </c>
      <c r="D5985" t="s">
        <v>266</v>
      </c>
      <c r="E5985" t="s">
        <v>990</v>
      </c>
      <c r="F5985" t="s">
        <v>111</v>
      </c>
      <c r="G5985" t="s">
        <v>3361</v>
      </c>
      <c r="H5985" s="9">
        <v>44733</v>
      </c>
      <c r="I5985" t="s">
        <v>408</v>
      </c>
      <c r="J5985" t="s">
        <v>2</v>
      </c>
      <c r="K5985" s="9">
        <v>44834</v>
      </c>
      <c r="L5985" t="s">
        <v>29</v>
      </c>
      <c r="M5985" t="s">
        <v>5331</v>
      </c>
      <c r="N5985" s="9">
        <v>44778</v>
      </c>
      <c r="O5985" s="9">
        <v>44834</v>
      </c>
      <c r="P5985"/>
      <c r="Q5985"/>
      <c r="R5985"/>
      <c r="S5985"/>
      <c r="T5985"/>
      <c r="U5985"/>
    </row>
    <row r="5986" spans="1:21" hidden="1">
      <c r="A5986" s="7" t="s">
        <v>8923</v>
      </c>
      <c r="B5986" s="7" t="s">
        <v>7641</v>
      </c>
      <c r="C5986" s="8" t="s">
        <v>5319</v>
      </c>
      <c r="D5986" t="s">
        <v>266</v>
      </c>
      <c r="E5986" t="s">
        <v>3347</v>
      </c>
      <c r="F5986" t="s">
        <v>231</v>
      </c>
      <c r="G5986" t="s">
        <v>3362</v>
      </c>
      <c r="H5986" s="9">
        <v>44733</v>
      </c>
      <c r="I5986" t="s">
        <v>3102</v>
      </c>
      <c r="J5986" t="s">
        <v>2</v>
      </c>
      <c r="K5986" s="9">
        <v>44834</v>
      </c>
      <c r="L5986" t="s">
        <v>29</v>
      </c>
      <c r="M5986" t="s">
        <v>5331</v>
      </c>
      <c r="N5986" s="9">
        <v>44778</v>
      </c>
      <c r="O5986" s="9">
        <v>44834</v>
      </c>
      <c r="P5986"/>
      <c r="Q5986"/>
      <c r="R5986"/>
      <c r="S5986"/>
      <c r="T5986"/>
      <c r="U5986"/>
    </row>
    <row r="5987" spans="1:21" hidden="1">
      <c r="A5987" s="7" t="s">
        <v>8923</v>
      </c>
      <c r="B5987" s="7" t="s">
        <v>7641</v>
      </c>
      <c r="C5987" s="8" t="s">
        <v>5319</v>
      </c>
      <c r="D5987" t="s">
        <v>266</v>
      </c>
      <c r="E5987" t="s">
        <v>3347</v>
      </c>
      <c r="F5987" t="s">
        <v>231</v>
      </c>
      <c r="G5987" t="s">
        <v>3363</v>
      </c>
      <c r="H5987" s="9">
        <v>44733</v>
      </c>
      <c r="I5987" t="s">
        <v>3102</v>
      </c>
      <c r="J5987" t="s">
        <v>2</v>
      </c>
      <c r="K5987" s="9">
        <v>44834</v>
      </c>
      <c r="L5987" t="s">
        <v>29</v>
      </c>
      <c r="M5987" t="s">
        <v>5331</v>
      </c>
      <c r="N5987" s="9">
        <v>44778</v>
      </c>
      <c r="O5987" s="9">
        <v>44834</v>
      </c>
      <c r="P5987"/>
      <c r="Q5987"/>
      <c r="R5987"/>
      <c r="S5987"/>
      <c r="T5987"/>
      <c r="U5987"/>
    </row>
    <row r="5988" spans="1:21" hidden="1">
      <c r="A5988" s="7" t="s">
        <v>8871</v>
      </c>
      <c r="B5988" s="7" t="s">
        <v>8280</v>
      </c>
      <c r="C5988" s="8" t="s">
        <v>5319</v>
      </c>
      <c r="D5988" t="s">
        <v>266</v>
      </c>
      <c r="E5988" t="s">
        <v>2463</v>
      </c>
      <c r="F5988" t="s">
        <v>231</v>
      </c>
      <c r="G5988" t="s">
        <v>3364</v>
      </c>
      <c r="H5988" s="9">
        <v>44733</v>
      </c>
      <c r="I5988" t="s">
        <v>903</v>
      </c>
      <c r="J5988" t="s">
        <v>2</v>
      </c>
      <c r="K5988" s="9">
        <v>44806.4850925926</v>
      </c>
      <c r="L5988" t="s">
        <v>29</v>
      </c>
      <c r="M5988" t="s">
        <v>5331</v>
      </c>
      <c r="N5988" s="9">
        <v>44778</v>
      </c>
      <c r="O5988"/>
      <c r="P5988"/>
      <c r="Q5988"/>
      <c r="R5988" s="9">
        <v>44806.484525462998</v>
      </c>
      <c r="S5988"/>
      <c r="T5988"/>
      <c r="U5988"/>
    </row>
    <row r="5989" spans="1:21" hidden="1">
      <c r="A5989" s="7" t="s">
        <v>8871</v>
      </c>
      <c r="B5989" s="7" t="s">
        <v>8280</v>
      </c>
      <c r="C5989" s="8" t="s">
        <v>5319</v>
      </c>
      <c r="D5989" t="s">
        <v>266</v>
      </c>
      <c r="E5989" t="s">
        <v>2463</v>
      </c>
      <c r="F5989" t="s">
        <v>231</v>
      </c>
      <c r="G5989" t="s">
        <v>3365</v>
      </c>
      <c r="H5989" s="9">
        <v>44733</v>
      </c>
      <c r="I5989" t="s">
        <v>903</v>
      </c>
      <c r="J5989" t="s">
        <v>2</v>
      </c>
      <c r="K5989" s="9">
        <v>44806.4850925926</v>
      </c>
      <c r="L5989" t="s">
        <v>29</v>
      </c>
      <c r="M5989" t="s">
        <v>5331</v>
      </c>
      <c r="N5989" s="9">
        <v>44778</v>
      </c>
      <c r="O5989"/>
      <c r="P5989"/>
      <c r="Q5989"/>
      <c r="R5989" s="9">
        <v>44806.484525462998</v>
      </c>
      <c r="S5989"/>
      <c r="T5989"/>
      <c r="U5989"/>
    </row>
    <row r="5990" spans="1:21" hidden="1">
      <c r="A5990" s="7" t="s">
        <v>8871</v>
      </c>
      <c r="B5990" s="7" t="s">
        <v>8280</v>
      </c>
      <c r="C5990" s="8" t="s">
        <v>5319</v>
      </c>
      <c r="D5990" t="s">
        <v>266</v>
      </c>
      <c r="E5990" t="s">
        <v>2463</v>
      </c>
      <c r="F5990" t="s">
        <v>231</v>
      </c>
      <c r="G5990" t="s">
        <v>3366</v>
      </c>
      <c r="H5990" s="9">
        <v>44733</v>
      </c>
      <c r="I5990" t="s">
        <v>903</v>
      </c>
      <c r="J5990" t="s">
        <v>2</v>
      </c>
      <c r="K5990" s="9">
        <v>44806.4850925926</v>
      </c>
      <c r="L5990" t="s">
        <v>29</v>
      </c>
      <c r="M5990" t="s">
        <v>5331</v>
      </c>
      <c r="N5990" s="9">
        <v>44778</v>
      </c>
      <c r="O5990"/>
      <c r="P5990"/>
      <c r="Q5990"/>
      <c r="R5990" s="9">
        <v>44806.484525462998</v>
      </c>
      <c r="S5990"/>
      <c r="T5990"/>
      <c r="U5990"/>
    </row>
    <row r="5991" spans="1:21" hidden="1">
      <c r="A5991" s="7" t="s">
        <v>8871</v>
      </c>
      <c r="B5991" s="7" t="s">
        <v>8280</v>
      </c>
      <c r="C5991" s="8" t="s">
        <v>5319</v>
      </c>
      <c r="D5991" t="s">
        <v>266</v>
      </c>
      <c r="E5991" t="s">
        <v>2463</v>
      </c>
      <c r="F5991" t="s">
        <v>231</v>
      </c>
      <c r="G5991" t="s">
        <v>3367</v>
      </c>
      <c r="H5991" s="9">
        <v>44733</v>
      </c>
      <c r="I5991" t="s">
        <v>903</v>
      </c>
      <c r="J5991" t="s">
        <v>2</v>
      </c>
      <c r="K5991" s="9">
        <v>44806.4850925926</v>
      </c>
      <c r="L5991" t="s">
        <v>29</v>
      </c>
      <c r="M5991" t="s">
        <v>5331</v>
      </c>
      <c r="N5991" s="9">
        <v>44778</v>
      </c>
      <c r="O5991"/>
      <c r="P5991"/>
      <c r="Q5991"/>
      <c r="R5991" s="9">
        <v>44806.484525462998</v>
      </c>
      <c r="S5991"/>
      <c r="T5991"/>
      <c r="U5991"/>
    </row>
    <row r="5992" spans="1:21" hidden="1">
      <c r="A5992" s="7" t="s">
        <v>8871</v>
      </c>
      <c r="B5992" s="7" t="s">
        <v>8280</v>
      </c>
      <c r="C5992" s="8" t="s">
        <v>5319</v>
      </c>
      <c r="D5992" t="s">
        <v>266</v>
      </c>
      <c r="E5992" t="s">
        <v>2463</v>
      </c>
      <c r="F5992" t="s">
        <v>231</v>
      </c>
      <c r="G5992" t="s">
        <v>3368</v>
      </c>
      <c r="H5992" s="9">
        <v>44733</v>
      </c>
      <c r="I5992" t="s">
        <v>903</v>
      </c>
      <c r="J5992" t="s">
        <v>2</v>
      </c>
      <c r="K5992" s="9">
        <v>44806.4850925926</v>
      </c>
      <c r="L5992" t="s">
        <v>29</v>
      </c>
      <c r="M5992" t="s">
        <v>5331</v>
      </c>
      <c r="N5992" s="9">
        <v>44778</v>
      </c>
      <c r="O5992"/>
      <c r="P5992"/>
      <c r="Q5992"/>
      <c r="R5992" s="9">
        <v>44806.484525462998</v>
      </c>
      <c r="S5992"/>
      <c r="T5992"/>
      <c r="U5992"/>
    </row>
    <row r="5993" spans="1:21" hidden="1">
      <c r="A5993" s="7" t="s">
        <v>8871</v>
      </c>
      <c r="B5993" s="7" t="s">
        <v>8280</v>
      </c>
      <c r="C5993" s="8" t="s">
        <v>5319</v>
      </c>
      <c r="D5993" t="s">
        <v>266</v>
      </c>
      <c r="E5993" t="s">
        <v>2463</v>
      </c>
      <c r="F5993" t="s">
        <v>231</v>
      </c>
      <c r="G5993" t="s">
        <v>3369</v>
      </c>
      <c r="H5993" s="9">
        <v>44733</v>
      </c>
      <c r="I5993" t="s">
        <v>903</v>
      </c>
      <c r="J5993" t="s">
        <v>2</v>
      </c>
      <c r="K5993" s="9">
        <v>44806.4850925926</v>
      </c>
      <c r="L5993" t="s">
        <v>29</v>
      </c>
      <c r="M5993" t="s">
        <v>5331</v>
      </c>
      <c r="N5993" s="9">
        <v>44778</v>
      </c>
      <c r="O5993"/>
      <c r="P5993"/>
      <c r="Q5993"/>
      <c r="R5993" s="9">
        <v>44806.484525462998</v>
      </c>
      <c r="S5993"/>
      <c r="T5993"/>
      <c r="U5993"/>
    </row>
    <row r="5994" spans="1:21" hidden="1">
      <c r="A5994" s="7" t="s">
        <v>8921</v>
      </c>
      <c r="B5994" s="7" t="s">
        <v>6949</v>
      </c>
      <c r="C5994" s="8" t="s">
        <v>5319</v>
      </c>
      <c r="D5994" t="s">
        <v>266</v>
      </c>
      <c r="E5994" t="s">
        <v>3288</v>
      </c>
      <c r="F5994" t="s">
        <v>75</v>
      </c>
      <c r="G5994" t="s">
        <v>3370</v>
      </c>
      <c r="H5994" s="9">
        <v>44733</v>
      </c>
      <c r="I5994" t="s">
        <v>882</v>
      </c>
      <c r="J5994" t="s">
        <v>2</v>
      </c>
      <c r="K5994" s="9">
        <v>44834</v>
      </c>
      <c r="L5994" t="s">
        <v>29</v>
      </c>
      <c r="M5994" t="s">
        <v>5331</v>
      </c>
      <c r="N5994" s="9">
        <v>44778</v>
      </c>
      <c r="O5994" s="9">
        <v>44834</v>
      </c>
      <c r="P5994"/>
      <c r="Q5994"/>
      <c r="R5994"/>
      <c r="S5994"/>
      <c r="T5994"/>
      <c r="U5994"/>
    </row>
    <row r="5995" spans="1:21" hidden="1">
      <c r="A5995" s="7" t="s">
        <v>8788</v>
      </c>
      <c r="B5995" s="7" t="s">
        <v>7708</v>
      </c>
      <c r="C5995" s="8" t="s">
        <v>5319</v>
      </c>
      <c r="D5995" t="s">
        <v>266</v>
      </c>
      <c r="E5995" t="s">
        <v>905</v>
      </c>
      <c r="F5995" t="s">
        <v>75</v>
      </c>
      <c r="G5995" t="s">
        <v>3371</v>
      </c>
      <c r="H5995" s="9">
        <v>44733</v>
      </c>
      <c r="I5995" t="s">
        <v>408</v>
      </c>
      <c r="J5995" t="s">
        <v>2</v>
      </c>
      <c r="K5995" s="9">
        <v>44834</v>
      </c>
      <c r="L5995" t="s">
        <v>29</v>
      </c>
      <c r="M5995" t="s">
        <v>5331</v>
      </c>
      <c r="N5995" s="9">
        <v>44778</v>
      </c>
      <c r="O5995" s="9">
        <v>44834</v>
      </c>
      <c r="P5995"/>
      <c r="Q5995"/>
      <c r="R5995"/>
      <c r="S5995"/>
      <c r="T5995"/>
      <c r="U5995"/>
    </row>
    <row r="5996" spans="1:21" hidden="1">
      <c r="A5996" s="7" t="s">
        <v>8924</v>
      </c>
      <c r="B5996" s="7" t="s">
        <v>7902</v>
      </c>
      <c r="C5996" s="8" t="s">
        <v>5319</v>
      </c>
      <c r="D5996" t="s">
        <v>266</v>
      </c>
      <c r="E5996" t="s">
        <v>3372</v>
      </c>
      <c r="F5996" t="s">
        <v>117</v>
      </c>
      <c r="G5996" t="s">
        <v>3373</v>
      </c>
      <c r="H5996" s="9">
        <v>44733</v>
      </c>
      <c r="I5996" t="s">
        <v>408</v>
      </c>
      <c r="J5996" t="s">
        <v>2</v>
      </c>
      <c r="K5996" s="9">
        <v>44834</v>
      </c>
      <c r="L5996" t="s">
        <v>29</v>
      </c>
      <c r="M5996" t="s">
        <v>5331</v>
      </c>
      <c r="N5996" s="9">
        <v>44778</v>
      </c>
      <c r="O5996" s="9">
        <v>44834</v>
      </c>
      <c r="P5996"/>
      <c r="Q5996"/>
      <c r="R5996"/>
      <c r="S5996"/>
      <c r="T5996"/>
      <c r="U5996"/>
    </row>
    <row r="5997" spans="1:21" hidden="1">
      <c r="A5997" s="7" t="s">
        <v>8916</v>
      </c>
      <c r="B5997" s="7" t="s">
        <v>6766</v>
      </c>
      <c r="C5997" s="8" t="s">
        <v>5319</v>
      </c>
      <c r="D5997" t="s">
        <v>266</v>
      </c>
      <c r="E5997" t="s">
        <v>3257</v>
      </c>
      <c r="F5997" t="s">
        <v>117</v>
      </c>
      <c r="G5997" t="s">
        <v>3374</v>
      </c>
      <c r="H5997" s="9">
        <v>44733</v>
      </c>
      <c r="I5997" t="s">
        <v>408</v>
      </c>
      <c r="J5997" t="s">
        <v>2</v>
      </c>
      <c r="K5997" s="9">
        <v>44858</v>
      </c>
      <c r="L5997" t="s">
        <v>29</v>
      </c>
      <c r="M5997" t="s">
        <v>5329</v>
      </c>
      <c r="N5997" s="9">
        <v>44778</v>
      </c>
      <c r="O5997" s="9">
        <v>44834</v>
      </c>
      <c r="P5997"/>
      <c r="Q5997"/>
      <c r="R5997"/>
      <c r="S5997"/>
      <c r="T5997"/>
      <c r="U5997"/>
    </row>
    <row r="5998" spans="1:21" hidden="1">
      <c r="A5998" s="7" t="s">
        <v>8789</v>
      </c>
      <c r="B5998" s="7" t="s">
        <v>6643</v>
      </c>
      <c r="C5998" s="8" t="s">
        <v>5319</v>
      </c>
      <c r="D5998" t="s">
        <v>266</v>
      </c>
      <c r="E5998" t="s">
        <v>908</v>
      </c>
      <c r="F5998" t="s">
        <v>83</v>
      </c>
      <c r="G5998" t="s">
        <v>3375</v>
      </c>
      <c r="H5998" s="9">
        <v>44733</v>
      </c>
      <c r="I5998" t="s">
        <v>408</v>
      </c>
      <c r="J5998" t="s">
        <v>2</v>
      </c>
      <c r="K5998" s="9">
        <v>44834</v>
      </c>
      <c r="L5998" t="s">
        <v>29</v>
      </c>
      <c r="M5998" t="s">
        <v>5331</v>
      </c>
      <c r="N5998" s="9">
        <v>44778</v>
      </c>
      <c r="O5998" s="9">
        <v>44834</v>
      </c>
      <c r="P5998"/>
      <c r="Q5998" s="9">
        <v>44888</v>
      </c>
      <c r="R5998"/>
      <c r="S5998"/>
      <c r="T5998"/>
      <c r="U5998"/>
    </row>
    <row r="5999" spans="1:21" hidden="1">
      <c r="A5999" s="7" t="s">
        <v>8844</v>
      </c>
      <c r="B5999" s="7" t="s">
        <v>5466</v>
      </c>
      <c r="C5999" s="8" t="s">
        <v>5319</v>
      </c>
      <c r="D5999" t="s">
        <v>266</v>
      </c>
      <c r="E5999" t="s">
        <v>2119</v>
      </c>
      <c r="F5999" t="s">
        <v>83</v>
      </c>
      <c r="G5999" t="s">
        <v>3376</v>
      </c>
      <c r="H5999" s="9">
        <v>44733</v>
      </c>
      <c r="I5999" t="s">
        <v>2121</v>
      </c>
      <c r="J5999" t="s">
        <v>2</v>
      </c>
      <c r="K5999" s="9">
        <v>44834</v>
      </c>
      <c r="L5999" t="s">
        <v>29</v>
      </c>
      <c r="M5999" t="s">
        <v>5331</v>
      </c>
      <c r="N5999" s="9">
        <v>44778</v>
      </c>
      <c r="O5999" s="9">
        <v>44834</v>
      </c>
      <c r="P5999"/>
      <c r="Q5999"/>
      <c r="R5999"/>
      <c r="S5999"/>
      <c r="T5999"/>
      <c r="U5999"/>
    </row>
    <row r="6000" spans="1:21" hidden="1">
      <c r="A6000" s="7" t="s">
        <v>8844</v>
      </c>
      <c r="B6000" s="7" t="s">
        <v>5466</v>
      </c>
      <c r="C6000" s="8" t="s">
        <v>5319</v>
      </c>
      <c r="D6000" t="s">
        <v>266</v>
      </c>
      <c r="E6000" t="s">
        <v>2119</v>
      </c>
      <c r="F6000" t="s">
        <v>83</v>
      </c>
      <c r="G6000" t="s">
        <v>3377</v>
      </c>
      <c r="H6000" s="9">
        <v>44733</v>
      </c>
      <c r="I6000" t="s">
        <v>2121</v>
      </c>
      <c r="J6000" t="s">
        <v>2</v>
      </c>
      <c r="K6000" s="9">
        <v>44834</v>
      </c>
      <c r="L6000" t="s">
        <v>29</v>
      </c>
      <c r="M6000" t="s">
        <v>5331</v>
      </c>
      <c r="N6000" s="9">
        <v>44778</v>
      </c>
      <c r="O6000" s="9">
        <v>44834</v>
      </c>
      <c r="P6000"/>
      <c r="Q6000"/>
      <c r="R6000"/>
      <c r="S6000"/>
      <c r="T6000"/>
      <c r="U6000"/>
    </row>
    <row r="6001" spans="1:21" hidden="1">
      <c r="A6001" s="7" t="s">
        <v>8844</v>
      </c>
      <c r="B6001" s="7" t="s">
        <v>5466</v>
      </c>
      <c r="C6001" s="8" t="s">
        <v>5319</v>
      </c>
      <c r="D6001" t="s">
        <v>266</v>
      </c>
      <c r="E6001" t="s">
        <v>2119</v>
      </c>
      <c r="F6001" t="s">
        <v>83</v>
      </c>
      <c r="G6001" t="s">
        <v>3378</v>
      </c>
      <c r="H6001" s="9">
        <v>44733</v>
      </c>
      <c r="I6001" t="s">
        <v>2121</v>
      </c>
      <c r="J6001" t="s">
        <v>2</v>
      </c>
      <c r="K6001" s="9">
        <v>44834</v>
      </c>
      <c r="L6001" t="s">
        <v>29</v>
      </c>
      <c r="M6001" t="s">
        <v>5331</v>
      </c>
      <c r="N6001" s="9">
        <v>44778</v>
      </c>
      <c r="O6001" s="9">
        <v>44834</v>
      </c>
      <c r="P6001"/>
      <c r="Q6001"/>
      <c r="R6001"/>
      <c r="S6001"/>
      <c r="T6001"/>
      <c r="U6001"/>
    </row>
    <row r="6002" spans="1:21" hidden="1">
      <c r="A6002" s="7" t="s">
        <v>8795</v>
      </c>
      <c r="B6002" s="7" t="s">
        <v>5590</v>
      </c>
      <c r="C6002" s="8" t="s">
        <v>5319</v>
      </c>
      <c r="D6002" t="s">
        <v>266</v>
      </c>
      <c r="E6002" t="s">
        <v>990</v>
      </c>
      <c r="F6002" t="s">
        <v>111</v>
      </c>
      <c r="G6002" t="s">
        <v>3379</v>
      </c>
      <c r="H6002" s="9">
        <v>44733</v>
      </c>
      <c r="I6002" t="s">
        <v>408</v>
      </c>
      <c r="J6002" t="s">
        <v>2</v>
      </c>
      <c r="K6002" s="9">
        <v>44834</v>
      </c>
      <c r="L6002" t="s">
        <v>29</v>
      </c>
      <c r="M6002" t="s">
        <v>5331</v>
      </c>
      <c r="N6002" s="9">
        <v>44778</v>
      </c>
      <c r="O6002" s="9">
        <v>44834</v>
      </c>
      <c r="P6002"/>
      <c r="Q6002"/>
      <c r="R6002"/>
      <c r="S6002"/>
      <c r="T6002"/>
      <c r="U6002"/>
    </row>
    <row r="6003" spans="1:21" hidden="1">
      <c r="A6003" s="7" t="s">
        <v>8867</v>
      </c>
      <c r="B6003" s="7" t="s">
        <v>7140</v>
      </c>
      <c r="C6003" s="8" t="s">
        <v>5319</v>
      </c>
      <c r="D6003" t="s">
        <v>266</v>
      </c>
      <c r="E6003" t="s">
        <v>2360</v>
      </c>
      <c r="F6003" t="s">
        <v>231</v>
      </c>
      <c r="G6003" t="s">
        <v>3380</v>
      </c>
      <c r="H6003" s="9">
        <v>44733</v>
      </c>
      <c r="I6003" t="s">
        <v>2362</v>
      </c>
      <c r="J6003" t="s">
        <v>2</v>
      </c>
      <c r="K6003" s="9">
        <v>44834</v>
      </c>
      <c r="L6003" t="s">
        <v>29</v>
      </c>
      <c r="M6003" t="s">
        <v>5331</v>
      </c>
      <c r="N6003" s="9">
        <v>44778</v>
      </c>
      <c r="O6003" s="9">
        <v>44834</v>
      </c>
      <c r="P6003"/>
      <c r="Q6003"/>
      <c r="R6003"/>
      <c r="S6003"/>
      <c r="T6003"/>
      <c r="U6003"/>
    </row>
    <row r="6004" spans="1:21" hidden="1">
      <c r="A6004" s="7" t="s">
        <v>8867</v>
      </c>
      <c r="B6004" s="7" t="s">
        <v>7140</v>
      </c>
      <c r="C6004" s="8" t="s">
        <v>5319</v>
      </c>
      <c r="D6004" t="s">
        <v>266</v>
      </c>
      <c r="E6004" t="s">
        <v>2360</v>
      </c>
      <c r="F6004" t="s">
        <v>231</v>
      </c>
      <c r="G6004" t="s">
        <v>3381</v>
      </c>
      <c r="H6004" s="9">
        <v>44733</v>
      </c>
      <c r="I6004" t="s">
        <v>2362</v>
      </c>
      <c r="J6004" t="s">
        <v>2</v>
      </c>
      <c r="K6004" s="9">
        <v>44834</v>
      </c>
      <c r="L6004" t="s">
        <v>29</v>
      </c>
      <c r="M6004" t="s">
        <v>5331</v>
      </c>
      <c r="N6004" s="9">
        <v>44778</v>
      </c>
      <c r="O6004" s="9">
        <v>44834</v>
      </c>
      <c r="P6004"/>
      <c r="Q6004"/>
      <c r="R6004"/>
      <c r="S6004"/>
      <c r="T6004"/>
      <c r="U6004"/>
    </row>
    <row r="6005" spans="1:21" hidden="1">
      <c r="A6005" s="7" t="s">
        <v>8867</v>
      </c>
      <c r="B6005" s="7" t="s">
        <v>7140</v>
      </c>
      <c r="C6005" s="8" t="s">
        <v>5319</v>
      </c>
      <c r="D6005" t="s">
        <v>266</v>
      </c>
      <c r="E6005" t="s">
        <v>2360</v>
      </c>
      <c r="F6005" t="s">
        <v>231</v>
      </c>
      <c r="G6005" t="s">
        <v>3382</v>
      </c>
      <c r="H6005" s="9">
        <v>44733</v>
      </c>
      <c r="I6005" t="s">
        <v>2362</v>
      </c>
      <c r="J6005" t="s">
        <v>2</v>
      </c>
      <c r="K6005" s="9">
        <v>44834</v>
      </c>
      <c r="L6005" t="s">
        <v>29</v>
      </c>
      <c r="M6005" t="s">
        <v>5331</v>
      </c>
      <c r="N6005" s="9">
        <v>44778</v>
      </c>
      <c r="O6005" s="9">
        <v>44834</v>
      </c>
      <c r="P6005"/>
      <c r="Q6005"/>
      <c r="R6005"/>
      <c r="S6005"/>
      <c r="T6005"/>
      <c r="U6005"/>
    </row>
    <row r="6006" spans="1:21" hidden="1">
      <c r="A6006" s="7" t="s">
        <v>8873</v>
      </c>
      <c r="B6006" s="7" t="s">
        <v>7140</v>
      </c>
      <c r="C6006" s="8" t="s">
        <v>5319</v>
      </c>
      <c r="D6006" t="s">
        <v>266</v>
      </c>
      <c r="E6006" t="s">
        <v>2360</v>
      </c>
      <c r="F6006" t="s">
        <v>209</v>
      </c>
      <c r="G6006" t="s">
        <v>3383</v>
      </c>
      <c r="H6006" s="9">
        <v>44733</v>
      </c>
      <c r="I6006" t="s">
        <v>2362</v>
      </c>
      <c r="J6006" t="s">
        <v>2</v>
      </c>
      <c r="K6006" s="9">
        <v>44834</v>
      </c>
      <c r="L6006" t="s">
        <v>29</v>
      </c>
      <c r="M6006" t="s">
        <v>5331</v>
      </c>
      <c r="N6006" s="9">
        <v>44778</v>
      </c>
      <c r="O6006" s="9">
        <v>44834</v>
      </c>
      <c r="P6006"/>
      <c r="Q6006"/>
      <c r="R6006"/>
      <c r="S6006"/>
      <c r="T6006"/>
      <c r="U6006"/>
    </row>
    <row r="6007" spans="1:21" hidden="1">
      <c r="A6007" s="7" t="s">
        <v>8873</v>
      </c>
      <c r="B6007" s="7" t="s">
        <v>7140</v>
      </c>
      <c r="C6007" s="8" t="s">
        <v>5319</v>
      </c>
      <c r="D6007" t="s">
        <v>266</v>
      </c>
      <c r="E6007" t="s">
        <v>2360</v>
      </c>
      <c r="F6007" t="s">
        <v>209</v>
      </c>
      <c r="G6007" t="s">
        <v>3384</v>
      </c>
      <c r="H6007" s="9">
        <v>44733</v>
      </c>
      <c r="I6007" t="s">
        <v>2362</v>
      </c>
      <c r="J6007" t="s">
        <v>2</v>
      </c>
      <c r="K6007" s="9">
        <v>44834</v>
      </c>
      <c r="L6007" t="s">
        <v>29</v>
      </c>
      <c r="M6007" t="s">
        <v>5331</v>
      </c>
      <c r="N6007" s="9">
        <v>44778</v>
      </c>
      <c r="O6007" s="9">
        <v>44834</v>
      </c>
      <c r="P6007"/>
      <c r="Q6007"/>
      <c r="R6007"/>
      <c r="S6007"/>
      <c r="T6007"/>
      <c r="U6007"/>
    </row>
    <row r="6008" spans="1:21" hidden="1">
      <c r="A6008" s="7" t="s">
        <v>8873</v>
      </c>
      <c r="B6008" s="7" t="s">
        <v>7140</v>
      </c>
      <c r="C6008" s="8" t="s">
        <v>5319</v>
      </c>
      <c r="D6008" t="s">
        <v>266</v>
      </c>
      <c r="E6008" t="s">
        <v>2360</v>
      </c>
      <c r="F6008" t="s">
        <v>209</v>
      </c>
      <c r="G6008" t="s">
        <v>3385</v>
      </c>
      <c r="H6008" s="9">
        <v>44733</v>
      </c>
      <c r="I6008" t="s">
        <v>2362</v>
      </c>
      <c r="J6008" t="s">
        <v>2</v>
      </c>
      <c r="K6008" s="9">
        <v>44834</v>
      </c>
      <c r="L6008" t="s">
        <v>29</v>
      </c>
      <c r="M6008" t="s">
        <v>5331</v>
      </c>
      <c r="N6008" s="9">
        <v>44778</v>
      </c>
      <c r="O6008" s="9">
        <v>44834</v>
      </c>
      <c r="P6008"/>
      <c r="Q6008"/>
      <c r="R6008"/>
      <c r="S6008"/>
      <c r="T6008"/>
      <c r="U6008"/>
    </row>
    <row r="6009" spans="1:21" hidden="1">
      <c r="A6009" s="7" t="s">
        <v>8873</v>
      </c>
      <c r="B6009" s="7" t="s">
        <v>7140</v>
      </c>
      <c r="C6009" s="8" t="s">
        <v>5319</v>
      </c>
      <c r="D6009" t="s">
        <v>266</v>
      </c>
      <c r="E6009" t="s">
        <v>2360</v>
      </c>
      <c r="F6009" t="s">
        <v>209</v>
      </c>
      <c r="G6009" t="s">
        <v>3386</v>
      </c>
      <c r="H6009" s="9">
        <v>44733</v>
      </c>
      <c r="I6009" t="s">
        <v>2362</v>
      </c>
      <c r="J6009" t="s">
        <v>2</v>
      </c>
      <c r="K6009" s="9">
        <v>44834</v>
      </c>
      <c r="L6009" t="s">
        <v>29</v>
      </c>
      <c r="M6009" t="s">
        <v>5331</v>
      </c>
      <c r="N6009" s="9">
        <v>44778</v>
      </c>
      <c r="O6009" s="9">
        <v>44834</v>
      </c>
      <c r="P6009"/>
      <c r="Q6009"/>
      <c r="R6009"/>
      <c r="S6009"/>
      <c r="T6009"/>
      <c r="U6009"/>
    </row>
    <row r="6010" spans="1:21" hidden="1">
      <c r="A6010" s="7" t="s">
        <v>8873</v>
      </c>
      <c r="B6010" s="7" t="s">
        <v>7140</v>
      </c>
      <c r="C6010" s="8" t="s">
        <v>5319</v>
      </c>
      <c r="D6010" t="s">
        <v>266</v>
      </c>
      <c r="E6010" t="s">
        <v>2360</v>
      </c>
      <c r="F6010" t="s">
        <v>209</v>
      </c>
      <c r="G6010" t="s">
        <v>3387</v>
      </c>
      <c r="H6010" s="9">
        <v>44733</v>
      </c>
      <c r="I6010" t="s">
        <v>2362</v>
      </c>
      <c r="J6010" t="s">
        <v>2</v>
      </c>
      <c r="K6010" s="9">
        <v>44834</v>
      </c>
      <c r="L6010" t="s">
        <v>29</v>
      </c>
      <c r="M6010" t="s">
        <v>5331</v>
      </c>
      <c r="N6010" s="9">
        <v>44778</v>
      </c>
      <c r="O6010" s="9">
        <v>44834</v>
      </c>
      <c r="P6010"/>
      <c r="Q6010"/>
      <c r="R6010"/>
      <c r="S6010"/>
      <c r="T6010"/>
      <c r="U6010"/>
    </row>
    <row r="6011" spans="1:21" hidden="1">
      <c r="A6011" s="7" t="s">
        <v>8873</v>
      </c>
      <c r="B6011" s="7" t="s">
        <v>7140</v>
      </c>
      <c r="C6011" s="8" t="s">
        <v>5319</v>
      </c>
      <c r="D6011" t="s">
        <v>266</v>
      </c>
      <c r="E6011" t="s">
        <v>2360</v>
      </c>
      <c r="F6011" t="s">
        <v>209</v>
      </c>
      <c r="G6011" t="s">
        <v>3388</v>
      </c>
      <c r="H6011" s="9">
        <v>44733</v>
      </c>
      <c r="I6011" t="s">
        <v>2362</v>
      </c>
      <c r="J6011" t="s">
        <v>2</v>
      </c>
      <c r="K6011" s="9">
        <v>44834</v>
      </c>
      <c r="L6011" t="s">
        <v>29</v>
      </c>
      <c r="M6011" t="s">
        <v>5331</v>
      </c>
      <c r="N6011" s="9">
        <v>44778</v>
      </c>
      <c r="O6011" s="9">
        <v>44834</v>
      </c>
      <c r="P6011"/>
      <c r="Q6011"/>
      <c r="R6011"/>
      <c r="S6011"/>
      <c r="T6011"/>
      <c r="U6011"/>
    </row>
    <row r="6012" spans="1:21" hidden="1">
      <c r="A6012" s="7" t="s">
        <v>8867</v>
      </c>
      <c r="B6012" s="7" t="s">
        <v>7140</v>
      </c>
      <c r="C6012" s="8" t="s">
        <v>5319</v>
      </c>
      <c r="D6012" t="s">
        <v>266</v>
      </c>
      <c r="E6012" t="s">
        <v>2360</v>
      </c>
      <c r="F6012" t="s">
        <v>231</v>
      </c>
      <c r="G6012" t="s">
        <v>3389</v>
      </c>
      <c r="H6012" s="9">
        <v>44733</v>
      </c>
      <c r="I6012" t="s">
        <v>2362</v>
      </c>
      <c r="J6012" t="s">
        <v>2</v>
      </c>
      <c r="K6012" s="9">
        <v>44834</v>
      </c>
      <c r="L6012" t="s">
        <v>29</v>
      </c>
      <c r="M6012" t="s">
        <v>5331</v>
      </c>
      <c r="N6012" s="9">
        <v>44778</v>
      </c>
      <c r="O6012" s="9">
        <v>44834</v>
      </c>
      <c r="P6012"/>
      <c r="Q6012"/>
      <c r="R6012"/>
      <c r="S6012"/>
      <c r="T6012"/>
      <c r="U6012"/>
    </row>
    <row r="6013" spans="1:21" hidden="1">
      <c r="A6013" s="7" t="s">
        <v>8873</v>
      </c>
      <c r="B6013" s="7" t="s">
        <v>7140</v>
      </c>
      <c r="C6013" s="8" t="s">
        <v>5319</v>
      </c>
      <c r="D6013" t="s">
        <v>266</v>
      </c>
      <c r="E6013" t="s">
        <v>2360</v>
      </c>
      <c r="F6013" t="s">
        <v>209</v>
      </c>
      <c r="G6013" t="s">
        <v>3389</v>
      </c>
      <c r="H6013" s="9">
        <v>44733</v>
      </c>
      <c r="I6013" t="s">
        <v>2362</v>
      </c>
      <c r="J6013" t="s">
        <v>2</v>
      </c>
      <c r="K6013" s="9">
        <v>44834</v>
      </c>
      <c r="L6013" t="s">
        <v>29</v>
      </c>
      <c r="M6013" t="s">
        <v>5331</v>
      </c>
      <c r="N6013" s="9">
        <v>44778</v>
      </c>
      <c r="O6013" s="9">
        <v>44834</v>
      </c>
      <c r="P6013"/>
      <c r="Q6013"/>
      <c r="R6013"/>
      <c r="S6013"/>
      <c r="T6013"/>
      <c r="U6013"/>
    </row>
    <row r="6014" spans="1:21" hidden="1">
      <c r="A6014" s="7" t="s">
        <v>8867</v>
      </c>
      <c r="B6014" s="7" t="s">
        <v>7140</v>
      </c>
      <c r="C6014" s="8" t="s">
        <v>5319</v>
      </c>
      <c r="D6014" t="s">
        <v>266</v>
      </c>
      <c r="E6014" t="s">
        <v>2360</v>
      </c>
      <c r="F6014" t="s">
        <v>231</v>
      </c>
      <c r="G6014" t="s">
        <v>3390</v>
      </c>
      <c r="H6014" s="9">
        <v>44733</v>
      </c>
      <c r="I6014" t="s">
        <v>2362</v>
      </c>
      <c r="J6014" t="s">
        <v>2</v>
      </c>
      <c r="K6014" s="9">
        <v>44834</v>
      </c>
      <c r="L6014" t="s">
        <v>29</v>
      </c>
      <c r="M6014" t="s">
        <v>5331</v>
      </c>
      <c r="N6014" s="9">
        <v>44778</v>
      </c>
      <c r="O6014" s="9">
        <v>44834</v>
      </c>
      <c r="P6014"/>
      <c r="Q6014"/>
      <c r="R6014"/>
      <c r="S6014"/>
      <c r="T6014"/>
      <c r="U6014"/>
    </row>
    <row r="6015" spans="1:21" hidden="1">
      <c r="A6015" s="7" t="s">
        <v>8873</v>
      </c>
      <c r="B6015" s="7" t="s">
        <v>7140</v>
      </c>
      <c r="C6015" s="8" t="s">
        <v>5319</v>
      </c>
      <c r="D6015" t="s">
        <v>266</v>
      </c>
      <c r="E6015" t="s">
        <v>2360</v>
      </c>
      <c r="F6015" t="s">
        <v>209</v>
      </c>
      <c r="G6015" t="s">
        <v>3390</v>
      </c>
      <c r="H6015" s="9">
        <v>44733</v>
      </c>
      <c r="I6015" t="s">
        <v>2362</v>
      </c>
      <c r="J6015" t="s">
        <v>2</v>
      </c>
      <c r="K6015" s="9">
        <v>44834</v>
      </c>
      <c r="L6015" t="s">
        <v>29</v>
      </c>
      <c r="M6015" t="s">
        <v>5331</v>
      </c>
      <c r="N6015" s="9">
        <v>44778</v>
      </c>
      <c r="O6015" s="9">
        <v>44834</v>
      </c>
      <c r="P6015"/>
      <c r="Q6015"/>
      <c r="R6015"/>
      <c r="S6015"/>
      <c r="T6015"/>
      <c r="U6015"/>
    </row>
    <row r="6016" spans="1:21" hidden="1">
      <c r="A6016" s="7" t="s">
        <v>8867</v>
      </c>
      <c r="B6016" s="7" t="s">
        <v>7140</v>
      </c>
      <c r="C6016" s="8" t="s">
        <v>5319</v>
      </c>
      <c r="D6016" t="s">
        <v>266</v>
      </c>
      <c r="E6016" t="s">
        <v>2360</v>
      </c>
      <c r="F6016" t="s">
        <v>231</v>
      </c>
      <c r="G6016" t="s">
        <v>3391</v>
      </c>
      <c r="H6016" s="9">
        <v>44733</v>
      </c>
      <c r="I6016" t="s">
        <v>2362</v>
      </c>
      <c r="J6016" t="s">
        <v>2</v>
      </c>
      <c r="K6016" s="9">
        <v>44834</v>
      </c>
      <c r="L6016" t="s">
        <v>29</v>
      </c>
      <c r="M6016" t="s">
        <v>5331</v>
      </c>
      <c r="N6016" s="9">
        <v>44778</v>
      </c>
      <c r="O6016" s="9">
        <v>44834</v>
      </c>
      <c r="P6016"/>
      <c r="Q6016"/>
      <c r="R6016"/>
      <c r="S6016"/>
      <c r="T6016"/>
      <c r="U6016"/>
    </row>
    <row r="6017" spans="1:21" hidden="1">
      <c r="A6017" s="7" t="s">
        <v>8867</v>
      </c>
      <c r="B6017" s="7" t="s">
        <v>7140</v>
      </c>
      <c r="C6017" s="8" t="s">
        <v>5319</v>
      </c>
      <c r="D6017" t="s">
        <v>266</v>
      </c>
      <c r="E6017" t="s">
        <v>2360</v>
      </c>
      <c r="F6017" t="s">
        <v>231</v>
      </c>
      <c r="G6017" t="s">
        <v>3392</v>
      </c>
      <c r="H6017" s="9">
        <v>44733</v>
      </c>
      <c r="I6017" t="s">
        <v>2362</v>
      </c>
      <c r="J6017" t="s">
        <v>2</v>
      </c>
      <c r="K6017" s="9">
        <v>44834</v>
      </c>
      <c r="L6017" t="s">
        <v>29</v>
      </c>
      <c r="M6017" t="s">
        <v>5331</v>
      </c>
      <c r="N6017" s="9">
        <v>44778</v>
      </c>
      <c r="O6017" s="9">
        <v>44834</v>
      </c>
      <c r="P6017"/>
      <c r="Q6017"/>
      <c r="R6017"/>
      <c r="S6017"/>
      <c r="T6017"/>
      <c r="U6017"/>
    </row>
    <row r="6018" spans="1:21" hidden="1">
      <c r="A6018" s="7" t="s">
        <v>8867</v>
      </c>
      <c r="B6018" s="7" t="s">
        <v>7140</v>
      </c>
      <c r="C6018" s="8" t="s">
        <v>5319</v>
      </c>
      <c r="D6018" t="s">
        <v>266</v>
      </c>
      <c r="E6018" t="s">
        <v>2360</v>
      </c>
      <c r="F6018" t="s">
        <v>231</v>
      </c>
      <c r="G6018" t="s">
        <v>3393</v>
      </c>
      <c r="H6018" s="9">
        <v>44733</v>
      </c>
      <c r="I6018" t="s">
        <v>2362</v>
      </c>
      <c r="J6018" t="s">
        <v>2</v>
      </c>
      <c r="K6018" s="9">
        <v>44834</v>
      </c>
      <c r="L6018" t="s">
        <v>29</v>
      </c>
      <c r="M6018" t="s">
        <v>5331</v>
      </c>
      <c r="N6018" s="9">
        <v>44778</v>
      </c>
      <c r="O6018" s="9">
        <v>44834</v>
      </c>
      <c r="P6018"/>
      <c r="Q6018"/>
      <c r="R6018"/>
      <c r="S6018"/>
      <c r="T6018"/>
      <c r="U6018"/>
    </row>
    <row r="6019" spans="1:21" hidden="1">
      <c r="A6019" s="7" t="s">
        <v>8867</v>
      </c>
      <c r="B6019" s="7" t="s">
        <v>7140</v>
      </c>
      <c r="C6019" s="8" t="s">
        <v>5319</v>
      </c>
      <c r="D6019" t="s">
        <v>266</v>
      </c>
      <c r="E6019" t="s">
        <v>2360</v>
      </c>
      <c r="F6019" t="s">
        <v>231</v>
      </c>
      <c r="G6019" t="s">
        <v>3394</v>
      </c>
      <c r="H6019" s="9">
        <v>44733</v>
      </c>
      <c r="I6019" t="s">
        <v>2362</v>
      </c>
      <c r="J6019" t="s">
        <v>2</v>
      </c>
      <c r="K6019" s="9">
        <v>44834</v>
      </c>
      <c r="L6019" t="s">
        <v>29</v>
      </c>
      <c r="M6019" t="s">
        <v>5331</v>
      </c>
      <c r="N6019" s="9">
        <v>44778</v>
      </c>
      <c r="O6019" s="9">
        <v>44834</v>
      </c>
      <c r="P6019"/>
      <c r="Q6019"/>
      <c r="R6019"/>
      <c r="S6019"/>
      <c r="T6019"/>
      <c r="U6019"/>
    </row>
    <row r="6020" spans="1:21" hidden="1">
      <c r="A6020" s="7" t="s">
        <v>8867</v>
      </c>
      <c r="B6020" s="7" t="s">
        <v>7140</v>
      </c>
      <c r="C6020" s="8" t="s">
        <v>5319</v>
      </c>
      <c r="D6020" t="s">
        <v>266</v>
      </c>
      <c r="E6020" t="s">
        <v>2360</v>
      </c>
      <c r="F6020" t="s">
        <v>231</v>
      </c>
      <c r="G6020" t="s">
        <v>3395</v>
      </c>
      <c r="H6020" s="9">
        <v>44733</v>
      </c>
      <c r="I6020" t="s">
        <v>2362</v>
      </c>
      <c r="J6020" t="s">
        <v>2</v>
      </c>
      <c r="K6020" s="9">
        <v>44834</v>
      </c>
      <c r="L6020" t="s">
        <v>29</v>
      </c>
      <c r="M6020" t="s">
        <v>5331</v>
      </c>
      <c r="N6020" s="9">
        <v>44778</v>
      </c>
      <c r="O6020" s="9">
        <v>44834</v>
      </c>
      <c r="P6020"/>
      <c r="Q6020"/>
      <c r="R6020"/>
      <c r="S6020"/>
      <c r="T6020"/>
      <c r="U6020"/>
    </row>
    <row r="6021" spans="1:21" hidden="1">
      <c r="A6021" s="7" t="s">
        <v>8867</v>
      </c>
      <c r="B6021" s="7" t="s">
        <v>7140</v>
      </c>
      <c r="C6021" s="8" t="s">
        <v>5319</v>
      </c>
      <c r="D6021" t="s">
        <v>266</v>
      </c>
      <c r="E6021" t="s">
        <v>2360</v>
      </c>
      <c r="F6021" t="s">
        <v>231</v>
      </c>
      <c r="G6021" t="s">
        <v>3396</v>
      </c>
      <c r="H6021" s="9">
        <v>44733</v>
      </c>
      <c r="I6021" t="s">
        <v>2362</v>
      </c>
      <c r="J6021" t="s">
        <v>2</v>
      </c>
      <c r="K6021" s="9">
        <v>44834</v>
      </c>
      <c r="L6021" t="s">
        <v>29</v>
      </c>
      <c r="M6021" t="s">
        <v>5331</v>
      </c>
      <c r="N6021" s="9">
        <v>44778</v>
      </c>
      <c r="O6021" s="9">
        <v>44834</v>
      </c>
      <c r="P6021"/>
      <c r="Q6021"/>
      <c r="R6021"/>
      <c r="S6021"/>
      <c r="T6021"/>
      <c r="U6021"/>
    </row>
    <row r="6022" spans="1:21" hidden="1">
      <c r="A6022" s="7" t="s">
        <v>8867</v>
      </c>
      <c r="B6022" s="7" t="s">
        <v>7140</v>
      </c>
      <c r="C6022" s="8" t="s">
        <v>5319</v>
      </c>
      <c r="D6022" t="s">
        <v>266</v>
      </c>
      <c r="E6022" t="s">
        <v>2360</v>
      </c>
      <c r="F6022" t="s">
        <v>231</v>
      </c>
      <c r="G6022" t="s">
        <v>3397</v>
      </c>
      <c r="H6022" s="9">
        <v>44733</v>
      </c>
      <c r="I6022" t="s">
        <v>2362</v>
      </c>
      <c r="J6022" t="s">
        <v>2</v>
      </c>
      <c r="K6022" s="9">
        <v>44834</v>
      </c>
      <c r="L6022" t="s">
        <v>29</v>
      </c>
      <c r="M6022" t="s">
        <v>5331</v>
      </c>
      <c r="N6022" s="9">
        <v>44778</v>
      </c>
      <c r="O6022" s="9">
        <v>44834</v>
      </c>
      <c r="P6022"/>
      <c r="Q6022"/>
      <c r="R6022"/>
      <c r="S6022"/>
      <c r="T6022"/>
      <c r="U6022"/>
    </row>
    <row r="6023" spans="1:21" hidden="1">
      <c r="A6023" s="7" t="s">
        <v>8867</v>
      </c>
      <c r="B6023" s="7" t="s">
        <v>7140</v>
      </c>
      <c r="C6023" s="8" t="s">
        <v>5319</v>
      </c>
      <c r="D6023" t="s">
        <v>266</v>
      </c>
      <c r="E6023" t="s">
        <v>2360</v>
      </c>
      <c r="F6023" t="s">
        <v>231</v>
      </c>
      <c r="G6023" t="s">
        <v>3398</v>
      </c>
      <c r="H6023" s="9">
        <v>44733</v>
      </c>
      <c r="I6023" t="s">
        <v>2362</v>
      </c>
      <c r="J6023" t="s">
        <v>2</v>
      </c>
      <c r="K6023" s="9">
        <v>44834</v>
      </c>
      <c r="L6023" t="s">
        <v>29</v>
      </c>
      <c r="M6023" t="s">
        <v>5331</v>
      </c>
      <c r="N6023" s="9">
        <v>44778</v>
      </c>
      <c r="O6023" s="9">
        <v>44834</v>
      </c>
      <c r="P6023"/>
      <c r="Q6023"/>
      <c r="R6023"/>
      <c r="S6023"/>
      <c r="T6023"/>
      <c r="U6023"/>
    </row>
    <row r="6024" spans="1:21" hidden="1">
      <c r="A6024" s="7" t="s">
        <v>8867</v>
      </c>
      <c r="B6024" s="7" t="s">
        <v>7140</v>
      </c>
      <c r="C6024" s="8" t="s">
        <v>5319</v>
      </c>
      <c r="D6024" t="s">
        <v>266</v>
      </c>
      <c r="E6024" t="s">
        <v>2360</v>
      </c>
      <c r="F6024" t="s">
        <v>231</v>
      </c>
      <c r="G6024" t="s">
        <v>3399</v>
      </c>
      <c r="H6024" s="9">
        <v>44733</v>
      </c>
      <c r="I6024" t="s">
        <v>2362</v>
      </c>
      <c r="J6024" t="s">
        <v>2</v>
      </c>
      <c r="K6024" s="9">
        <v>44834</v>
      </c>
      <c r="L6024" t="s">
        <v>29</v>
      </c>
      <c r="M6024" t="s">
        <v>5331</v>
      </c>
      <c r="N6024" s="9">
        <v>44778</v>
      </c>
      <c r="O6024" s="9">
        <v>44834</v>
      </c>
      <c r="P6024"/>
      <c r="Q6024"/>
      <c r="R6024"/>
      <c r="S6024"/>
      <c r="T6024"/>
      <c r="U6024"/>
    </row>
    <row r="6025" spans="1:21" hidden="1">
      <c r="A6025" s="7" t="s">
        <v>8867</v>
      </c>
      <c r="B6025" s="7" t="s">
        <v>7140</v>
      </c>
      <c r="C6025" s="8" t="s">
        <v>5319</v>
      </c>
      <c r="D6025" t="s">
        <v>266</v>
      </c>
      <c r="E6025" t="s">
        <v>2360</v>
      </c>
      <c r="F6025" t="s">
        <v>231</v>
      </c>
      <c r="G6025" t="s">
        <v>3400</v>
      </c>
      <c r="H6025" s="9">
        <v>44733</v>
      </c>
      <c r="I6025" t="s">
        <v>2362</v>
      </c>
      <c r="J6025" t="s">
        <v>2</v>
      </c>
      <c r="K6025" s="9">
        <v>44834</v>
      </c>
      <c r="L6025" t="s">
        <v>29</v>
      </c>
      <c r="M6025" t="s">
        <v>5331</v>
      </c>
      <c r="N6025" s="9">
        <v>44778</v>
      </c>
      <c r="O6025" s="9">
        <v>44834</v>
      </c>
      <c r="P6025"/>
      <c r="Q6025"/>
      <c r="R6025"/>
      <c r="S6025"/>
      <c r="T6025"/>
      <c r="U6025"/>
    </row>
    <row r="6026" spans="1:21" hidden="1">
      <c r="A6026" s="7" t="s">
        <v>8867</v>
      </c>
      <c r="B6026" s="7" t="s">
        <v>7140</v>
      </c>
      <c r="C6026" s="8" t="s">
        <v>5319</v>
      </c>
      <c r="D6026" t="s">
        <v>266</v>
      </c>
      <c r="E6026" t="s">
        <v>2360</v>
      </c>
      <c r="F6026" t="s">
        <v>231</v>
      </c>
      <c r="G6026" t="s">
        <v>3401</v>
      </c>
      <c r="H6026" s="9">
        <v>44733</v>
      </c>
      <c r="I6026" t="s">
        <v>2362</v>
      </c>
      <c r="J6026" t="s">
        <v>2</v>
      </c>
      <c r="K6026" s="9">
        <v>44834</v>
      </c>
      <c r="L6026" t="s">
        <v>29</v>
      </c>
      <c r="M6026" t="s">
        <v>5331</v>
      </c>
      <c r="N6026" s="9">
        <v>44778</v>
      </c>
      <c r="O6026" s="9">
        <v>44834</v>
      </c>
      <c r="P6026"/>
      <c r="Q6026"/>
      <c r="R6026"/>
      <c r="S6026"/>
      <c r="T6026"/>
      <c r="U6026"/>
    </row>
    <row r="6027" spans="1:21" hidden="1">
      <c r="A6027" s="7" t="s">
        <v>8867</v>
      </c>
      <c r="B6027" s="7" t="s">
        <v>7140</v>
      </c>
      <c r="C6027" s="8" t="s">
        <v>5319</v>
      </c>
      <c r="D6027" t="s">
        <v>266</v>
      </c>
      <c r="E6027" t="s">
        <v>2360</v>
      </c>
      <c r="F6027" t="s">
        <v>231</v>
      </c>
      <c r="G6027" t="s">
        <v>3402</v>
      </c>
      <c r="H6027" s="9">
        <v>44733</v>
      </c>
      <c r="I6027" t="s">
        <v>2362</v>
      </c>
      <c r="J6027" t="s">
        <v>2</v>
      </c>
      <c r="K6027" s="9">
        <v>44834</v>
      </c>
      <c r="L6027" t="s">
        <v>29</v>
      </c>
      <c r="M6027" t="s">
        <v>5331</v>
      </c>
      <c r="N6027" s="9">
        <v>44778</v>
      </c>
      <c r="O6027" s="9">
        <v>44834</v>
      </c>
      <c r="P6027"/>
      <c r="Q6027"/>
      <c r="R6027"/>
      <c r="S6027"/>
      <c r="T6027"/>
      <c r="U6027"/>
    </row>
    <row r="6028" spans="1:21" hidden="1">
      <c r="A6028" s="7" t="s">
        <v>8871</v>
      </c>
      <c r="B6028" s="7" t="s">
        <v>8280</v>
      </c>
      <c r="C6028" s="8" t="s">
        <v>5319</v>
      </c>
      <c r="D6028" t="s">
        <v>266</v>
      </c>
      <c r="E6028" t="s">
        <v>2463</v>
      </c>
      <c r="F6028" t="s">
        <v>231</v>
      </c>
      <c r="G6028" t="s">
        <v>3403</v>
      </c>
      <c r="H6028" s="9">
        <v>44733</v>
      </c>
      <c r="I6028" t="s">
        <v>903</v>
      </c>
      <c r="J6028" t="s">
        <v>2</v>
      </c>
      <c r="K6028" s="9">
        <v>44806.4850925926</v>
      </c>
      <c r="L6028" t="s">
        <v>29</v>
      </c>
      <c r="M6028" t="s">
        <v>5331</v>
      </c>
      <c r="N6028" s="9">
        <v>44778</v>
      </c>
      <c r="O6028"/>
      <c r="P6028"/>
      <c r="Q6028"/>
      <c r="R6028" s="9">
        <v>44806.484525462998</v>
      </c>
      <c r="S6028"/>
      <c r="T6028"/>
      <c r="U6028"/>
    </row>
    <row r="6029" spans="1:21" hidden="1">
      <c r="A6029" s="7" t="s">
        <v>8871</v>
      </c>
      <c r="B6029" s="7" t="s">
        <v>8280</v>
      </c>
      <c r="C6029" s="8" t="s">
        <v>5319</v>
      </c>
      <c r="D6029" t="s">
        <v>266</v>
      </c>
      <c r="E6029" t="s">
        <v>2463</v>
      </c>
      <c r="F6029" t="s">
        <v>231</v>
      </c>
      <c r="G6029" t="s">
        <v>3404</v>
      </c>
      <c r="H6029" s="9">
        <v>44733</v>
      </c>
      <c r="I6029" t="s">
        <v>903</v>
      </c>
      <c r="J6029" t="s">
        <v>2</v>
      </c>
      <c r="K6029" s="9">
        <v>44806.4850925926</v>
      </c>
      <c r="L6029" t="s">
        <v>29</v>
      </c>
      <c r="M6029" t="s">
        <v>5331</v>
      </c>
      <c r="N6029" s="9">
        <v>44778</v>
      </c>
      <c r="O6029"/>
      <c r="P6029"/>
      <c r="Q6029"/>
      <c r="R6029" s="9">
        <v>44806.484525462998</v>
      </c>
      <c r="S6029"/>
      <c r="T6029"/>
      <c r="U6029"/>
    </row>
    <row r="6030" spans="1:21" hidden="1">
      <c r="A6030" s="7" t="s">
        <v>8871</v>
      </c>
      <c r="B6030" s="7" t="s">
        <v>8280</v>
      </c>
      <c r="C6030" s="8" t="s">
        <v>5319</v>
      </c>
      <c r="D6030" t="s">
        <v>266</v>
      </c>
      <c r="E6030" t="s">
        <v>2463</v>
      </c>
      <c r="F6030" t="s">
        <v>231</v>
      </c>
      <c r="G6030" t="s">
        <v>3405</v>
      </c>
      <c r="H6030" s="9">
        <v>44733</v>
      </c>
      <c r="I6030" t="s">
        <v>903</v>
      </c>
      <c r="J6030" t="s">
        <v>2</v>
      </c>
      <c r="K6030" s="9">
        <v>44806.4850925926</v>
      </c>
      <c r="L6030" t="s">
        <v>29</v>
      </c>
      <c r="M6030" t="s">
        <v>5331</v>
      </c>
      <c r="N6030" s="9">
        <v>44778</v>
      </c>
      <c r="O6030"/>
      <c r="P6030"/>
      <c r="Q6030"/>
      <c r="R6030" s="9">
        <v>44806.484525462998</v>
      </c>
      <c r="S6030"/>
      <c r="T6030"/>
      <c r="U6030"/>
    </row>
    <row r="6031" spans="1:21" hidden="1">
      <c r="A6031" s="7" t="s">
        <v>8871</v>
      </c>
      <c r="B6031" s="7" t="s">
        <v>8280</v>
      </c>
      <c r="C6031" s="8" t="s">
        <v>5319</v>
      </c>
      <c r="D6031" t="s">
        <v>266</v>
      </c>
      <c r="E6031" t="s">
        <v>2463</v>
      </c>
      <c r="F6031" t="s">
        <v>231</v>
      </c>
      <c r="G6031" t="s">
        <v>3406</v>
      </c>
      <c r="H6031" s="9">
        <v>44733</v>
      </c>
      <c r="I6031" t="s">
        <v>903</v>
      </c>
      <c r="J6031" t="s">
        <v>2</v>
      </c>
      <c r="K6031" s="9">
        <v>44806.4850925926</v>
      </c>
      <c r="L6031" t="s">
        <v>29</v>
      </c>
      <c r="M6031" t="s">
        <v>5331</v>
      </c>
      <c r="N6031" s="9">
        <v>44778</v>
      </c>
      <c r="O6031"/>
      <c r="P6031"/>
      <c r="Q6031"/>
      <c r="R6031" s="9">
        <v>44806.484525462998</v>
      </c>
      <c r="S6031"/>
      <c r="T6031"/>
      <c r="U6031"/>
    </row>
    <row r="6032" spans="1:21" hidden="1">
      <c r="A6032" s="7" t="s">
        <v>8871</v>
      </c>
      <c r="B6032" s="7" t="s">
        <v>8280</v>
      </c>
      <c r="C6032" s="8" t="s">
        <v>5319</v>
      </c>
      <c r="D6032" t="s">
        <v>266</v>
      </c>
      <c r="E6032" t="s">
        <v>2463</v>
      </c>
      <c r="F6032" t="s">
        <v>231</v>
      </c>
      <c r="G6032" t="s">
        <v>3407</v>
      </c>
      <c r="H6032" s="9">
        <v>44733</v>
      </c>
      <c r="I6032" t="s">
        <v>903</v>
      </c>
      <c r="J6032" t="s">
        <v>2</v>
      </c>
      <c r="K6032" s="9">
        <v>44806.4850925926</v>
      </c>
      <c r="L6032" t="s">
        <v>29</v>
      </c>
      <c r="M6032" t="s">
        <v>5331</v>
      </c>
      <c r="N6032" s="9">
        <v>44778</v>
      </c>
      <c r="O6032"/>
      <c r="P6032"/>
      <c r="Q6032"/>
      <c r="R6032" s="9">
        <v>44806.484525462998</v>
      </c>
      <c r="S6032"/>
      <c r="T6032"/>
      <c r="U6032"/>
    </row>
    <row r="6033" spans="1:21" hidden="1">
      <c r="A6033" s="7" t="s">
        <v>8871</v>
      </c>
      <c r="B6033" s="7" t="s">
        <v>8280</v>
      </c>
      <c r="C6033" s="8" t="s">
        <v>5319</v>
      </c>
      <c r="D6033" t="s">
        <v>266</v>
      </c>
      <c r="E6033" t="s">
        <v>2463</v>
      </c>
      <c r="F6033" t="s">
        <v>231</v>
      </c>
      <c r="G6033" t="s">
        <v>3408</v>
      </c>
      <c r="H6033" s="9">
        <v>44733</v>
      </c>
      <c r="I6033" t="s">
        <v>903</v>
      </c>
      <c r="J6033" t="s">
        <v>2</v>
      </c>
      <c r="K6033" s="9">
        <v>44806.4850925926</v>
      </c>
      <c r="L6033" t="s">
        <v>29</v>
      </c>
      <c r="M6033" t="s">
        <v>5331</v>
      </c>
      <c r="N6033" s="9">
        <v>44778</v>
      </c>
      <c r="O6033"/>
      <c r="P6033"/>
      <c r="Q6033"/>
      <c r="R6033" s="9">
        <v>44806.484525462998</v>
      </c>
      <c r="S6033"/>
      <c r="T6033"/>
      <c r="U6033"/>
    </row>
    <row r="6034" spans="1:21" hidden="1">
      <c r="A6034" s="7" t="s">
        <v>8871</v>
      </c>
      <c r="B6034" s="7" t="s">
        <v>8280</v>
      </c>
      <c r="C6034" s="8" t="s">
        <v>5319</v>
      </c>
      <c r="D6034" t="s">
        <v>266</v>
      </c>
      <c r="E6034" t="s">
        <v>2463</v>
      </c>
      <c r="F6034" t="s">
        <v>231</v>
      </c>
      <c r="G6034" t="s">
        <v>3409</v>
      </c>
      <c r="H6034" s="9">
        <v>44733</v>
      </c>
      <c r="I6034" t="s">
        <v>903</v>
      </c>
      <c r="J6034" t="s">
        <v>2</v>
      </c>
      <c r="K6034" s="9">
        <v>44806.4850925926</v>
      </c>
      <c r="L6034" t="s">
        <v>29</v>
      </c>
      <c r="M6034" t="s">
        <v>5331</v>
      </c>
      <c r="N6034" s="9">
        <v>44778</v>
      </c>
      <c r="O6034"/>
      <c r="P6034"/>
      <c r="Q6034"/>
      <c r="R6034" s="9">
        <v>44806.484525462998</v>
      </c>
      <c r="S6034"/>
      <c r="T6034"/>
      <c r="U6034"/>
    </row>
    <row r="6035" spans="1:21" hidden="1">
      <c r="A6035" s="7" t="s">
        <v>8871</v>
      </c>
      <c r="B6035" s="7" t="s">
        <v>8280</v>
      </c>
      <c r="C6035" s="8" t="s">
        <v>5319</v>
      </c>
      <c r="D6035" t="s">
        <v>266</v>
      </c>
      <c r="E6035" t="s">
        <v>2463</v>
      </c>
      <c r="F6035" t="s">
        <v>231</v>
      </c>
      <c r="G6035" t="s">
        <v>3410</v>
      </c>
      <c r="H6035" s="9">
        <v>44733</v>
      </c>
      <c r="I6035" t="s">
        <v>903</v>
      </c>
      <c r="J6035" t="s">
        <v>2</v>
      </c>
      <c r="K6035" s="9">
        <v>44806.4850925926</v>
      </c>
      <c r="L6035" t="s">
        <v>29</v>
      </c>
      <c r="M6035" t="s">
        <v>5331</v>
      </c>
      <c r="N6035" s="9">
        <v>44778</v>
      </c>
      <c r="O6035"/>
      <c r="P6035"/>
      <c r="Q6035"/>
      <c r="R6035" s="9">
        <v>44806.484525462998</v>
      </c>
      <c r="S6035"/>
      <c r="T6035"/>
      <c r="U6035"/>
    </row>
    <row r="6036" spans="1:21" hidden="1">
      <c r="A6036" s="7" t="s">
        <v>8867</v>
      </c>
      <c r="B6036" s="7" t="s">
        <v>7140</v>
      </c>
      <c r="C6036" s="8" t="s">
        <v>5319</v>
      </c>
      <c r="D6036" t="s">
        <v>266</v>
      </c>
      <c r="E6036" t="s">
        <v>2360</v>
      </c>
      <c r="F6036" t="s">
        <v>231</v>
      </c>
      <c r="G6036" t="s">
        <v>3411</v>
      </c>
      <c r="H6036" s="9">
        <v>44733</v>
      </c>
      <c r="I6036" t="s">
        <v>2362</v>
      </c>
      <c r="J6036" t="s">
        <v>2</v>
      </c>
      <c r="K6036" s="9">
        <v>44834</v>
      </c>
      <c r="L6036" t="s">
        <v>29</v>
      </c>
      <c r="M6036" t="s">
        <v>5331</v>
      </c>
      <c r="N6036" s="9">
        <v>44778</v>
      </c>
      <c r="O6036" s="9">
        <v>44834</v>
      </c>
      <c r="P6036"/>
      <c r="Q6036"/>
      <c r="R6036"/>
      <c r="S6036"/>
      <c r="T6036"/>
      <c r="U6036"/>
    </row>
    <row r="6037" spans="1:21" hidden="1">
      <c r="A6037" s="7" t="s">
        <v>8867</v>
      </c>
      <c r="B6037" s="7" t="s">
        <v>7140</v>
      </c>
      <c r="C6037" s="8" t="s">
        <v>5319</v>
      </c>
      <c r="D6037" t="s">
        <v>266</v>
      </c>
      <c r="E6037" t="s">
        <v>2360</v>
      </c>
      <c r="F6037" t="s">
        <v>231</v>
      </c>
      <c r="G6037" t="s">
        <v>3412</v>
      </c>
      <c r="H6037" s="9">
        <v>44733</v>
      </c>
      <c r="I6037" t="s">
        <v>2362</v>
      </c>
      <c r="J6037" t="s">
        <v>2</v>
      </c>
      <c r="K6037" s="9">
        <v>44834</v>
      </c>
      <c r="L6037" t="s">
        <v>29</v>
      </c>
      <c r="M6037" t="s">
        <v>5331</v>
      </c>
      <c r="N6037" s="9">
        <v>44778</v>
      </c>
      <c r="O6037" s="9">
        <v>44834</v>
      </c>
      <c r="P6037"/>
      <c r="Q6037"/>
      <c r="R6037"/>
      <c r="S6037"/>
      <c r="T6037"/>
      <c r="U6037"/>
    </row>
    <row r="6038" spans="1:21" hidden="1">
      <c r="A6038" s="7" t="s">
        <v>8867</v>
      </c>
      <c r="B6038" s="7" t="s">
        <v>7140</v>
      </c>
      <c r="C6038" s="8" t="s">
        <v>5319</v>
      </c>
      <c r="D6038" t="s">
        <v>266</v>
      </c>
      <c r="E6038" t="s">
        <v>2360</v>
      </c>
      <c r="F6038" t="s">
        <v>231</v>
      </c>
      <c r="G6038" t="s">
        <v>3413</v>
      </c>
      <c r="H6038" s="9">
        <v>44733</v>
      </c>
      <c r="I6038" t="s">
        <v>2362</v>
      </c>
      <c r="J6038" t="s">
        <v>2</v>
      </c>
      <c r="K6038" s="9">
        <v>44834</v>
      </c>
      <c r="L6038" t="s">
        <v>29</v>
      </c>
      <c r="M6038" t="s">
        <v>5331</v>
      </c>
      <c r="N6038" s="9">
        <v>44778</v>
      </c>
      <c r="O6038" s="9">
        <v>44834</v>
      </c>
      <c r="P6038"/>
      <c r="Q6038"/>
      <c r="R6038"/>
      <c r="S6038"/>
      <c r="T6038"/>
      <c r="U6038"/>
    </row>
    <row r="6039" spans="1:21" hidden="1">
      <c r="A6039" s="7" t="s">
        <v>8867</v>
      </c>
      <c r="B6039" s="7" t="s">
        <v>7140</v>
      </c>
      <c r="C6039" s="8" t="s">
        <v>5319</v>
      </c>
      <c r="D6039" t="s">
        <v>266</v>
      </c>
      <c r="E6039" t="s">
        <v>2360</v>
      </c>
      <c r="F6039" t="s">
        <v>231</v>
      </c>
      <c r="G6039" t="s">
        <v>3414</v>
      </c>
      <c r="H6039" s="9">
        <v>44733</v>
      </c>
      <c r="I6039" t="s">
        <v>2362</v>
      </c>
      <c r="J6039" t="s">
        <v>2</v>
      </c>
      <c r="K6039" s="9">
        <v>44834</v>
      </c>
      <c r="L6039" t="s">
        <v>29</v>
      </c>
      <c r="M6039" t="s">
        <v>5331</v>
      </c>
      <c r="N6039" s="9">
        <v>44778</v>
      </c>
      <c r="O6039" s="9">
        <v>44834</v>
      </c>
      <c r="P6039"/>
      <c r="Q6039"/>
      <c r="R6039"/>
      <c r="S6039"/>
      <c r="T6039"/>
      <c r="U6039"/>
    </row>
    <row r="6040" spans="1:21" hidden="1">
      <c r="A6040" s="7" t="s">
        <v>8867</v>
      </c>
      <c r="B6040" s="7" t="s">
        <v>7140</v>
      </c>
      <c r="C6040" s="8" t="s">
        <v>5319</v>
      </c>
      <c r="D6040" t="s">
        <v>266</v>
      </c>
      <c r="E6040" t="s">
        <v>2360</v>
      </c>
      <c r="F6040" t="s">
        <v>231</v>
      </c>
      <c r="G6040" t="s">
        <v>3415</v>
      </c>
      <c r="H6040" s="9">
        <v>44733</v>
      </c>
      <c r="I6040" t="s">
        <v>2362</v>
      </c>
      <c r="J6040" t="s">
        <v>2</v>
      </c>
      <c r="K6040" s="9">
        <v>44834</v>
      </c>
      <c r="L6040" t="s">
        <v>29</v>
      </c>
      <c r="M6040" t="s">
        <v>5331</v>
      </c>
      <c r="N6040" s="9">
        <v>44778</v>
      </c>
      <c r="O6040" s="9">
        <v>44834</v>
      </c>
      <c r="P6040"/>
      <c r="Q6040"/>
      <c r="R6040"/>
      <c r="S6040"/>
      <c r="T6040"/>
      <c r="U6040"/>
    </row>
    <row r="6041" spans="1:21" hidden="1">
      <c r="A6041" s="7" t="s">
        <v>8871</v>
      </c>
      <c r="B6041" s="7" t="s">
        <v>8280</v>
      </c>
      <c r="C6041" s="8" t="s">
        <v>5319</v>
      </c>
      <c r="D6041" t="s">
        <v>266</v>
      </c>
      <c r="E6041" t="s">
        <v>2463</v>
      </c>
      <c r="F6041" t="s">
        <v>231</v>
      </c>
      <c r="G6041" t="s">
        <v>3416</v>
      </c>
      <c r="H6041" s="9">
        <v>44733</v>
      </c>
      <c r="I6041" t="s">
        <v>903</v>
      </c>
      <c r="J6041" t="s">
        <v>2</v>
      </c>
      <c r="K6041" s="9">
        <v>44806.4850925926</v>
      </c>
      <c r="L6041" t="s">
        <v>29</v>
      </c>
      <c r="M6041" t="s">
        <v>5331</v>
      </c>
      <c r="N6041" s="9">
        <v>44778</v>
      </c>
      <c r="O6041"/>
      <c r="P6041"/>
      <c r="Q6041"/>
      <c r="R6041" s="9">
        <v>44806.484525462998</v>
      </c>
      <c r="S6041"/>
      <c r="T6041"/>
      <c r="U6041"/>
    </row>
    <row r="6042" spans="1:21" hidden="1">
      <c r="A6042" s="7" t="s">
        <v>8798</v>
      </c>
      <c r="B6042" s="7" t="s">
        <v>7439</v>
      </c>
      <c r="C6042" s="8" t="s">
        <v>5319</v>
      </c>
      <c r="D6042" t="s">
        <v>266</v>
      </c>
      <c r="E6042" t="s">
        <v>1001</v>
      </c>
      <c r="F6042" t="s">
        <v>117</v>
      </c>
      <c r="G6042" t="s">
        <v>3417</v>
      </c>
      <c r="H6042" s="9">
        <v>44733</v>
      </c>
      <c r="I6042" t="s">
        <v>882</v>
      </c>
      <c r="J6042" t="s">
        <v>2</v>
      </c>
      <c r="K6042" s="9">
        <v>44834</v>
      </c>
      <c r="L6042" t="s">
        <v>29</v>
      </c>
      <c r="M6042" t="s">
        <v>5331</v>
      </c>
      <c r="N6042" s="9">
        <v>44778</v>
      </c>
      <c r="O6042" s="9">
        <v>44834</v>
      </c>
      <c r="P6042"/>
      <c r="Q6042"/>
      <c r="R6042"/>
      <c r="S6042"/>
      <c r="T6042"/>
      <c r="U6042"/>
    </row>
    <row r="6043" spans="1:21" hidden="1">
      <c r="A6043" s="7" t="s">
        <v>8867</v>
      </c>
      <c r="B6043" s="7" t="s">
        <v>7140</v>
      </c>
      <c r="C6043" s="8" t="s">
        <v>5319</v>
      </c>
      <c r="D6043" t="s">
        <v>266</v>
      </c>
      <c r="E6043" t="s">
        <v>2360</v>
      </c>
      <c r="F6043" t="s">
        <v>231</v>
      </c>
      <c r="G6043" t="s">
        <v>3418</v>
      </c>
      <c r="H6043" s="9">
        <v>44733</v>
      </c>
      <c r="I6043" t="s">
        <v>2362</v>
      </c>
      <c r="J6043" t="s">
        <v>2</v>
      </c>
      <c r="K6043" s="9">
        <v>44834</v>
      </c>
      <c r="L6043" t="s">
        <v>29</v>
      </c>
      <c r="M6043" t="s">
        <v>5331</v>
      </c>
      <c r="N6043" s="9">
        <v>44778</v>
      </c>
      <c r="O6043" s="9">
        <v>44834</v>
      </c>
      <c r="P6043"/>
      <c r="Q6043"/>
      <c r="R6043"/>
      <c r="S6043"/>
      <c r="T6043"/>
      <c r="U6043"/>
    </row>
    <row r="6044" spans="1:21" hidden="1">
      <c r="A6044" s="7" t="s">
        <v>8867</v>
      </c>
      <c r="B6044" s="7" t="s">
        <v>7140</v>
      </c>
      <c r="C6044" s="8" t="s">
        <v>5319</v>
      </c>
      <c r="D6044" t="s">
        <v>266</v>
      </c>
      <c r="E6044" t="s">
        <v>2360</v>
      </c>
      <c r="F6044" t="s">
        <v>231</v>
      </c>
      <c r="G6044" t="s">
        <v>3419</v>
      </c>
      <c r="H6044" s="9">
        <v>44733</v>
      </c>
      <c r="I6044" t="s">
        <v>2362</v>
      </c>
      <c r="J6044" t="s">
        <v>2</v>
      </c>
      <c r="K6044" s="9">
        <v>44834</v>
      </c>
      <c r="L6044" t="s">
        <v>29</v>
      </c>
      <c r="M6044" t="s">
        <v>5331</v>
      </c>
      <c r="N6044" s="9">
        <v>44778</v>
      </c>
      <c r="O6044" s="9">
        <v>44834</v>
      </c>
      <c r="P6044"/>
      <c r="Q6044"/>
      <c r="R6044"/>
      <c r="S6044"/>
      <c r="T6044"/>
      <c r="U6044"/>
    </row>
    <row r="6045" spans="1:21" hidden="1">
      <c r="A6045" s="7" t="s">
        <v>8844</v>
      </c>
      <c r="B6045" s="7" t="s">
        <v>5466</v>
      </c>
      <c r="C6045" s="8" t="s">
        <v>5319</v>
      </c>
      <c r="D6045" t="s">
        <v>266</v>
      </c>
      <c r="E6045" t="s">
        <v>2119</v>
      </c>
      <c r="F6045" t="s">
        <v>83</v>
      </c>
      <c r="G6045" t="s">
        <v>3420</v>
      </c>
      <c r="H6045" s="9">
        <v>44733</v>
      </c>
      <c r="I6045" t="s">
        <v>2121</v>
      </c>
      <c r="J6045" t="s">
        <v>2</v>
      </c>
      <c r="K6045" s="9">
        <v>44834</v>
      </c>
      <c r="L6045" t="s">
        <v>29</v>
      </c>
      <c r="M6045" t="s">
        <v>5331</v>
      </c>
      <c r="N6045" s="9">
        <v>44778</v>
      </c>
      <c r="O6045" s="9">
        <v>44834</v>
      </c>
      <c r="P6045"/>
      <c r="Q6045"/>
      <c r="R6045"/>
      <c r="S6045"/>
      <c r="T6045"/>
      <c r="U6045"/>
    </row>
    <row r="6046" spans="1:21" hidden="1">
      <c r="A6046" s="7" t="s">
        <v>8781</v>
      </c>
      <c r="B6046" s="7" t="s">
        <v>8313</v>
      </c>
      <c r="C6046" s="8" t="s">
        <v>5319</v>
      </c>
      <c r="D6046" t="s">
        <v>266</v>
      </c>
      <c r="E6046" t="s">
        <v>880</v>
      </c>
      <c r="F6046" t="s">
        <v>231</v>
      </c>
      <c r="G6046" t="s">
        <v>3421</v>
      </c>
      <c r="H6046" s="9">
        <v>44733</v>
      </c>
      <c r="I6046" t="s">
        <v>882</v>
      </c>
      <c r="J6046" t="s">
        <v>276</v>
      </c>
      <c r="K6046" s="9">
        <v>44881.653749999998</v>
      </c>
      <c r="L6046" t="s">
        <v>29</v>
      </c>
      <c r="M6046" t="s">
        <v>5331</v>
      </c>
      <c r="N6046" s="9">
        <v>44778</v>
      </c>
      <c r="O6046" s="9">
        <v>44834</v>
      </c>
      <c r="P6046"/>
      <c r="Q6046"/>
      <c r="R6046" s="9">
        <v>44881.650972222204</v>
      </c>
      <c r="S6046"/>
      <c r="T6046"/>
      <c r="U6046"/>
    </row>
    <row r="6047" spans="1:21" hidden="1">
      <c r="A6047" s="7" t="s">
        <v>8781</v>
      </c>
      <c r="B6047" s="7" t="s">
        <v>8313</v>
      </c>
      <c r="C6047" s="8" t="s">
        <v>5319</v>
      </c>
      <c r="D6047" t="s">
        <v>266</v>
      </c>
      <c r="E6047" t="s">
        <v>880</v>
      </c>
      <c r="F6047" t="s">
        <v>231</v>
      </c>
      <c r="G6047" t="s">
        <v>3422</v>
      </c>
      <c r="H6047" s="9">
        <v>44733</v>
      </c>
      <c r="I6047" t="s">
        <v>882</v>
      </c>
      <c r="J6047" t="s">
        <v>276</v>
      </c>
      <c r="K6047" s="9">
        <v>44881.653749999998</v>
      </c>
      <c r="L6047" t="s">
        <v>29</v>
      </c>
      <c r="M6047" t="s">
        <v>5331</v>
      </c>
      <c r="N6047" s="9">
        <v>44778</v>
      </c>
      <c r="O6047" s="9">
        <v>44834</v>
      </c>
      <c r="P6047"/>
      <c r="Q6047"/>
      <c r="R6047" s="9">
        <v>44881.650972222204</v>
      </c>
      <c r="S6047"/>
      <c r="T6047"/>
      <c r="U6047"/>
    </row>
    <row r="6048" spans="1:21" hidden="1">
      <c r="A6048" s="7" t="s">
        <v>8916</v>
      </c>
      <c r="B6048" s="7" t="s">
        <v>6766</v>
      </c>
      <c r="C6048" s="8" t="s">
        <v>5319</v>
      </c>
      <c r="D6048" t="s">
        <v>266</v>
      </c>
      <c r="E6048" t="s">
        <v>3257</v>
      </c>
      <c r="F6048" t="s">
        <v>117</v>
      </c>
      <c r="G6048" t="s">
        <v>3423</v>
      </c>
      <c r="H6048" s="9">
        <v>44733</v>
      </c>
      <c r="I6048" t="s">
        <v>408</v>
      </c>
      <c r="J6048" t="s">
        <v>2</v>
      </c>
      <c r="K6048" s="9">
        <v>44858</v>
      </c>
      <c r="L6048" t="s">
        <v>29</v>
      </c>
      <c r="M6048" t="s">
        <v>5329</v>
      </c>
      <c r="N6048" s="9">
        <v>44778</v>
      </c>
      <c r="O6048" s="9">
        <v>44834</v>
      </c>
      <c r="P6048"/>
      <c r="Q6048"/>
      <c r="R6048"/>
      <c r="S6048"/>
      <c r="T6048"/>
      <c r="U6048"/>
    </row>
    <row r="6049" spans="1:21" hidden="1">
      <c r="A6049" s="7" t="s">
        <v>8916</v>
      </c>
      <c r="B6049" s="7" t="s">
        <v>6766</v>
      </c>
      <c r="C6049" s="8" t="s">
        <v>5319</v>
      </c>
      <c r="D6049" t="s">
        <v>266</v>
      </c>
      <c r="E6049" t="s">
        <v>3257</v>
      </c>
      <c r="F6049" t="s">
        <v>117</v>
      </c>
      <c r="G6049" t="s">
        <v>3424</v>
      </c>
      <c r="H6049" s="9">
        <v>44733</v>
      </c>
      <c r="I6049" t="s">
        <v>408</v>
      </c>
      <c r="J6049" t="s">
        <v>2</v>
      </c>
      <c r="K6049" s="9">
        <v>44858</v>
      </c>
      <c r="L6049" t="s">
        <v>29</v>
      </c>
      <c r="M6049" t="s">
        <v>5329</v>
      </c>
      <c r="N6049" s="9">
        <v>44778</v>
      </c>
      <c r="O6049" s="9">
        <v>44834</v>
      </c>
      <c r="P6049"/>
      <c r="Q6049"/>
      <c r="R6049"/>
      <c r="S6049"/>
      <c r="T6049"/>
      <c r="U6049"/>
    </row>
    <row r="6050" spans="1:21" hidden="1">
      <c r="A6050" s="7" t="s">
        <v>8916</v>
      </c>
      <c r="B6050" s="7" t="s">
        <v>6766</v>
      </c>
      <c r="C6050" s="8" t="s">
        <v>5319</v>
      </c>
      <c r="D6050" t="s">
        <v>266</v>
      </c>
      <c r="E6050" t="s">
        <v>3257</v>
      </c>
      <c r="F6050" t="s">
        <v>117</v>
      </c>
      <c r="G6050" t="s">
        <v>3425</v>
      </c>
      <c r="H6050" s="9">
        <v>44733</v>
      </c>
      <c r="I6050" t="s">
        <v>408</v>
      </c>
      <c r="J6050" t="s">
        <v>2</v>
      </c>
      <c r="K6050" s="9">
        <v>44858</v>
      </c>
      <c r="L6050" t="s">
        <v>29</v>
      </c>
      <c r="M6050" t="s">
        <v>5329</v>
      </c>
      <c r="N6050" s="9">
        <v>44778</v>
      </c>
      <c r="O6050" s="9">
        <v>44834</v>
      </c>
      <c r="P6050"/>
      <c r="Q6050"/>
      <c r="R6050"/>
      <c r="S6050"/>
      <c r="T6050"/>
      <c r="U6050"/>
    </row>
    <row r="6051" spans="1:21" hidden="1">
      <c r="A6051" s="7" t="s">
        <v>8924</v>
      </c>
      <c r="B6051" s="7" t="s">
        <v>7902</v>
      </c>
      <c r="C6051" s="8" t="s">
        <v>5319</v>
      </c>
      <c r="D6051" t="s">
        <v>266</v>
      </c>
      <c r="E6051" t="s">
        <v>3372</v>
      </c>
      <c r="F6051" t="s">
        <v>117</v>
      </c>
      <c r="G6051" t="s">
        <v>3426</v>
      </c>
      <c r="H6051" s="9">
        <v>44733</v>
      </c>
      <c r="I6051" t="s">
        <v>408</v>
      </c>
      <c r="J6051" t="s">
        <v>2</v>
      </c>
      <c r="K6051" s="9">
        <v>44834</v>
      </c>
      <c r="L6051" t="s">
        <v>29</v>
      </c>
      <c r="M6051" t="s">
        <v>5331</v>
      </c>
      <c r="N6051" s="9">
        <v>44778</v>
      </c>
      <c r="O6051" s="9">
        <v>44834</v>
      </c>
      <c r="P6051"/>
      <c r="Q6051"/>
      <c r="R6051"/>
      <c r="S6051"/>
      <c r="T6051"/>
      <c r="U6051"/>
    </row>
    <row r="6052" spans="1:21" hidden="1">
      <c r="A6052" s="7" t="s">
        <v>8924</v>
      </c>
      <c r="B6052" s="7" t="s">
        <v>7902</v>
      </c>
      <c r="C6052" s="8" t="s">
        <v>5319</v>
      </c>
      <c r="D6052" t="s">
        <v>266</v>
      </c>
      <c r="E6052" t="s">
        <v>3372</v>
      </c>
      <c r="F6052" t="s">
        <v>117</v>
      </c>
      <c r="G6052" t="s">
        <v>3427</v>
      </c>
      <c r="H6052" s="9">
        <v>44733</v>
      </c>
      <c r="I6052" t="s">
        <v>408</v>
      </c>
      <c r="J6052" t="s">
        <v>2</v>
      </c>
      <c r="K6052" s="9">
        <v>44834</v>
      </c>
      <c r="L6052" t="s">
        <v>29</v>
      </c>
      <c r="M6052" t="s">
        <v>5331</v>
      </c>
      <c r="N6052" s="9">
        <v>44778</v>
      </c>
      <c r="O6052" s="9">
        <v>44834</v>
      </c>
      <c r="P6052"/>
      <c r="Q6052"/>
      <c r="R6052"/>
      <c r="S6052"/>
      <c r="T6052"/>
      <c r="U6052"/>
    </row>
    <row r="6053" spans="1:21" hidden="1">
      <c r="A6053" s="7" t="s">
        <v>8795</v>
      </c>
      <c r="B6053" s="7" t="s">
        <v>5590</v>
      </c>
      <c r="C6053" s="8" t="s">
        <v>5319</v>
      </c>
      <c r="D6053" t="s">
        <v>266</v>
      </c>
      <c r="E6053" t="s">
        <v>990</v>
      </c>
      <c r="F6053" t="s">
        <v>111</v>
      </c>
      <c r="G6053" t="s">
        <v>3428</v>
      </c>
      <c r="H6053" s="9">
        <v>44733</v>
      </c>
      <c r="I6053" t="s">
        <v>408</v>
      </c>
      <c r="J6053" t="s">
        <v>2</v>
      </c>
      <c r="K6053" s="9">
        <v>44834</v>
      </c>
      <c r="L6053" t="s">
        <v>29</v>
      </c>
      <c r="M6053" t="s">
        <v>5331</v>
      </c>
      <c r="N6053" s="9">
        <v>44778</v>
      </c>
      <c r="O6053" s="9">
        <v>44834</v>
      </c>
      <c r="P6053"/>
      <c r="Q6053"/>
      <c r="R6053"/>
      <c r="S6053"/>
      <c r="T6053"/>
      <c r="U6053"/>
    </row>
    <row r="6054" spans="1:21" hidden="1">
      <c r="A6054" s="7" t="s">
        <v>8873</v>
      </c>
      <c r="B6054" s="7" t="s">
        <v>7140</v>
      </c>
      <c r="C6054" s="8" t="s">
        <v>5319</v>
      </c>
      <c r="D6054" t="s">
        <v>266</v>
      </c>
      <c r="E6054" t="s">
        <v>2360</v>
      </c>
      <c r="F6054" t="s">
        <v>209</v>
      </c>
      <c r="G6054" t="s">
        <v>3429</v>
      </c>
      <c r="H6054" s="9">
        <v>44733</v>
      </c>
      <c r="I6054" t="s">
        <v>2362</v>
      </c>
      <c r="J6054" t="s">
        <v>2</v>
      </c>
      <c r="K6054" s="9">
        <v>44834</v>
      </c>
      <c r="L6054" t="s">
        <v>29</v>
      </c>
      <c r="M6054" t="s">
        <v>5331</v>
      </c>
      <c r="N6054" s="9">
        <v>44778</v>
      </c>
      <c r="O6054" s="9">
        <v>44834</v>
      </c>
      <c r="P6054"/>
      <c r="Q6054"/>
      <c r="R6054"/>
      <c r="S6054"/>
      <c r="T6054"/>
      <c r="U6054"/>
    </row>
    <row r="6055" spans="1:21" hidden="1">
      <c r="A6055" s="7" t="s">
        <v>8873</v>
      </c>
      <c r="B6055" s="7" t="s">
        <v>7140</v>
      </c>
      <c r="C6055" s="8" t="s">
        <v>5319</v>
      </c>
      <c r="D6055" t="s">
        <v>266</v>
      </c>
      <c r="E6055" t="s">
        <v>2360</v>
      </c>
      <c r="F6055" t="s">
        <v>209</v>
      </c>
      <c r="G6055" t="s">
        <v>3430</v>
      </c>
      <c r="H6055" s="9">
        <v>44733</v>
      </c>
      <c r="I6055" t="s">
        <v>2362</v>
      </c>
      <c r="J6055" t="s">
        <v>2</v>
      </c>
      <c r="K6055" s="9">
        <v>44834</v>
      </c>
      <c r="L6055" t="s">
        <v>29</v>
      </c>
      <c r="M6055" t="s">
        <v>5331</v>
      </c>
      <c r="N6055" s="9">
        <v>44778</v>
      </c>
      <c r="O6055" s="9">
        <v>44834</v>
      </c>
      <c r="P6055"/>
      <c r="Q6055"/>
      <c r="R6055"/>
      <c r="S6055"/>
      <c r="T6055"/>
      <c r="U6055"/>
    </row>
    <row r="6056" spans="1:21" hidden="1">
      <c r="A6056" s="7" t="s">
        <v>8795</v>
      </c>
      <c r="B6056" s="7" t="s">
        <v>5590</v>
      </c>
      <c r="C6056" s="8" t="s">
        <v>5319</v>
      </c>
      <c r="D6056" t="s">
        <v>266</v>
      </c>
      <c r="E6056" t="s">
        <v>990</v>
      </c>
      <c r="F6056" t="s">
        <v>111</v>
      </c>
      <c r="G6056" t="s">
        <v>3431</v>
      </c>
      <c r="H6056" s="9">
        <v>44733</v>
      </c>
      <c r="I6056" t="s">
        <v>408</v>
      </c>
      <c r="J6056" t="s">
        <v>2</v>
      </c>
      <c r="K6056" s="9">
        <v>44834</v>
      </c>
      <c r="L6056" t="s">
        <v>29</v>
      </c>
      <c r="M6056" t="s">
        <v>5331</v>
      </c>
      <c r="N6056" s="9">
        <v>44778</v>
      </c>
      <c r="O6056" s="9">
        <v>44834</v>
      </c>
      <c r="P6056"/>
      <c r="Q6056"/>
      <c r="R6056"/>
      <c r="S6056"/>
      <c r="T6056"/>
      <c r="U6056"/>
    </row>
    <row r="6057" spans="1:21" hidden="1">
      <c r="A6057" s="7" t="s">
        <v>8922</v>
      </c>
      <c r="B6057" s="7" t="s">
        <v>8091</v>
      </c>
      <c r="C6057" s="8" t="s">
        <v>5319</v>
      </c>
      <c r="D6057" t="s">
        <v>266</v>
      </c>
      <c r="E6057" t="s">
        <v>3333</v>
      </c>
      <c r="F6057" t="s">
        <v>117</v>
      </c>
      <c r="G6057" t="s">
        <v>3432</v>
      </c>
      <c r="H6057" s="9">
        <v>44733</v>
      </c>
      <c r="I6057" t="s">
        <v>903</v>
      </c>
      <c r="J6057" t="s">
        <v>2</v>
      </c>
      <c r="K6057" s="9">
        <v>44834</v>
      </c>
      <c r="L6057" t="s">
        <v>29</v>
      </c>
      <c r="M6057" t="s">
        <v>5331</v>
      </c>
      <c r="N6057" s="9">
        <v>44778</v>
      </c>
      <c r="O6057" s="9">
        <v>44834</v>
      </c>
      <c r="P6057"/>
      <c r="Q6057"/>
      <c r="R6057"/>
      <c r="S6057"/>
      <c r="T6057"/>
      <c r="U6057"/>
    </row>
    <row r="6058" spans="1:21" hidden="1">
      <c r="A6058" s="7" t="s">
        <v>8922</v>
      </c>
      <c r="B6058" s="7" t="s">
        <v>8091</v>
      </c>
      <c r="C6058" s="8" t="s">
        <v>5319</v>
      </c>
      <c r="D6058" t="s">
        <v>266</v>
      </c>
      <c r="E6058" t="s">
        <v>3333</v>
      </c>
      <c r="F6058" t="s">
        <v>117</v>
      </c>
      <c r="G6058" t="s">
        <v>3433</v>
      </c>
      <c r="H6058" s="9">
        <v>44733</v>
      </c>
      <c r="I6058" t="s">
        <v>903</v>
      </c>
      <c r="J6058" t="s">
        <v>2</v>
      </c>
      <c r="K6058" s="9">
        <v>44834</v>
      </c>
      <c r="L6058" t="s">
        <v>29</v>
      </c>
      <c r="M6058" t="s">
        <v>5331</v>
      </c>
      <c r="N6058" s="9">
        <v>44778</v>
      </c>
      <c r="O6058" s="9">
        <v>44834</v>
      </c>
      <c r="P6058"/>
      <c r="Q6058"/>
      <c r="R6058"/>
      <c r="S6058"/>
      <c r="T6058"/>
      <c r="U6058"/>
    </row>
    <row r="6059" spans="1:21" hidden="1">
      <c r="A6059" s="7" t="s">
        <v>8922</v>
      </c>
      <c r="B6059" s="7" t="s">
        <v>8091</v>
      </c>
      <c r="C6059" s="8" t="s">
        <v>5319</v>
      </c>
      <c r="D6059" t="s">
        <v>266</v>
      </c>
      <c r="E6059" t="s">
        <v>3333</v>
      </c>
      <c r="F6059" t="s">
        <v>117</v>
      </c>
      <c r="G6059" t="s">
        <v>3434</v>
      </c>
      <c r="H6059" s="9">
        <v>44733</v>
      </c>
      <c r="I6059" t="s">
        <v>903</v>
      </c>
      <c r="J6059" t="s">
        <v>2</v>
      </c>
      <c r="K6059" s="9">
        <v>44834</v>
      </c>
      <c r="L6059" t="s">
        <v>29</v>
      </c>
      <c r="M6059" t="s">
        <v>5331</v>
      </c>
      <c r="N6059" s="9">
        <v>44778</v>
      </c>
      <c r="O6059" s="9">
        <v>44834</v>
      </c>
      <c r="P6059"/>
      <c r="Q6059"/>
      <c r="R6059"/>
      <c r="S6059"/>
      <c r="T6059"/>
      <c r="U6059"/>
    </row>
    <row r="6060" spans="1:21" hidden="1">
      <c r="A6060" s="7" t="s">
        <v>8922</v>
      </c>
      <c r="B6060" s="7" t="s">
        <v>8091</v>
      </c>
      <c r="C6060" s="8" t="s">
        <v>5319</v>
      </c>
      <c r="D6060" t="s">
        <v>266</v>
      </c>
      <c r="E6060" t="s">
        <v>3333</v>
      </c>
      <c r="F6060" t="s">
        <v>117</v>
      </c>
      <c r="G6060" t="s">
        <v>3435</v>
      </c>
      <c r="H6060" s="9">
        <v>44733</v>
      </c>
      <c r="I6060" t="s">
        <v>903</v>
      </c>
      <c r="J6060" t="s">
        <v>2</v>
      </c>
      <c r="K6060" s="9">
        <v>44834</v>
      </c>
      <c r="L6060" t="s">
        <v>29</v>
      </c>
      <c r="M6060" t="s">
        <v>5331</v>
      </c>
      <c r="N6060" s="9">
        <v>44778</v>
      </c>
      <c r="O6060" s="9">
        <v>44834</v>
      </c>
      <c r="P6060"/>
      <c r="Q6060"/>
      <c r="R6060"/>
      <c r="S6060"/>
      <c r="T6060"/>
      <c r="U6060"/>
    </row>
    <row r="6061" spans="1:21" hidden="1">
      <c r="A6061" s="7" t="s">
        <v>8922</v>
      </c>
      <c r="B6061" s="7" t="s">
        <v>8091</v>
      </c>
      <c r="C6061" s="8" t="s">
        <v>5319</v>
      </c>
      <c r="D6061" t="s">
        <v>266</v>
      </c>
      <c r="E6061" t="s">
        <v>3333</v>
      </c>
      <c r="F6061" t="s">
        <v>117</v>
      </c>
      <c r="G6061" t="s">
        <v>3436</v>
      </c>
      <c r="H6061" s="9">
        <v>44733</v>
      </c>
      <c r="I6061" t="s">
        <v>903</v>
      </c>
      <c r="J6061" t="s">
        <v>2</v>
      </c>
      <c r="K6061" s="9">
        <v>44834</v>
      </c>
      <c r="L6061" t="s">
        <v>29</v>
      </c>
      <c r="M6061" t="s">
        <v>5331</v>
      </c>
      <c r="N6061" s="9">
        <v>44778</v>
      </c>
      <c r="O6061" s="9">
        <v>44834</v>
      </c>
      <c r="P6061"/>
      <c r="Q6061"/>
      <c r="R6061"/>
      <c r="S6061"/>
      <c r="T6061"/>
      <c r="U6061"/>
    </row>
    <row r="6062" spans="1:21" hidden="1">
      <c r="A6062" s="7" t="s">
        <v>8922</v>
      </c>
      <c r="B6062" s="7" t="s">
        <v>8091</v>
      </c>
      <c r="C6062" s="8" t="s">
        <v>5319</v>
      </c>
      <c r="D6062" t="s">
        <v>266</v>
      </c>
      <c r="E6062" t="s">
        <v>3333</v>
      </c>
      <c r="F6062" t="s">
        <v>117</v>
      </c>
      <c r="G6062" t="s">
        <v>3437</v>
      </c>
      <c r="H6062" s="9">
        <v>44733</v>
      </c>
      <c r="I6062" t="s">
        <v>903</v>
      </c>
      <c r="J6062" t="s">
        <v>2</v>
      </c>
      <c r="K6062" s="9">
        <v>44834</v>
      </c>
      <c r="L6062" t="s">
        <v>29</v>
      </c>
      <c r="M6062" t="s">
        <v>5331</v>
      </c>
      <c r="N6062" s="9">
        <v>44778</v>
      </c>
      <c r="O6062" s="9">
        <v>44834</v>
      </c>
      <c r="P6062"/>
      <c r="Q6062"/>
      <c r="R6062"/>
      <c r="S6062"/>
      <c r="T6062"/>
      <c r="U6062"/>
    </row>
    <row r="6063" spans="1:21" hidden="1">
      <c r="A6063" s="7" t="s">
        <v>8922</v>
      </c>
      <c r="B6063" s="7" t="s">
        <v>8091</v>
      </c>
      <c r="C6063" s="8" t="s">
        <v>5319</v>
      </c>
      <c r="D6063" t="s">
        <v>266</v>
      </c>
      <c r="E6063" t="s">
        <v>3333</v>
      </c>
      <c r="F6063" t="s">
        <v>117</v>
      </c>
      <c r="G6063" t="s">
        <v>3438</v>
      </c>
      <c r="H6063" s="9">
        <v>44733</v>
      </c>
      <c r="I6063" t="s">
        <v>903</v>
      </c>
      <c r="J6063" t="s">
        <v>2</v>
      </c>
      <c r="K6063" s="9">
        <v>44834</v>
      </c>
      <c r="L6063" t="s">
        <v>29</v>
      </c>
      <c r="M6063" t="s">
        <v>5331</v>
      </c>
      <c r="N6063" s="9">
        <v>44778</v>
      </c>
      <c r="O6063" s="9">
        <v>44834</v>
      </c>
      <c r="P6063"/>
      <c r="Q6063"/>
      <c r="R6063"/>
      <c r="S6063"/>
      <c r="T6063"/>
      <c r="U6063"/>
    </row>
    <row r="6064" spans="1:21" hidden="1">
      <c r="A6064" s="7" t="s">
        <v>8922</v>
      </c>
      <c r="B6064" s="7" t="s">
        <v>8091</v>
      </c>
      <c r="C6064" s="8" t="s">
        <v>5319</v>
      </c>
      <c r="D6064" t="s">
        <v>266</v>
      </c>
      <c r="E6064" t="s">
        <v>3333</v>
      </c>
      <c r="F6064" t="s">
        <v>117</v>
      </c>
      <c r="G6064" t="s">
        <v>3439</v>
      </c>
      <c r="H6064" s="9">
        <v>44733</v>
      </c>
      <c r="I6064" t="s">
        <v>903</v>
      </c>
      <c r="J6064" t="s">
        <v>2</v>
      </c>
      <c r="K6064" s="9">
        <v>44834</v>
      </c>
      <c r="L6064" t="s">
        <v>29</v>
      </c>
      <c r="M6064" t="s">
        <v>5331</v>
      </c>
      <c r="N6064" s="9">
        <v>44778</v>
      </c>
      <c r="O6064" s="9">
        <v>44834</v>
      </c>
      <c r="P6064"/>
      <c r="Q6064"/>
      <c r="R6064"/>
      <c r="S6064"/>
      <c r="T6064"/>
      <c r="U6064"/>
    </row>
    <row r="6065" spans="1:21" hidden="1">
      <c r="A6065" s="7" t="s">
        <v>8922</v>
      </c>
      <c r="B6065" s="7" t="s">
        <v>8091</v>
      </c>
      <c r="C6065" s="8" t="s">
        <v>5319</v>
      </c>
      <c r="D6065" t="s">
        <v>266</v>
      </c>
      <c r="E6065" t="s">
        <v>3333</v>
      </c>
      <c r="F6065" t="s">
        <v>117</v>
      </c>
      <c r="G6065" t="s">
        <v>3440</v>
      </c>
      <c r="H6065" s="9">
        <v>44733</v>
      </c>
      <c r="I6065" t="s">
        <v>903</v>
      </c>
      <c r="J6065" t="s">
        <v>2</v>
      </c>
      <c r="K6065" s="9">
        <v>44834</v>
      </c>
      <c r="L6065" t="s">
        <v>29</v>
      </c>
      <c r="M6065" t="s">
        <v>5331</v>
      </c>
      <c r="N6065" s="9">
        <v>44778</v>
      </c>
      <c r="O6065" s="9">
        <v>44834</v>
      </c>
      <c r="P6065"/>
      <c r="Q6065"/>
      <c r="R6065"/>
      <c r="S6065"/>
      <c r="T6065"/>
      <c r="U6065"/>
    </row>
    <row r="6066" spans="1:21" hidden="1">
      <c r="A6066" s="7" t="s">
        <v>8923</v>
      </c>
      <c r="B6066" s="7" t="s">
        <v>7641</v>
      </c>
      <c r="C6066" s="8" t="s">
        <v>5319</v>
      </c>
      <c r="D6066" t="s">
        <v>266</v>
      </c>
      <c r="E6066" t="s">
        <v>3347</v>
      </c>
      <c r="F6066" t="s">
        <v>231</v>
      </c>
      <c r="G6066" t="s">
        <v>3441</v>
      </c>
      <c r="H6066" s="9">
        <v>44733</v>
      </c>
      <c r="I6066" t="s">
        <v>3102</v>
      </c>
      <c r="J6066" t="s">
        <v>2</v>
      </c>
      <c r="K6066" s="9">
        <v>44834</v>
      </c>
      <c r="L6066" t="s">
        <v>29</v>
      </c>
      <c r="M6066" t="s">
        <v>5331</v>
      </c>
      <c r="N6066" s="9">
        <v>44778</v>
      </c>
      <c r="O6066" s="9">
        <v>44834</v>
      </c>
      <c r="P6066"/>
      <c r="Q6066"/>
      <c r="R6066"/>
      <c r="S6066"/>
      <c r="T6066"/>
      <c r="U6066"/>
    </row>
    <row r="6067" spans="1:21" hidden="1">
      <c r="A6067" s="7" t="s">
        <v>8916</v>
      </c>
      <c r="B6067" s="7" t="s">
        <v>6766</v>
      </c>
      <c r="C6067" s="8" t="s">
        <v>5319</v>
      </c>
      <c r="D6067" t="s">
        <v>266</v>
      </c>
      <c r="E6067" t="s">
        <v>3257</v>
      </c>
      <c r="F6067" t="s">
        <v>117</v>
      </c>
      <c r="G6067" t="s">
        <v>3442</v>
      </c>
      <c r="H6067" s="9">
        <v>44733</v>
      </c>
      <c r="I6067" t="s">
        <v>408</v>
      </c>
      <c r="J6067" t="s">
        <v>2</v>
      </c>
      <c r="K6067" s="9">
        <v>44858</v>
      </c>
      <c r="L6067" t="s">
        <v>29</v>
      </c>
      <c r="M6067" t="s">
        <v>5329</v>
      </c>
      <c r="N6067" s="9">
        <v>44778</v>
      </c>
      <c r="O6067" s="9">
        <v>44834</v>
      </c>
      <c r="P6067"/>
      <c r="Q6067"/>
      <c r="R6067"/>
      <c r="S6067"/>
      <c r="T6067"/>
      <c r="U6067"/>
    </row>
    <row r="6068" spans="1:21" hidden="1">
      <c r="A6068" s="7" t="s">
        <v>8916</v>
      </c>
      <c r="B6068" s="7" t="s">
        <v>6766</v>
      </c>
      <c r="C6068" s="8" t="s">
        <v>5319</v>
      </c>
      <c r="D6068" t="s">
        <v>266</v>
      </c>
      <c r="E6068" t="s">
        <v>3257</v>
      </c>
      <c r="F6068" t="s">
        <v>117</v>
      </c>
      <c r="G6068" t="s">
        <v>3443</v>
      </c>
      <c r="H6068" s="9">
        <v>44733</v>
      </c>
      <c r="I6068" t="s">
        <v>408</v>
      </c>
      <c r="J6068" t="s">
        <v>2</v>
      </c>
      <c r="K6068" s="9">
        <v>44858</v>
      </c>
      <c r="L6068" t="s">
        <v>29</v>
      </c>
      <c r="M6068" t="s">
        <v>5329</v>
      </c>
      <c r="N6068" s="9">
        <v>44778</v>
      </c>
      <c r="O6068" s="9">
        <v>44834</v>
      </c>
      <c r="P6068"/>
      <c r="Q6068"/>
      <c r="R6068"/>
      <c r="S6068"/>
      <c r="T6068"/>
      <c r="U6068"/>
    </row>
    <row r="6069" spans="1:21" hidden="1">
      <c r="A6069" s="7" t="s">
        <v>8916</v>
      </c>
      <c r="B6069" s="7" t="s">
        <v>6766</v>
      </c>
      <c r="C6069" s="8" t="s">
        <v>5319</v>
      </c>
      <c r="D6069" t="s">
        <v>266</v>
      </c>
      <c r="E6069" t="s">
        <v>3257</v>
      </c>
      <c r="F6069" t="s">
        <v>117</v>
      </c>
      <c r="G6069" t="s">
        <v>3444</v>
      </c>
      <c r="H6069" s="9">
        <v>44733</v>
      </c>
      <c r="I6069" t="s">
        <v>408</v>
      </c>
      <c r="J6069" t="s">
        <v>2</v>
      </c>
      <c r="K6069" s="9">
        <v>44858</v>
      </c>
      <c r="L6069" t="s">
        <v>29</v>
      </c>
      <c r="M6069" t="s">
        <v>5329</v>
      </c>
      <c r="N6069" s="9">
        <v>44778</v>
      </c>
      <c r="O6069" s="9">
        <v>44834</v>
      </c>
      <c r="P6069"/>
      <c r="Q6069"/>
      <c r="R6069"/>
      <c r="S6069"/>
      <c r="T6069"/>
      <c r="U6069"/>
    </row>
    <row r="6070" spans="1:21" hidden="1">
      <c r="A6070" s="7" t="s">
        <v>8916</v>
      </c>
      <c r="B6070" s="7" t="s">
        <v>6766</v>
      </c>
      <c r="C6070" s="8" t="s">
        <v>5319</v>
      </c>
      <c r="D6070" t="s">
        <v>266</v>
      </c>
      <c r="E6070" t="s">
        <v>3257</v>
      </c>
      <c r="F6070" t="s">
        <v>117</v>
      </c>
      <c r="G6070" t="s">
        <v>3445</v>
      </c>
      <c r="H6070" s="9">
        <v>44733</v>
      </c>
      <c r="I6070" t="s">
        <v>408</v>
      </c>
      <c r="J6070" t="s">
        <v>2</v>
      </c>
      <c r="K6070" s="9">
        <v>44858</v>
      </c>
      <c r="L6070" t="s">
        <v>29</v>
      </c>
      <c r="M6070" t="s">
        <v>5329</v>
      </c>
      <c r="N6070" s="9">
        <v>44778</v>
      </c>
      <c r="O6070" s="9">
        <v>44834</v>
      </c>
      <c r="P6070"/>
      <c r="Q6070"/>
      <c r="R6070"/>
      <c r="S6070"/>
      <c r="T6070"/>
      <c r="U6070"/>
    </row>
    <row r="6071" spans="1:21" hidden="1">
      <c r="A6071" s="7" t="s">
        <v>8916</v>
      </c>
      <c r="B6071" s="7" t="s">
        <v>6766</v>
      </c>
      <c r="C6071" s="8" t="s">
        <v>5319</v>
      </c>
      <c r="D6071" t="s">
        <v>266</v>
      </c>
      <c r="E6071" t="s">
        <v>3257</v>
      </c>
      <c r="F6071" t="s">
        <v>117</v>
      </c>
      <c r="G6071" t="s">
        <v>3446</v>
      </c>
      <c r="H6071" s="9">
        <v>44733</v>
      </c>
      <c r="I6071" t="s">
        <v>408</v>
      </c>
      <c r="J6071" t="s">
        <v>2</v>
      </c>
      <c r="K6071" s="9">
        <v>44858</v>
      </c>
      <c r="L6071" t="s">
        <v>29</v>
      </c>
      <c r="M6071" t="s">
        <v>5329</v>
      </c>
      <c r="N6071" s="9">
        <v>44778</v>
      </c>
      <c r="O6071" s="9">
        <v>44834</v>
      </c>
      <c r="P6071"/>
      <c r="Q6071"/>
      <c r="R6071"/>
      <c r="S6071"/>
      <c r="T6071"/>
      <c r="U6071"/>
    </row>
    <row r="6072" spans="1:21" hidden="1">
      <c r="A6072" s="7" t="s">
        <v>8916</v>
      </c>
      <c r="B6072" s="7" t="s">
        <v>6766</v>
      </c>
      <c r="C6072" s="8" t="s">
        <v>5319</v>
      </c>
      <c r="D6072" t="s">
        <v>266</v>
      </c>
      <c r="E6072" t="s">
        <v>3257</v>
      </c>
      <c r="F6072" t="s">
        <v>117</v>
      </c>
      <c r="G6072" t="s">
        <v>3447</v>
      </c>
      <c r="H6072" s="9">
        <v>44733</v>
      </c>
      <c r="I6072" t="s">
        <v>408</v>
      </c>
      <c r="J6072" t="s">
        <v>2</v>
      </c>
      <c r="K6072" s="9">
        <v>44858</v>
      </c>
      <c r="L6072" t="s">
        <v>29</v>
      </c>
      <c r="M6072" t="s">
        <v>5329</v>
      </c>
      <c r="N6072" s="9">
        <v>44778</v>
      </c>
      <c r="O6072" s="9">
        <v>44834</v>
      </c>
      <c r="P6072"/>
      <c r="Q6072"/>
      <c r="R6072"/>
      <c r="S6072"/>
      <c r="T6072"/>
      <c r="U6072"/>
    </row>
    <row r="6073" spans="1:21" hidden="1">
      <c r="A6073" s="7" t="s">
        <v>8788</v>
      </c>
      <c r="B6073" s="7" t="s">
        <v>7708</v>
      </c>
      <c r="C6073" s="8" t="s">
        <v>5319</v>
      </c>
      <c r="D6073" t="s">
        <v>266</v>
      </c>
      <c r="E6073" t="s">
        <v>905</v>
      </c>
      <c r="F6073" t="s">
        <v>75</v>
      </c>
      <c r="G6073" t="s">
        <v>3448</v>
      </c>
      <c r="H6073" s="9">
        <v>44733</v>
      </c>
      <c r="I6073" t="s">
        <v>408</v>
      </c>
      <c r="J6073" t="s">
        <v>2</v>
      </c>
      <c r="K6073" s="9">
        <v>44834</v>
      </c>
      <c r="L6073" t="s">
        <v>29</v>
      </c>
      <c r="M6073" t="s">
        <v>5331</v>
      </c>
      <c r="N6073" s="9">
        <v>44778</v>
      </c>
      <c r="O6073" s="9">
        <v>44834</v>
      </c>
      <c r="P6073"/>
      <c r="Q6073"/>
      <c r="R6073"/>
      <c r="S6073"/>
      <c r="T6073"/>
      <c r="U6073"/>
    </row>
    <row r="6074" spans="1:21" hidden="1">
      <c r="A6074" s="7" t="s">
        <v>8788</v>
      </c>
      <c r="B6074" s="7" t="s">
        <v>7708</v>
      </c>
      <c r="C6074" s="8" t="s">
        <v>5319</v>
      </c>
      <c r="D6074" t="s">
        <v>266</v>
      </c>
      <c r="E6074" t="s">
        <v>905</v>
      </c>
      <c r="F6074" t="s">
        <v>75</v>
      </c>
      <c r="G6074" t="s">
        <v>3449</v>
      </c>
      <c r="H6074" s="9">
        <v>44733</v>
      </c>
      <c r="I6074" t="s">
        <v>408</v>
      </c>
      <c r="J6074" t="s">
        <v>2</v>
      </c>
      <c r="K6074" s="9">
        <v>44834</v>
      </c>
      <c r="L6074" t="s">
        <v>29</v>
      </c>
      <c r="M6074" t="s">
        <v>5331</v>
      </c>
      <c r="N6074" s="9">
        <v>44778</v>
      </c>
      <c r="O6074" s="9">
        <v>44834</v>
      </c>
      <c r="P6074"/>
      <c r="Q6074"/>
      <c r="R6074"/>
      <c r="S6074"/>
      <c r="T6074"/>
      <c r="U6074"/>
    </row>
    <row r="6075" spans="1:21" hidden="1">
      <c r="A6075" s="7" t="s">
        <v>8916</v>
      </c>
      <c r="B6075" s="7" t="s">
        <v>6766</v>
      </c>
      <c r="C6075" s="8" t="s">
        <v>5319</v>
      </c>
      <c r="D6075" t="s">
        <v>266</v>
      </c>
      <c r="E6075" t="s">
        <v>3257</v>
      </c>
      <c r="F6075" t="s">
        <v>117</v>
      </c>
      <c r="G6075" t="s">
        <v>3450</v>
      </c>
      <c r="H6075" s="9">
        <v>44733</v>
      </c>
      <c r="I6075" t="s">
        <v>408</v>
      </c>
      <c r="J6075" t="s">
        <v>2</v>
      </c>
      <c r="K6075" s="9">
        <v>44858</v>
      </c>
      <c r="L6075" t="s">
        <v>29</v>
      </c>
      <c r="M6075" t="s">
        <v>5329</v>
      </c>
      <c r="N6075" s="9">
        <v>44778</v>
      </c>
      <c r="O6075" s="9">
        <v>44834</v>
      </c>
      <c r="P6075"/>
      <c r="Q6075"/>
      <c r="R6075"/>
      <c r="S6075"/>
      <c r="T6075"/>
      <c r="U6075"/>
    </row>
    <row r="6076" spans="1:21" hidden="1">
      <c r="A6076" s="7" t="s">
        <v>8916</v>
      </c>
      <c r="B6076" s="7" t="s">
        <v>6766</v>
      </c>
      <c r="C6076" s="8" t="s">
        <v>5319</v>
      </c>
      <c r="D6076" t="s">
        <v>266</v>
      </c>
      <c r="E6076" t="s">
        <v>3257</v>
      </c>
      <c r="F6076" t="s">
        <v>117</v>
      </c>
      <c r="G6076" t="s">
        <v>3451</v>
      </c>
      <c r="H6076" s="9">
        <v>44733</v>
      </c>
      <c r="I6076" t="s">
        <v>408</v>
      </c>
      <c r="J6076" t="s">
        <v>2</v>
      </c>
      <c r="K6076" s="9">
        <v>44858</v>
      </c>
      <c r="L6076" t="s">
        <v>29</v>
      </c>
      <c r="M6076" t="s">
        <v>5329</v>
      </c>
      <c r="N6076" s="9">
        <v>44778</v>
      </c>
      <c r="O6076" s="9">
        <v>44834</v>
      </c>
      <c r="P6076"/>
      <c r="Q6076"/>
      <c r="R6076"/>
      <c r="S6076"/>
      <c r="T6076"/>
      <c r="U6076"/>
    </row>
    <row r="6077" spans="1:21" hidden="1">
      <c r="A6077" s="7" t="s">
        <v>8798</v>
      </c>
      <c r="B6077" s="7" t="s">
        <v>7439</v>
      </c>
      <c r="C6077" s="8" t="s">
        <v>5319</v>
      </c>
      <c r="D6077" t="s">
        <v>266</v>
      </c>
      <c r="E6077" t="s">
        <v>1001</v>
      </c>
      <c r="F6077" t="s">
        <v>117</v>
      </c>
      <c r="G6077" t="s">
        <v>3452</v>
      </c>
      <c r="H6077" s="9">
        <v>44733</v>
      </c>
      <c r="I6077" t="s">
        <v>882</v>
      </c>
      <c r="J6077" t="s">
        <v>2</v>
      </c>
      <c r="K6077" s="9">
        <v>44834</v>
      </c>
      <c r="L6077" t="s">
        <v>29</v>
      </c>
      <c r="M6077" t="s">
        <v>5331</v>
      </c>
      <c r="N6077" s="9">
        <v>44778</v>
      </c>
      <c r="O6077" s="9">
        <v>44834</v>
      </c>
      <c r="P6077"/>
      <c r="Q6077"/>
      <c r="R6077"/>
      <c r="S6077"/>
      <c r="T6077"/>
      <c r="U6077"/>
    </row>
    <row r="6078" spans="1:21" hidden="1">
      <c r="A6078" s="7" t="s">
        <v>8798</v>
      </c>
      <c r="B6078" s="7" t="s">
        <v>7439</v>
      </c>
      <c r="C6078" s="8" t="s">
        <v>5319</v>
      </c>
      <c r="D6078" t="s">
        <v>266</v>
      </c>
      <c r="E6078" t="s">
        <v>1001</v>
      </c>
      <c r="F6078" t="s">
        <v>117</v>
      </c>
      <c r="G6078" t="s">
        <v>3453</v>
      </c>
      <c r="H6078" s="9">
        <v>44733</v>
      </c>
      <c r="I6078" t="s">
        <v>882</v>
      </c>
      <c r="J6078" t="s">
        <v>2</v>
      </c>
      <c r="K6078" s="9">
        <v>44834</v>
      </c>
      <c r="L6078" t="s">
        <v>29</v>
      </c>
      <c r="M6078" t="s">
        <v>5331</v>
      </c>
      <c r="N6078" s="9">
        <v>44778</v>
      </c>
      <c r="O6078" s="9">
        <v>44834</v>
      </c>
      <c r="P6078"/>
      <c r="Q6078"/>
      <c r="R6078"/>
      <c r="S6078"/>
      <c r="T6078"/>
      <c r="U6078"/>
    </row>
    <row r="6079" spans="1:21" hidden="1">
      <c r="A6079" s="7" t="s">
        <v>8798</v>
      </c>
      <c r="B6079" s="7" t="s">
        <v>7439</v>
      </c>
      <c r="C6079" s="8" t="s">
        <v>5319</v>
      </c>
      <c r="D6079" t="s">
        <v>266</v>
      </c>
      <c r="E6079" t="s">
        <v>1001</v>
      </c>
      <c r="F6079" t="s">
        <v>117</v>
      </c>
      <c r="G6079" t="s">
        <v>3454</v>
      </c>
      <c r="H6079" s="9">
        <v>44733</v>
      </c>
      <c r="I6079" t="s">
        <v>882</v>
      </c>
      <c r="J6079" t="s">
        <v>2</v>
      </c>
      <c r="K6079" s="9">
        <v>44834</v>
      </c>
      <c r="L6079" t="s">
        <v>29</v>
      </c>
      <c r="M6079" t="s">
        <v>5331</v>
      </c>
      <c r="N6079" s="9">
        <v>44778</v>
      </c>
      <c r="O6079" s="9">
        <v>44834</v>
      </c>
      <c r="P6079"/>
      <c r="Q6079"/>
      <c r="R6079"/>
      <c r="S6079"/>
      <c r="T6079"/>
      <c r="U6079"/>
    </row>
    <row r="6080" spans="1:21" hidden="1">
      <c r="A6080" s="7" t="s">
        <v>8798</v>
      </c>
      <c r="B6080" s="7" t="s">
        <v>7439</v>
      </c>
      <c r="C6080" s="8" t="s">
        <v>5319</v>
      </c>
      <c r="D6080" t="s">
        <v>266</v>
      </c>
      <c r="E6080" t="s">
        <v>1001</v>
      </c>
      <c r="F6080" t="s">
        <v>117</v>
      </c>
      <c r="G6080" t="s">
        <v>3455</v>
      </c>
      <c r="H6080" s="9">
        <v>44733</v>
      </c>
      <c r="I6080" t="s">
        <v>882</v>
      </c>
      <c r="J6080" t="s">
        <v>2</v>
      </c>
      <c r="K6080" s="9">
        <v>44834</v>
      </c>
      <c r="L6080" t="s">
        <v>29</v>
      </c>
      <c r="M6080" t="s">
        <v>5331</v>
      </c>
      <c r="N6080" s="9">
        <v>44778</v>
      </c>
      <c r="O6080" s="9">
        <v>44834</v>
      </c>
      <c r="P6080"/>
      <c r="Q6080"/>
      <c r="R6080"/>
      <c r="S6080"/>
      <c r="T6080"/>
      <c r="U6080"/>
    </row>
    <row r="6081" spans="1:21" hidden="1">
      <c r="A6081" s="7" t="s">
        <v>8867</v>
      </c>
      <c r="B6081" s="7" t="s">
        <v>7140</v>
      </c>
      <c r="C6081" s="8" t="s">
        <v>5319</v>
      </c>
      <c r="D6081" t="s">
        <v>266</v>
      </c>
      <c r="E6081" t="s">
        <v>2360</v>
      </c>
      <c r="F6081" t="s">
        <v>231</v>
      </c>
      <c r="G6081" t="s">
        <v>3456</v>
      </c>
      <c r="H6081" s="9">
        <v>44733</v>
      </c>
      <c r="I6081" t="s">
        <v>2362</v>
      </c>
      <c r="J6081" t="s">
        <v>2</v>
      </c>
      <c r="K6081" s="9">
        <v>44834</v>
      </c>
      <c r="L6081" t="s">
        <v>29</v>
      </c>
      <c r="M6081" t="s">
        <v>5331</v>
      </c>
      <c r="N6081" s="9">
        <v>44778</v>
      </c>
      <c r="O6081" s="9">
        <v>44834</v>
      </c>
      <c r="P6081"/>
      <c r="Q6081"/>
      <c r="R6081"/>
      <c r="S6081"/>
      <c r="T6081"/>
      <c r="U6081"/>
    </row>
    <row r="6082" spans="1:21" hidden="1">
      <c r="A6082" s="7" t="s">
        <v>8867</v>
      </c>
      <c r="B6082" s="7" t="s">
        <v>7140</v>
      </c>
      <c r="C6082" s="8" t="s">
        <v>5319</v>
      </c>
      <c r="D6082" t="s">
        <v>266</v>
      </c>
      <c r="E6082" t="s">
        <v>2360</v>
      </c>
      <c r="F6082" t="s">
        <v>231</v>
      </c>
      <c r="G6082" t="s">
        <v>3457</v>
      </c>
      <c r="H6082" s="9">
        <v>44733</v>
      </c>
      <c r="I6082" t="s">
        <v>2362</v>
      </c>
      <c r="J6082" t="s">
        <v>2</v>
      </c>
      <c r="K6082" s="9">
        <v>44834</v>
      </c>
      <c r="L6082" t="s">
        <v>29</v>
      </c>
      <c r="M6082" t="s">
        <v>5331</v>
      </c>
      <c r="N6082" s="9">
        <v>44778</v>
      </c>
      <c r="O6082" s="9">
        <v>44834</v>
      </c>
      <c r="P6082"/>
      <c r="Q6082"/>
      <c r="R6082"/>
      <c r="S6082"/>
      <c r="T6082"/>
      <c r="U6082"/>
    </row>
    <row r="6083" spans="1:21" hidden="1">
      <c r="A6083" s="7" t="s">
        <v>8867</v>
      </c>
      <c r="B6083" s="7" t="s">
        <v>7140</v>
      </c>
      <c r="C6083" s="8" t="s">
        <v>5319</v>
      </c>
      <c r="D6083" t="s">
        <v>266</v>
      </c>
      <c r="E6083" t="s">
        <v>2360</v>
      </c>
      <c r="F6083" t="s">
        <v>231</v>
      </c>
      <c r="G6083" t="s">
        <v>3458</v>
      </c>
      <c r="H6083" s="9">
        <v>44733</v>
      </c>
      <c r="I6083" t="s">
        <v>2362</v>
      </c>
      <c r="J6083" t="s">
        <v>2</v>
      </c>
      <c r="K6083" s="9">
        <v>44834</v>
      </c>
      <c r="L6083" t="s">
        <v>29</v>
      </c>
      <c r="M6083" t="s">
        <v>5331</v>
      </c>
      <c r="N6083" s="9">
        <v>44778</v>
      </c>
      <c r="O6083" s="9">
        <v>44834</v>
      </c>
      <c r="P6083"/>
      <c r="Q6083"/>
      <c r="R6083"/>
      <c r="S6083"/>
      <c r="T6083"/>
      <c r="U6083"/>
    </row>
    <row r="6084" spans="1:21" hidden="1">
      <c r="A6084" s="7" t="s">
        <v>8924</v>
      </c>
      <c r="B6084" s="7" t="s">
        <v>7902</v>
      </c>
      <c r="C6084" s="8" t="s">
        <v>5319</v>
      </c>
      <c r="D6084" t="s">
        <v>266</v>
      </c>
      <c r="E6084" t="s">
        <v>3372</v>
      </c>
      <c r="F6084" t="s">
        <v>117</v>
      </c>
      <c r="G6084" t="s">
        <v>3459</v>
      </c>
      <c r="H6084" s="9">
        <v>44733</v>
      </c>
      <c r="I6084" t="s">
        <v>408</v>
      </c>
      <c r="J6084" t="s">
        <v>2</v>
      </c>
      <c r="K6084" s="9">
        <v>44834</v>
      </c>
      <c r="L6084" t="s">
        <v>29</v>
      </c>
      <c r="M6084" t="s">
        <v>5331</v>
      </c>
      <c r="N6084" s="9">
        <v>44778</v>
      </c>
      <c r="O6084" s="9">
        <v>44834</v>
      </c>
      <c r="P6084"/>
      <c r="Q6084"/>
      <c r="R6084"/>
      <c r="S6084"/>
      <c r="T6084"/>
      <c r="U6084"/>
    </row>
    <row r="6085" spans="1:21" hidden="1">
      <c r="A6085" s="7" t="s">
        <v>8924</v>
      </c>
      <c r="B6085" s="7" t="s">
        <v>7902</v>
      </c>
      <c r="C6085" s="8" t="s">
        <v>5319</v>
      </c>
      <c r="D6085" t="s">
        <v>266</v>
      </c>
      <c r="E6085" t="s">
        <v>3372</v>
      </c>
      <c r="F6085" t="s">
        <v>117</v>
      </c>
      <c r="G6085" t="s">
        <v>3460</v>
      </c>
      <c r="H6085" s="9">
        <v>44733</v>
      </c>
      <c r="I6085" t="s">
        <v>408</v>
      </c>
      <c r="J6085" t="s">
        <v>2</v>
      </c>
      <c r="K6085" s="9">
        <v>44834</v>
      </c>
      <c r="L6085" t="s">
        <v>29</v>
      </c>
      <c r="M6085" t="s">
        <v>5331</v>
      </c>
      <c r="N6085" s="9">
        <v>44778</v>
      </c>
      <c r="O6085" s="9">
        <v>44834</v>
      </c>
      <c r="P6085"/>
      <c r="Q6085"/>
      <c r="R6085"/>
      <c r="S6085"/>
      <c r="T6085"/>
      <c r="U6085"/>
    </row>
    <row r="6086" spans="1:21" hidden="1">
      <c r="A6086" s="7" t="s">
        <v>8754</v>
      </c>
      <c r="B6086" s="7" t="s">
        <v>8066</v>
      </c>
      <c r="C6086" s="8" t="s">
        <v>5319</v>
      </c>
      <c r="D6086" t="s">
        <v>266</v>
      </c>
      <c r="E6086" t="s">
        <v>472</v>
      </c>
      <c r="F6086" t="s">
        <v>117</v>
      </c>
      <c r="G6086" t="s">
        <v>3461</v>
      </c>
      <c r="H6086" s="9">
        <v>44733</v>
      </c>
      <c r="I6086" t="s">
        <v>171</v>
      </c>
      <c r="J6086" t="s">
        <v>0</v>
      </c>
      <c r="K6086" s="9">
        <v>44860</v>
      </c>
      <c r="L6086" t="s">
        <v>29</v>
      </c>
      <c r="M6086"/>
      <c r="N6086" s="9">
        <v>44778</v>
      </c>
      <c r="O6086" s="9">
        <v>44834</v>
      </c>
      <c r="P6086"/>
      <c r="Q6086" s="9">
        <v>44860</v>
      </c>
      <c r="R6086"/>
      <c r="S6086"/>
      <c r="T6086"/>
      <c r="U6086"/>
    </row>
    <row r="6087" spans="1:21" hidden="1">
      <c r="A6087" s="7" t="s">
        <v>8754</v>
      </c>
      <c r="B6087" s="7" t="s">
        <v>8066</v>
      </c>
      <c r="C6087" s="8" t="s">
        <v>5319</v>
      </c>
      <c r="D6087" t="s">
        <v>266</v>
      </c>
      <c r="E6087" t="s">
        <v>472</v>
      </c>
      <c r="F6087" t="s">
        <v>117</v>
      </c>
      <c r="G6087" t="s">
        <v>3462</v>
      </c>
      <c r="H6087" s="9">
        <v>44733</v>
      </c>
      <c r="I6087" t="s">
        <v>171</v>
      </c>
      <c r="J6087" t="s">
        <v>0</v>
      </c>
      <c r="K6087" s="9">
        <v>44860</v>
      </c>
      <c r="L6087" t="s">
        <v>29</v>
      </c>
      <c r="M6087"/>
      <c r="N6087" s="9">
        <v>44778</v>
      </c>
      <c r="O6087" s="9">
        <v>44834</v>
      </c>
      <c r="P6087"/>
      <c r="Q6087" s="9">
        <v>44860</v>
      </c>
      <c r="R6087"/>
      <c r="S6087"/>
      <c r="T6087"/>
      <c r="U6087"/>
    </row>
    <row r="6088" spans="1:21" hidden="1">
      <c r="A6088" s="7" t="s">
        <v>8754</v>
      </c>
      <c r="B6088" s="7" t="s">
        <v>8066</v>
      </c>
      <c r="C6088" s="8" t="s">
        <v>5319</v>
      </c>
      <c r="D6088" t="s">
        <v>266</v>
      </c>
      <c r="E6088" t="s">
        <v>472</v>
      </c>
      <c r="F6088" t="s">
        <v>117</v>
      </c>
      <c r="G6088" t="s">
        <v>3463</v>
      </c>
      <c r="H6088" s="9">
        <v>44733</v>
      </c>
      <c r="I6088" t="s">
        <v>171</v>
      </c>
      <c r="J6088" t="s">
        <v>0</v>
      </c>
      <c r="K6088" s="9">
        <v>44860</v>
      </c>
      <c r="L6088" t="s">
        <v>29</v>
      </c>
      <c r="M6088"/>
      <c r="N6088" s="9">
        <v>44778</v>
      </c>
      <c r="O6088" s="9">
        <v>44834</v>
      </c>
      <c r="P6088"/>
      <c r="Q6088" s="9">
        <v>44860</v>
      </c>
      <c r="R6088"/>
      <c r="S6088"/>
      <c r="T6088"/>
      <c r="U6088"/>
    </row>
    <row r="6089" spans="1:21" hidden="1">
      <c r="A6089" s="7" t="s">
        <v>8754</v>
      </c>
      <c r="B6089" s="7" t="s">
        <v>8066</v>
      </c>
      <c r="C6089" s="8" t="s">
        <v>5319</v>
      </c>
      <c r="D6089" t="s">
        <v>266</v>
      </c>
      <c r="E6089" t="s">
        <v>472</v>
      </c>
      <c r="F6089" t="s">
        <v>117</v>
      </c>
      <c r="G6089" t="s">
        <v>3464</v>
      </c>
      <c r="H6089" s="9">
        <v>44733</v>
      </c>
      <c r="I6089" t="s">
        <v>171</v>
      </c>
      <c r="J6089" t="s">
        <v>0</v>
      </c>
      <c r="K6089" s="9">
        <v>44860</v>
      </c>
      <c r="L6089" t="s">
        <v>29</v>
      </c>
      <c r="M6089"/>
      <c r="N6089" s="9">
        <v>44778</v>
      </c>
      <c r="O6089" s="9">
        <v>44834</v>
      </c>
      <c r="P6089"/>
      <c r="Q6089" s="9">
        <v>44860</v>
      </c>
      <c r="R6089"/>
      <c r="S6089"/>
      <c r="T6089"/>
      <c r="U6089"/>
    </row>
    <row r="6090" spans="1:21" hidden="1">
      <c r="A6090" s="7" t="s">
        <v>8867</v>
      </c>
      <c r="B6090" s="7" t="s">
        <v>7140</v>
      </c>
      <c r="C6090" s="8" t="s">
        <v>5319</v>
      </c>
      <c r="D6090" t="s">
        <v>266</v>
      </c>
      <c r="E6090" t="s">
        <v>2360</v>
      </c>
      <c r="F6090" t="s">
        <v>231</v>
      </c>
      <c r="G6090" t="s">
        <v>3465</v>
      </c>
      <c r="H6090" s="9">
        <v>44733</v>
      </c>
      <c r="I6090" t="s">
        <v>2362</v>
      </c>
      <c r="J6090" t="s">
        <v>2</v>
      </c>
      <c r="K6090" s="9">
        <v>44834</v>
      </c>
      <c r="L6090" t="s">
        <v>29</v>
      </c>
      <c r="M6090" t="s">
        <v>5331</v>
      </c>
      <c r="N6090" s="9">
        <v>44778</v>
      </c>
      <c r="O6090" s="9">
        <v>44834</v>
      </c>
      <c r="P6090"/>
      <c r="Q6090"/>
      <c r="R6090"/>
      <c r="S6090"/>
      <c r="T6090"/>
      <c r="U6090"/>
    </row>
    <row r="6091" spans="1:21" hidden="1">
      <c r="A6091" s="7" t="s">
        <v>8867</v>
      </c>
      <c r="B6091" s="7" t="s">
        <v>7140</v>
      </c>
      <c r="C6091" s="8" t="s">
        <v>5319</v>
      </c>
      <c r="D6091" t="s">
        <v>266</v>
      </c>
      <c r="E6091" t="s">
        <v>2360</v>
      </c>
      <c r="F6091" t="s">
        <v>231</v>
      </c>
      <c r="G6091" t="s">
        <v>3466</v>
      </c>
      <c r="H6091" s="9">
        <v>44733</v>
      </c>
      <c r="I6091" t="s">
        <v>2362</v>
      </c>
      <c r="J6091" t="s">
        <v>2</v>
      </c>
      <c r="K6091" s="9">
        <v>44834</v>
      </c>
      <c r="L6091" t="s">
        <v>29</v>
      </c>
      <c r="M6091" t="s">
        <v>5331</v>
      </c>
      <c r="N6091" s="9">
        <v>44778</v>
      </c>
      <c r="O6091" s="9">
        <v>44834</v>
      </c>
      <c r="P6091"/>
      <c r="Q6091"/>
      <c r="R6091"/>
      <c r="S6091"/>
      <c r="T6091"/>
      <c r="U6091"/>
    </row>
    <row r="6092" spans="1:21" hidden="1">
      <c r="A6092" s="7" t="s">
        <v>8867</v>
      </c>
      <c r="B6092" s="7" t="s">
        <v>7140</v>
      </c>
      <c r="C6092" s="8" t="s">
        <v>5319</v>
      </c>
      <c r="D6092" t="s">
        <v>266</v>
      </c>
      <c r="E6092" t="s">
        <v>2360</v>
      </c>
      <c r="F6092" t="s">
        <v>231</v>
      </c>
      <c r="G6092" t="s">
        <v>3467</v>
      </c>
      <c r="H6092" s="9">
        <v>44733</v>
      </c>
      <c r="I6092" t="s">
        <v>2362</v>
      </c>
      <c r="J6092" t="s">
        <v>2</v>
      </c>
      <c r="K6092" s="9">
        <v>44834</v>
      </c>
      <c r="L6092" t="s">
        <v>29</v>
      </c>
      <c r="M6092" t="s">
        <v>5331</v>
      </c>
      <c r="N6092" s="9">
        <v>44778</v>
      </c>
      <c r="O6092" s="9">
        <v>44834</v>
      </c>
      <c r="P6092"/>
      <c r="Q6092"/>
      <c r="R6092"/>
      <c r="S6092"/>
      <c r="T6092"/>
      <c r="U6092"/>
    </row>
    <row r="6093" spans="1:21" hidden="1">
      <c r="A6093" s="7" t="s">
        <v>8867</v>
      </c>
      <c r="B6093" s="7" t="s">
        <v>7140</v>
      </c>
      <c r="C6093" s="8" t="s">
        <v>5319</v>
      </c>
      <c r="D6093" t="s">
        <v>266</v>
      </c>
      <c r="E6093" t="s">
        <v>2360</v>
      </c>
      <c r="F6093" t="s">
        <v>231</v>
      </c>
      <c r="G6093" t="s">
        <v>3468</v>
      </c>
      <c r="H6093" s="9">
        <v>44733</v>
      </c>
      <c r="I6093" t="s">
        <v>2362</v>
      </c>
      <c r="J6093" t="s">
        <v>2</v>
      </c>
      <c r="K6093" s="9">
        <v>44834</v>
      </c>
      <c r="L6093" t="s">
        <v>29</v>
      </c>
      <c r="M6093" t="s">
        <v>5331</v>
      </c>
      <c r="N6093" s="9">
        <v>44778</v>
      </c>
      <c r="O6093" s="9">
        <v>44834</v>
      </c>
      <c r="P6093"/>
      <c r="Q6093"/>
      <c r="R6093"/>
      <c r="S6093"/>
      <c r="T6093"/>
      <c r="U6093"/>
    </row>
    <row r="6094" spans="1:21" hidden="1">
      <c r="A6094" s="7" t="s">
        <v>8867</v>
      </c>
      <c r="B6094" s="7" t="s">
        <v>7140</v>
      </c>
      <c r="C6094" s="8" t="s">
        <v>5319</v>
      </c>
      <c r="D6094" t="s">
        <v>266</v>
      </c>
      <c r="E6094" t="s">
        <v>2360</v>
      </c>
      <c r="F6094" t="s">
        <v>231</v>
      </c>
      <c r="G6094" t="s">
        <v>3469</v>
      </c>
      <c r="H6094" s="9">
        <v>44733</v>
      </c>
      <c r="I6094" t="s">
        <v>2362</v>
      </c>
      <c r="J6094" t="s">
        <v>2</v>
      </c>
      <c r="K6094" s="9">
        <v>44834</v>
      </c>
      <c r="L6094" t="s">
        <v>29</v>
      </c>
      <c r="M6094" t="s">
        <v>5331</v>
      </c>
      <c r="N6094" s="9">
        <v>44778</v>
      </c>
      <c r="O6094" s="9">
        <v>44834</v>
      </c>
      <c r="P6094"/>
      <c r="Q6094"/>
      <c r="R6094"/>
      <c r="S6094"/>
      <c r="T6094"/>
      <c r="U6094"/>
    </row>
    <row r="6095" spans="1:21" hidden="1">
      <c r="A6095" s="7" t="s">
        <v>8867</v>
      </c>
      <c r="B6095" s="7" t="s">
        <v>7140</v>
      </c>
      <c r="C6095" s="8" t="s">
        <v>5319</v>
      </c>
      <c r="D6095" t="s">
        <v>266</v>
      </c>
      <c r="E6095" t="s">
        <v>2360</v>
      </c>
      <c r="F6095" t="s">
        <v>231</v>
      </c>
      <c r="G6095" t="s">
        <v>3470</v>
      </c>
      <c r="H6095" s="9">
        <v>44733</v>
      </c>
      <c r="I6095" t="s">
        <v>2362</v>
      </c>
      <c r="J6095" t="s">
        <v>2</v>
      </c>
      <c r="K6095" s="9">
        <v>44834</v>
      </c>
      <c r="L6095" t="s">
        <v>29</v>
      </c>
      <c r="M6095" t="s">
        <v>5331</v>
      </c>
      <c r="N6095" s="9">
        <v>44778</v>
      </c>
      <c r="O6095" s="9">
        <v>44834</v>
      </c>
      <c r="P6095"/>
      <c r="Q6095"/>
      <c r="R6095"/>
      <c r="S6095"/>
      <c r="T6095"/>
      <c r="U6095"/>
    </row>
    <row r="6096" spans="1:21" hidden="1">
      <c r="A6096" s="7" t="s">
        <v>8867</v>
      </c>
      <c r="B6096" s="7" t="s">
        <v>7140</v>
      </c>
      <c r="C6096" s="8" t="s">
        <v>5319</v>
      </c>
      <c r="D6096" t="s">
        <v>266</v>
      </c>
      <c r="E6096" t="s">
        <v>2360</v>
      </c>
      <c r="F6096" t="s">
        <v>231</v>
      </c>
      <c r="G6096" t="s">
        <v>3471</v>
      </c>
      <c r="H6096" s="9">
        <v>44733</v>
      </c>
      <c r="I6096" t="s">
        <v>2362</v>
      </c>
      <c r="J6096" t="s">
        <v>2</v>
      </c>
      <c r="K6096" s="9">
        <v>44834</v>
      </c>
      <c r="L6096" t="s">
        <v>29</v>
      </c>
      <c r="M6096" t="s">
        <v>5331</v>
      </c>
      <c r="N6096" s="9">
        <v>44778</v>
      </c>
      <c r="O6096" s="9">
        <v>44834</v>
      </c>
      <c r="P6096"/>
      <c r="Q6096"/>
      <c r="R6096"/>
      <c r="S6096"/>
      <c r="T6096"/>
      <c r="U6096"/>
    </row>
    <row r="6097" spans="1:21" hidden="1">
      <c r="A6097" s="7" t="s">
        <v>8867</v>
      </c>
      <c r="B6097" s="7" t="s">
        <v>7140</v>
      </c>
      <c r="C6097" s="8" t="s">
        <v>5319</v>
      </c>
      <c r="D6097" t="s">
        <v>266</v>
      </c>
      <c r="E6097" t="s">
        <v>2360</v>
      </c>
      <c r="F6097" t="s">
        <v>231</v>
      </c>
      <c r="G6097" t="s">
        <v>3472</v>
      </c>
      <c r="H6097" s="9">
        <v>44733</v>
      </c>
      <c r="I6097" t="s">
        <v>2362</v>
      </c>
      <c r="J6097" t="s">
        <v>2</v>
      </c>
      <c r="K6097" s="9">
        <v>44834</v>
      </c>
      <c r="L6097" t="s">
        <v>29</v>
      </c>
      <c r="M6097" t="s">
        <v>5331</v>
      </c>
      <c r="N6097" s="9">
        <v>44778</v>
      </c>
      <c r="O6097" s="9">
        <v>44834</v>
      </c>
      <c r="P6097"/>
      <c r="Q6097"/>
      <c r="R6097"/>
      <c r="S6097"/>
      <c r="T6097"/>
      <c r="U6097"/>
    </row>
    <row r="6098" spans="1:21" hidden="1">
      <c r="A6098" s="7" t="s">
        <v>8867</v>
      </c>
      <c r="B6098" s="7" t="s">
        <v>7140</v>
      </c>
      <c r="C6098" s="8" t="s">
        <v>5319</v>
      </c>
      <c r="D6098" t="s">
        <v>266</v>
      </c>
      <c r="E6098" t="s">
        <v>2360</v>
      </c>
      <c r="F6098" t="s">
        <v>231</v>
      </c>
      <c r="G6098" t="s">
        <v>3473</v>
      </c>
      <c r="H6098" s="9">
        <v>44733</v>
      </c>
      <c r="I6098" t="s">
        <v>2362</v>
      </c>
      <c r="J6098" t="s">
        <v>2</v>
      </c>
      <c r="K6098" s="9">
        <v>44834</v>
      </c>
      <c r="L6098" t="s">
        <v>29</v>
      </c>
      <c r="M6098" t="s">
        <v>5331</v>
      </c>
      <c r="N6098" s="9">
        <v>44778</v>
      </c>
      <c r="O6098" s="9">
        <v>44834</v>
      </c>
      <c r="P6098"/>
      <c r="Q6098"/>
      <c r="R6098"/>
      <c r="S6098"/>
      <c r="T6098"/>
      <c r="U6098"/>
    </row>
    <row r="6099" spans="1:21" hidden="1">
      <c r="A6099" s="7" t="s">
        <v>8873</v>
      </c>
      <c r="B6099" s="7" t="s">
        <v>7140</v>
      </c>
      <c r="C6099" s="8" t="s">
        <v>5319</v>
      </c>
      <c r="D6099" t="s">
        <v>266</v>
      </c>
      <c r="E6099" t="s">
        <v>2360</v>
      </c>
      <c r="F6099" t="s">
        <v>209</v>
      </c>
      <c r="G6099" t="s">
        <v>3473</v>
      </c>
      <c r="H6099" s="9">
        <v>44733</v>
      </c>
      <c r="I6099" t="s">
        <v>2362</v>
      </c>
      <c r="J6099" t="s">
        <v>2</v>
      </c>
      <c r="K6099" s="9">
        <v>44834</v>
      </c>
      <c r="L6099" t="s">
        <v>29</v>
      </c>
      <c r="M6099" t="s">
        <v>5331</v>
      </c>
      <c r="N6099" s="9">
        <v>44778</v>
      </c>
      <c r="O6099" s="9">
        <v>44834</v>
      </c>
      <c r="P6099"/>
      <c r="Q6099"/>
      <c r="R6099"/>
      <c r="S6099"/>
      <c r="T6099"/>
      <c r="U6099"/>
    </row>
    <row r="6100" spans="1:21" hidden="1">
      <c r="A6100" s="7" t="s">
        <v>8908</v>
      </c>
      <c r="B6100" s="7" t="s">
        <v>6755</v>
      </c>
      <c r="C6100" s="8" t="s">
        <v>5319</v>
      </c>
      <c r="D6100" t="s">
        <v>266</v>
      </c>
      <c r="E6100" t="s">
        <v>3179</v>
      </c>
      <c r="F6100" t="s">
        <v>117</v>
      </c>
      <c r="G6100" t="s">
        <v>3474</v>
      </c>
      <c r="H6100" s="9">
        <v>44733</v>
      </c>
      <c r="I6100" t="s">
        <v>3102</v>
      </c>
      <c r="J6100" t="s">
        <v>2</v>
      </c>
      <c r="K6100" s="9">
        <v>44834</v>
      </c>
      <c r="L6100" t="s">
        <v>29</v>
      </c>
      <c r="M6100" t="s">
        <v>5331</v>
      </c>
      <c r="N6100" s="9">
        <v>44778</v>
      </c>
      <c r="O6100" s="9">
        <v>44834</v>
      </c>
      <c r="P6100"/>
      <c r="Q6100"/>
      <c r="R6100"/>
      <c r="S6100"/>
      <c r="T6100"/>
      <c r="U6100"/>
    </row>
    <row r="6101" spans="1:21" hidden="1">
      <c r="A6101" s="7" t="s">
        <v>8874</v>
      </c>
      <c r="B6101" s="7" t="s">
        <v>7053</v>
      </c>
      <c r="C6101" s="8" t="s">
        <v>5319</v>
      </c>
      <c r="D6101" t="s">
        <v>266</v>
      </c>
      <c r="E6101" t="s">
        <v>2503</v>
      </c>
      <c r="F6101" t="s">
        <v>280</v>
      </c>
      <c r="G6101" t="s">
        <v>3475</v>
      </c>
      <c r="H6101" s="9">
        <v>44733</v>
      </c>
      <c r="I6101" t="s">
        <v>903</v>
      </c>
      <c r="J6101" t="s">
        <v>276</v>
      </c>
      <c r="K6101" s="9">
        <v>44882.647395833301</v>
      </c>
      <c r="L6101" t="s">
        <v>29</v>
      </c>
      <c r="M6101" t="s">
        <v>5331</v>
      </c>
      <c r="N6101" s="9">
        <v>44778</v>
      </c>
      <c r="O6101" s="9">
        <v>44834</v>
      </c>
      <c r="P6101"/>
      <c r="Q6101"/>
      <c r="R6101" s="9">
        <v>44882.645879629599</v>
      </c>
      <c r="S6101"/>
      <c r="T6101"/>
      <c r="U6101"/>
    </row>
    <row r="6102" spans="1:21" hidden="1">
      <c r="A6102" s="7" t="s">
        <v>8874</v>
      </c>
      <c r="B6102" s="7" t="s">
        <v>7053</v>
      </c>
      <c r="C6102" s="8" t="s">
        <v>5319</v>
      </c>
      <c r="D6102" t="s">
        <v>266</v>
      </c>
      <c r="E6102" t="s">
        <v>2503</v>
      </c>
      <c r="F6102" t="s">
        <v>280</v>
      </c>
      <c r="G6102" t="s">
        <v>3476</v>
      </c>
      <c r="H6102" s="9">
        <v>44733</v>
      </c>
      <c r="I6102" t="s">
        <v>903</v>
      </c>
      <c r="J6102" t="s">
        <v>276</v>
      </c>
      <c r="K6102" s="9">
        <v>44882.647395833301</v>
      </c>
      <c r="L6102" t="s">
        <v>29</v>
      </c>
      <c r="M6102" t="s">
        <v>5331</v>
      </c>
      <c r="N6102" s="9">
        <v>44778</v>
      </c>
      <c r="O6102" s="9">
        <v>44834</v>
      </c>
      <c r="P6102"/>
      <c r="Q6102"/>
      <c r="R6102" s="9">
        <v>44882.645879629599</v>
      </c>
      <c r="S6102"/>
      <c r="T6102"/>
      <c r="U6102"/>
    </row>
    <row r="6103" spans="1:21" hidden="1">
      <c r="A6103" s="7" t="s">
        <v>8874</v>
      </c>
      <c r="B6103" s="7" t="s">
        <v>7053</v>
      </c>
      <c r="C6103" s="8" t="s">
        <v>5319</v>
      </c>
      <c r="D6103" t="s">
        <v>266</v>
      </c>
      <c r="E6103" t="s">
        <v>2503</v>
      </c>
      <c r="F6103" t="s">
        <v>280</v>
      </c>
      <c r="G6103" t="s">
        <v>3477</v>
      </c>
      <c r="H6103" s="9">
        <v>44733</v>
      </c>
      <c r="I6103" t="s">
        <v>903</v>
      </c>
      <c r="J6103" t="s">
        <v>276</v>
      </c>
      <c r="K6103" s="9">
        <v>44882.647395833301</v>
      </c>
      <c r="L6103" t="s">
        <v>29</v>
      </c>
      <c r="M6103" t="s">
        <v>5331</v>
      </c>
      <c r="N6103" s="9">
        <v>44778</v>
      </c>
      <c r="O6103" s="9">
        <v>44834</v>
      </c>
      <c r="P6103"/>
      <c r="Q6103"/>
      <c r="R6103" s="9">
        <v>44882.645879629599</v>
      </c>
      <c r="S6103"/>
      <c r="T6103"/>
      <c r="U6103"/>
    </row>
    <row r="6104" spans="1:21" hidden="1">
      <c r="A6104" s="7" t="s">
        <v>8874</v>
      </c>
      <c r="B6104" s="7" t="s">
        <v>7053</v>
      </c>
      <c r="C6104" s="8" t="s">
        <v>5319</v>
      </c>
      <c r="D6104" t="s">
        <v>266</v>
      </c>
      <c r="E6104" t="s">
        <v>2503</v>
      </c>
      <c r="F6104" t="s">
        <v>280</v>
      </c>
      <c r="G6104" t="s">
        <v>3478</v>
      </c>
      <c r="H6104" s="9">
        <v>44733</v>
      </c>
      <c r="I6104" t="s">
        <v>903</v>
      </c>
      <c r="J6104" t="s">
        <v>276</v>
      </c>
      <c r="K6104" s="9">
        <v>44882.647395833301</v>
      </c>
      <c r="L6104" t="s">
        <v>29</v>
      </c>
      <c r="M6104" t="s">
        <v>5331</v>
      </c>
      <c r="N6104" s="9">
        <v>44778</v>
      </c>
      <c r="O6104" s="9">
        <v>44834</v>
      </c>
      <c r="P6104"/>
      <c r="Q6104"/>
      <c r="R6104" s="9">
        <v>44882.645879629599</v>
      </c>
      <c r="S6104"/>
      <c r="T6104"/>
      <c r="U6104"/>
    </row>
    <row r="6105" spans="1:21" hidden="1">
      <c r="A6105" s="7" t="s">
        <v>8874</v>
      </c>
      <c r="B6105" s="7" t="s">
        <v>7053</v>
      </c>
      <c r="C6105" s="8" t="s">
        <v>5319</v>
      </c>
      <c r="D6105" t="s">
        <v>266</v>
      </c>
      <c r="E6105" t="s">
        <v>2503</v>
      </c>
      <c r="F6105" t="s">
        <v>280</v>
      </c>
      <c r="G6105" t="s">
        <v>3479</v>
      </c>
      <c r="H6105" s="9">
        <v>44733</v>
      </c>
      <c r="I6105" t="s">
        <v>903</v>
      </c>
      <c r="J6105" t="s">
        <v>276</v>
      </c>
      <c r="K6105" s="9">
        <v>44882.647395833301</v>
      </c>
      <c r="L6105" t="s">
        <v>29</v>
      </c>
      <c r="M6105" t="s">
        <v>5331</v>
      </c>
      <c r="N6105" s="9">
        <v>44778</v>
      </c>
      <c r="O6105" s="9">
        <v>44834</v>
      </c>
      <c r="P6105"/>
      <c r="Q6105"/>
      <c r="R6105" s="9">
        <v>44882.645879629599</v>
      </c>
      <c r="S6105"/>
      <c r="T6105"/>
      <c r="U6105"/>
    </row>
    <row r="6106" spans="1:21" hidden="1">
      <c r="A6106" s="7" t="s">
        <v>8874</v>
      </c>
      <c r="B6106" s="7" t="s">
        <v>7053</v>
      </c>
      <c r="C6106" s="8" t="s">
        <v>5319</v>
      </c>
      <c r="D6106" t="s">
        <v>266</v>
      </c>
      <c r="E6106" t="s">
        <v>2503</v>
      </c>
      <c r="F6106" t="s">
        <v>280</v>
      </c>
      <c r="G6106" t="s">
        <v>3480</v>
      </c>
      <c r="H6106" s="9">
        <v>44733</v>
      </c>
      <c r="I6106" t="s">
        <v>903</v>
      </c>
      <c r="J6106" t="s">
        <v>276</v>
      </c>
      <c r="K6106" s="9">
        <v>44882.647395833301</v>
      </c>
      <c r="L6106" t="s">
        <v>29</v>
      </c>
      <c r="M6106" t="s">
        <v>5331</v>
      </c>
      <c r="N6106" s="9">
        <v>44778</v>
      </c>
      <c r="O6106" s="9">
        <v>44834</v>
      </c>
      <c r="P6106"/>
      <c r="Q6106"/>
      <c r="R6106" s="9">
        <v>44882.645879629599</v>
      </c>
      <c r="S6106"/>
      <c r="T6106"/>
      <c r="U6106"/>
    </row>
    <row r="6107" spans="1:21" hidden="1">
      <c r="A6107" s="7" t="s">
        <v>8874</v>
      </c>
      <c r="B6107" s="7" t="s">
        <v>7053</v>
      </c>
      <c r="C6107" s="8" t="s">
        <v>5319</v>
      </c>
      <c r="D6107" t="s">
        <v>266</v>
      </c>
      <c r="E6107" t="s">
        <v>2503</v>
      </c>
      <c r="F6107" t="s">
        <v>280</v>
      </c>
      <c r="G6107" t="s">
        <v>3481</v>
      </c>
      <c r="H6107" s="9">
        <v>44733</v>
      </c>
      <c r="I6107" t="s">
        <v>903</v>
      </c>
      <c r="J6107" t="s">
        <v>276</v>
      </c>
      <c r="K6107" s="9">
        <v>44882.647395833301</v>
      </c>
      <c r="L6107" t="s">
        <v>29</v>
      </c>
      <c r="M6107" t="s">
        <v>5331</v>
      </c>
      <c r="N6107" s="9">
        <v>44778</v>
      </c>
      <c r="O6107" s="9">
        <v>44834</v>
      </c>
      <c r="P6107"/>
      <c r="Q6107"/>
      <c r="R6107" s="9">
        <v>44882.645879629599</v>
      </c>
      <c r="S6107"/>
      <c r="T6107"/>
      <c r="U6107"/>
    </row>
    <row r="6108" spans="1:21" hidden="1">
      <c r="A6108" s="7" t="s">
        <v>8781</v>
      </c>
      <c r="B6108" s="7" t="s">
        <v>8313</v>
      </c>
      <c r="C6108" s="8" t="s">
        <v>5319</v>
      </c>
      <c r="D6108" t="s">
        <v>266</v>
      </c>
      <c r="E6108" t="s">
        <v>880</v>
      </c>
      <c r="F6108" t="s">
        <v>231</v>
      </c>
      <c r="G6108" t="s">
        <v>3482</v>
      </c>
      <c r="H6108" s="9">
        <v>44733</v>
      </c>
      <c r="I6108" t="s">
        <v>882</v>
      </c>
      <c r="J6108" t="s">
        <v>276</v>
      </c>
      <c r="K6108" s="9">
        <v>44881.653749999998</v>
      </c>
      <c r="L6108" t="s">
        <v>29</v>
      </c>
      <c r="M6108" t="s">
        <v>5331</v>
      </c>
      <c r="N6108" s="9">
        <v>44778</v>
      </c>
      <c r="O6108" s="9">
        <v>44834</v>
      </c>
      <c r="P6108"/>
      <c r="Q6108"/>
      <c r="R6108" s="9">
        <v>44881.650972222204</v>
      </c>
      <c r="S6108"/>
      <c r="T6108"/>
      <c r="U6108"/>
    </row>
    <row r="6109" spans="1:21" hidden="1">
      <c r="A6109" s="7" t="s">
        <v>8781</v>
      </c>
      <c r="B6109" s="7" t="s">
        <v>8313</v>
      </c>
      <c r="C6109" s="8" t="s">
        <v>5319</v>
      </c>
      <c r="D6109" t="s">
        <v>266</v>
      </c>
      <c r="E6109" t="s">
        <v>880</v>
      </c>
      <c r="F6109" t="s">
        <v>231</v>
      </c>
      <c r="G6109" t="s">
        <v>3483</v>
      </c>
      <c r="H6109" s="9">
        <v>44733</v>
      </c>
      <c r="I6109" t="s">
        <v>882</v>
      </c>
      <c r="J6109" t="s">
        <v>276</v>
      </c>
      <c r="K6109" s="9">
        <v>44881.653749999998</v>
      </c>
      <c r="L6109" t="s">
        <v>29</v>
      </c>
      <c r="M6109" t="s">
        <v>5331</v>
      </c>
      <c r="N6109" s="9">
        <v>44778</v>
      </c>
      <c r="O6109" s="9">
        <v>44834</v>
      </c>
      <c r="P6109"/>
      <c r="Q6109"/>
      <c r="R6109" s="9">
        <v>44881.650972222204</v>
      </c>
      <c r="S6109"/>
      <c r="T6109"/>
      <c r="U6109"/>
    </row>
    <row r="6110" spans="1:21" hidden="1">
      <c r="A6110" s="7" t="s">
        <v>8781</v>
      </c>
      <c r="B6110" s="7" t="s">
        <v>8313</v>
      </c>
      <c r="C6110" s="8" t="s">
        <v>5319</v>
      </c>
      <c r="D6110" t="s">
        <v>266</v>
      </c>
      <c r="E6110" t="s">
        <v>880</v>
      </c>
      <c r="F6110" t="s">
        <v>231</v>
      </c>
      <c r="G6110" t="s">
        <v>3484</v>
      </c>
      <c r="H6110" s="9">
        <v>44733</v>
      </c>
      <c r="I6110" t="s">
        <v>882</v>
      </c>
      <c r="J6110" t="s">
        <v>276</v>
      </c>
      <c r="K6110" s="9">
        <v>44881.653749999998</v>
      </c>
      <c r="L6110" t="s">
        <v>29</v>
      </c>
      <c r="M6110" t="s">
        <v>5331</v>
      </c>
      <c r="N6110" s="9">
        <v>44778</v>
      </c>
      <c r="O6110" s="9">
        <v>44834</v>
      </c>
      <c r="P6110"/>
      <c r="Q6110"/>
      <c r="R6110" s="9">
        <v>44881.650972222204</v>
      </c>
      <c r="S6110"/>
      <c r="T6110"/>
      <c r="U6110"/>
    </row>
    <row r="6111" spans="1:21" hidden="1">
      <c r="A6111" s="7" t="s">
        <v>8781</v>
      </c>
      <c r="B6111" s="7" t="s">
        <v>8313</v>
      </c>
      <c r="C6111" s="8" t="s">
        <v>5319</v>
      </c>
      <c r="D6111" t="s">
        <v>266</v>
      </c>
      <c r="E6111" t="s">
        <v>880</v>
      </c>
      <c r="F6111" t="s">
        <v>231</v>
      </c>
      <c r="G6111" t="s">
        <v>3485</v>
      </c>
      <c r="H6111" s="9">
        <v>44733</v>
      </c>
      <c r="I6111" t="s">
        <v>882</v>
      </c>
      <c r="J6111" t="s">
        <v>276</v>
      </c>
      <c r="K6111" s="9">
        <v>44881.653749999998</v>
      </c>
      <c r="L6111" t="s">
        <v>29</v>
      </c>
      <c r="M6111" t="s">
        <v>5331</v>
      </c>
      <c r="N6111" s="9">
        <v>44778</v>
      </c>
      <c r="O6111" s="9">
        <v>44834</v>
      </c>
      <c r="P6111"/>
      <c r="Q6111"/>
      <c r="R6111" s="9">
        <v>44881.650972222204</v>
      </c>
      <c r="S6111"/>
      <c r="T6111"/>
      <c r="U6111"/>
    </row>
    <row r="6112" spans="1:21" hidden="1">
      <c r="A6112" s="7" t="s">
        <v>8924</v>
      </c>
      <c r="B6112" s="7" t="s">
        <v>7902</v>
      </c>
      <c r="C6112" s="8" t="s">
        <v>5319</v>
      </c>
      <c r="D6112" t="s">
        <v>266</v>
      </c>
      <c r="E6112" t="s">
        <v>3372</v>
      </c>
      <c r="F6112" t="s">
        <v>117</v>
      </c>
      <c r="G6112" t="s">
        <v>3486</v>
      </c>
      <c r="H6112" s="9">
        <v>44733</v>
      </c>
      <c r="I6112" t="s">
        <v>408</v>
      </c>
      <c r="J6112" t="s">
        <v>2</v>
      </c>
      <c r="K6112" s="9">
        <v>44834</v>
      </c>
      <c r="L6112" t="s">
        <v>29</v>
      </c>
      <c r="M6112" t="s">
        <v>5331</v>
      </c>
      <c r="N6112" s="9">
        <v>44778</v>
      </c>
      <c r="O6112" s="9">
        <v>44834</v>
      </c>
      <c r="P6112"/>
      <c r="Q6112"/>
      <c r="R6112"/>
      <c r="S6112"/>
      <c r="T6112"/>
      <c r="U6112"/>
    </row>
    <row r="6113" spans="1:21" hidden="1">
      <c r="A6113" s="7" t="s">
        <v>8924</v>
      </c>
      <c r="B6113" s="7" t="s">
        <v>7902</v>
      </c>
      <c r="C6113" s="8" t="s">
        <v>5319</v>
      </c>
      <c r="D6113" t="s">
        <v>266</v>
      </c>
      <c r="E6113" t="s">
        <v>3372</v>
      </c>
      <c r="F6113" t="s">
        <v>117</v>
      </c>
      <c r="G6113" t="s">
        <v>3487</v>
      </c>
      <c r="H6113" s="9">
        <v>44733</v>
      </c>
      <c r="I6113" t="s">
        <v>408</v>
      </c>
      <c r="J6113" t="s">
        <v>2</v>
      </c>
      <c r="K6113" s="9">
        <v>44834</v>
      </c>
      <c r="L6113" t="s">
        <v>29</v>
      </c>
      <c r="M6113" t="s">
        <v>5331</v>
      </c>
      <c r="N6113" s="9">
        <v>44778</v>
      </c>
      <c r="O6113" s="9">
        <v>44834</v>
      </c>
      <c r="P6113"/>
      <c r="Q6113"/>
      <c r="R6113"/>
      <c r="S6113"/>
      <c r="T6113"/>
      <c r="U6113"/>
    </row>
    <row r="6114" spans="1:21" hidden="1">
      <c r="A6114" s="7" t="s">
        <v>8795</v>
      </c>
      <c r="B6114" s="7" t="s">
        <v>5590</v>
      </c>
      <c r="C6114" s="8" t="s">
        <v>5319</v>
      </c>
      <c r="D6114" t="s">
        <v>266</v>
      </c>
      <c r="E6114" t="s">
        <v>990</v>
      </c>
      <c r="F6114" t="s">
        <v>111</v>
      </c>
      <c r="G6114" t="s">
        <v>3488</v>
      </c>
      <c r="H6114" s="9">
        <v>44733</v>
      </c>
      <c r="I6114" t="s">
        <v>408</v>
      </c>
      <c r="J6114" t="s">
        <v>2</v>
      </c>
      <c r="K6114" s="9">
        <v>44834</v>
      </c>
      <c r="L6114" t="s">
        <v>29</v>
      </c>
      <c r="M6114" t="s">
        <v>5331</v>
      </c>
      <c r="N6114" s="9">
        <v>44778</v>
      </c>
      <c r="O6114" s="9">
        <v>44834</v>
      </c>
      <c r="P6114"/>
      <c r="Q6114"/>
      <c r="R6114"/>
      <c r="S6114"/>
      <c r="T6114"/>
      <c r="U6114"/>
    </row>
    <row r="6115" spans="1:21" hidden="1">
      <c r="A6115" s="7" t="s">
        <v>8789</v>
      </c>
      <c r="B6115" s="7" t="s">
        <v>6643</v>
      </c>
      <c r="C6115" s="8" t="s">
        <v>5319</v>
      </c>
      <c r="D6115" t="s">
        <v>266</v>
      </c>
      <c r="E6115" t="s">
        <v>908</v>
      </c>
      <c r="F6115" t="s">
        <v>83</v>
      </c>
      <c r="G6115" t="s">
        <v>3489</v>
      </c>
      <c r="H6115" s="9">
        <v>44733</v>
      </c>
      <c r="I6115" t="s">
        <v>408</v>
      </c>
      <c r="J6115" t="s">
        <v>2</v>
      </c>
      <c r="K6115" s="9">
        <v>44834</v>
      </c>
      <c r="L6115" t="s">
        <v>29</v>
      </c>
      <c r="M6115" t="s">
        <v>5331</v>
      </c>
      <c r="N6115" s="9">
        <v>44778</v>
      </c>
      <c r="O6115" s="9">
        <v>44834</v>
      </c>
      <c r="P6115"/>
      <c r="Q6115" s="9">
        <v>44888</v>
      </c>
      <c r="R6115"/>
      <c r="S6115"/>
      <c r="T6115"/>
      <c r="U6115"/>
    </row>
    <row r="6116" spans="1:21" hidden="1">
      <c r="A6116" s="7" t="s">
        <v>8795</v>
      </c>
      <c r="B6116" s="7" t="s">
        <v>5590</v>
      </c>
      <c r="C6116" s="8" t="s">
        <v>5319</v>
      </c>
      <c r="D6116" t="s">
        <v>266</v>
      </c>
      <c r="E6116" t="s">
        <v>990</v>
      </c>
      <c r="F6116" t="s">
        <v>111</v>
      </c>
      <c r="G6116" t="s">
        <v>3490</v>
      </c>
      <c r="H6116" s="9">
        <v>44733</v>
      </c>
      <c r="I6116" t="s">
        <v>408</v>
      </c>
      <c r="J6116" t="s">
        <v>2</v>
      </c>
      <c r="K6116" s="9">
        <v>44834</v>
      </c>
      <c r="L6116" t="s">
        <v>29</v>
      </c>
      <c r="M6116" t="s">
        <v>5331</v>
      </c>
      <c r="N6116" s="9">
        <v>44778</v>
      </c>
      <c r="O6116" s="9">
        <v>44834</v>
      </c>
      <c r="P6116"/>
      <c r="Q6116"/>
      <c r="R6116"/>
      <c r="S6116"/>
      <c r="T6116"/>
      <c r="U6116"/>
    </row>
    <row r="6117" spans="1:21" hidden="1">
      <c r="A6117" s="7" t="s">
        <v>8781</v>
      </c>
      <c r="B6117" s="7" t="s">
        <v>8313</v>
      </c>
      <c r="C6117" s="8" t="s">
        <v>5319</v>
      </c>
      <c r="D6117" t="s">
        <v>266</v>
      </c>
      <c r="E6117" t="s">
        <v>880</v>
      </c>
      <c r="F6117" t="s">
        <v>231</v>
      </c>
      <c r="G6117" t="s">
        <v>3491</v>
      </c>
      <c r="H6117" s="9">
        <v>44733</v>
      </c>
      <c r="I6117" t="s">
        <v>882</v>
      </c>
      <c r="J6117" t="s">
        <v>276</v>
      </c>
      <c r="K6117" s="9">
        <v>44881.653749999998</v>
      </c>
      <c r="L6117" t="s">
        <v>29</v>
      </c>
      <c r="M6117" t="s">
        <v>5331</v>
      </c>
      <c r="N6117" s="9">
        <v>44778</v>
      </c>
      <c r="O6117" s="9">
        <v>44834</v>
      </c>
      <c r="P6117"/>
      <c r="Q6117"/>
      <c r="R6117" s="9">
        <v>44881.650972222204</v>
      </c>
      <c r="S6117"/>
      <c r="T6117"/>
      <c r="U6117"/>
    </row>
    <row r="6118" spans="1:21" hidden="1">
      <c r="A6118" s="7" t="s">
        <v>8781</v>
      </c>
      <c r="B6118" s="7" t="s">
        <v>8313</v>
      </c>
      <c r="C6118" s="8" t="s">
        <v>5319</v>
      </c>
      <c r="D6118" t="s">
        <v>266</v>
      </c>
      <c r="E6118" t="s">
        <v>880</v>
      </c>
      <c r="F6118" t="s">
        <v>231</v>
      </c>
      <c r="G6118" t="s">
        <v>3492</v>
      </c>
      <c r="H6118" s="9">
        <v>44733</v>
      </c>
      <c r="I6118" t="s">
        <v>882</v>
      </c>
      <c r="J6118" t="s">
        <v>276</v>
      </c>
      <c r="K6118" s="9">
        <v>44881.653749999998</v>
      </c>
      <c r="L6118" t="s">
        <v>29</v>
      </c>
      <c r="M6118" t="s">
        <v>5331</v>
      </c>
      <c r="N6118" s="9">
        <v>44778</v>
      </c>
      <c r="O6118" s="9">
        <v>44834</v>
      </c>
      <c r="P6118"/>
      <c r="Q6118"/>
      <c r="R6118" s="9">
        <v>44881.650972222204</v>
      </c>
      <c r="S6118"/>
      <c r="T6118"/>
      <c r="U6118"/>
    </row>
    <row r="6119" spans="1:21" hidden="1">
      <c r="A6119" s="7" t="s">
        <v>8783</v>
      </c>
      <c r="B6119" s="7" t="s">
        <v>5718</v>
      </c>
      <c r="C6119" s="8" t="s">
        <v>5319</v>
      </c>
      <c r="D6119" t="s">
        <v>266</v>
      </c>
      <c r="E6119" t="s">
        <v>887</v>
      </c>
      <c r="F6119" t="s">
        <v>231</v>
      </c>
      <c r="G6119" t="s">
        <v>3493</v>
      </c>
      <c r="H6119" s="9">
        <v>44733</v>
      </c>
      <c r="I6119" t="s">
        <v>882</v>
      </c>
      <c r="J6119" t="s">
        <v>0</v>
      </c>
      <c r="K6119" s="9">
        <v>44855</v>
      </c>
      <c r="L6119" t="s">
        <v>29</v>
      </c>
      <c r="M6119"/>
      <c r="N6119" s="9">
        <v>44778</v>
      </c>
      <c r="O6119" s="9">
        <v>44834</v>
      </c>
      <c r="P6119"/>
      <c r="Q6119" s="9">
        <v>44855</v>
      </c>
      <c r="R6119"/>
      <c r="S6119"/>
      <c r="T6119"/>
      <c r="U6119"/>
    </row>
    <row r="6120" spans="1:21" hidden="1">
      <c r="A6120" s="7" t="s">
        <v>8782</v>
      </c>
      <c r="B6120" s="7" t="s">
        <v>5530</v>
      </c>
      <c r="C6120" s="8" t="s">
        <v>5319</v>
      </c>
      <c r="D6120" t="s">
        <v>266</v>
      </c>
      <c r="E6120" t="s">
        <v>885</v>
      </c>
      <c r="F6120" t="s">
        <v>75</v>
      </c>
      <c r="G6120" t="s">
        <v>3494</v>
      </c>
      <c r="H6120" s="9">
        <v>44733</v>
      </c>
      <c r="I6120" t="s">
        <v>408</v>
      </c>
      <c r="J6120" t="s">
        <v>0</v>
      </c>
      <c r="K6120" s="9">
        <v>44754</v>
      </c>
      <c r="L6120" t="s">
        <v>29</v>
      </c>
      <c r="M6120"/>
      <c r="N6120"/>
      <c r="O6120"/>
      <c r="P6120"/>
      <c r="Q6120" s="9">
        <v>44754</v>
      </c>
      <c r="R6120"/>
      <c r="S6120"/>
      <c r="T6120"/>
      <c r="U6120"/>
    </row>
    <row r="6121" spans="1:21" hidden="1">
      <c r="A6121" s="7" t="s">
        <v>8873</v>
      </c>
      <c r="B6121" s="7" t="s">
        <v>7140</v>
      </c>
      <c r="C6121" s="8" t="s">
        <v>5319</v>
      </c>
      <c r="D6121" t="s">
        <v>266</v>
      </c>
      <c r="E6121" t="s">
        <v>2360</v>
      </c>
      <c r="F6121" t="s">
        <v>209</v>
      </c>
      <c r="G6121" t="s">
        <v>3495</v>
      </c>
      <c r="H6121" s="9">
        <v>44733</v>
      </c>
      <c r="I6121" t="s">
        <v>2362</v>
      </c>
      <c r="J6121" t="s">
        <v>2</v>
      </c>
      <c r="K6121" s="9">
        <v>44834</v>
      </c>
      <c r="L6121" t="s">
        <v>29</v>
      </c>
      <c r="M6121" t="s">
        <v>5331</v>
      </c>
      <c r="N6121" s="9">
        <v>44778</v>
      </c>
      <c r="O6121" s="9">
        <v>44834</v>
      </c>
      <c r="P6121"/>
      <c r="Q6121"/>
      <c r="R6121"/>
      <c r="S6121"/>
      <c r="T6121"/>
      <c r="U6121"/>
    </row>
    <row r="6122" spans="1:21" hidden="1">
      <c r="A6122" s="7" t="s">
        <v>8873</v>
      </c>
      <c r="B6122" s="7" t="s">
        <v>7140</v>
      </c>
      <c r="C6122" s="8" t="s">
        <v>5319</v>
      </c>
      <c r="D6122" t="s">
        <v>266</v>
      </c>
      <c r="E6122" t="s">
        <v>2360</v>
      </c>
      <c r="F6122" t="s">
        <v>209</v>
      </c>
      <c r="G6122" t="s">
        <v>3496</v>
      </c>
      <c r="H6122" s="9">
        <v>44733</v>
      </c>
      <c r="I6122" t="s">
        <v>2362</v>
      </c>
      <c r="J6122" t="s">
        <v>2</v>
      </c>
      <c r="K6122" s="9">
        <v>44834</v>
      </c>
      <c r="L6122" t="s">
        <v>29</v>
      </c>
      <c r="M6122" t="s">
        <v>5331</v>
      </c>
      <c r="N6122" s="9">
        <v>44778</v>
      </c>
      <c r="O6122" s="9">
        <v>44834</v>
      </c>
      <c r="P6122"/>
      <c r="Q6122"/>
      <c r="R6122"/>
      <c r="S6122"/>
      <c r="T6122"/>
      <c r="U6122"/>
    </row>
    <row r="6123" spans="1:21" hidden="1">
      <c r="A6123" s="7" t="s">
        <v>8873</v>
      </c>
      <c r="B6123" s="7" t="s">
        <v>7140</v>
      </c>
      <c r="C6123" s="8" t="s">
        <v>5319</v>
      </c>
      <c r="D6123" t="s">
        <v>266</v>
      </c>
      <c r="E6123" t="s">
        <v>2360</v>
      </c>
      <c r="F6123" t="s">
        <v>209</v>
      </c>
      <c r="G6123" t="s">
        <v>3497</v>
      </c>
      <c r="H6123" s="9">
        <v>44733</v>
      </c>
      <c r="I6123" t="s">
        <v>2362</v>
      </c>
      <c r="J6123" t="s">
        <v>2</v>
      </c>
      <c r="K6123" s="9">
        <v>44834</v>
      </c>
      <c r="L6123" t="s">
        <v>29</v>
      </c>
      <c r="M6123" t="s">
        <v>5331</v>
      </c>
      <c r="N6123" s="9">
        <v>44778</v>
      </c>
      <c r="O6123" s="9">
        <v>44834</v>
      </c>
      <c r="P6123"/>
      <c r="Q6123"/>
      <c r="R6123"/>
      <c r="S6123"/>
      <c r="T6123"/>
      <c r="U6123"/>
    </row>
    <row r="6124" spans="1:21" hidden="1">
      <c r="A6124" s="7" t="s">
        <v>8873</v>
      </c>
      <c r="B6124" s="7" t="s">
        <v>7140</v>
      </c>
      <c r="C6124" s="8" t="s">
        <v>5319</v>
      </c>
      <c r="D6124" t="s">
        <v>266</v>
      </c>
      <c r="E6124" t="s">
        <v>2360</v>
      </c>
      <c r="F6124" t="s">
        <v>209</v>
      </c>
      <c r="G6124" t="s">
        <v>3498</v>
      </c>
      <c r="H6124" s="9">
        <v>44733</v>
      </c>
      <c r="I6124" t="s">
        <v>2362</v>
      </c>
      <c r="J6124" t="s">
        <v>2</v>
      </c>
      <c r="K6124" s="9">
        <v>44834</v>
      </c>
      <c r="L6124" t="s">
        <v>29</v>
      </c>
      <c r="M6124" t="s">
        <v>5331</v>
      </c>
      <c r="N6124" s="9">
        <v>44778</v>
      </c>
      <c r="O6124" s="9">
        <v>44834</v>
      </c>
      <c r="P6124"/>
      <c r="Q6124"/>
      <c r="R6124"/>
      <c r="S6124"/>
      <c r="T6124"/>
      <c r="U6124"/>
    </row>
    <row r="6125" spans="1:21" hidden="1">
      <c r="A6125" s="7" t="s">
        <v>8867</v>
      </c>
      <c r="B6125" s="7" t="s">
        <v>7140</v>
      </c>
      <c r="C6125" s="8" t="s">
        <v>5319</v>
      </c>
      <c r="D6125" t="s">
        <v>266</v>
      </c>
      <c r="E6125" t="s">
        <v>2360</v>
      </c>
      <c r="F6125" t="s">
        <v>231</v>
      </c>
      <c r="G6125" t="s">
        <v>3499</v>
      </c>
      <c r="H6125" s="9">
        <v>44733</v>
      </c>
      <c r="I6125" t="s">
        <v>2362</v>
      </c>
      <c r="J6125" t="s">
        <v>2</v>
      </c>
      <c r="K6125" s="9">
        <v>44834</v>
      </c>
      <c r="L6125" t="s">
        <v>29</v>
      </c>
      <c r="M6125" t="s">
        <v>5331</v>
      </c>
      <c r="N6125" s="9">
        <v>44778</v>
      </c>
      <c r="O6125" s="9">
        <v>44834</v>
      </c>
      <c r="P6125"/>
      <c r="Q6125"/>
      <c r="R6125"/>
      <c r="S6125"/>
      <c r="T6125"/>
      <c r="U6125"/>
    </row>
    <row r="6126" spans="1:21" hidden="1">
      <c r="A6126" s="7" t="s">
        <v>8871</v>
      </c>
      <c r="B6126" s="7" t="s">
        <v>8280</v>
      </c>
      <c r="C6126" s="8" t="s">
        <v>5319</v>
      </c>
      <c r="D6126" t="s">
        <v>266</v>
      </c>
      <c r="E6126" t="s">
        <v>2463</v>
      </c>
      <c r="F6126" t="s">
        <v>231</v>
      </c>
      <c r="G6126" t="s">
        <v>3500</v>
      </c>
      <c r="H6126" s="9">
        <v>44733</v>
      </c>
      <c r="I6126" t="s">
        <v>903</v>
      </c>
      <c r="J6126" t="s">
        <v>2</v>
      </c>
      <c r="K6126" s="9">
        <v>44806.4850925926</v>
      </c>
      <c r="L6126" t="s">
        <v>29</v>
      </c>
      <c r="M6126" t="s">
        <v>5331</v>
      </c>
      <c r="N6126" s="9">
        <v>44778</v>
      </c>
      <c r="O6126"/>
      <c r="P6126"/>
      <c r="Q6126"/>
      <c r="R6126" s="9">
        <v>44806.484525462998</v>
      </c>
      <c r="S6126"/>
      <c r="T6126"/>
      <c r="U6126"/>
    </row>
    <row r="6127" spans="1:21" hidden="1">
      <c r="A6127" s="7" t="s">
        <v>8825</v>
      </c>
      <c r="B6127" s="7" t="s">
        <v>5405</v>
      </c>
      <c r="C6127" s="8" t="s">
        <v>5319</v>
      </c>
      <c r="D6127" t="s">
        <v>266</v>
      </c>
      <c r="E6127" t="s">
        <v>25</v>
      </c>
      <c r="F6127" t="s">
        <v>111</v>
      </c>
      <c r="G6127" t="s">
        <v>3501</v>
      </c>
      <c r="H6127" s="9">
        <v>44733</v>
      </c>
      <c r="I6127" t="s">
        <v>8634</v>
      </c>
      <c r="J6127" t="s">
        <v>2</v>
      </c>
      <c r="K6127" s="9">
        <v>44834</v>
      </c>
      <c r="L6127" t="s">
        <v>29</v>
      </c>
      <c r="M6127" t="s">
        <v>5331</v>
      </c>
      <c r="N6127" s="9">
        <v>44778</v>
      </c>
      <c r="O6127" s="9">
        <v>44834</v>
      </c>
      <c r="P6127"/>
      <c r="Q6127"/>
      <c r="R6127"/>
      <c r="S6127"/>
      <c r="T6127"/>
      <c r="U6127"/>
    </row>
    <row r="6128" spans="1:21" hidden="1">
      <c r="A6128" s="7" t="s">
        <v>8925</v>
      </c>
      <c r="B6128" s="7" t="s">
        <v>8365</v>
      </c>
      <c r="C6128" s="8" t="s">
        <v>5319</v>
      </c>
      <c r="D6128" t="s">
        <v>266</v>
      </c>
      <c r="E6128" t="s">
        <v>3502</v>
      </c>
      <c r="F6128" t="s">
        <v>117</v>
      </c>
      <c r="G6128" t="s">
        <v>3503</v>
      </c>
      <c r="H6128" s="9">
        <v>44733</v>
      </c>
      <c r="I6128" t="s">
        <v>408</v>
      </c>
      <c r="J6128" t="s">
        <v>0</v>
      </c>
      <c r="K6128" s="9">
        <v>44743</v>
      </c>
      <c r="L6128" t="s">
        <v>29</v>
      </c>
      <c r="M6128"/>
      <c r="N6128"/>
      <c r="O6128"/>
      <c r="P6128"/>
      <c r="Q6128" s="9">
        <v>44743</v>
      </c>
      <c r="R6128"/>
      <c r="S6128"/>
      <c r="T6128"/>
      <c r="U6128"/>
    </row>
    <row r="6129" spans="1:21" hidden="1">
      <c r="A6129" s="7" t="s">
        <v>8756</v>
      </c>
      <c r="B6129" s="7" t="s">
        <v>7672</v>
      </c>
      <c r="C6129" s="8" t="s">
        <v>5319</v>
      </c>
      <c r="D6129" t="s">
        <v>266</v>
      </c>
      <c r="E6129" t="s">
        <v>486</v>
      </c>
      <c r="F6129" t="s">
        <v>117</v>
      </c>
      <c r="G6129" t="s">
        <v>3504</v>
      </c>
      <c r="H6129" s="9">
        <v>44733</v>
      </c>
      <c r="I6129" t="s">
        <v>488</v>
      </c>
      <c r="J6129" t="s">
        <v>2</v>
      </c>
      <c r="K6129" s="9">
        <v>44834</v>
      </c>
      <c r="L6129" t="s">
        <v>29</v>
      </c>
      <c r="M6129" t="s">
        <v>5331</v>
      </c>
      <c r="N6129" s="9">
        <v>44778</v>
      </c>
      <c r="O6129" s="9">
        <v>44834</v>
      </c>
      <c r="P6129"/>
      <c r="Q6129" s="9">
        <v>44887</v>
      </c>
      <c r="R6129"/>
      <c r="S6129"/>
      <c r="T6129"/>
      <c r="U6129"/>
    </row>
    <row r="6130" spans="1:21" hidden="1">
      <c r="A6130" s="7" t="s">
        <v>8756</v>
      </c>
      <c r="B6130" s="7" t="s">
        <v>7672</v>
      </c>
      <c r="C6130" s="8" t="s">
        <v>5319</v>
      </c>
      <c r="D6130" t="s">
        <v>266</v>
      </c>
      <c r="E6130" t="s">
        <v>486</v>
      </c>
      <c r="F6130" t="s">
        <v>117</v>
      </c>
      <c r="G6130" t="s">
        <v>3505</v>
      </c>
      <c r="H6130" s="9">
        <v>44733</v>
      </c>
      <c r="I6130" t="s">
        <v>488</v>
      </c>
      <c r="J6130" t="s">
        <v>2</v>
      </c>
      <c r="K6130" s="9">
        <v>44834</v>
      </c>
      <c r="L6130" t="s">
        <v>29</v>
      </c>
      <c r="M6130" t="s">
        <v>5331</v>
      </c>
      <c r="N6130" s="9">
        <v>44778</v>
      </c>
      <c r="O6130" s="9">
        <v>44834</v>
      </c>
      <c r="P6130"/>
      <c r="Q6130" s="9">
        <v>44887</v>
      </c>
      <c r="R6130"/>
      <c r="S6130"/>
      <c r="T6130"/>
      <c r="U6130"/>
    </row>
    <row r="6131" spans="1:21" hidden="1">
      <c r="A6131" s="7" t="s">
        <v>8758</v>
      </c>
      <c r="B6131" s="7" t="s">
        <v>5405</v>
      </c>
      <c r="C6131" s="8" t="s">
        <v>5319</v>
      </c>
      <c r="D6131" t="s">
        <v>266</v>
      </c>
      <c r="E6131" t="s">
        <v>25</v>
      </c>
      <c r="F6131" t="s">
        <v>493</v>
      </c>
      <c r="G6131" t="s">
        <v>3506</v>
      </c>
      <c r="H6131" s="9">
        <v>44733</v>
      </c>
      <c r="I6131" t="s">
        <v>8634</v>
      </c>
      <c r="J6131" t="s">
        <v>2</v>
      </c>
      <c r="K6131" s="9">
        <v>44834</v>
      </c>
      <c r="L6131" t="s">
        <v>29</v>
      </c>
      <c r="M6131" t="s">
        <v>5331</v>
      </c>
      <c r="N6131" s="9">
        <v>44778</v>
      </c>
      <c r="O6131" s="9">
        <v>44834</v>
      </c>
      <c r="P6131"/>
      <c r="Q6131"/>
      <c r="R6131"/>
      <c r="S6131"/>
      <c r="T6131"/>
      <c r="U6131"/>
    </row>
    <row r="6132" spans="1:21" hidden="1">
      <c r="A6132" s="7" t="s">
        <v>8758</v>
      </c>
      <c r="B6132" s="7" t="s">
        <v>5405</v>
      </c>
      <c r="C6132" s="8" t="s">
        <v>5319</v>
      </c>
      <c r="D6132" t="s">
        <v>266</v>
      </c>
      <c r="E6132" t="s">
        <v>25</v>
      </c>
      <c r="F6132" t="s">
        <v>493</v>
      </c>
      <c r="G6132" t="s">
        <v>2555</v>
      </c>
      <c r="H6132" s="9">
        <v>44733</v>
      </c>
      <c r="I6132" t="s">
        <v>8634</v>
      </c>
      <c r="J6132" t="s">
        <v>0</v>
      </c>
      <c r="K6132" s="9">
        <v>44862</v>
      </c>
      <c r="L6132" t="s">
        <v>29</v>
      </c>
      <c r="M6132"/>
      <c r="N6132" s="9">
        <v>44778</v>
      </c>
      <c r="O6132"/>
      <c r="P6132"/>
      <c r="Q6132" s="9">
        <v>44862</v>
      </c>
      <c r="R6132"/>
      <c r="S6132"/>
      <c r="T6132"/>
      <c r="U6132"/>
    </row>
    <row r="6133" spans="1:21" hidden="1">
      <c r="A6133" s="7" t="s">
        <v>8758</v>
      </c>
      <c r="B6133" s="7" t="s">
        <v>5405</v>
      </c>
      <c r="C6133" s="8" t="s">
        <v>5319</v>
      </c>
      <c r="D6133" t="s">
        <v>266</v>
      </c>
      <c r="E6133" t="s">
        <v>25</v>
      </c>
      <c r="F6133" t="s">
        <v>493</v>
      </c>
      <c r="G6133" t="s">
        <v>2556</v>
      </c>
      <c r="H6133" s="9">
        <v>44733</v>
      </c>
      <c r="I6133" t="s">
        <v>8634</v>
      </c>
      <c r="J6133" t="s">
        <v>0</v>
      </c>
      <c r="K6133" s="9">
        <v>44862</v>
      </c>
      <c r="L6133" t="s">
        <v>29</v>
      </c>
      <c r="M6133"/>
      <c r="N6133" s="9">
        <v>44778</v>
      </c>
      <c r="O6133"/>
      <c r="P6133"/>
      <c r="Q6133" s="9">
        <v>44862</v>
      </c>
      <c r="R6133"/>
      <c r="S6133"/>
      <c r="T6133"/>
      <c r="U6133"/>
    </row>
    <row r="6134" spans="1:21" hidden="1">
      <c r="A6134" s="7" t="s">
        <v>8758</v>
      </c>
      <c r="B6134" s="7" t="s">
        <v>5405</v>
      </c>
      <c r="C6134" s="8" t="s">
        <v>5319</v>
      </c>
      <c r="D6134" t="s">
        <v>266</v>
      </c>
      <c r="E6134" t="s">
        <v>25</v>
      </c>
      <c r="F6134" t="s">
        <v>493</v>
      </c>
      <c r="G6134" t="s">
        <v>3507</v>
      </c>
      <c r="H6134" s="9">
        <v>44733</v>
      </c>
      <c r="I6134" t="s">
        <v>8634</v>
      </c>
      <c r="J6134" t="s">
        <v>0</v>
      </c>
      <c r="K6134" s="9">
        <v>44862</v>
      </c>
      <c r="L6134" t="s">
        <v>29</v>
      </c>
      <c r="M6134"/>
      <c r="N6134" s="9">
        <v>44778</v>
      </c>
      <c r="O6134"/>
      <c r="P6134"/>
      <c r="Q6134" s="9">
        <v>44862</v>
      </c>
      <c r="R6134"/>
      <c r="S6134"/>
      <c r="T6134"/>
      <c r="U6134"/>
    </row>
    <row r="6135" spans="1:21" hidden="1">
      <c r="A6135" s="7" t="s">
        <v>8758</v>
      </c>
      <c r="B6135" s="7" t="s">
        <v>5405</v>
      </c>
      <c r="C6135" s="8" t="s">
        <v>5319</v>
      </c>
      <c r="D6135" t="s">
        <v>266</v>
      </c>
      <c r="E6135" t="s">
        <v>25</v>
      </c>
      <c r="F6135" t="s">
        <v>493</v>
      </c>
      <c r="G6135" t="s">
        <v>3508</v>
      </c>
      <c r="H6135" s="9">
        <v>44733</v>
      </c>
      <c r="I6135" t="s">
        <v>8634</v>
      </c>
      <c r="J6135" t="s">
        <v>0</v>
      </c>
      <c r="K6135" s="9">
        <v>44862</v>
      </c>
      <c r="L6135" t="s">
        <v>29</v>
      </c>
      <c r="M6135"/>
      <c r="N6135" s="9">
        <v>44778</v>
      </c>
      <c r="O6135"/>
      <c r="P6135"/>
      <c r="Q6135" s="9">
        <v>44862</v>
      </c>
      <c r="R6135"/>
      <c r="S6135"/>
      <c r="T6135"/>
      <c r="U6135"/>
    </row>
    <row r="6136" spans="1:21" hidden="1">
      <c r="A6136" s="7" t="s">
        <v>8758</v>
      </c>
      <c r="B6136" s="7" t="s">
        <v>5405</v>
      </c>
      <c r="C6136" s="8" t="s">
        <v>5319</v>
      </c>
      <c r="D6136" t="s">
        <v>266</v>
      </c>
      <c r="E6136" t="s">
        <v>25</v>
      </c>
      <c r="F6136" t="s">
        <v>493</v>
      </c>
      <c r="G6136" t="s">
        <v>3509</v>
      </c>
      <c r="H6136" s="9">
        <v>44733</v>
      </c>
      <c r="I6136" t="s">
        <v>8634</v>
      </c>
      <c r="J6136" t="s">
        <v>0</v>
      </c>
      <c r="K6136" s="9">
        <v>44862</v>
      </c>
      <c r="L6136" t="s">
        <v>29</v>
      </c>
      <c r="M6136"/>
      <c r="N6136" s="9">
        <v>44778</v>
      </c>
      <c r="O6136"/>
      <c r="P6136"/>
      <c r="Q6136" s="9">
        <v>44862</v>
      </c>
      <c r="R6136"/>
      <c r="S6136"/>
      <c r="T6136"/>
      <c r="U6136"/>
    </row>
    <row r="6137" spans="1:21" hidden="1">
      <c r="A6137" s="7" t="s">
        <v>8758</v>
      </c>
      <c r="B6137" s="7" t="s">
        <v>5405</v>
      </c>
      <c r="C6137" s="8" t="s">
        <v>5319</v>
      </c>
      <c r="D6137" t="s">
        <v>266</v>
      </c>
      <c r="E6137" t="s">
        <v>25</v>
      </c>
      <c r="F6137" t="s">
        <v>493</v>
      </c>
      <c r="G6137" t="s">
        <v>2561</v>
      </c>
      <c r="H6137" s="9">
        <v>44733</v>
      </c>
      <c r="I6137" t="s">
        <v>8634</v>
      </c>
      <c r="J6137" t="s">
        <v>0</v>
      </c>
      <c r="K6137" s="9">
        <v>44862</v>
      </c>
      <c r="L6137" t="s">
        <v>29</v>
      </c>
      <c r="M6137"/>
      <c r="N6137" s="9">
        <v>44778</v>
      </c>
      <c r="O6137"/>
      <c r="P6137"/>
      <c r="Q6137" s="9">
        <v>44862</v>
      </c>
      <c r="R6137"/>
      <c r="S6137"/>
      <c r="T6137"/>
      <c r="U6137"/>
    </row>
    <row r="6138" spans="1:21" hidden="1">
      <c r="A6138" s="7" t="s">
        <v>8758</v>
      </c>
      <c r="B6138" s="7" t="s">
        <v>5405</v>
      </c>
      <c r="C6138" s="8" t="s">
        <v>5319</v>
      </c>
      <c r="D6138" t="s">
        <v>266</v>
      </c>
      <c r="E6138" t="s">
        <v>25</v>
      </c>
      <c r="F6138" t="s">
        <v>493</v>
      </c>
      <c r="G6138" t="s">
        <v>2562</v>
      </c>
      <c r="H6138" s="9">
        <v>44733</v>
      </c>
      <c r="I6138" t="s">
        <v>8634</v>
      </c>
      <c r="J6138" t="s">
        <v>0</v>
      </c>
      <c r="K6138" s="9">
        <v>44862</v>
      </c>
      <c r="L6138" t="s">
        <v>29</v>
      </c>
      <c r="M6138"/>
      <c r="N6138" s="9">
        <v>44778</v>
      </c>
      <c r="O6138"/>
      <c r="P6138"/>
      <c r="Q6138" s="9">
        <v>44862</v>
      </c>
      <c r="R6138"/>
      <c r="S6138"/>
      <c r="T6138"/>
      <c r="U6138"/>
    </row>
    <row r="6139" spans="1:21" hidden="1">
      <c r="A6139" s="7" t="s">
        <v>8758</v>
      </c>
      <c r="B6139" s="7" t="s">
        <v>5405</v>
      </c>
      <c r="C6139" s="8" t="s">
        <v>5319</v>
      </c>
      <c r="D6139" t="s">
        <v>266</v>
      </c>
      <c r="E6139" t="s">
        <v>25</v>
      </c>
      <c r="F6139" t="s">
        <v>493</v>
      </c>
      <c r="G6139" t="s">
        <v>3510</v>
      </c>
      <c r="H6139" s="9">
        <v>44733</v>
      </c>
      <c r="I6139" t="s">
        <v>8634</v>
      </c>
      <c r="J6139" t="s">
        <v>0</v>
      </c>
      <c r="K6139" s="9">
        <v>44862</v>
      </c>
      <c r="L6139" t="s">
        <v>29</v>
      </c>
      <c r="M6139"/>
      <c r="N6139" s="9">
        <v>44778</v>
      </c>
      <c r="O6139"/>
      <c r="P6139"/>
      <c r="Q6139" s="9">
        <v>44862</v>
      </c>
      <c r="R6139"/>
      <c r="S6139"/>
      <c r="T6139"/>
      <c r="U6139"/>
    </row>
    <row r="6140" spans="1:21" hidden="1">
      <c r="A6140" s="7" t="s">
        <v>8758</v>
      </c>
      <c r="B6140" s="7" t="s">
        <v>5405</v>
      </c>
      <c r="C6140" s="8" t="s">
        <v>5319</v>
      </c>
      <c r="D6140" t="s">
        <v>266</v>
      </c>
      <c r="E6140" t="s">
        <v>25</v>
      </c>
      <c r="F6140" t="s">
        <v>493</v>
      </c>
      <c r="G6140" t="s">
        <v>2564</v>
      </c>
      <c r="H6140" s="9">
        <v>44733</v>
      </c>
      <c r="I6140" t="s">
        <v>8634</v>
      </c>
      <c r="J6140" t="s">
        <v>0</v>
      </c>
      <c r="K6140" s="9">
        <v>44862</v>
      </c>
      <c r="L6140" t="s">
        <v>29</v>
      </c>
      <c r="M6140"/>
      <c r="N6140" s="9">
        <v>44778</v>
      </c>
      <c r="O6140"/>
      <c r="P6140"/>
      <c r="Q6140" s="9">
        <v>44862</v>
      </c>
      <c r="R6140"/>
      <c r="S6140"/>
      <c r="T6140"/>
      <c r="U6140"/>
    </row>
    <row r="6141" spans="1:21" hidden="1">
      <c r="A6141" s="7" t="s">
        <v>8926</v>
      </c>
      <c r="B6141" s="7" t="s">
        <v>6802</v>
      </c>
      <c r="C6141" s="8" t="s">
        <v>5319</v>
      </c>
      <c r="D6141" t="s">
        <v>266</v>
      </c>
      <c r="E6141" t="s">
        <v>3511</v>
      </c>
      <c r="F6141" t="s">
        <v>117</v>
      </c>
      <c r="G6141" t="s">
        <v>3512</v>
      </c>
      <c r="H6141" s="9">
        <v>44733</v>
      </c>
      <c r="I6141" t="s">
        <v>2187</v>
      </c>
      <c r="J6141" t="s">
        <v>2</v>
      </c>
      <c r="K6141" s="9">
        <v>44834</v>
      </c>
      <c r="L6141" t="s">
        <v>29</v>
      </c>
      <c r="M6141" t="s">
        <v>5331</v>
      </c>
      <c r="N6141" s="9">
        <v>44778</v>
      </c>
      <c r="O6141" s="9">
        <v>44834</v>
      </c>
      <c r="P6141"/>
      <c r="Q6141"/>
      <c r="R6141"/>
      <c r="S6141"/>
      <c r="T6141"/>
      <c r="U6141"/>
    </row>
    <row r="6142" spans="1:21" hidden="1">
      <c r="A6142" s="7" t="s">
        <v>8927</v>
      </c>
      <c r="B6142" s="7" t="s">
        <v>8366</v>
      </c>
      <c r="C6142" s="8" t="s">
        <v>5319</v>
      </c>
      <c r="D6142" t="s">
        <v>266</v>
      </c>
      <c r="E6142" t="s">
        <v>3513</v>
      </c>
      <c r="F6142" t="s">
        <v>117</v>
      </c>
      <c r="G6142" t="s">
        <v>3512</v>
      </c>
      <c r="H6142" s="9">
        <v>44733</v>
      </c>
      <c r="I6142" t="s">
        <v>2187</v>
      </c>
      <c r="J6142" t="s">
        <v>2</v>
      </c>
      <c r="K6142" s="9">
        <v>44834</v>
      </c>
      <c r="L6142" t="s">
        <v>29</v>
      </c>
      <c r="M6142" t="s">
        <v>5331</v>
      </c>
      <c r="N6142" s="9">
        <v>44778</v>
      </c>
      <c r="O6142" s="9">
        <v>44834</v>
      </c>
      <c r="P6142"/>
      <c r="Q6142"/>
      <c r="R6142"/>
      <c r="S6142"/>
      <c r="T6142"/>
      <c r="U6142"/>
    </row>
    <row r="6143" spans="1:21" hidden="1">
      <c r="A6143" s="7" t="s">
        <v>8825</v>
      </c>
      <c r="B6143" s="7" t="s">
        <v>5405</v>
      </c>
      <c r="C6143" s="8" t="s">
        <v>5319</v>
      </c>
      <c r="D6143" t="s">
        <v>266</v>
      </c>
      <c r="E6143" t="s">
        <v>25</v>
      </c>
      <c r="F6143" t="s">
        <v>111</v>
      </c>
      <c r="G6143" t="s">
        <v>3514</v>
      </c>
      <c r="H6143" s="9">
        <v>44733</v>
      </c>
      <c r="I6143" t="s">
        <v>8634</v>
      </c>
      <c r="J6143" t="s">
        <v>0</v>
      </c>
      <c r="K6143" s="9">
        <v>44881</v>
      </c>
      <c r="L6143" t="s">
        <v>29</v>
      </c>
      <c r="M6143"/>
      <c r="N6143" s="9">
        <v>44778</v>
      </c>
      <c r="O6143"/>
      <c r="P6143"/>
      <c r="Q6143" s="9">
        <v>44881</v>
      </c>
      <c r="R6143"/>
      <c r="S6143"/>
      <c r="T6143"/>
      <c r="U6143"/>
    </row>
    <row r="6144" spans="1:21" hidden="1">
      <c r="A6144" s="7" t="s">
        <v>8825</v>
      </c>
      <c r="B6144" s="7" t="s">
        <v>5405</v>
      </c>
      <c r="C6144" s="8" t="s">
        <v>5319</v>
      </c>
      <c r="D6144" t="s">
        <v>266</v>
      </c>
      <c r="E6144" t="s">
        <v>25</v>
      </c>
      <c r="F6144" t="s">
        <v>111</v>
      </c>
      <c r="G6144" t="s">
        <v>3515</v>
      </c>
      <c r="H6144" s="9">
        <v>44733</v>
      </c>
      <c r="I6144" t="s">
        <v>8634</v>
      </c>
      <c r="J6144" t="s">
        <v>0</v>
      </c>
      <c r="K6144" s="9">
        <v>44881</v>
      </c>
      <c r="L6144" t="s">
        <v>29</v>
      </c>
      <c r="M6144"/>
      <c r="N6144" s="9">
        <v>44778</v>
      </c>
      <c r="O6144"/>
      <c r="P6144"/>
      <c r="Q6144" s="9">
        <v>44881</v>
      </c>
      <c r="R6144"/>
      <c r="S6144"/>
      <c r="T6144"/>
      <c r="U6144"/>
    </row>
    <row r="6145" spans="1:21" hidden="1">
      <c r="A6145" s="7" t="s">
        <v>8825</v>
      </c>
      <c r="B6145" s="7" t="s">
        <v>5405</v>
      </c>
      <c r="C6145" s="8" t="s">
        <v>5319</v>
      </c>
      <c r="D6145" t="s">
        <v>266</v>
      </c>
      <c r="E6145" t="s">
        <v>25</v>
      </c>
      <c r="F6145" t="s">
        <v>111</v>
      </c>
      <c r="G6145" t="s">
        <v>3516</v>
      </c>
      <c r="H6145" s="9">
        <v>44733</v>
      </c>
      <c r="I6145" t="s">
        <v>8634</v>
      </c>
      <c r="J6145" t="s">
        <v>0</v>
      </c>
      <c r="K6145" s="9">
        <v>44881</v>
      </c>
      <c r="L6145" t="s">
        <v>29</v>
      </c>
      <c r="M6145"/>
      <c r="N6145" s="9">
        <v>44778</v>
      </c>
      <c r="O6145"/>
      <c r="P6145"/>
      <c r="Q6145" s="9">
        <v>44881</v>
      </c>
      <c r="R6145"/>
      <c r="S6145"/>
      <c r="T6145"/>
      <c r="U6145"/>
    </row>
    <row r="6146" spans="1:21" hidden="1">
      <c r="A6146" s="7" t="s">
        <v>8861</v>
      </c>
      <c r="B6146" s="7" t="s">
        <v>8218</v>
      </c>
      <c r="C6146" s="8" t="s">
        <v>5319</v>
      </c>
      <c r="D6146" t="s">
        <v>266</v>
      </c>
      <c r="E6146" t="s">
        <v>2260</v>
      </c>
      <c r="F6146" t="s">
        <v>117</v>
      </c>
      <c r="G6146" t="s">
        <v>2568</v>
      </c>
      <c r="H6146" s="9">
        <v>44733</v>
      </c>
      <c r="I6146" t="s">
        <v>2262</v>
      </c>
      <c r="J6146" t="s">
        <v>2</v>
      </c>
      <c r="K6146" s="9">
        <v>44834</v>
      </c>
      <c r="L6146" t="s">
        <v>29</v>
      </c>
      <c r="M6146" t="s">
        <v>5331</v>
      </c>
      <c r="N6146" s="9">
        <v>44778</v>
      </c>
      <c r="O6146" s="9">
        <v>44834</v>
      </c>
      <c r="P6146"/>
      <c r="Q6146" s="9">
        <v>44879</v>
      </c>
      <c r="R6146"/>
      <c r="S6146"/>
      <c r="T6146"/>
      <c r="U6146"/>
    </row>
    <row r="6147" spans="1:21" hidden="1">
      <c r="A6147" s="7" t="s">
        <v>8861</v>
      </c>
      <c r="B6147" s="7" t="s">
        <v>8218</v>
      </c>
      <c r="C6147" s="8" t="s">
        <v>5319</v>
      </c>
      <c r="D6147" t="s">
        <v>266</v>
      </c>
      <c r="E6147" t="s">
        <v>2260</v>
      </c>
      <c r="F6147" t="s">
        <v>117</v>
      </c>
      <c r="G6147" t="s">
        <v>2569</v>
      </c>
      <c r="H6147" s="9">
        <v>44733</v>
      </c>
      <c r="I6147" t="s">
        <v>2262</v>
      </c>
      <c r="J6147" t="s">
        <v>2</v>
      </c>
      <c r="K6147" s="9">
        <v>44834</v>
      </c>
      <c r="L6147" t="s">
        <v>29</v>
      </c>
      <c r="M6147" t="s">
        <v>5331</v>
      </c>
      <c r="N6147" s="9">
        <v>44778</v>
      </c>
      <c r="O6147" s="9">
        <v>44834</v>
      </c>
      <c r="P6147"/>
      <c r="Q6147" s="9">
        <v>44879</v>
      </c>
      <c r="R6147"/>
      <c r="S6147"/>
      <c r="T6147"/>
      <c r="U6147"/>
    </row>
    <row r="6148" spans="1:21" hidden="1">
      <c r="A6148" s="7" t="s">
        <v>8861</v>
      </c>
      <c r="B6148" s="7" t="s">
        <v>8218</v>
      </c>
      <c r="C6148" s="8" t="s">
        <v>5319</v>
      </c>
      <c r="D6148" t="s">
        <v>266</v>
      </c>
      <c r="E6148" t="s">
        <v>2260</v>
      </c>
      <c r="F6148" t="s">
        <v>117</v>
      </c>
      <c r="G6148" t="s">
        <v>2570</v>
      </c>
      <c r="H6148" s="9">
        <v>44733</v>
      </c>
      <c r="I6148" t="s">
        <v>2262</v>
      </c>
      <c r="J6148" t="s">
        <v>2</v>
      </c>
      <c r="K6148" s="9">
        <v>44834</v>
      </c>
      <c r="L6148" t="s">
        <v>29</v>
      </c>
      <c r="M6148" t="s">
        <v>5331</v>
      </c>
      <c r="N6148" s="9">
        <v>44778</v>
      </c>
      <c r="O6148" s="9">
        <v>44834</v>
      </c>
      <c r="P6148"/>
      <c r="Q6148" s="9">
        <v>44879</v>
      </c>
      <c r="R6148"/>
      <c r="S6148"/>
      <c r="T6148"/>
      <c r="U6148"/>
    </row>
    <row r="6149" spans="1:21" hidden="1">
      <c r="A6149" s="7" t="s">
        <v>8861</v>
      </c>
      <c r="B6149" s="7" t="s">
        <v>8218</v>
      </c>
      <c r="C6149" s="8" t="s">
        <v>5319</v>
      </c>
      <c r="D6149" t="s">
        <v>266</v>
      </c>
      <c r="E6149" t="s">
        <v>2260</v>
      </c>
      <c r="F6149" t="s">
        <v>117</v>
      </c>
      <c r="G6149" t="s">
        <v>2571</v>
      </c>
      <c r="H6149" s="9">
        <v>44733</v>
      </c>
      <c r="I6149" t="s">
        <v>2262</v>
      </c>
      <c r="J6149" t="s">
        <v>2</v>
      </c>
      <c r="K6149" s="9">
        <v>44834</v>
      </c>
      <c r="L6149" t="s">
        <v>29</v>
      </c>
      <c r="M6149" t="s">
        <v>5331</v>
      </c>
      <c r="N6149" s="9">
        <v>44778</v>
      </c>
      <c r="O6149" s="9">
        <v>44834</v>
      </c>
      <c r="P6149"/>
      <c r="Q6149" s="9">
        <v>44879</v>
      </c>
      <c r="R6149"/>
      <c r="S6149"/>
      <c r="T6149"/>
      <c r="U6149"/>
    </row>
    <row r="6150" spans="1:21" hidden="1">
      <c r="A6150" s="7" t="s">
        <v>8861</v>
      </c>
      <c r="B6150" s="7" t="s">
        <v>8218</v>
      </c>
      <c r="C6150" s="8" t="s">
        <v>5319</v>
      </c>
      <c r="D6150" t="s">
        <v>266</v>
      </c>
      <c r="E6150" t="s">
        <v>2260</v>
      </c>
      <c r="F6150" t="s">
        <v>117</v>
      </c>
      <c r="G6150" t="s">
        <v>2572</v>
      </c>
      <c r="H6150" s="9">
        <v>44733</v>
      </c>
      <c r="I6150" t="s">
        <v>2262</v>
      </c>
      <c r="J6150" t="s">
        <v>2</v>
      </c>
      <c r="K6150" s="9">
        <v>44834</v>
      </c>
      <c r="L6150" t="s">
        <v>29</v>
      </c>
      <c r="M6150" t="s">
        <v>5331</v>
      </c>
      <c r="N6150" s="9">
        <v>44778</v>
      </c>
      <c r="O6150" s="9">
        <v>44834</v>
      </c>
      <c r="P6150"/>
      <c r="Q6150" s="9">
        <v>44879</v>
      </c>
      <c r="R6150"/>
      <c r="S6150"/>
      <c r="T6150"/>
      <c r="U6150"/>
    </row>
    <row r="6151" spans="1:21" hidden="1">
      <c r="A6151" s="7" t="s">
        <v>8928</v>
      </c>
      <c r="B6151" s="7" t="s">
        <v>8364</v>
      </c>
      <c r="C6151" s="8" t="s">
        <v>5319</v>
      </c>
      <c r="D6151" t="s">
        <v>266</v>
      </c>
      <c r="E6151" t="s">
        <v>3279</v>
      </c>
      <c r="F6151" t="s">
        <v>231</v>
      </c>
      <c r="G6151" t="s">
        <v>3517</v>
      </c>
      <c r="H6151" s="9">
        <v>44733</v>
      </c>
      <c r="I6151" t="s">
        <v>903</v>
      </c>
      <c r="J6151" t="s">
        <v>2</v>
      </c>
      <c r="K6151" s="9">
        <v>44834</v>
      </c>
      <c r="L6151" t="s">
        <v>29</v>
      </c>
      <c r="M6151" t="s">
        <v>5331</v>
      </c>
      <c r="N6151" s="9">
        <v>44778</v>
      </c>
      <c r="O6151" s="9">
        <v>44834</v>
      </c>
      <c r="P6151"/>
      <c r="Q6151"/>
      <c r="R6151"/>
      <c r="S6151"/>
      <c r="T6151"/>
      <c r="U6151"/>
    </row>
    <row r="6152" spans="1:21" hidden="1">
      <c r="A6152" s="7" t="s">
        <v>8929</v>
      </c>
      <c r="B6152" s="7" t="s">
        <v>8110</v>
      </c>
      <c r="C6152" s="8" t="s">
        <v>5319</v>
      </c>
      <c r="D6152" t="s">
        <v>266</v>
      </c>
      <c r="E6152" t="s">
        <v>1015</v>
      </c>
      <c r="F6152" t="s">
        <v>231</v>
      </c>
      <c r="G6152" t="s">
        <v>3518</v>
      </c>
      <c r="H6152" s="9">
        <v>44733</v>
      </c>
      <c r="I6152" t="s">
        <v>488</v>
      </c>
      <c r="J6152" t="s">
        <v>2</v>
      </c>
      <c r="K6152" s="9">
        <v>44834</v>
      </c>
      <c r="L6152" t="s">
        <v>29</v>
      </c>
      <c r="M6152" t="s">
        <v>5331</v>
      </c>
      <c r="N6152" s="9">
        <v>44778</v>
      </c>
      <c r="O6152" s="9">
        <v>44834</v>
      </c>
      <c r="P6152"/>
      <c r="Q6152"/>
      <c r="R6152"/>
      <c r="S6152"/>
      <c r="T6152"/>
      <c r="U6152"/>
    </row>
    <row r="6153" spans="1:21" hidden="1">
      <c r="A6153" s="7" t="s">
        <v>8758</v>
      </c>
      <c r="B6153" s="7" t="s">
        <v>5405</v>
      </c>
      <c r="C6153" s="8" t="s">
        <v>5319</v>
      </c>
      <c r="D6153" t="s">
        <v>266</v>
      </c>
      <c r="E6153" t="s">
        <v>25</v>
      </c>
      <c r="F6153" t="s">
        <v>493</v>
      </c>
      <c r="G6153" t="s">
        <v>3519</v>
      </c>
      <c r="H6153" s="9">
        <v>44733</v>
      </c>
      <c r="I6153" t="s">
        <v>8634</v>
      </c>
      <c r="J6153" t="s">
        <v>2</v>
      </c>
      <c r="K6153" s="9">
        <v>44834</v>
      </c>
      <c r="L6153" t="s">
        <v>29</v>
      </c>
      <c r="M6153" t="s">
        <v>5331</v>
      </c>
      <c r="N6153" s="9">
        <v>44778</v>
      </c>
      <c r="O6153" s="9">
        <v>44834</v>
      </c>
      <c r="P6153"/>
      <c r="Q6153"/>
      <c r="R6153"/>
      <c r="S6153"/>
      <c r="T6153"/>
      <c r="U6153"/>
    </row>
    <row r="6154" spans="1:21" hidden="1">
      <c r="A6154" s="7" t="s">
        <v>8741</v>
      </c>
      <c r="B6154" s="7" t="s">
        <v>6723</v>
      </c>
      <c r="C6154" s="8" t="s">
        <v>5319</v>
      </c>
      <c r="D6154" t="s">
        <v>266</v>
      </c>
      <c r="E6154" t="s">
        <v>320</v>
      </c>
      <c r="F6154" t="s">
        <v>231</v>
      </c>
      <c r="G6154" t="s">
        <v>3520</v>
      </c>
      <c r="H6154" s="9">
        <v>44733</v>
      </c>
      <c r="I6154" t="s">
        <v>322</v>
      </c>
      <c r="J6154" t="s">
        <v>2</v>
      </c>
      <c r="K6154" s="9">
        <v>44834</v>
      </c>
      <c r="L6154" t="s">
        <v>29</v>
      </c>
      <c r="M6154" t="s">
        <v>5331</v>
      </c>
      <c r="N6154" s="9">
        <v>44778</v>
      </c>
      <c r="O6154" s="9">
        <v>44834</v>
      </c>
      <c r="P6154"/>
      <c r="Q6154"/>
      <c r="R6154"/>
      <c r="S6154"/>
      <c r="T6154"/>
      <c r="U6154"/>
    </row>
    <row r="6155" spans="1:21" hidden="1">
      <c r="A6155" s="7" t="s">
        <v>8741</v>
      </c>
      <c r="B6155" s="7" t="s">
        <v>6723</v>
      </c>
      <c r="C6155" s="8" t="s">
        <v>5319</v>
      </c>
      <c r="D6155" t="s">
        <v>266</v>
      </c>
      <c r="E6155" t="s">
        <v>320</v>
      </c>
      <c r="F6155" t="s">
        <v>231</v>
      </c>
      <c r="G6155" t="s">
        <v>3521</v>
      </c>
      <c r="H6155" s="9">
        <v>44733</v>
      </c>
      <c r="I6155" t="s">
        <v>322</v>
      </c>
      <c r="J6155" t="s">
        <v>2</v>
      </c>
      <c r="K6155" s="9">
        <v>44834</v>
      </c>
      <c r="L6155" t="s">
        <v>29</v>
      </c>
      <c r="M6155" t="s">
        <v>5331</v>
      </c>
      <c r="N6155" s="9">
        <v>44778</v>
      </c>
      <c r="O6155" s="9">
        <v>44834</v>
      </c>
      <c r="P6155"/>
      <c r="Q6155"/>
      <c r="R6155"/>
      <c r="S6155"/>
      <c r="T6155"/>
      <c r="U6155"/>
    </row>
    <row r="6156" spans="1:21" hidden="1">
      <c r="A6156" s="7" t="s">
        <v>8741</v>
      </c>
      <c r="B6156" s="7" t="s">
        <v>6723</v>
      </c>
      <c r="C6156" s="8" t="s">
        <v>5319</v>
      </c>
      <c r="D6156" t="s">
        <v>266</v>
      </c>
      <c r="E6156" t="s">
        <v>320</v>
      </c>
      <c r="F6156" t="s">
        <v>231</v>
      </c>
      <c r="G6156" t="s">
        <v>3522</v>
      </c>
      <c r="H6156" s="9">
        <v>44733</v>
      </c>
      <c r="I6156" t="s">
        <v>322</v>
      </c>
      <c r="J6156" t="s">
        <v>2</v>
      </c>
      <c r="K6156" s="9">
        <v>44834</v>
      </c>
      <c r="L6156" t="s">
        <v>29</v>
      </c>
      <c r="M6156" t="s">
        <v>5331</v>
      </c>
      <c r="N6156" s="9">
        <v>44778</v>
      </c>
      <c r="O6156" s="9">
        <v>44834</v>
      </c>
      <c r="P6156"/>
      <c r="Q6156"/>
      <c r="R6156"/>
      <c r="S6156"/>
      <c r="T6156"/>
      <c r="U6156"/>
    </row>
    <row r="6157" spans="1:21" hidden="1">
      <c r="A6157" s="7" t="s">
        <v>8741</v>
      </c>
      <c r="B6157" s="7" t="s">
        <v>6723</v>
      </c>
      <c r="C6157" s="8" t="s">
        <v>5319</v>
      </c>
      <c r="D6157" t="s">
        <v>266</v>
      </c>
      <c r="E6157" t="s">
        <v>320</v>
      </c>
      <c r="F6157" t="s">
        <v>231</v>
      </c>
      <c r="G6157" t="s">
        <v>3523</v>
      </c>
      <c r="H6157" s="9">
        <v>44733</v>
      </c>
      <c r="I6157" t="s">
        <v>322</v>
      </c>
      <c r="J6157" t="s">
        <v>2</v>
      </c>
      <c r="K6157" s="9">
        <v>44834</v>
      </c>
      <c r="L6157" t="s">
        <v>29</v>
      </c>
      <c r="M6157" t="s">
        <v>5331</v>
      </c>
      <c r="N6157" s="9">
        <v>44778</v>
      </c>
      <c r="O6157" s="9">
        <v>44834</v>
      </c>
      <c r="P6157"/>
      <c r="Q6157"/>
      <c r="R6157"/>
      <c r="S6157"/>
      <c r="T6157"/>
      <c r="U6157"/>
    </row>
    <row r="6158" spans="1:21" hidden="1">
      <c r="A6158" s="7" t="s">
        <v>8741</v>
      </c>
      <c r="B6158" s="7" t="s">
        <v>6723</v>
      </c>
      <c r="C6158" s="8" t="s">
        <v>5319</v>
      </c>
      <c r="D6158" t="s">
        <v>266</v>
      </c>
      <c r="E6158" t="s">
        <v>320</v>
      </c>
      <c r="F6158" t="s">
        <v>231</v>
      </c>
      <c r="G6158" t="s">
        <v>3524</v>
      </c>
      <c r="H6158" s="9">
        <v>44733</v>
      </c>
      <c r="I6158" t="s">
        <v>322</v>
      </c>
      <c r="J6158" t="s">
        <v>2</v>
      </c>
      <c r="K6158" s="9">
        <v>44834</v>
      </c>
      <c r="L6158" t="s">
        <v>29</v>
      </c>
      <c r="M6158" t="s">
        <v>5331</v>
      </c>
      <c r="N6158" s="9">
        <v>44778</v>
      </c>
      <c r="O6158" s="9">
        <v>44834</v>
      </c>
      <c r="P6158"/>
      <c r="Q6158"/>
      <c r="R6158"/>
      <c r="S6158"/>
      <c r="T6158"/>
      <c r="U6158"/>
    </row>
    <row r="6159" spans="1:21" hidden="1">
      <c r="A6159" s="7" t="s">
        <v>8741</v>
      </c>
      <c r="B6159" s="7" t="s">
        <v>6723</v>
      </c>
      <c r="C6159" s="8" t="s">
        <v>5319</v>
      </c>
      <c r="D6159" t="s">
        <v>266</v>
      </c>
      <c r="E6159" t="s">
        <v>320</v>
      </c>
      <c r="F6159" t="s">
        <v>231</v>
      </c>
      <c r="G6159" t="s">
        <v>3525</v>
      </c>
      <c r="H6159" s="9">
        <v>44733</v>
      </c>
      <c r="I6159" t="s">
        <v>322</v>
      </c>
      <c r="J6159" t="s">
        <v>2</v>
      </c>
      <c r="K6159" s="9">
        <v>44834</v>
      </c>
      <c r="L6159" t="s">
        <v>29</v>
      </c>
      <c r="M6159" t="s">
        <v>5331</v>
      </c>
      <c r="N6159" s="9">
        <v>44778</v>
      </c>
      <c r="O6159" s="9">
        <v>44834</v>
      </c>
      <c r="P6159"/>
      <c r="Q6159"/>
      <c r="R6159"/>
      <c r="S6159"/>
      <c r="T6159"/>
      <c r="U6159"/>
    </row>
    <row r="6160" spans="1:21" hidden="1">
      <c r="A6160" s="7" t="s">
        <v>8741</v>
      </c>
      <c r="B6160" s="7" t="s">
        <v>6723</v>
      </c>
      <c r="C6160" s="8" t="s">
        <v>5319</v>
      </c>
      <c r="D6160" t="s">
        <v>266</v>
      </c>
      <c r="E6160" t="s">
        <v>320</v>
      </c>
      <c r="F6160" t="s">
        <v>231</v>
      </c>
      <c r="G6160" t="s">
        <v>3526</v>
      </c>
      <c r="H6160" s="9">
        <v>44733</v>
      </c>
      <c r="I6160" t="s">
        <v>322</v>
      </c>
      <c r="J6160" t="s">
        <v>2</v>
      </c>
      <c r="K6160" s="9">
        <v>44834</v>
      </c>
      <c r="L6160" t="s">
        <v>29</v>
      </c>
      <c r="M6160" t="s">
        <v>5331</v>
      </c>
      <c r="N6160" s="9">
        <v>44778</v>
      </c>
      <c r="O6160" s="9">
        <v>44834</v>
      </c>
      <c r="P6160"/>
      <c r="Q6160"/>
      <c r="R6160"/>
      <c r="S6160"/>
      <c r="T6160"/>
      <c r="U6160"/>
    </row>
    <row r="6161" spans="1:21" hidden="1">
      <c r="A6161" s="7" t="s">
        <v>8741</v>
      </c>
      <c r="B6161" s="7" t="s">
        <v>6723</v>
      </c>
      <c r="C6161" s="8" t="s">
        <v>5319</v>
      </c>
      <c r="D6161" t="s">
        <v>266</v>
      </c>
      <c r="E6161" t="s">
        <v>320</v>
      </c>
      <c r="F6161" t="s">
        <v>231</v>
      </c>
      <c r="G6161" t="s">
        <v>3527</v>
      </c>
      <c r="H6161" s="9">
        <v>44733</v>
      </c>
      <c r="I6161" t="s">
        <v>322</v>
      </c>
      <c r="J6161" t="s">
        <v>2</v>
      </c>
      <c r="K6161" s="9">
        <v>44834</v>
      </c>
      <c r="L6161" t="s">
        <v>29</v>
      </c>
      <c r="M6161" t="s">
        <v>5331</v>
      </c>
      <c r="N6161" s="9">
        <v>44778</v>
      </c>
      <c r="O6161" s="9">
        <v>44834</v>
      </c>
      <c r="P6161"/>
      <c r="Q6161"/>
      <c r="R6161"/>
      <c r="S6161"/>
      <c r="T6161"/>
      <c r="U6161"/>
    </row>
    <row r="6162" spans="1:21" hidden="1">
      <c r="A6162" s="7" t="s">
        <v>8741</v>
      </c>
      <c r="B6162" s="7" t="s">
        <v>6723</v>
      </c>
      <c r="C6162" s="8" t="s">
        <v>5319</v>
      </c>
      <c r="D6162" t="s">
        <v>266</v>
      </c>
      <c r="E6162" t="s">
        <v>320</v>
      </c>
      <c r="F6162" t="s">
        <v>231</v>
      </c>
      <c r="G6162" t="s">
        <v>3528</v>
      </c>
      <c r="H6162" s="9">
        <v>44733</v>
      </c>
      <c r="I6162" t="s">
        <v>322</v>
      </c>
      <c r="J6162" t="s">
        <v>2</v>
      </c>
      <c r="K6162" s="9">
        <v>44834</v>
      </c>
      <c r="L6162" t="s">
        <v>29</v>
      </c>
      <c r="M6162" t="s">
        <v>5331</v>
      </c>
      <c r="N6162" s="9">
        <v>44778</v>
      </c>
      <c r="O6162" s="9">
        <v>44834</v>
      </c>
      <c r="P6162"/>
      <c r="Q6162"/>
      <c r="R6162"/>
      <c r="S6162"/>
      <c r="T6162"/>
      <c r="U6162"/>
    </row>
    <row r="6163" spans="1:21" hidden="1">
      <c r="A6163" s="7" t="s">
        <v>8741</v>
      </c>
      <c r="B6163" s="7" t="s">
        <v>6723</v>
      </c>
      <c r="C6163" s="8" t="s">
        <v>5319</v>
      </c>
      <c r="D6163" t="s">
        <v>266</v>
      </c>
      <c r="E6163" t="s">
        <v>320</v>
      </c>
      <c r="F6163" t="s">
        <v>231</v>
      </c>
      <c r="G6163" t="s">
        <v>3529</v>
      </c>
      <c r="H6163" s="9">
        <v>44733</v>
      </c>
      <c r="I6163" t="s">
        <v>322</v>
      </c>
      <c r="J6163" t="s">
        <v>2</v>
      </c>
      <c r="K6163" s="9">
        <v>44834</v>
      </c>
      <c r="L6163" t="s">
        <v>29</v>
      </c>
      <c r="M6163" t="s">
        <v>5331</v>
      </c>
      <c r="N6163" s="9">
        <v>44778</v>
      </c>
      <c r="O6163" s="9">
        <v>44834</v>
      </c>
      <c r="P6163"/>
      <c r="Q6163"/>
      <c r="R6163"/>
      <c r="S6163"/>
      <c r="T6163"/>
      <c r="U6163"/>
    </row>
    <row r="6164" spans="1:21" hidden="1">
      <c r="A6164" s="7" t="s">
        <v>8741</v>
      </c>
      <c r="B6164" s="7" t="s">
        <v>6723</v>
      </c>
      <c r="C6164" s="8" t="s">
        <v>5319</v>
      </c>
      <c r="D6164" t="s">
        <v>266</v>
      </c>
      <c r="E6164" t="s">
        <v>320</v>
      </c>
      <c r="F6164" t="s">
        <v>231</v>
      </c>
      <c r="G6164" t="s">
        <v>3530</v>
      </c>
      <c r="H6164" s="9">
        <v>44733</v>
      </c>
      <c r="I6164" t="s">
        <v>322</v>
      </c>
      <c r="J6164" t="s">
        <v>2</v>
      </c>
      <c r="K6164" s="9">
        <v>44834</v>
      </c>
      <c r="L6164" t="s">
        <v>29</v>
      </c>
      <c r="M6164" t="s">
        <v>5331</v>
      </c>
      <c r="N6164" s="9">
        <v>44778</v>
      </c>
      <c r="O6164" s="9">
        <v>44834</v>
      </c>
      <c r="P6164"/>
      <c r="Q6164"/>
      <c r="R6164"/>
      <c r="S6164"/>
      <c r="T6164"/>
      <c r="U6164"/>
    </row>
    <row r="6165" spans="1:21" hidden="1">
      <c r="A6165" s="7" t="s">
        <v>8741</v>
      </c>
      <c r="B6165" s="7" t="s">
        <v>6723</v>
      </c>
      <c r="C6165" s="8" t="s">
        <v>5319</v>
      </c>
      <c r="D6165" t="s">
        <v>266</v>
      </c>
      <c r="E6165" t="s">
        <v>320</v>
      </c>
      <c r="F6165" t="s">
        <v>231</v>
      </c>
      <c r="G6165" t="s">
        <v>3531</v>
      </c>
      <c r="H6165" s="9">
        <v>44733</v>
      </c>
      <c r="I6165" t="s">
        <v>322</v>
      </c>
      <c r="J6165" t="s">
        <v>2</v>
      </c>
      <c r="K6165" s="9">
        <v>44834</v>
      </c>
      <c r="L6165" t="s">
        <v>29</v>
      </c>
      <c r="M6165" t="s">
        <v>5331</v>
      </c>
      <c r="N6165" s="9">
        <v>44778</v>
      </c>
      <c r="O6165" s="9">
        <v>44834</v>
      </c>
      <c r="P6165"/>
      <c r="Q6165"/>
      <c r="R6165"/>
      <c r="S6165"/>
      <c r="T6165"/>
      <c r="U6165"/>
    </row>
    <row r="6166" spans="1:21" hidden="1">
      <c r="A6166" s="7" t="s">
        <v>8741</v>
      </c>
      <c r="B6166" s="7" t="s">
        <v>6723</v>
      </c>
      <c r="C6166" s="8" t="s">
        <v>5319</v>
      </c>
      <c r="D6166" t="s">
        <v>266</v>
      </c>
      <c r="E6166" t="s">
        <v>320</v>
      </c>
      <c r="F6166" t="s">
        <v>231</v>
      </c>
      <c r="G6166" t="s">
        <v>3532</v>
      </c>
      <c r="H6166" s="9">
        <v>44733</v>
      </c>
      <c r="I6166" t="s">
        <v>322</v>
      </c>
      <c r="J6166" t="s">
        <v>2</v>
      </c>
      <c r="K6166" s="9">
        <v>44834</v>
      </c>
      <c r="L6166" t="s">
        <v>29</v>
      </c>
      <c r="M6166" t="s">
        <v>5331</v>
      </c>
      <c r="N6166" s="9">
        <v>44778</v>
      </c>
      <c r="O6166" s="9">
        <v>44834</v>
      </c>
      <c r="P6166"/>
      <c r="Q6166"/>
      <c r="R6166"/>
      <c r="S6166"/>
      <c r="T6166"/>
      <c r="U6166"/>
    </row>
    <row r="6167" spans="1:21" hidden="1">
      <c r="A6167" s="7" t="s">
        <v>8741</v>
      </c>
      <c r="B6167" s="7" t="s">
        <v>6723</v>
      </c>
      <c r="C6167" s="8" t="s">
        <v>5319</v>
      </c>
      <c r="D6167" t="s">
        <v>266</v>
      </c>
      <c r="E6167" t="s">
        <v>320</v>
      </c>
      <c r="F6167" t="s">
        <v>231</v>
      </c>
      <c r="G6167" t="s">
        <v>3533</v>
      </c>
      <c r="H6167" s="9">
        <v>44733</v>
      </c>
      <c r="I6167" t="s">
        <v>322</v>
      </c>
      <c r="J6167" t="s">
        <v>2</v>
      </c>
      <c r="K6167" s="9">
        <v>44834</v>
      </c>
      <c r="L6167" t="s">
        <v>29</v>
      </c>
      <c r="M6167" t="s">
        <v>5331</v>
      </c>
      <c r="N6167" s="9">
        <v>44778</v>
      </c>
      <c r="O6167" s="9">
        <v>44834</v>
      </c>
      <c r="P6167"/>
      <c r="Q6167"/>
      <c r="R6167"/>
      <c r="S6167"/>
      <c r="T6167"/>
      <c r="U6167"/>
    </row>
    <row r="6168" spans="1:21" hidden="1">
      <c r="A6168" s="7" t="s">
        <v>8741</v>
      </c>
      <c r="B6168" s="7" t="s">
        <v>6723</v>
      </c>
      <c r="C6168" s="8" t="s">
        <v>5319</v>
      </c>
      <c r="D6168" t="s">
        <v>266</v>
      </c>
      <c r="E6168" t="s">
        <v>320</v>
      </c>
      <c r="F6168" t="s">
        <v>231</v>
      </c>
      <c r="G6168" t="s">
        <v>3534</v>
      </c>
      <c r="H6168" s="9">
        <v>44733</v>
      </c>
      <c r="I6168" t="s">
        <v>322</v>
      </c>
      <c r="J6168" t="s">
        <v>2</v>
      </c>
      <c r="K6168" s="9">
        <v>44834</v>
      </c>
      <c r="L6168" t="s">
        <v>29</v>
      </c>
      <c r="M6168" t="s">
        <v>5331</v>
      </c>
      <c r="N6168" s="9">
        <v>44778</v>
      </c>
      <c r="O6168" s="9">
        <v>44834</v>
      </c>
      <c r="P6168"/>
      <c r="Q6168"/>
      <c r="R6168"/>
      <c r="S6168"/>
      <c r="T6168"/>
      <c r="U6168"/>
    </row>
    <row r="6169" spans="1:21" hidden="1">
      <c r="A6169" s="7" t="s">
        <v>8741</v>
      </c>
      <c r="B6169" s="7" t="s">
        <v>6723</v>
      </c>
      <c r="C6169" s="8" t="s">
        <v>5319</v>
      </c>
      <c r="D6169" t="s">
        <v>266</v>
      </c>
      <c r="E6169" t="s">
        <v>320</v>
      </c>
      <c r="F6169" t="s">
        <v>231</v>
      </c>
      <c r="G6169" t="s">
        <v>3535</v>
      </c>
      <c r="H6169" s="9">
        <v>44733</v>
      </c>
      <c r="I6169" t="s">
        <v>322</v>
      </c>
      <c r="J6169" t="s">
        <v>2</v>
      </c>
      <c r="K6169" s="9">
        <v>44834</v>
      </c>
      <c r="L6169" t="s">
        <v>29</v>
      </c>
      <c r="M6169" t="s">
        <v>5331</v>
      </c>
      <c r="N6169" s="9">
        <v>44778</v>
      </c>
      <c r="O6169" s="9">
        <v>44834</v>
      </c>
      <c r="P6169"/>
      <c r="Q6169"/>
      <c r="R6169"/>
      <c r="S6169"/>
      <c r="T6169"/>
      <c r="U6169"/>
    </row>
    <row r="6170" spans="1:21" hidden="1">
      <c r="A6170" s="7" t="s">
        <v>8741</v>
      </c>
      <c r="B6170" s="7" t="s">
        <v>6723</v>
      </c>
      <c r="C6170" s="8" t="s">
        <v>5319</v>
      </c>
      <c r="D6170" t="s">
        <v>266</v>
      </c>
      <c r="E6170" t="s">
        <v>320</v>
      </c>
      <c r="F6170" t="s">
        <v>231</v>
      </c>
      <c r="G6170" t="s">
        <v>3536</v>
      </c>
      <c r="H6170" s="9">
        <v>44733</v>
      </c>
      <c r="I6170" t="s">
        <v>322</v>
      </c>
      <c r="J6170" t="s">
        <v>2</v>
      </c>
      <c r="K6170" s="9">
        <v>44834</v>
      </c>
      <c r="L6170" t="s">
        <v>29</v>
      </c>
      <c r="M6170" t="s">
        <v>5331</v>
      </c>
      <c r="N6170" s="9">
        <v>44778</v>
      </c>
      <c r="O6170" s="9">
        <v>44834</v>
      </c>
      <c r="P6170"/>
      <c r="Q6170"/>
      <c r="R6170"/>
      <c r="S6170"/>
      <c r="T6170"/>
      <c r="U6170"/>
    </row>
    <row r="6171" spans="1:21" hidden="1">
      <c r="A6171" s="7" t="s">
        <v>8741</v>
      </c>
      <c r="B6171" s="7" t="s">
        <v>6723</v>
      </c>
      <c r="C6171" s="8" t="s">
        <v>5319</v>
      </c>
      <c r="D6171" t="s">
        <v>266</v>
      </c>
      <c r="E6171" t="s">
        <v>320</v>
      </c>
      <c r="F6171" t="s">
        <v>231</v>
      </c>
      <c r="G6171" t="s">
        <v>3537</v>
      </c>
      <c r="H6171" s="9">
        <v>44733</v>
      </c>
      <c r="I6171" t="s">
        <v>322</v>
      </c>
      <c r="J6171" t="s">
        <v>2</v>
      </c>
      <c r="K6171" s="9">
        <v>44834</v>
      </c>
      <c r="L6171" t="s">
        <v>29</v>
      </c>
      <c r="M6171" t="s">
        <v>5331</v>
      </c>
      <c r="N6171" s="9">
        <v>44778</v>
      </c>
      <c r="O6171" s="9">
        <v>44834</v>
      </c>
      <c r="P6171"/>
      <c r="Q6171"/>
      <c r="R6171"/>
      <c r="S6171"/>
      <c r="T6171"/>
      <c r="U6171"/>
    </row>
    <row r="6172" spans="1:21" hidden="1">
      <c r="A6172" s="7" t="s">
        <v>8741</v>
      </c>
      <c r="B6172" s="7" t="s">
        <v>6723</v>
      </c>
      <c r="C6172" s="8" t="s">
        <v>5319</v>
      </c>
      <c r="D6172" t="s">
        <v>266</v>
      </c>
      <c r="E6172" t="s">
        <v>320</v>
      </c>
      <c r="F6172" t="s">
        <v>231</v>
      </c>
      <c r="G6172" t="s">
        <v>3538</v>
      </c>
      <c r="H6172" s="9">
        <v>44733</v>
      </c>
      <c r="I6172" t="s">
        <v>322</v>
      </c>
      <c r="J6172" t="s">
        <v>2</v>
      </c>
      <c r="K6172" s="9">
        <v>44834</v>
      </c>
      <c r="L6172" t="s">
        <v>29</v>
      </c>
      <c r="M6172" t="s">
        <v>5331</v>
      </c>
      <c r="N6172" s="9">
        <v>44778</v>
      </c>
      <c r="O6172" s="9">
        <v>44834</v>
      </c>
      <c r="P6172"/>
      <c r="Q6172"/>
      <c r="R6172"/>
      <c r="S6172"/>
      <c r="T6172"/>
      <c r="U6172"/>
    </row>
    <row r="6173" spans="1:21" hidden="1">
      <c r="A6173" s="7" t="s">
        <v>8741</v>
      </c>
      <c r="B6173" s="7" t="s">
        <v>6723</v>
      </c>
      <c r="C6173" s="8" t="s">
        <v>5319</v>
      </c>
      <c r="D6173" t="s">
        <v>266</v>
      </c>
      <c r="E6173" t="s">
        <v>320</v>
      </c>
      <c r="F6173" t="s">
        <v>231</v>
      </c>
      <c r="G6173" t="s">
        <v>3539</v>
      </c>
      <c r="H6173" s="9">
        <v>44733</v>
      </c>
      <c r="I6173" t="s">
        <v>322</v>
      </c>
      <c r="J6173" t="s">
        <v>2</v>
      </c>
      <c r="K6173" s="9">
        <v>44834</v>
      </c>
      <c r="L6173" t="s">
        <v>29</v>
      </c>
      <c r="M6173" t="s">
        <v>5331</v>
      </c>
      <c r="N6173" s="9">
        <v>44778</v>
      </c>
      <c r="O6173" s="9">
        <v>44834</v>
      </c>
      <c r="P6173"/>
      <c r="Q6173"/>
      <c r="R6173"/>
      <c r="S6173"/>
      <c r="T6173"/>
      <c r="U6173"/>
    </row>
    <row r="6174" spans="1:21" hidden="1">
      <c r="A6174" s="7" t="s">
        <v>8741</v>
      </c>
      <c r="B6174" s="7" t="s">
        <v>6723</v>
      </c>
      <c r="C6174" s="8" t="s">
        <v>5319</v>
      </c>
      <c r="D6174" t="s">
        <v>266</v>
      </c>
      <c r="E6174" t="s">
        <v>320</v>
      </c>
      <c r="F6174" t="s">
        <v>231</v>
      </c>
      <c r="G6174" t="s">
        <v>3540</v>
      </c>
      <c r="H6174" s="9">
        <v>44733</v>
      </c>
      <c r="I6174" t="s">
        <v>322</v>
      </c>
      <c r="J6174" t="s">
        <v>2</v>
      </c>
      <c r="K6174" s="9">
        <v>44834</v>
      </c>
      <c r="L6174" t="s">
        <v>29</v>
      </c>
      <c r="M6174" t="s">
        <v>5331</v>
      </c>
      <c r="N6174" s="9">
        <v>44778</v>
      </c>
      <c r="O6174" s="9">
        <v>44834</v>
      </c>
      <c r="P6174"/>
      <c r="Q6174"/>
      <c r="R6174"/>
      <c r="S6174"/>
      <c r="T6174"/>
      <c r="U6174"/>
    </row>
    <row r="6175" spans="1:21" hidden="1">
      <c r="A6175" s="7" t="s">
        <v>8741</v>
      </c>
      <c r="B6175" s="7" t="s">
        <v>6723</v>
      </c>
      <c r="C6175" s="8" t="s">
        <v>5319</v>
      </c>
      <c r="D6175" t="s">
        <v>266</v>
      </c>
      <c r="E6175" t="s">
        <v>320</v>
      </c>
      <c r="F6175" t="s">
        <v>231</v>
      </c>
      <c r="G6175" t="s">
        <v>2593</v>
      </c>
      <c r="H6175" s="9">
        <v>44733</v>
      </c>
      <c r="I6175" t="s">
        <v>322</v>
      </c>
      <c r="J6175" t="s">
        <v>2</v>
      </c>
      <c r="K6175" s="9">
        <v>44834</v>
      </c>
      <c r="L6175" t="s">
        <v>29</v>
      </c>
      <c r="M6175" t="s">
        <v>5331</v>
      </c>
      <c r="N6175" s="9">
        <v>44778</v>
      </c>
      <c r="O6175" s="9">
        <v>44834</v>
      </c>
      <c r="P6175"/>
      <c r="Q6175"/>
      <c r="R6175"/>
      <c r="S6175"/>
      <c r="T6175"/>
      <c r="U6175"/>
    </row>
    <row r="6176" spans="1:21" hidden="1">
      <c r="A6176" s="7" t="s">
        <v>8741</v>
      </c>
      <c r="B6176" s="7" t="s">
        <v>6723</v>
      </c>
      <c r="C6176" s="8" t="s">
        <v>5319</v>
      </c>
      <c r="D6176" t="s">
        <v>266</v>
      </c>
      <c r="E6176" t="s">
        <v>320</v>
      </c>
      <c r="F6176" t="s">
        <v>231</v>
      </c>
      <c r="G6176" t="s">
        <v>3541</v>
      </c>
      <c r="H6176" s="9">
        <v>44733</v>
      </c>
      <c r="I6176" t="s">
        <v>322</v>
      </c>
      <c r="J6176" t="s">
        <v>2</v>
      </c>
      <c r="K6176" s="9">
        <v>44834</v>
      </c>
      <c r="L6176" t="s">
        <v>29</v>
      </c>
      <c r="M6176" t="s">
        <v>5331</v>
      </c>
      <c r="N6176" s="9">
        <v>44778</v>
      </c>
      <c r="O6176" s="9">
        <v>44834</v>
      </c>
      <c r="P6176"/>
      <c r="Q6176"/>
      <c r="R6176"/>
      <c r="S6176"/>
      <c r="T6176"/>
      <c r="U6176"/>
    </row>
    <row r="6177" spans="1:21" hidden="1">
      <c r="A6177" s="7" t="s">
        <v>8741</v>
      </c>
      <c r="B6177" s="7" t="s">
        <v>6723</v>
      </c>
      <c r="C6177" s="8" t="s">
        <v>5319</v>
      </c>
      <c r="D6177" t="s">
        <v>266</v>
      </c>
      <c r="E6177" t="s">
        <v>320</v>
      </c>
      <c r="F6177" t="s">
        <v>231</v>
      </c>
      <c r="G6177" t="s">
        <v>3542</v>
      </c>
      <c r="H6177" s="9">
        <v>44733</v>
      </c>
      <c r="I6177" t="s">
        <v>322</v>
      </c>
      <c r="J6177" t="s">
        <v>2</v>
      </c>
      <c r="K6177" s="9">
        <v>44834</v>
      </c>
      <c r="L6177" t="s">
        <v>29</v>
      </c>
      <c r="M6177" t="s">
        <v>5331</v>
      </c>
      <c r="N6177" s="9">
        <v>44778</v>
      </c>
      <c r="O6177" s="9">
        <v>44834</v>
      </c>
      <c r="P6177"/>
      <c r="Q6177"/>
      <c r="R6177"/>
      <c r="S6177"/>
      <c r="T6177"/>
      <c r="U6177"/>
    </row>
    <row r="6178" spans="1:21" hidden="1">
      <c r="A6178" s="7" t="s">
        <v>8741</v>
      </c>
      <c r="B6178" s="7" t="s">
        <v>6723</v>
      </c>
      <c r="C6178" s="8" t="s">
        <v>5319</v>
      </c>
      <c r="D6178" t="s">
        <v>266</v>
      </c>
      <c r="E6178" t="s">
        <v>320</v>
      </c>
      <c r="F6178" t="s">
        <v>231</v>
      </c>
      <c r="G6178" t="s">
        <v>3543</v>
      </c>
      <c r="H6178" s="9">
        <v>44733</v>
      </c>
      <c r="I6178" t="s">
        <v>322</v>
      </c>
      <c r="J6178" t="s">
        <v>2</v>
      </c>
      <c r="K6178" s="9">
        <v>44834</v>
      </c>
      <c r="L6178" t="s">
        <v>29</v>
      </c>
      <c r="M6178" t="s">
        <v>5331</v>
      </c>
      <c r="N6178" s="9">
        <v>44778</v>
      </c>
      <c r="O6178" s="9">
        <v>44834</v>
      </c>
      <c r="P6178"/>
      <c r="Q6178"/>
      <c r="R6178"/>
      <c r="S6178"/>
      <c r="T6178"/>
      <c r="U6178"/>
    </row>
    <row r="6179" spans="1:21" hidden="1">
      <c r="A6179" s="7" t="s">
        <v>8741</v>
      </c>
      <c r="B6179" s="7" t="s">
        <v>6723</v>
      </c>
      <c r="C6179" s="8" t="s">
        <v>5319</v>
      </c>
      <c r="D6179" t="s">
        <v>266</v>
      </c>
      <c r="E6179" t="s">
        <v>320</v>
      </c>
      <c r="F6179" t="s">
        <v>231</v>
      </c>
      <c r="G6179" t="s">
        <v>3544</v>
      </c>
      <c r="H6179" s="9">
        <v>44733</v>
      </c>
      <c r="I6179" t="s">
        <v>322</v>
      </c>
      <c r="J6179" t="s">
        <v>2</v>
      </c>
      <c r="K6179" s="9">
        <v>44834</v>
      </c>
      <c r="L6179" t="s">
        <v>29</v>
      </c>
      <c r="M6179" t="s">
        <v>5331</v>
      </c>
      <c r="N6179" s="9">
        <v>44778</v>
      </c>
      <c r="O6179" s="9">
        <v>44834</v>
      </c>
      <c r="P6179"/>
      <c r="Q6179"/>
      <c r="R6179"/>
      <c r="S6179"/>
      <c r="T6179"/>
      <c r="U6179"/>
    </row>
    <row r="6180" spans="1:21" hidden="1">
      <c r="A6180" s="7" t="s">
        <v>8741</v>
      </c>
      <c r="B6180" s="7" t="s">
        <v>6723</v>
      </c>
      <c r="C6180" s="8" t="s">
        <v>5319</v>
      </c>
      <c r="D6180" t="s">
        <v>266</v>
      </c>
      <c r="E6180" t="s">
        <v>320</v>
      </c>
      <c r="F6180" t="s">
        <v>231</v>
      </c>
      <c r="G6180" t="s">
        <v>3545</v>
      </c>
      <c r="H6180" s="9">
        <v>44733</v>
      </c>
      <c r="I6180" t="s">
        <v>322</v>
      </c>
      <c r="J6180" t="s">
        <v>2</v>
      </c>
      <c r="K6180" s="9">
        <v>44834</v>
      </c>
      <c r="L6180" t="s">
        <v>29</v>
      </c>
      <c r="M6180" t="s">
        <v>5331</v>
      </c>
      <c r="N6180" s="9">
        <v>44778</v>
      </c>
      <c r="O6180" s="9">
        <v>44834</v>
      </c>
      <c r="P6180"/>
      <c r="Q6180"/>
      <c r="R6180"/>
      <c r="S6180"/>
      <c r="T6180"/>
      <c r="U6180"/>
    </row>
    <row r="6181" spans="1:21" hidden="1">
      <c r="A6181" s="7" t="s">
        <v>8741</v>
      </c>
      <c r="B6181" s="7" t="s">
        <v>6723</v>
      </c>
      <c r="C6181" s="8" t="s">
        <v>5319</v>
      </c>
      <c r="D6181" t="s">
        <v>266</v>
      </c>
      <c r="E6181" t="s">
        <v>320</v>
      </c>
      <c r="F6181" t="s">
        <v>231</v>
      </c>
      <c r="G6181" t="s">
        <v>3546</v>
      </c>
      <c r="H6181" s="9">
        <v>44733</v>
      </c>
      <c r="I6181" t="s">
        <v>322</v>
      </c>
      <c r="J6181" t="s">
        <v>2</v>
      </c>
      <c r="K6181" s="9">
        <v>44834</v>
      </c>
      <c r="L6181" t="s">
        <v>29</v>
      </c>
      <c r="M6181" t="s">
        <v>5331</v>
      </c>
      <c r="N6181" s="9">
        <v>44778</v>
      </c>
      <c r="O6181" s="9">
        <v>44834</v>
      </c>
      <c r="P6181"/>
      <c r="Q6181"/>
      <c r="R6181"/>
      <c r="S6181"/>
      <c r="T6181"/>
      <c r="U6181"/>
    </row>
    <row r="6182" spans="1:21" hidden="1">
      <c r="A6182" s="7" t="s">
        <v>8741</v>
      </c>
      <c r="B6182" s="7" t="s">
        <v>6723</v>
      </c>
      <c r="C6182" s="8" t="s">
        <v>5319</v>
      </c>
      <c r="D6182" t="s">
        <v>266</v>
      </c>
      <c r="E6182" t="s">
        <v>320</v>
      </c>
      <c r="F6182" t="s">
        <v>231</v>
      </c>
      <c r="G6182" t="s">
        <v>3547</v>
      </c>
      <c r="H6182" s="9">
        <v>44733</v>
      </c>
      <c r="I6182" t="s">
        <v>322</v>
      </c>
      <c r="J6182" t="s">
        <v>2</v>
      </c>
      <c r="K6182" s="9">
        <v>44834</v>
      </c>
      <c r="L6182" t="s">
        <v>29</v>
      </c>
      <c r="M6182" t="s">
        <v>5331</v>
      </c>
      <c r="N6182" s="9">
        <v>44778</v>
      </c>
      <c r="O6182" s="9">
        <v>44834</v>
      </c>
      <c r="P6182"/>
      <c r="Q6182"/>
      <c r="R6182"/>
      <c r="S6182"/>
      <c r="T6182"/>
      <c r="U6182"/>
    </row>
    <row r="6183" spans="1:21" hidden="1">
      <c r="A6183" s="7" t="s">
        <v>8741</v>
      </c>
      <c r="B6183" s="7" t="s">
        <v>6723</v>
      </c>
      <c r="C6183" s="8" t="s">
        <v>5319</v>
      </c>
      <c r="D6183" t="s">
        <v>266</v>
      </c>
      <c r="E6183" t="s">
        <v>320</v>
      </c>
      <c r="F6183" t="s">
        <v>231</v>
      </c>
      <c r="G6183" t="s">
        <v>3548</v>
      </c>
      <c r="H6183" s="9">
        <v>44733</v>
      </c>
      <c r="I6183" t="s">
        <v>322</v>
      </c>
      <c r="J6183" t="s">
        <v>2</v>
      </c>
      <c r="K6183" s="9">
        <v>44834</v>
      </c>
      <c r="L6183" t="s">
        <v>29</v>
      </c>
      <c r="M6183" t="s">
        <v>5331</v>
      </c>
      <c r="N6183" s="9">
        <v>44778</v>
      </c>
      <c r="O6183" s="9">
        <v>44834</v>
      </c>
      <c r="P6183"/>
      <c r="Q6183"/>
      <c r="R6183"/>
      <c r="S6183"/>
      <c r="T6183"/>
      <c r="U6183"/>
    </row>
    <row r="6184" spans="1:21" hidden="1">
      <c r="A6184" s="7" t="s">
        <v>8741</v>
      </c>
      <c r="B6184" s="7" t="s">
        <v>6723</v>
      </c>
      <c r="C6184" s="8" t="s">
        <v>5319</v>
      </c>
      <c r="D6184" t="s">
        <v>266</v>
      </c>
      <c r="E6184" t="s">
        <v>320</v>
      </c>
      <c r="F6184" t="s">
        <v>231</v>
      </c>
      <c r="G6184" t="s">
        <v>2594</v>
      </c>
      <c r="H6184" s="9">
        <v>44733</v>
      </c>
      <c r="I6184" t="s">
        <v>322</v>
      </c>
      <c r="J6184" t="s">
        <v>2</v>
      </c>
      <c r="K6184" s="9">
        <v>44834</v>
      </c>
      <c r="L6184" t="s">
        <v>29</v>
      </c>
      <c r="M6184" t="s">
        <v>5331</v>
      </c>
      <c r="N6184" s="9">
        <v>44778</v>
      </c>
      <c r="O6184" s="9">
        <v>44834</v>
      </c>
      <c r="P6184"/>
      <c r="Q6184"/>
      <c r="R6184"/>
      <c r="S6184"/>
      <c r="T6184"/>
      <c r="U6184"/>
    </row>
    <row r="6185" spans="1:21" hidden="1">
      <c r="A6185" s="7" t="s">
        <v>8741</v>
      </c>
      <c r="B6185" s="7" t="s">
        <v>6723</v>
      </c>
      <c r="C6185" s="8" t="s">
        <v>5319</v>
      </c>
      <c r="D6185" t="s">
        <v>266</v>
      </c>
      <c r="E6185" t="s">
        <v>320</v>
      </c>
      <c r="F6185" t="s">
        <v>231</v>
      </c>
      <c r="G6185" t="s">
        <v>2595</v>
      </c>
      <c r="H6185" s="9">
        <v>44733</v>
      </c>
      <c r="I6185" t="s">
        <v>322</v>
      </c>
      <c r="J6185" t="s">
        <v>2</v>
      </c>
      <c r="K6185" s="9">
        <v>44834</v>
      </c>
      <c r="L6185" t="s">
        <v>29</v>
      </c>
      <c r="M6185" t="s">
        <v>5331</v>
      </c>
      <c r="N6185" s="9">
        <v>44778</v>
      </c>
      <c r="O6185" s="9">
        <v>44834</v>
      </c>
      <c r="P6185"/>
      <c r="Q6185"/>
      <c r="R6185"/>
      <c r="S6185"/>
      <c r="T6185"/>
      <c r="U6185"/>
    </row>
    <row r="6186" spans="1:21" hidden="1">
      <c r="A6186" s="7" t="s">
        <v>8741</v>
      </c>
      <c r="B6186" s="7" t="s">
        <v>6723</v>
      </c>
      <c r="C6186" s="8" t="s">
        <v>5319</v>
      </c>
      <c r="D6186" t="s">
        <v>266</v>
      </c>
      <c r="E6186" t="s">
        <v>320</v>
      </c>
      <c r="F6186" t="s">
        <v>231</v>
      </c>
      <c r="G6186" t="s">
        <v>2596</v>
      </c>
      <c r="H6186" s="9">
        <v>44733</v>
      </c>
      <c r="I6186" t="s">
        <v>322</v>
      </c>
      <c r="J6186" t="s">
        <v>2</v>
      </c>
      <c r="K6186" s="9">
        <v>44834</v>
      </c>
      <c r="L6186" t="s">
        <v>29</v>
      </c>
      <c r="M6186" t="s">
        <v>5331</v>
      </c>
      <c r="N6186" s="9">
        <v>44778</v>
      </c>
      <c r="O6186" s="9">
        <v>44834</v>
      </c>
      <c r="P6186"/>
      <c r="Q6186"/>
      <c r="R6186"/>
      <c r="S6186"/>
      <c r="T6186"/>
      <c r="U6186"/>
    </row>
    <row r="6187" spans="1:21" hidden="1">
      <c r="A6187" s="7" t="s">
        <v>8741</v>
      </c>
      <c r="B6187" s="7" t="s">
        <v>6723</v>
      </c>
      <c r="C6187" s="8" t="s">
        <v>5319</v>
      </c>
      <c r="D6187" t="s">
        <v>266</v>
      </c>
      <c r="E6187" t="s">
        <v>320</v>
      </c>
      <c r="F6187" t="s">
        <v>231</v>
      </c>
      <c r="G6187" t="s">
        <v>3549</v>
      </c>
      <c r="H6187" s="9">
        <v>44733</v>
      </c>
      <c r="I6187" t="s">
        <v>322</v>
      </c>
      <c r="J6187" t="s">
        <v>2</v>
      </c>
      <c r="K6187" s="9">
        <v>44834</v>
      </c>
      <c r="L6187" t="s">
        <v>29</v>
      </c>
      <c r="M6187" t="s">
        <v>5331</v>
      </c>
      <c r="N6187" s="9">
        <v>44778</v>
      </c>
      <c r="O6187" s="9">
        <v>44834</v>
      </c>
      <c r="P6187"/>
      <c r="Q6187"/>
      <c r="R6187"/>
      <c r="S6187"/>
      <c r="T6187"/>
      <c r="U6187"/>
    </row>
    <row r="6188" spans="1:21" hidden="1">
      <c r="A6188" s="7" t="s">
        <v>8741</v>
      </c>
      <c r="B6188" s="7" t="s">
        <v>6723</v>
      </c>
      <c r="C6188" s="8" t="s">
        <v>5319</v>
      </c>
      <c r="D6188" t="s">
        <v>266</v>
      </c>
      <c r="E6188" t="s">
        <v>320</v>
      </c>
      <c r="F6188" t="s">
        <v>231</v>
      </c>
      <c r="G6188" t="s">
        <v>3550</v>
      </c>
      <c r="H6188" s="9">
        <v>44733</v>
      </c>
      <c r="I6188" t="s">
        <v>322</v>
      </c>
      <c r="J6188" t="s">
        <v>2</v>
      </c>
      <c r="K6188" s="9">
        <v>44834</v>
      </c>
      <c r="L6188" t="s">
        <v>29</v>
      </c>
      <c r="M6188" t="s">
        <v>5331</v>
      </c>
      <c r="N6188" s="9">
        <v>44778</v>
      </c>
      <c r="O6188" s="9">
        <v>44834</v>
      </c>
      <c r="P6188"/>
      <c r="Q6188"/>
      <c r="R6188"/>
      <c r="S6188"/>
      <c r="T6188"/>
      <c r="U6188"/>
    </row>
    <row r="6189" spans="1:21" hidden="1">
      <c r="A6189" s="7" t="s">
        <v>8741</v>
      </c>
      <c r="B6189" s="7" t="s">
        <v>6723</v>
      </c>
      <c r="C6189" s="8" t="s">
        <v>5319</v>
      </c>
      <c r="D6189" t="s">
        <v>266</v>
      </c>
      <c r="E6189" t="s">
        <v>320</v>
      </c>
      <c r="F6189" t="s">
        <v>231</v>
      </c>
      <c r="G6189" t="s">
        <v>3551</v>
      </c>
      <c r="H6189" s="9">
        <v>44733</v>
      </c>
      <c r="I6189" t="s">
        <v>322</v>
      </c>
      <c r="J6189" t="s">
        <v>2</v>
      </c>
      <c r="K6189" s="9">
        <v>44834</v>
      </c>
      <c r="L6189" t="s">
        <v>29</v>
      </c>
      <c r="M6189" t="s">
        <v>5331</v>
      </c>
      <c r="N6189" s="9">
        <v>44778</v>
      </c>
      <c r="O6189" s="9">
        <v>44834</v>
      </c>
      <c r="P6189"/>
      <c r="Q6189"/>
      <c r="R6189"/>
      <c r="S6189"/>
      <c r="T6189"/>
      <c r="U6189"/>
    </row>
    <row r="6190" spans="1:21" hidden="1">
      <c r="A6190" s="7" t="s">
        <v>8741</v>
      </c>
      <c r="B6190" s="7" t="s">
        <v>6723</v>
      </c>
      <c r="C6190" s="8" t="s">
        <v>5319</v>
      </c>
      <c r="D6190" t="s">
        <v>266</v>
      </c>
      <c r="E6190" t="s">
        <v>320</v>
      </c>
      <c r="F6190" t="s">
        <v>231</v>
      </c>
      <c r="G6190" t="s">
        <v>3552</v>
      </c>
      <c r="H6190" s="9">
        <v>44733</v>
      </c>
      <c r="I6190" t="s">
        <v>322</v>
      </c>
      <c r="J6190" t="s">
        <v>2</v>
      </c>
      <c r="K6190" s="9">
        <v>44834</v>
      </c>
      <c r="L6190" t="s">
        <v>29</v>
      </c>
      <c r="M6190" t="s">
        <v>5331</v>
      </c>
      <c r="N6190" s="9">
        <v>44778</v>
      </c>
      <c r="O6190" s="9">
        <v>44834</v>
      </c>
      <c r="P6190"/>
      <c r="Q6190"/>
      <c r="R6190"/>
      <c r="S6190"/>
      <c r="T6190"/>
      <c r="U6190"/>
    </row>
    <row r="6191" spans="1:21" hidden="1">
      <c r="A6191" s="7" t="s">
        <v>8741</v>
      </c>
      <c r="B6191" s="7" t="s">
        <v>6723</v>
      </c>
      <c r="C6191" s="8" t="s">
        <v>5319</v>
      </c>
      <c r="D6191" t="s">
        <v>266</v>
      </c>
      <c r="E6191" t="s">
        <v>320</v>
      </c>
      <c r="F6191" t="s">
        <v>231</v>
      </c>
      <c r="G6191" t="s">
        <v>3553</v>
      </c>
      <c r="H6191" s="9">
        <v>44733</v>
      </c>
      <c r="I6191" t="s">
        <v>322</v>
      </c>
      <c r="J6191" t="s">
        <v>2</v>
      </c>
      <c r="K6191" s="9">
        <v>44834</v>
      </c>
      <c r="L6191" t="s">
        <v>29</v>
      </c>
      <c r="M6191" t="s">
        <v>5331</v>
      </c>
      <c r="N6191" s="9">
        <v>44778</v>
      </c>
      <c r="O6191" s="9">
        <v>44834</v>
      </c>
      <c r="P6191"/>
      <c r="Q6191"/>
      <c r="R6191"/>
      <c r="S6191"/>
      <c r="T6191"/>
      <c r="U6191"/>
    </row>
    <row r="6192" spans="1:21" hidden="1">
      <c r="A6192" s="7" t="s">
        <v>8741</v>
      </c>
      <c r="B6192" s="7" t="s">
        <v>6723</v>
      </c>
      <c r="C6192" s="8" t="s">
        <v>5319</v>
      </c>
      <c r="D6192" t="s">
        <v>266</v>
      </c>
      <c r="E6192" t="s">
        <v>320</v>
      </c>
      <c r="F6192" t="s">
        <v>231</v>
      </c>
      <c r="G6192" t="s">
        <v>3554</v>
      </c>
      <c r="H6192" s="9">
        <v>44733</v>
      </c>
      <c r="I6192" t="s">
        <v>322</v>
      </c>
      <c r="J6192" t="s">
        <v>2</v>
      </c>
      <c r="K6192" s="9">
        <v>44834</v>
      </c>
      <c r="L6192" t="s">
        <v>29</v>
      </c>
      <c r="M6192" t="s">
        <v>5331</v>
      </c>
      <c r="N6192" s="9">
        <v>44778</v>
      </c>
      <c r="O6192" s="9">
        <v>44834</v>
      </c>
      <c r="P6192"/>
      <c r="Q6192"/>
      <c r="R6192"/>
      <c r="S6192"/>
      <c r="T6192"/>
      <c r="U6192"/>
    </row>
    <row r="6193" spans="1:21" hidden="1">
      <c r="A6193" s="7" t="s">
        <v>8741</v>
      </c>
      <c r="B6193" s="7" t="s">
        <v>6723</v>
      </c>
      <c r="C6193" s="8" t="s">
        <v>5319</v>
      </c>
      <c r="D6193" t="s">
        <v>266</v>
      </c>
      <c r="E6193" t="s">
        <v>320</v>
      </c>
      <c r="F6193" t="s">
        <v>231</v>
      </c>
      <c r="G6193" t="s">
        <v>3555</v>
      </c>
      <c r="H6193" s="9">
        <v>44733</v>
      </c>
      <c r="I6193" t="s">
        <v>322</v>
      </c>
      <c r="J6193" t="s">
        <v>2</v>
      </c>
      <c r="K6193" s="9">
        <v>44834</v>
      </c>
      <c r="L6193" t="s">
        <v>29</v>
      </c>
      <c r="M6193" t="s">
        <v>5331</v>
      </c>
      <c r="N6193" s="9">
        <v>44778</v>
      </c>
      <c r="O6193" s="9">
        <v>44834</v>
      </c>
      <c r="P6193"/>
      <c r="Q6193"/>
      <c r="R6193"/>
      <c r="S6193"/>
      <c r="T6193"/>
      <c r="U6193"/>
    </row>
    <row r="6194" spans="1:21" hidden="1">
      <c r="A6194" s="7" t="s">
        <v>8741</v>
      </c>
      <c r="B6194" s="7" t="s">
        <v>6723</v>
      </c>
      <c r="C6194" s="8" t="s">
        <v>5319</v>
      </c>
      <c r="D6194" t="s">
        <v>266</v>
      </c>
      <c r="E6194" t="s">
        <v>320</v>
      </c>
      <c r="F6194" t="s">
        <v>231</v>
      </c>
      <c r="G6194" t="s">
        <v>3556</v>
      </c>
      <c r="H6194" s="9">
        <v>44733</v>
      </c>
      <c r="I6194" t="s">
        <v>322</v>
      </c>
      <c r="J6194" t="s">
        <v>2</v>
      </c>
      <c r="K6194" s="9">
        <v>44834</v>
      </c>
      <c r="L6194" t="s">
        <v>29</v>
      </c>
      <c r="M6194" t="s">
        <v>5331</v>
      </c>
      <c r="N6194" s="9">
        <v>44778</v>
      </c>
      <c r="O6194" s="9">
        <v>44834</v>
      </c>
      <c r="P6194"/>
      <c r="Q6194"/>
      <c r="R6194"/>
      <c r="S6194"/>
      <c r="T6194"/>
      <c r="U6194"/>
    </row>
    <row r="6195" spans="1:21" hidden="1">
      <c r="A6195" s="7" t="s">
        <v>8741</v>
      </c>
      <c r="B6195" s="7" t="s">
        <v>6723</v>
      </c>
      <c r="C6195" s="8" t="s">
        <v>5319</v>
      </c>
      <c r="D6195" t="s">
        <v>266</v>
      </c>
      <c r="E6195" t="s">
        <v>320</v>
      </c>
      <c r="F6195" t="s">
        <v>231</v>
      </c>
      <c r="G6195" t="s">
        <v>3557</v>
      </c>
      <c r="H6195" s="9">
        <v>44733</v>
      </c>
      <c r="I6195" t="s">
        <v>322</v>
      </c>
      <c r="J6195" t="s">
        <v>2</v>
      </c>
      <c r="K6195" s="9">
        <v>44834</v>
      </c>
      <c r="L6195" t="s">
        <v>29</v>
      </c>
      <c r="M6195" t="s">
        <v>5331</v>
      </c>
      <c r="N6195" s="9">
        <v>44778</v>
      </c>
      <c r="O6195" s="9">
        <v>44834</v>
      </c>
      <c r="P6195"/>
      <c r="Q6195"/>
      <c r="R6195"/>
      <c r="S6195"/>
      <c r="T6195"/>
      <c r="U6195"/>
    </row>
    <row r="6196" spans="1:21" hidden="1">
      <c r="A6196" s="7" t="s">
        <v>8741</v>
      </c>
      <c r="B6196" s="7" t="s">
        <v>6723</v>
      </c>
      <c r="C6196" s="8" t="s">
        <v>5319</v>
      </c>
      <c r="D6196" t="s">
        <v>266</v>
      </c>
      <c r="E6196" t="s">
        <v>320</v>
      </c>
      <c r="F6196" t="s">
        <v>231</v>
      </c>
      <c r="G6196" t="s">
        <v>3558</v>
      </c>
      <c r="H6196" s="9">
        <v>44733</v>
      </c>
      <c r="I6196" t="s">
        <v>322</v>
      </c>
      <c r="J6196" t="s">
        <v>2</v>
      </c>
      <c r="K6196" s="9">
        <v>44834</v>
      </c>
      <c r="L6196" t="s">
        <v>29</v>
      </c>
      <c r="M6196" t="s">
        <v>5331</v>
      </c>
      <c r="N6196" s="9">
        <v>44778</v>
      </c>
      <c r="O6196" s="9">
        <v>44834</v>
      </c>
      <c r="P6196"/>
      <c r="Q6196"/>
      <c r="R6196"/>
      <c r="S6196"/>
      <c r="T6196"/>
      <c r="U6196"/>
    </row>
    <row r="6197" spans="1:21" hidden="1">
      <c r="A6197" s="7" t="s">
        <v>8741</v>
      </c>
      <c r="B6197" s="7" t="s">
        <v>6723</v>
      </c>
      <c r="C6197" s="8" t="s">
        <v>5319</v>
      </c>
      <c r="D6197" t="s">
        <v>266</v>
      </c>
      <c r="E6197" t="s">
        <v>320</v>
      </c>
      <c r="F6197" t="s">
        <v>231</v>
      </c>
      <c r="G6197" t="s">
        <v>3559</v>
      </c>
      <c r="H6197" s="9">
        <v>44733</v>
      </c>
      <c r="I6197" t="s">
        <v>322</v>
      </c>
      <c r="J6197" t="s">
        <v>2</v>
      </c>
      <c r="K6197" s="9">
        <v>44834</v>
      </c>
      <c r="L6197" t="s">
        <v>29</v>
      </c>
      <c r="M6197" t="s">
        <v>5331</v>
      </c>
      <c r="N6197" s="9">
        <v>44778</v>
      </c>
      <c r="O6197" s="9">
        <v>44834</v>
      </c>
      <c r="P6197"/>
      <c r="Q6197"/>
      <c r="R6197"/>
      <c r="S6197"/>
      <c r="T6197"/>
      <c r="U6197"/>
    </row>
    <row r="6198" spans="1:21" hidden="1">
      <c r="A6198" s="7" t="s">
        <v>8741</v>
      </c>
      <c r="B6198" s="7" t="s">
        <v>6723</v>
      </c>
      <c r="C6198" s="8" t="s">
        <v>5319</v>
      </c>
      <c r="D6198" t="s">
        <v>266</v>
      </c>
      <c r="E6198" t="s">
        <v>320</v>
      </c>
      <c r="F6198" t="s">
        <v>231</v>
      </c>
      <c r="G6198" t="s">
        <v>2600</v>
      </c>
      <c r="H6198" s="9">
        <v>44733</v>
      </c>
      <c r="I6198" t="s">
        <v>322</v>
      </c>
      <c r="J6198" t="s">
        <v>2</v>
      </c>
      <c r="K6198" s="9">
        <v>44834</v>
      </c>
      <c r="L6198" t="s">
        <v>29</v>
      </c>
      <c r="M6198" t="s">
        <v>5331</v>
      </c>
      <c r="N6198" s="9">
        <v>44778</v>
      </c>
      <c r="O6198" s="9">
        <v>44834</v>
      </c>
      <c r="P6198"/>
      <c r="Q6198"/>
      <c r="R6198"/>
      <c r="S6198"/>
      <c r="T6198"/>
      <c r="U6198"/>
    </row>
    <row r="6199" spans="1:21" hidden="1">
      <c r="A6199" s="7" t="s">
        <v>8758</v>
      </c>
      <c r="B6199" s="7" t="s">
        <v>5405</v>
      </c>
      <c r="C6199" s="8" t="s">
        <v>5319</v>
      </c>
      <c r="D6199" t="s">
        <v>266</v>
      </c>
      <c r="E6199" t="s">
        <v>25</v>
      </c>
      <c r="F6199" t="s">
        <v>493</v>
      </c>
      <c r="G6199" t="s">
        <v>3560</v>
      </c>
      <c r="H6199" s="9">
        <v>44733</v>
      </c>
      <c r="I6199" t="s">
        <v>8634</v>
      </c>
      <c r="J6199" t="s">
        <v>0</v>
      </c>
      <c r="K6199" s="9">
        <v>44862</v>
      </c>
      <c r="L6199" t="s">
        <v>29</v>
      </c>
      <c r="M6199"/>
      <c r="N6199" s="9">
        <v>44778</v>
      </c>
      <c r="O6199"/>
      <c r="P6199"/>
      <c r="Q6199" s="9">
        <v>44862</v>
      </c>
      <c r="R6199"/>
      <c r="S6199"/>
      <c r="T6199"/>
      <c r="U6199"/>
    </row>
    <row r="6200" spans="1:21" hidden="1">
      <c r="A6200" s="7" t="s">
        <v>8758</v>
      </c>
      <c r="B6200" s="7" t="s">
        <v>5405</v>
      </c>
      <c r="C6200" s="8" t="s">
        <v>5319</v>
      </c>
      <c r="D6200" t="s">
        <v>266</v>
      </c>
      <c r="E6200" t="s">
        <v>25</v>
      </c>
      <c r="F6200" t="s">
        <v>493</v>
      </c>
      <c r="G6200" t="s">
        <v>3561</v>
      </c>
      <c r="H6200" s="9">
        <v>44733</v>
      </c>
      <c r="I6200" t="s">
        <v>8634</v>
      </c>
      <c r="J6200" t="s">
        <v>0</v>
      </c>
      <c r="K6200" s="9">
        <v>44862</v>
      </c>
      <c r="L6200" t="s">
        <v>29</v>
      </c>
      <c r="M6200"/>
      <c r="N6200" s="9">
        <v>44778</v>
      </c>
      <c r="O6200"/>
      <c r="P6200"/>
      <c r="Q6200" s="9">
        <v>44862</v>
      </c>
      <c r="R6200"/>
      <c r="S6200"/>
      <c r="T6200"/>
      <c r="U6200"/>
    </row>
    <row r="6201" spans="1:21" hidden="1">
      <c r="A6201" s="7" t="s">
        <v>8802</v>
      </c>
      <c r="B6201" s="7" t="s">
        <v>7508</v>
      </c>
      <c r="C6201" s="8" t="s">
        <v>5319</v>
      </c>
      <c r="D6201" t="s">
        <v>266</v>
      </c>
      <c r="E6201" t="s">
        <v>1018</v>
      </c>
      <c r="F6201" t="s">
        <v>231</v>
      </c>
      <c r="G6201" t="s">
        <v>3562</v>
      </c>
      <c r="H6201" s="9">
        <v>44733</v>
      </c>
      <c r="I6201" t="s">
        <v>322</v>
      </c>
      <c r="J6201" t="s">
        <v>2</v>
      </c>
      <c r="K6201" s="9">
        <v>44834</v>
      </c>
      <c r="L6201" t="s">
        <v>29</v>
      </c>
      <c r="M6201" t="s">
        <v>5331</v>
      </c>
      <c r="N6201" s="9">
        <v>44778</v>
      </c>
      <c r="O6201" s="9">
        <v>44834</v>
      </c>
      <c r="P6201"/>
      <c r="Q6201"/>
      <c r="R6201"/>
      <c r="S6201"/>
      <c r="T6201"/>
      <c r="U6201"/>
    </row>
    <row r="6202" spans="1:21" hidden="1">
      <c r="A6202" s="7" t="s">
        <v>8765</v>
      </c>
      <c r="B6202" s="7" t="s">
        <v>5405</v>
      </c>
      <c r="C6202" s="8" t="s">
        <v>5319</v>
      </c>
      <c r="D6202" t="s">
        <v>266</v>
      </c>
      <c r="E6202" t="s">
        <v>25</v>
      </c>
      <c r="F6202" t="s">
        <v>231</v>
      </c>
      <c r="G6202" t="s">
        <v>3563</v>
      </c>
      <c r="H6202" s="9">
        <v>44733</v>
      </c>
      <c r="I6202" t="s">
        <v>8634</v>
      </c>
      <c r="J6202" t="s">
        <v>2</v>
      </c>
      <c r="K6202" s="9">
        <v>44834</v>
      </c>
      <c r="L6202" t="s">
        <v>29</v>
      </c>
      <c r="M6202" t="s">
        <v>5331</v>
      </c>
      <c r="N6202" s="9">
        <v>44778</v>
      </c>
      <c r="O6202" s="9">
        <v>44834</v>
      </c>
      <c r="P6202"/>
      <c r="Q6202"/>
      <c r="R6202"/>
      <c r="S6202"/>
      <c r="T6202"/>
      <c r="U6202"/>
    </row>
    <row r="6203" spans="1:21" hidden="1">
      <c r="A6203" s="7" t="s">
        <v>8867</v>
      </c>
      <c r="B6203" s="7" t="s">
        <v>7140</v>
      </c>
      <c r="C6203" s="8" t="s">
        <v>5319</v>
      </c>
      <c r="D6203" t="s">
        <v>266</v>
      </c>
      <c r="E6203" t="s">
        <v>2360</v>
      </c>
      <c r="F6203" t="s">
        <v>231</v>
      </c>
      <c r="G6203" t="s">
        <v>3564</v>
      </c>
      <c r="H6203" s="9">
        <v>44733</v>
      </c>
      <c r="I6203" t="s">
        <v>2362</v>
      </c>
      <c r="J6203" t="s">
        <v>2</v>
      </c>
      <c r="K6203" s="9">
        <v>44834</v>
      </c>
      <c r="L6203" t="s">
        <v>29</v>
      </c>
      <c r="M6203" t="s">
        <v>5331</v>
      </c>
      <c r="N6203" s="9">
        <v>44778</v>
      </c>
      <c r="O6203" s="9">
        <v>44834</v>
      </c>
      <c r="P6203"/>
      <c r="Q6203"/>
      <c r="R6203"/>
      <c r="S6203"/>
      <c r="T6203"/>
      <c r="U6203"/>
    </row>
    <row r="6204" spans="1:21" hidden="1">
      <c r="A6204" s="7" t="s">
        <v>8930</v>
      </c>
      <c r="B6204" s="7" t="s">
        <v>7735</v>
      </c>
      <c r="C6204" s="8" t="s">
        <v>5319</v>
      </c>
      <c r="D6204" t="s">
        <v>266</v>
      </c>
      <c r="E6204" t="s">
        <v>1790</v>
      </c>
      <c r="F6204" t="s">
        <v>231</v>
      </c>
      <c r="G6204" t="s">
        <v>3565</v>
      </c>
      <c r="H6204" s="9">
        <v>44733</v>
      </c>
      <c r="I6204" t="s">
        <v>2719</v>
      </c>
      <c r="J6204" t="s">
        <v>2</v>
      </c>
      <c r="K6204" s="9">
        <v>44834</v>
      </c>
      <c r="L6204" t="s">
        <v>29</v>
      </c>
      <c r="M6204" t="s">
        <v>5331</v>
      </c>
      <c r="N6204" s="9">
        <v>44778</v>
      </c>
      <c r="O6204" s="9">
        <v>44834</v>
      </c>
      <c r="P6204"/>
      <c r="Q6204"/>
      <c r="R6204"/>
      <c r="S6204"/>
      <c r="T6204"/>
      <c r="U6204"/>
    </row>
    <row r="6205" spans="1:21" hidden="1">
      <c r="A6205" s="7" t="s">
        <v>8930</v>
      </c>
      <c r="B6205" s="7" t="s">
        <v>7735</v>
      </c>
      <c r="C6205" s="8" t="s">
        <v>5319</v>
      </c>
      <c r="D6205" t="s">
        <v>266</v>
      </c>
      <c r="E6205" t="s">
        <v>1790</v>
      </c>
      <c r="F6205" t="s">
        <v>231</v>
      </c>
      <c r="G6205" t="s">
        <v>3566</v>
      </c>
      <c r="H6205" s="9">
        <v>44733</v>
      </c>
      <c r="I6205" t="s">
        <v>2719</v>
      </c>
      <c r="J6205" t="s">
        <v>2</v>
      </c>
      <c r="K6205" s="9">
        <v>44834</v>
      </c>
      <c r="L6205" t="s">
        <v>29</v>
      </c>
      <c r="M6205" t="s">
        <v>5331</v>
      </c>
      <c r="N6205" s="9">
        <v>44778</v>
      </c>
      <c r="O6205" s="9">
        <v>44834</v>
      </c>
      <c r="P6205"/>
      <c r="Q6205"/>
      <c r="R6205"/>
      <c r="S6205"/>
      <c r="T6205"/>
      <c r="U6205"/>
    </row>
    <row r="6206" spans="1:21" hidden="1">
      <c r="A6206" s="7" t="s">
        <v>8731</v>
      </c>
      <c r="B6206" s="7" t="s">
        <v>7478</v>
      </c>
      <c r="C6206" s="8" t="s">
        <v>5319</v>
      </c>
      <c r="D6206" t="s">
        <v>266</v>
      </c>
      <c r="E6206" t="s">
        <v>218</v>
      </c>
      <c r="F6206" t="s">
        <v>117</v>
      </c>
      <c r="G6206" t="s">
        <v>219</v>
      </c>
      <c r="H6206" s="9">
        <v>44735</v>
      </c>
      <c r="I6206" t="s">
        <v>2621</v>
      </c>
      <c r="J6206" t="s">
        <v>2</v>
      </c>
      <c r="K6206" s="9">
        <v>44834</v>
      </c>
      <c r="L6206" t="s">
        <v>29</v>
      </c>
      <c r="M6206" t="s">
        <v>5331</v>
      </c>
      <c r="N6206" s="9">
        <v>44778</v>
      </c>
      <c r="O6206" s="9">
        <v>44834</v>
      </c>
      <c r="P6206"/>
      <c r="Q6206"/>
      <c r="R6206"/>
      <c r="S6206"/>
      <c r="T6206"/>
      <c r="U6206"/>
    </row>
    <row r="6207" spans="1:21" hidden="1">
      <c r="A6207" s="7" t="s">
        <v>8731</v>
      </c>
      <c r="B6207" s="7" t="s">
        <v>7478</v>
      </c>
      <c r="C6207" s="8" t="s">
        <v>5319</v>
      </c>
      <c r="D6207" t="s">
        <v>266</v>
      </c>
      <c r="E6207" t="s">
        <v>218</v>
      </c>
      <c r="F6207" t="s">
        <v>117</v>
      </c>
      <c r="G6207" t="s">
        <v>3567</v>
      </c>
      <c r="H6207" s="9">
        <v>44735</v>
      </c>
      <c r="I6207" t="s">
        <v>2621</v>
      </c>
      <c r="J6207" t="s">
        <v>2</v>
      </c>
      <c r="K6207" s="9">
        <v>44834</v>
      </c>
      <c r="L6207" t="s">
        <v>29</v>
      </c>
      <c r="M6207" t="s">
        <v>5331</v>
      </c>
      <c r="N6207" s="9">
        <v>44778</v>
      </c>
      <c r="O6207" s="9">
        <v>44834</v>
      </c>
      <c r="P6207"/>
      <c r="Q6207"/>
      <c r="R6207"/>
      <c r="S6207"/>
      <c r="T6207"/>
      <c r="U6207"/>
    </row>
    <row r="6208" spans="1:21" hidden="1">
      <c r="A6208" s="7" t="s">
        <v>8731</v>
      </c>
      <c r="B6208" s="7" t="s">
        <v>7478</v>
      </c>
      <c r="C6208" s="8" t="s">
        <v>5319</v>
      </c>
      <c r="D6208" t="s">
        <v>266</v>
      </c>
      <c r="E6208" t="s">
        <v>218</v>
      </c>
      <c r="F6208" t="s">
        <v>117</v>
      </c>
      <c r="G6208" t="s">
        <v>221</v>
      </c>
      <c r="H6208" s="9">
        <v>44735</v>
      </c>
      <c r="I6208" t="s">
        <v>2621</v>
      </c>
      <c r="J6208" t="s">
        <v>2</v>
      </c>
      <c r="K6208" s="9">
        <v>44834</v>
      </c>
      <c r="L6208" t="s">
        <v>29</v>
      </c>
      <c r="M6208" t="s">
        <v>5331</v>
      </c>
      <c r="N6208" s="9">
        <v>44778</v>
      </c>
      <c r="O6208" s="9">
        <v>44834</v>
      </c>
      <c r="P6208"/>
      <c r="Q6208"/>
      <c r="R6208"/>
      <c r="S6208"/>
      <c r="T6208"/>
      <c r="U6208"/>
    </row>
    <row r="6209" spans="1:21" hidden="1">
      <c r="A6209" s="7" t="s">
        <v>8731</v>
      </c>
      <c r="B6209" s="7" t="s">
        <v>7478</v>
      </c>
      <c r="C6209" s="8" t="s">
        <v>5319</v>
      </c>
      <c r="D6209" t="s">
        <v>266</v>
      </c>
      <c r="E6209" t="s">
        <v>218</v>
      </c>
      <c r="F6209" t="s">
        <v>117</v>
      </c>
      <c r="G6209" t="s">
        <v>3568</v>
      </c>
      <c r="H6209" s="9">
        <v>44735</v>
      </c>
      <c r="I6209" t="s">
        <v>2621</v>
      </c>
      <c r="J6209" t="s">
        <v>2</v>
      </c>
      <c r="K6209" s="9">
        <v>44834</v>
      </c>
      <c r="L6209" t="s">
        <v>29</v>
      </c>
      <c r="M6209" t="s">
        <v>5331</v>
      </c>
      <c r="N6209" s="9">
        <v>44778</v>
      </c>
      <c r="O6209" s="9">
        <v>44834</v>
      </c>
      <c r="P6209"/>
      <c r="Q6209"/>
      <c r="R6209"/>
      <c r="S6209"/>
      <c r="T6209"/>
      <c r="U6209"/>
    </row>
    <row r="6210" spans="1:21" hidden="1">
      <c r="A6210" s="7" t="s">
        <v>8731</v>
      </c>
      <c r="B6210" s="7" t="s">
        <v>7478</v>
      </c>
      <c r="C6210" s="8" t="s">
        <v>5319</v>
      </c>
      <c r="D6210" t="s">
        <v>266</v>
      </c>
      <c r="E6210" t="s">
        <v>218</v>
      </c>
      <c r="F6210" t="s">
        <v>117</v>
      </c>
      <c r="G6210" t="s">
        <v>3569</v>
      </c>
      <c r="H6210" s="9">
        <v>44735</v>
      </c>
      <c r="I6210" t="s">
        <v>2621</v>
      </c>
      <c r="J6210" t="s">
        <v>2</v>
      </c>
      <c r="K6210" s="9">
        <v>44834</v>
      </c>
      <c r="L6210" t="s">
        <v>29</v>
      </c>
      <c r="M6210" t="s">
        <v>5331</v>
      </c>
      <c r="N6210" s="9">
        <v>44778</v>
      </c>
      <c r="O6210" s="9">
        <v>44834</v>
      </c>
      <c r="P6210"/>
      <c r="Q6210"/>
      <c r="R6210"/>
      <c r="S6210"/>
      <c r="T6210"/>
      <c r="U6210"/>
    </row>
    <row r="6211" spans="1:21" hidden="1">
      <c r="A6211" s="7" t="s">
        <v>8731</v>
      </c>
      <c r="B6211" s="7" t="s">
        <v>7478</v>
      </c>
      <c r="C6211" s="8" t="s">
        <v>5319</v>
      </c>
      <c r="D6211" t="s">
        <v>266</v>
      </c>
      <c r="E6211" t="s">
        <v>218</v>
      </c>
      <c r="F6211" t="s">
        <v>117</v>
      </c>
      <c r="G6211" t="s">
        <v>3570</v>
      </c>
      <c r="H6211" s="9">
        <v>44735</v>
      </c>
      <c r="I6211" t="s">
        <v>2621</v>
      </c>
      <c r="J6211" t="s">
        <v>2</v>
      </c>
      <c r="K6211" s="9">
        <v>44834</v>
      </c>
      <c r="L6211" t="s">
        <v>29</v>
      </c>
      <c r="M6211" t="s">
        <v>5331</v>
      </c>
      <c r="N6211" s="9">
        <v>44778</v>
      </c>
      <c r="O6211" s="9">
        <v>44834</v>
      </c>
      <c r="P6211"/>
      <c r="Q6211"/>
      <c r="R6211"/>
      <c r="S6211"/>
      <c r="T6211"/>
      <c r="U6211"/>
    </row>
    <row r="6212" spans="1:21" hidden="1">
      <c r="A6212" s="7" t="s">
        <v>8731</v>
      </c>
      <c r="B6212" s="7" t="s">
        <v>7478</v>
      </c>
      <c r="C6212" s="8" t="s">
        <v>5319</v>
      </c>
      <c r="D6212" t="s">
        <v>266</v>
      </c>
      <c r="E6212" t="s">
        <v>218</v>
      </c>
      <c r="F6212" t="s">
        <v>117</v>
      </c>
      <c r="G6212" t="s">
        <v>3571</v>
      </c>
      <c r="H6212" s="9">
        <v>44735</v>
      </c>
      <c r="I6212" t="s">
        <v>2621</v>
      </c>
      <c r="J6212" t="s">
        <v>2</v>
      </c>
      <c r="K6212" s="9">
        <v>44834</v>
      </c>
      <c r="L6212" t="s">
        <v>29</v>
      </c>
      <c r="M6212" t="s">
        <v>5331</v>
      </c>
      <c r="N6212" s="9">
        <v>44778</v>
      </c>
      <c r="O6212" s="9">
        <v>44834</v>
      </c>
      <c r="P6212"/>
      <c r="Q6212"/>
      <c r="R6212"/>
      <c r="S6212"/>
      <c r="T6212"/>
      <c r="U6212"/>
    </row>
    <row r="6213" spans="1:21" hidden="1">
      <c r="A6213" s="7" t="s">
        <v>8731</v>
      </c>
      <c r="B6213" s="7" t="s">
        <v>7478</v>
      </c>
      <c r="C6213" s="8" t="s">
        <v>5319</v>
      </c>
      <c r="D6213" t="s">
        <v>266</v>
      </c>
      <c r="E6213" t="s">
        <v>218</v>
      </c>
      <c r="F6213" t="s">
        <v>117</v>
      </c>
      <c r="G6213" t="s">
        <v>222</v>
      </c>
      <c r="H6213" s="9">
        <v>44735</v>
      </c>
      <c r="I6213" t="s">
        <v>2621</v>
      </c>
      <c r="J6213" t="s">
        <v>2</v>
      </c>
      <c r="K6213" s="9">
        <v>44834</v>
      </c>
      <c r="L6213" t="s">
        <v>29</v>
      </c>
      <c r="M6213" t="s">
        <v>5331</v>
      </c>
      <c r="N6213" s="9">
        <v>44778</v>
      </c>
      <c r="O6213" s="9">
        <v>44834</v>
      </c>
      <c r="P6213"/>
      <c r="Q6213"/>
      <c r="R6213"/>
      <c r="S6213"/>
      <c r="T6213"/>
      <c r="U6213"/>
    </row>
    <row r="6214" spans="1:21" hidden="1">
      <c r="A6214" s="7" t="s">
        <v>8731</v>
      </c>
      <c r="B6214" s="7" t="s">
        <v>7478</v>
      </c>
      <c r="C6214" s="8" t="s">
        <v>5319</v>
      </c>
      <c r="D6214" t="s">
        <v>266</v>
      </c>
      <c r="E6214" t="s">
        <v>218</v>
      </c>
      <c r="F6214" t="s">
        <v>117</v>
      </c>
      <c r="G6214" t="s">
        <v>223</v>
      </c>
      <c r="H6214" s="9">
        <v>44735</v>
      </c>
      <c r="I6214" t="s">
        <v>2621</v>
      </c>
      <c r="J6214" t="s">
        <v>2</v>
      </c>
      <c r="K6214" s="9">
        <v>44834</v>
      </c>
      <c r="L6214" t="s">
        <v>29</v>
      </c>
      <c r="M6214" t="s">
        <v>5331</v>
      </c>
      <c r="N6214" s="9">
        <v>44778</v>
      </c>
      <c r="O6214" s="9">
        <v>44834</v>
      </c>
      <c r="P6214"/>
      <c r="Q6214"/>
      <c r="R6214"/>
      <c r="S6214"/>
      <c r="T6214"/>
      <c r="U6214"/>
    </row>
    <row r="6215" spans="1:21" hidden="1">
      <c r="A6215" s="7" t="s">
        <v>8731</v>
      </c>
      <c r="B6215" s="7" t="s">
        <v>7478</v>
      </c>
      <c r="C6215" s="8" t="s">
        <v>5319</v>
      </c>
      <c r="D6215" t="s">
        <v>266</v>
      </c>
      <c r="E6215" t="s">
        <v>218</v>
      </c>
      <c r="F6215" t="s">
        <v>117</v>
      </c>
      <c r="G6215" t="s">
        <v>3572</v>
      </c>
      <c r="H6215" s="9">
        <v>44735</v>
      </c>
      <c r="I6215" t="s">
        <v>2621</v>
      </c>
      <c r="J6215" t="s">
        <v>2</v>
      </c>
      <c r="K6215" s="9">
        <v>44834</v>
      </c>
      <c r="L6215" t="s">
        <v>29</v>
      </c>
      <c r="M6215" t="s">
        <v>5331</v>
      </c>
      <c r="N6215" s="9">
        <v>44778</v>
      </c>
      <c r="O6215" s="9">
        <v>44834</v>
      </c>
      <c r="P6215"/>
      <c r="Q6215"/>
      <c r="R6215"/>
      <c r="S6215"/>
      <c r="T6215"/>
      <c r="U6215"/>
    </row>
    <row r="6216" spans="1:21" hidden="1">
      <c r="A6216" s="7" t="s">
        <v>8731</v>
      </c>
      <c r="B6216" s="7" t="s">
        <v>7478</v>
      </c>
      <c r="C6216" s="8" t="s">
        <v>5319</v>
      </c>
      <c r="D6216" t="s">
        <v>266</v>
      </c>
      <c r="E6216" t="s">
        <v>218</v>
      </c>
      <c r="F6216" t="s">
        <v>117</v>
      </c>
      <c r="G6216" t="s">
        <v>3573</v>
      </c>
      <c r="H6216" s="9">
        <v>44735</v>
      </c>
      <c r="I6216" t="s">
        <v>2621</v>
      </c>
      <c r="J6216" t="s">
        <v>2</v>
      </c>
      <c r="K6216" s="9">
        <v>44834</v>
      </c>
      <c r="L6216" t="s">
        <v>29</v>
      </c>
      <c r="M6216" t="s">
        <v>5331</v>
      </c>
      <c r="N6216" s="9">
        <v>44778</v>
      </c>
      <c r="O6216" s="9">
        <v>44834</v>
      </c>
      <c r="P6216"/>
      <c r="Q6216"/>
      <c r="R6216"/>
      <c r="S6216"/>
      <c r="T6216"/>
      <c r="U6216"/>
    </row>
    <row r="6217" spans="1:21" hidden="1">
      <c r="A6217" s="7" t="s">
        <v>8731</v>
      </c>
      <c r="B6217" s="7" t="s">
        <v>7478</v>
      </c>
      <c r="C6217" s="8" t="s">
        <v>5319</v>
      </c>
      <c r="D6217" t="s">
        <v>266</v>
      </c>
      <c r="E6217" t="s">
        <v>218</v>
      </c>
      <c r="F6217" t="s">
        <v>117</v>
      </c>
      <c r="G6217" t="s">
        <v>224</v>
      </c>
      <c r="H6217" s="9">
        <v>44735</v>
      </c>
      <c r="I6217" t="s">
        <v>2621</v>
      </c>
      <c r="J6217" t="s">
        <v>2</v>
      </c>
      <c r="K6217" s="9">
        <v>44834</v>
      </c>
      <c r="L6217" t="s">
        <v>29</v>
      </c>
      <c r="M6217" t="s">
        <v>5331</v>
      </c>
      <c r="N6217" s="9">
        <v>44778</v>
      </c>
      <c r="O6217" s="9">
        <v>44834</v>
      </c>
      <c r="P6217"/>
      <c r="Q6217"/>
      <c r="R6217"/>
      <c r="S6217"/>
      <c r="T6217"/>
      <c r="U6217"/>
    </row>
    <row r="6218" spans="1:21" hidden="1">
      <c r="A6218" s="7" t="s">
        <v>8731</v>
      </c>
      <c r="B6218" s="7" t="s">
        <v>7478</v>
      </c>
      <c r="C6218" s="8" t="s">
        <v>5319</v>
      </c>
      <c r="D6218" t="s">
        <v>266</v>
      </c>
      <c r="E6218" t="s">
        <v>218</v>
      </c>
      <c r="F6218" t="s">
        <v>117</v>
      </c>
      <c r="G6218" t="s">
        <v>225</v>
      </c>
      <c r="H6218" s="9">
        <v>44735</v>
      </c>
      <c r="I6218" t="s">
        <v>2621</v>
      </c>
      <c r="J6218" t="s">
        <v>2</v>
      </c>
      <c r="K6218" s="9">
        <v>44834</v>
      </c>
      <c r="L6218" t="s">
        <v>29</v>
      </c>
      <c r="M6218" t="s">
        <v>5331</v>
      </c>
      <c r="N6218" s="9">
        <v>44778</v>
      </c>
      <c r="O6218" s="9">
        <v>44834</v>
      </c>
      <c r="P6218"/>
      <c r="Q6218"/>
      <c r="R6218"/>
      <c r="S6218"/>
      <c r="T6218"/>
      <c r="U6218"/>
    </row>
    <row r="6219" spans="1:21" hidden="1">
      <c r="A6219" s="7" t="s">
        <v>8879</v>
      </c>
      <c r="B6219" s="7" t="s">
        <v>6044</v>
      </c>
      <c r="C6219" s="8" t="s">
        <v>5319</v>
      </c>
      <c r="D6219" t="s">
        <v>266</v>
      </c>
      <c r="E6219" t="s">
        <v>2622</v>
      </c>
      <c r="F6219" t="s">
        <v>280</v>
      </c>
      <c r="G6219" t="s">
        <v>3574</v>
      </c>
      <c r="H6219" s="9">
        <v>44733</v>
      </c>
      <c r="I6219" t="s">
        <v>28</v>
      </c>
      <c r="J6219" t="s">
        <v>2</v>
      </c>
      <c r="K6219" s="9">
        <v>44834</v>
      </c>
      <c r="L6219" t="s">
        <v>29</v>
      </c>
      <c r="M6219" t="s">
        <v>5331</v>
      </c>
      <c r="N6219" s="9">
        <v>44778</v>
      </c>
      <c r="O6219" s="9">
        <v>44834</v>
      </c>
      <c r="P6219"/>
      <c r="Q6219"/>
      <c r="R6219"/>
      <c r="S6219"/>
      <c r="T6219"/>
      <c r="U6219"/>
    </row>
    <row r="6220" spans="1:21" hidden="1">
      <c r="A6220" s="7" t="s">
        <v>8879</v>
      </c>
      <c r="B6220" s="7" t="s">
        <v>6044</v>
      </c>
      <c r="C6220" s="8" t="s">
        <v>5319</v>
      </c>
      <c r="D6220" t="s">
        <v>266</v>
      </c>
      <c r="E6220" t="s">
        <v>2622</v>
      </c>
      <c r="F6220" t="s">
        <v>280</v>
      </c>
      <c r="G6220" t="s">
        <v>3575</v>
      </c>
      <c r="H6220" s="9">
        <v>44733</v>
      </c>
      <c r="I6220" t="s">
        <v>28</v>
      </c>
      <c r="J6220" t="s">
        <v>2</v>
      </c>
      <c r="K6220" s="9">
        <v>44834</v>
      </c>
      <c r="L6220" t="s">
        <v>29</v>
      </c>
      <c r="M6220" t="s">
        <v>5331</v>
      </c>
      <c r="N6220" s="9">
        <v>44778</v>
      </c>
      <c r="O6220" s="9">
        <v>44834</v>
      </c>
      <c r="P6220"/>
      <c r="Q6220"/>
      <c r="R6220"/>
      <c r="S6220"/>
      <c r="T6220"/>
      <c r="U6220"/>
    </row>
    <row r="6221" spans="1:21" hidden="1">
      <c r="A6221" s="7" t="s">
        <v>8879</v>
      </c>
      <c r="B6221" s="7" t="s">
        <v>6044</v>
      </c>
      <c r="C6221" s="8" t="s">
        <v>5319</v>
      </c>
      <c r="D6221" t="s">
        <v>266</v>
      </c>
      <c r="E6221" t="s">
        <v>2622</v>
      </c>
      <c r="F6221" t="s">
        <v>280</v>
      </c>
      <c r="G6221" t="s">
        <v>3576</v>
      </c>
      <c r="H6221" s="9">
        <v>44733</v>
      </c>
      <c r="I6221" t="s">
        <v>28</v>
      </c>
      <c r="J6221" t="s">
        <v>2</v>
      </c>
      <c r="K6221" s="9">
        <v>44834</v>
      </c>
      <c r="L6221" t="s">
        <v>29</v>
      </c>
      <c r="M6221" t="s">
        <v>5331</v>
      </c>
      <c r="N6221" s="9">
        <v>44778</v>
      </c>
      <c r="O6221" s="9">
        <v>44834</v>
      </c>
      <c r="P6221"/>
      <c r="Q6221"/>
      <c r="R6221"/>
      <c r="S6221"/>
      <c r="T6221"/>
      <c r="U6221"/>
    </row>
    <row r="6222" spans="1:21" hidden="1">
      <c r="A6222" s="7" t="s">
        <v>8879</v>
      </c>
      <c r="B6222" s="7" t="s">
        <v>6044</v>
      </c>
      <c r="C6222" s="8" t="s">
        <v>5319</v>
      </c>
      <c r="D6222" t="s">
        <v>266</v>
      </c>
      <c r="E6222" t="s">
        <v>2622</v>
      </c>
      <c r="F6222" t="s">
        <v>280</v>
      </c>
      <c r="G6222" t="s">
        <v>3577</v>
      </c>
      <c r="H6222" s="9">
        <v>44733</v>
      </c>
      <c r="I6222" t="s">
        <v>28</v>
      </c>
      <c r="J6222" t="s">
        <v>2</v>
      </c>
      <c r="K6222" s="9">
        <v>44834</v>
      </c>
      <c r="L6222" t="s">
        <v>29</v>
      </c>
      <c r="M6222" t="s">
        <v>5331</v>
      </c>
      <c r="N6222" s="9">
        <v>44778</v>
      </c>
      <c r="O6222" s="9">
        <v>44834</v>
      </c>
      <c r="P6222"/>
      <c r="Q6222"/>
      <c r="R6222"/>
      <c r="S6222"/>
      <c r="T6222"/>
      <c r="U6222"/>
    </row>
    <row r="6223" spans="1:21" hidden="1">
      <c r="A6223" s="7" t="s">
        <v>8879</v>
      </c>
      <c r="B6223" s="7" t="s">
        <v>6044</v>
      </c>
      <c r="C6223" s="8" t="s">
        <v>5319</v>
      </c>
      <c r="D6223" t="s">
        <v>266</v>
      </c>
      <c r="E6223" t="s">
        <v>2622</v>
      </c>
      <c r="F6223" t="s">
        <v>280</v>
      </c>
      <c r="G6223" t="s">
        <v>3578</v>
      </c>
      <c r="H6223" s="9">
        <v>44733</v>
      </c>
      <c r="I6223" t="s">
        <v>28</v>
      </c>
      <c r="J6223" t="s">
        <v>2</v>
      </c>
      <c r="K6223" s="9">
        <v>44834</v>
      </c>
      <c r="L6223" t="s">
        <v>29</v>
      </c>
      <c r="M6223" t="s">
        <v>5331</v>
      </c>
      <c r="N6223" s="9">
        <v>44778</v>
      </c>
      <c r="O6223" s="9">
        <v>44834</v>
      </c>
      <c r="P6223"/>
      <c r="Q6223"/>
      <c r="R6223"/>
      <c r="S6223"/>
      <c r="T6223"/>
      <c r="U6223"/>
    </row>
    <row r="6224" spans="1:21" hidden="1">
      <c r="A6224" s="7" t="s">
        <v>8879</v>
      </c>
      <c r="B6224" s="7" t="s">
        <v>6044</v>
      </c>
      <c r="C6224" s="8" t="s">
        <v>5319</v>
      </c>
      <c r="D6224" t="s">
        <v>266</v>
      </c>
      <c r="E6224" t="s">
        <v>2622</v>
      </c>
      <c r="F6224" t="s">
        <v>280</v>
      </c>
      <c r="G6224" t="s">
        <v>3579</v>
      </c>
      <c r="H6224" s="9">
        <v>44733</v>
      </c>
      <c r="I6224" t="s">
        <v>28</v>
      </c>
      <c r="J6224" t="s">
        <v>2</v>
      </c>
      <c r="K6224" s="9">
        <v>44834</v>
      </c>
      <c r="L6224" t="s">
        <v>29</v>
      </c>
      <c r="M6224" t="s">
        <v>5331</v>
      </c>
      <c r="N6224" s="9">
        <v>44778</v>
      </c>
      <c r="O6224" s="9">
        <v>44834</v>
      </c>
      <c r="P6224"/>
      <c r="Q6224"/>
      <c r="R6224"/>
      <c r="S6224"/>
      <c r="T6224"/>
      <c r="U6224"/>
    </row>
    <row r="6225" spans="1:21" hidden="1">
      <c r="A6225" s="7" t="s">
        <v>8879</v>
      </c>
      <c r="B6225" s="7" t="s">
        <v>6044</v>
      </c>
      <c r="C6225" s="8" t="s">
        <v>5319</v>
      </c>
      <c r="D6225" t="s">
        <v>266</v>
      </c>
      <c r="E6225" t="s">
        <v>2622</v>
      </c>
      <c r="F6225" t="s">
        <v>280</v>
      </c>
      <c r="G6225" t="s">
        <v>3580</v>
      </c>
      <c r="H6225" s="9">
        <v>44733</v>
      </c>
      <c r="I6225" t="s">
        <v>28</v>
      </c>
      <c r="J6225" t="s">
        <v>2</v>
      </c>
      <c r="K6225" s="9">
        <v>44834</v>
      </c>
      <c r="L6225" t="s">
        <v>29</v>
      </c>
      <c r="M6225" t="s">
        <v>5331</v>
      </c>
      <c r="N6225" s="9">
        <v>44778</v>
      </c>
      <c r="O6225" s="9">
        <v>44834</v>
      </c>
      <c r="P6225"/>
      <c r="Q6225"/>
      <c r="R6225"/>
      <c r="S6225"/>
      <c r="T6225"/>
      <c r="U6225"/>
    </row>
    <row r="6226" spans="1:21" hidden="1">
      <c r="A6226" s="7" t="s">
        <v>8758</v>
      </c>
      <c r="B6226" s="7" t="s">
        <v>5405</v>
      </c>
      <c r="C6226" s="8" t="s">
        <v>5319</v>
      </c>
      <c r="D6226" t="s">
        <v>266</v>
      </c>
      <c r="E6226" t="s">
        <v>25</v>
      </c>
      <c r="F6226" t="s">
        <v>493</v>
      </c>
      <c r="G6226" t="s">
        <v>3581</v>
      </c>
      <c r="H6226" s="9">
        <v>44733</v>
      </c>
      <c r="I6226" t="s">
        <v>8634</v>
      </c>
      <c r="J6226" t="s">
        <v>0</v>
      </c>
      <c r="K6226" s="9">
        <v>44862</v>
      </c>
      <c r="L6226" t="s">
        <v>29</v>
      </c>
      <c r="M6226"/>
      <c r="N6226" s="9">
        <v>44778</v>
      </c>
      <c r="O6226"/>
      <c r="P6226"/>
      <c r="Q6226" s="9">
        <v>44862</v>
      </c>
      <c r="R6226"/>
      <c r="S6226"/>
      <c r="T6226"/>
      <c r="U6226"/>
    </row>
    <row r="6227" spans="1:21" hidden="1">
      <c r="A6227" s="7" t="s">
        <v>8879</v>
      </c>
      <c r="B6227" s="7" t="s">
        <v>6044</v>
      </c>
      <c r="C6227" s="8" t="s">
        <v>5319</v>
      </c>
      <c r="D6227" t="s">
        <v>266</v>
      </c>
      <c r="E6227" t="s">
        <v>2622</v>
      </c>
      <c r="F6227" t="s">
        <v>280</v>
      </c>
      <c r="G6227" t="s">
        <v>2623</v>
      </c>
      <c r="H6227" s="9">
        <v>44733</v>
      </c>
      <c r="I6227" t="s">
        <v>28</v>
      </c>
      <c r="J6227" t="s">
        <v>2</v>
      </c>
      <c r="K6227" s="9">
        <v>44834</v>
      </c>
      <c r="L6227" t="s">
        <v>29</v>
      </c>
      <c r="M6227" t="s">
        <v>5331</v>
      </c>
      <c r="N6227" s="9">
        <v>44778</v>
      </c>
      <c r="O6227" s="9">
        <v>44834</v>
      </c>
      <c r="P6227"/>
      <c r="Q6227"/>
      <c r="R6227"/>
      <c r="S6227"/>
      <c r="T6227"/>
      <c r="U6227"/>
    </row>
    <row r="6228" spans="1:21" hidden="1">
      <c r="A6228" s="7" t="s">
        <v>8879</v>
      </c>
      <c r="B6228" s="7" t="s">
        <v>6044</v>
      </c>
      <c r="C6228" s="8" t="s">
        <v>5319</v>
      </c>
      <c r="D6228" t="s">
        <v>266</v>
      </c>
      <c r="E6228" t="s">
        <v>2622</v>
      </c>
      <c r="F6228" t="s">
        <v>280</v>
      </c>
      <c r="G6228" t="s">
        <v>2624</v>
      </c>
      <c r="H6228" s="9">
        <v>44733</v>
      </c>
      <c r="I6228" t="s">
        <v>28</v>
      </c>
      <c r="J6228" t="s">
        <v>2</v>
      </c>
      <c r="K6228" s="9">
        <v>44834</v>
      </c>
      <c r="L6228" t="s">
        <v>29</v>
      </c>
      <c r="M6228" t="s">
        <v>5331</v>
      </c>
      <c r="N6228" s="9">
        <v>44778</v>
      </c>
      <c r="O6228" s="9">
        <v>44834</v>
      </c>
      <c r="P6228"/>
      <c r="Q6228"/>
      <c r="R6228"/>
      <c r="S6228"/>
      <c r="T6228"/>
      <c r="U6228"/>
    </row>
    <row r="6229" spans="1:21" hidden="1">
      <c r="A6229" s="7" t="s">
        <v>8879</v>
      </c>
      <c r="B6229" s="7" t="s">
        <v>6044</v>
      </c>
      <c r="C6229" s="8" t="s">
        <v>5319</v>
      </c>
      <c r="D6229" t="s">
        <v>266</v>
      </c>
      <c r="E6229" t="s">
        <v>2622</v>
      </c>
      <c r="F6229" t="s">
        <v>280</v>
      </c>
      <c r="G6229" t="s">
        <v>2625</v>
      </c>
      <c r="H6229" s="9">
        <v>44733</v>
      </c>
      <c r="I6229" t="s">
        <v>28</v>
      </c>
      <c r="J6229" t="s">
        <v>2</v>
      </c>
      <c r="K6229" s="9">
        <v>44834</v>
      </c>
      <c r="L6229" t="s">
        <v>29</v>
      </c>
      <c r="M6229" t="s">
        <v>5331</v>
      </c>
      <c r="N6229" s="9">
        <v>44778</v>
      </c>
      <c r="O6229" s="9">
        <v>44834</v>
      </c>
      <c r="P6229"/>
      <c r="Q6229"/>
      <c r="R6229"/>
      <c r="S6229"/>
      <c r="T6229"/>
      <c r="U6229"/>
    </row>
    <row r="6230" spans="1:21" hidden="1">
      <c r="A6230" s="7" t="s">
        <v>8879</v>
      </c>
      <c r="B6230" s="7" t="s">
        <v>6044</v>
      </c>
      <c r="C6230" s="8" t="s">
        <v>5319</v>
      </c>
      <c r="D6230" t="s">
        <v>266</v>
      </c>
      <c r="E6230" t="s">
        <v>2622</v>
      </c>
      <c r="F6230" t="s">
        <v>280</v>
      </c>
      <c r="G6230" t="s">
        <v>2626</v>
      </c>
      <c r="H6230" s="9">
        <v>44733</v>
      </c>
      <c r="I6230" t="s">
        <v>28</v>
      </c>
      <c r="J6230" t="s">
        <v>2</v>
      </c>
      <c r="K6230" s="9">
        <v>44834</v>
      </c>
      <c r="L6230" t="s">
        <v>29</v>
      </c>
      <c r="M6230" t="s">
        <v>5331</v>
      </c>
      <c r="N6230" s="9">
        <v>44778</v>
      </c>
      <c r="O6230" s="9">
        <v>44834</v>
      </c>
      <c r="P6230"/>
      <c r="Q6230"/>
      <c r="R6230"/>
      <c r="S6230"/>
      <c r="T6230"/>
      <c r="U6230"/>
    </row>
    <row r="6231" spans="1:21" hidden="1">
      <c r="A6231" s="7" t="s">
        <v>8879</v>
      </c>
      <c r="B6231" s="7" t="s">
        <v>6044</v>
      </c>
      <c r="C6231" s="8" t="s">
        <v>5319</v>
      </c>
      <c r="D6231" t="s">
        <v>266</v>
      </c>
      <c r="E6231" t="s">
        <v>2622</v>
      </c>
      <c r="F6231" t="s">
        <v>280</v>
      </c>
      <c r="G6231" t="s">
        <v>2627</v>
      </c>
      <c r="H6231" s="9">
        <v>44733</v>
      </c>
      <c r="I6231" t="s">
        <v>28</v>
      </c>
      <c r="J6231" t="s">
        <v>2</v>
      </c>
      <c r="K6231" s="9">
        <v>44834</v>
      </c>
      <c r="L6231" t="s">
        <v>29</v>
      </c>
      <c r="M6231" t="s">
        <v>5331</v>
      </c>
      <c r="N6231" s="9">
        <v>44778</v>
      </c>
      <c r="O6231" s="9">
        <v>44834</v>
      </c>
      <c r="P6231"/>
      <c r="Q6231"/>
      <c r="R6231"/>
      <c r="S6231"/>
      <c r="T6231"/>
      <c r="U6231"/>
    </row>
    <row r="6232" spans="1:21" hidden="1">
      <c r="A6232" s="7" t="s">
        <v>8879</v>
      </c>
      <c r="B6232" s="7" t="s">
        <v>6044</v>
      </c>
      <c r="C6232" s="8" t="s">
        <v>5319</v>
      </c>
      <c r="D6232" t="s">
        <v>266</v>
      </c>
      <c r="E6232" t="s">
        <v>2622</v>
      </c>
      <c r="F6232" t="s">
        <v>280</v>
      </c>
      <c r="G6232" t="s">
        <v>3582</v>
      </c>
      <c r="H6232" s="9">
        <v>44733</v>
      </c>
      <c r="I6232" t="s">
        <v>28</v>
      </c>
      <c r="J6232" t="s">
        <v>2</v>
      </c>
      <c r="K6232" s="9">
        <v>44834</v>
      </c>
      <c r="L6232" t="s">
        <v>29</v>
      </c>
      <c r="M6232" t="s">
        <v>5331</v>
      </c>
      <c r="N6232" s="9">
        <v>44778</v>
      </c>
      <c r="O6232" s="9">
        <v>44834</v>
      </c>
      <c r="P6232"/>
      <c r="Q6232"/>
      <c r="R6232"/>
      <c r="S6232"/>
      <c r="T6232"/>
      <c r="U6232"/>
    </row>
    <row r="6233" spans="1:21" hidden="1">
      <c r="A6233" s="7" t="s">
        <v>8879</v>
      </c>
      <c r="B6233" s="7" t="s">
        <v>6044</v>
      </c>
      <c r="C6233" s="8" t="s">
        <v>5319</v>
      </c>
      <c r="D6233" t="s">
        <v>266</v>
      </c>
      <c r="E6233" t="s">
        <v>2622</v>
      </c>
      <c r="F6233" t="s">
        <v>280</v>
      </c>
      <c r="G6233" t="s">
        <v>3583</v>
      </c>
      <c r="H6233" s="9">
        <v>44733</v>
      </c>
      <c r="I6233" t="s">
        <v>28</v>
      </c>
      <c r="J6233" t="s">
        <v>2</v>
      </c>
      <c r="K6233" s="9">
        <v>44834</v>
      </c>
      <c r="L6233" t="s">
        <v>29</v>
      </c>
      <c r="M6233" t="s">
        <v>5331</v>
      </c>
      <c r="N6233" s="9">
        <v>44778</v>
      </c>
      <c r="O6233" s="9">
        <v>44834</v>
      </c>
      <c r="P6233"/>
      <c r="Q6233"/>
      <c r="R6233"/>
      <c r="S6233"/>
      <c r="T6233"/>
      <c r="U6233"/>
    </row>
    <row r="6234" spans="1:21" hidden="1">
      <c r="A6234" s="7" t="s">
        <v>8879</v>
      </c>
      <c r="B6234" s="7" t="s">
        <v>6044</v>
      </c>
      <c r="C6234" s="8" t="s">
        <v>5319</v>
      </c>
      <c r="D6234" t="s">
        <v>266</v>
      </c>
      <c r="E6234" t="s">
        <v>2622</v>
      </c>
      <c r="F6234" t="s">
        <v>280</v>
      </c>
      <c r="G6234" t="s">
        <v>3584</v>
      </c>
      <c r="H6234" s="9">
        <v>44733</v>
      </c>
      <c r="I6234" t="s">
        <v>28</v>
      </c>
      <c r="J6234" t="s">
        <v>2</v>
      </c>
      <c r="K6234" s="9">
        <v>44834</v>
      </c>
      <c r="L6234" t="s">
        <v>29</v>
      </c>
      <c r="M6234" t="s">
        <v>5331</v>
      </c>
      <c r="N6234" s="9">
        <v>44778</v>
      </c>
      <c r="O6234" s="9">
        <v>44834</v>
      </c>
      <c r="P6234"/>
      <c r="Q6234"/>
      <c r="R6234"/>
      <c r="S6234"/>
      <c r="T6234"/>
      <c r="U6234"/>
    </row>
    <row r="6235" spans="1:21" hidden="1">
      <c r="A6235" s="7" t="s">
        <v>8879</v>
      </c>
      <c r="B6235" s="7" t="s">
        <v>6044</v>
      </c>
      <c r="C6235" s="8" t="s">
        <v>5319</v>
      </c>
      <c r="D6235" t="s">
        <v>266</v>
      </c>
      <c r="E6235" t="s">
        <v>2622</v>
      </c>
      <c r="F6235" t="s">
        <v>280</v>
      </c>
      <c r="G6235" t="s">
        <v>3585</v>
      </c>
      <c r="H6235" s="9">
        <v>44733</v>
      </c>
      <c r="I6235" t="s">
        <v>28</v>
      </c>
      <c r="J6235" t="s">
        <v>2</v>
      </c>
      <c r="K6235" s="9">
        <v>44834</v>
      </c>
      <c r="L6235" t="s">
        <v>29</v>
      </c>
      <c r="M6235" t="s">
        <v>5331</v>
      </c>
      <c r="N6235" s="9">
        <v>44778</v>
      </c>
      <c r="O6235" s="9">
        <v>44834</v>
      </c>
      <c r="P6235"/>
      <c r="Q6235"/>
      <c r="R6235"/>
      <c r="S6235"/>
      <c r="T6235"/>
      <c r="U6235"/>
    </row>
    <row r="6236" spans="1:21" hidden="1">
      <c r="A6236" s="7" t="s">
        <v>8879</v>
      </c>
      <c r="B6236" s="7" t="s">
        <v>6044</v>
      </c>
      <c r="C6236" s="8" t="s">
        <v>5319</v>
      </c>
      <c r="D6236" t="s">
        <v>266</v>
      </c>
      <c r="E6236" t="s">
        <v>2622</v>
      </c>
      <c r="F6236" t="s">
        <v>280</v>
      </c>
      <c r="G6236" t="s">
        <v>2628</v>
      </c>
      <c r="H6236" s="9">
        <v>44733</v>
      </c>
      <c r="I6236" t="s">
        <v>28</v>
      </c>
      <c r="J6236" t="s">
        <v>2</v>
      </c>
      <c r="K6236" s="9">
        <v>44834</v>
      </c>
      <c r="L6236" t="s">
        <v>29</v>
      </c>
      <c r="M6236" t="s">
        <v>5331</v>
      </c>
      <c r="N6236" s="9">
        <v>44778</v>
      </c>
      <c r="O6236" s="9">
        <v>44834</v>
      </c>
      <c r="P6236"/>
      <c r="Q6236"/>
      <c r="R6236"/>
      <c r="S6236"/>
      <c r="T6236"/>
      <c r="U6236"/>
    </row>
    <row r="6237" spans="1:21" hidden="1">
      <c r="A6237" s="7" t="s">
        <v>8931</v>
      </c>
      <c r="B6237" s="7" t="s">
        <v>8367</v>
      </c>
      <c r="C6237" s="8" t="s">
        <v>5319</v>
      </c>
      <c r="D6237" t="s">
        <v>266</v>
      </c>
      <c r="E6237" t="s">
        <v>3586</v>
      </c>
      <c r="F6237" t="s">
        <v>117</v>
      </c>
      <c r="G6237" t="s">
        <v>3587</v>
      </c>
      <c r="H6237" s="9">
        <v>44733</v>
      </c>
      <c r="I6237" t="s">
        <v>882</v>
      </c>
      <c r="J6237" t="s">
        <v>2</v>
      </c>
      <c r="K6237" s="9">
        <v>44834</v>
      </c>
      <c r="L6237" t="s">
        <v>29</v>
      </c>
      <c r="M6237" t="s">
        <v>5331</v>
      </c>
      <c r="N6237" s="9">
        <v>44778</v>
      </c>
      <c r="O6237" s="9">
        <v>44834</v>
      </c>
      <c r="P6237"/>
      <c r="Q6237"/>
      <c r="R6237"/>
      <c r="S6237"/>
      <c r="T6237"/>
      <c r="U6237"/>
    </row>
    <row r="6238" spans="1:21" hidden="1">
      <c r="A6238" s="7" t="s">
        <v>8931</v>
      </c>
      <c r="B6238" s="7" t="s">
        <v>8367</v>
      </c>
      <c r="C6238" s="8" t="s">
        <v>5319</v>
      </c>
      <c r="D6238" t="s">
        <v>266</v>
      </c>
      <c r="E6238" t="s">
        <v>3586</v>
      </c>
      <c r="F6238" t="s">
        <v>117</v>
      </c>
      <c r="G6238" t="s">
        <v>3588</v>
      </c>
      <c r="H6238" s="9">
        <v>44733</v>
      </c>
      <c r="I6238" t="s">
        <v>882</v>
      </c>
      <c r="J6238" t="s">
        <v>2</v>
      </c>
      <c r="K6238" s="9">
        <v>44834</v>
      </c>
      <c r="L6238" t="s">
        <v>29</v>
      </c>
      <c r="M6238" t="s">
        <v>5331</v>
      </c>
      <c r="N6238" s="9">
        <v>44778</v>
      </c>
      <c r="O6238" s="9">
        <v>44834</v>
      </c>
      <c r="P6238"/>
      <c r="Q6238"/>
      <c r="R6238"/>
      <c r="S6238"/>
      <c r="T6238"/>
      <c r="U6238"/>
    </row>
    <row r="6239" spans="1:21" hidden="1">
      <c r="A6239" s="7" t="s">
        <v>8931</v>
      </c>
      <c r="B6239" s="7" t="s">
        <v>8367</v>
      </c>
      <c r="C6239" s="8" t="s">
        <v>5319</v>
      </c>
      <c r="D6239" t="s">
        <v>266</v>
      </c>
      <c r="E6239" t="s">
        <v>3586</v>
      </c>
      <c r="F6239" t="s">
        <v>117</v>
      </c>
      <c r="G6239" t="s">
        <v>3589</v>
      </c>
      <c r="H6239" s="9">
        <v>44733</v>
      </c>
      <c r="I6239" t="s">
        <v>882</v>
      </c>
      <c r="J6239" t="s">
        <v>2</v>
      </c>
      <c r="K6239" s="9">
        <v>44834</v>
      </c>
      <c r="L6239" t="s">
        <v>29</v>
      </c>
      <c r="M6239" t="s">
        <v>5331</v>
      </c>
      <c r="N6239" s="9">
        <v>44778</v>
      </c>
      <c r="O6239" s="9">
        <v>44834</v>
      </c>
      <c r="P6239"/>
      <c r="Q6239"/>
      <c r="R6239"/>
      <c r="S6239"/>
      <c r="T6239"/>
      <c r="U6239"/>
    </row>
    <row r="6240" spans="1:21" hidden="1">
      <c r="A6240" s="7" t="s">
        <v>8931</v>
      </c>
      <c r="B6240" s="7" t="s">
        <v>8367</v>
      </c>
      <c r="C6240" s="8" t="s">
        <v>5319</v>
      </c>
      <c r="D6240" t="s">
        <v>266</v>
      </c>
      <c r="E6240" t="s">
        <v>3586</v>
      </c>
      <c r="F6240" t="s">
        <v>117</v>
      </c>
      <c r="G6240" t="s">
        <v>3590</v>
      </c>
      <c r="H6240" s="9">
        <v>44733</v>
      </c>
      <c r="I6240" t="s">
        <v>882</v>
      </c>
      <c r="J6240" t="s">
        <v>2</v>
      </c>
      <c r="K6240" s="9">
        <v>44834</v>
      </c>
      <c r="L6240" t="s">
        <v>29</v>
      </c>
      <c r="M6240" t="s">
        <v>5331</v>
      </c>
      <c r="N6240" s="9">
        <v>44778</v>
      </c>
      <c r="O6240" s="9">
        <v>44834</v>
      </c>
      <c r="P6240"/>
      <c r="Q6240"/>
      <c r="R6240"/>
      <c r="S6240"/>
      <c r="T6240"/>
      <c r="U6240"/>
    </row>
    <row r="6241" spans="1:21" hidden="1">
      <c r="A6241" s="7" t="s">
        <v>8931</v>
      </c>
      <c r="B6241" s="7" t="s">
        <v>8367</v>
      </c>
      <c r="C6241" s="8" t="s">
        <v>5319</v>
      </c>
      <c r="D6241" t="s">
        <v>266</v>
      </c>
      <c r="E6241" t="s">
        <v>3586</v>
      </c>
      <c r="F6241" t="s">
        <v>117</v>
      </c>
      <c r="G6241" t="s">
        <v>3591</v>
      </c>
      <c r="H6241" s="9">
        <v>44733</v>
      </c>
      <c r="I6241" t="s">
        <v>882</v>
      </c>
      <c r="J6241" t="s">
        <v>2</v>
      </c>
      <c r="K6241" s="9">
        <v>44834</v>
      </c>
      <c r="L6241" t="s">
        <v>29</v>
      </c>
      <c r="M6241" t="s">
        <v>5331</v>
      </c>
      <c r="N6241" s="9">
        <v>44778</v>
      </c>
      <c r="O6241" s="9">
        <v>44834</v>
      </c>
      <c r="P6241"/>
      <c r="Q6241"/>
      <c r="R6241"/>
      <c r="S6241"/>
      <c r="T6241"/>
      <c r="U6241"/>
    </row>
    <row r="6242" spans="1:21" hidden="1">
      <c r="A6242" s="7" t="s">
        <v>8931</v>
      </c>
      <c r="B6242" s="7" t="s">
        <v>8367</v>
      </c>
      <c r="C6242" s="8" t="s">
        <v>5319</v>
      </c>
      <c r="D6242" t="s">
        <v>266</v>
      </c>
      <c r="E6242" t="s">
        <v>3586</v>
      </c>
      <c r="F6242" t="s">
        <v>117</v>
      </c>
      <c r="G6242" t="s">
        <v>3592</v>
      </c>
      <c r="H6242" s="9">
        <v>44733</v>
      </c>
      <c r="I6242" t="s">
        <v>882</v>
      </c>
      <c r="J6242" t="s">
        <v>2</v>
      </c>
      <c r="K6242" s="9">
        <v>44834</v>
      </c>
      <c r="L6242" t="s">
        <v>29</v>
      </c>
      <c r="M6242" t="s">
        <v>5331</v>
      </c>
      <c r="N6242" s="9">
        <v>44778</v>
      </c>
      <c r="O6242" s="9">
        <v>44834</v>
      </c>
      <c r="P6242"/>
      <c r="Q6242"/>
      <c r="R6242"/>
      <c r="S6242"/>
      <c r="T6242"/>
      <c r="U6242"/>
    </row>
    <row r="6243" spans="1:21" hidden="1">
      <c r="A6243" s="7" t="s">
        <v>8931</v>
      </c>
      <c r="B6243" s="7" t="s">
        <v>8367</v>
      </c>
      <c r="C6243" s="8" t="s">
        <v>5319</v>
      </c>
      <c r="D6243" t="s">
        <v>266</v>
      </c>
      <c r="E6243" t="s">
        <v>3586</v>
      </c>
      <c r="F6243" t="s">
        <v>117</v>
      </c>
      <c r="G6243" t="s">
        <v>3593</v>
      </c>
      <c r="H6243" s="9">
        <v>44733</v>
      </c>
      <c r="I6243" t="s">
        <v>882</v>
      </c>
      <c r="J6243" t="s">
        <v>2</v>
      </c>
      <c r="K6243" s="9">
        <v>44834</v>
      </c>
      <c r="L6243" t="s">
        <v>29</v>
      </c>
      <c r="M6243" t="s">
        <v>5331</v>
      </c>
      <c r="N6243" s="9">
        <v>44778</v>
      </c>
      <c r="O6243" s="9">
        <v>44834</v>
      </c>
      <c r="P6243"/>
      <c r="Q6243"/>
      <c r="R6243"/>
      <c r="S6243"/>
      <c r="T6243"/>
      <c r="U6243"/>
    </row>
    <row r="6244" spans="1:21" hidden="1">
      <c r="A6244" s="7" t="s">
        <v>8825</v>
      </c>
      <c r="B6244" s="7" t="s">
        <v>5405</v>
      </c>
      <c r="C6244" s="8" t="s">
        <v>5319</v>
      </c>
      <c r="D6244" t="s">
        <v>266</v>
      </c>
      <c r="E6244" t="s">
        <v>25</v>
      </c>
      <c r="F6244" t="s">
        <v>111</v>
      </c>
      <c r="G6244" t="s">
        <v>3594</v>
      </c>
      <c r="H6244" s="9">
        <v>44733</v>
      </c>
      <c r="I6244" t="s">
        <v>8634</v>
      </c>
      <c r="J6244" t="s">
        <v>0</v>
      </c>
      <c r="K6244" s="9">
        <v>44881</v>
      </c>
      <c r="L6244" t="s">
        <v>29</v>
      </c>
      <c r="M6244"/>
      <c r="N6244" s="9">
        <v>44778</v>
      </c>
      <c r="O6244"/>
      <c r="P6244"/>
      <c r="Q6244" s="9">
        <v>44881</v>
      </c>
      <c r="R6244"/>
      <c r="S6244"/>
      <c r="T6244"/>
      <c r="U6244"/>
    </row>
    <row r="6245" spans="1:21" hidden="1">
      <c r="A6245" s="7" t="s">
        <v>8932</v>
      </c>
      <c r="B6245" s="7" t="s">
        <v>6157</v>
      </c>
      <c r="C6245" s="8" t="s">
        <v>5319</v>
      </c>
      <c r="D6245" t="s">
        <v>266</v>
      </c>
      <c r="E6245" t="s">
        <v>1020</v>
      </c>
      <c r="F6245" t="s">
        <v>79</v>
      </c>
      <c r="G6245" t="s">
        <v>3595</v>
      </c>
      <c r="H6245" s="9">
        <v>44733</v>
      </c>
      <c r="I6245" t="s">
        <v>882</v>
      </c>
      <c r="J6245" t="s">
        <v>2</v>
      </c>
      <c r="K6245" s="9">
        <v>44834</v>
      </c>
      <c r="L6245" t="s">
        <v>29</v>
      </c>
      <c r="M6245" t="s">
        <v>5331</v>
      </c>
      <c r="N6245" s="9">
        <v>44778</v>
      </c>
      <c r="O6245" s="9">
        <v>44834</v>
      </c>
      <c r="P6245"/>
      <c r="Q6245"/>
      <c r="R6245"/>
      <c r="S6245"/>
      <c r="T6245"/>
      <c r="U6245"/>
    </row>
    <row r="6246" spans="1:21" hidden="1">
      <c r="A6246" s="7" t="s">
        <v>8932</v>
      </c>
      <c r="B6246" s="7" t="s">
        <v>6157</v>
      </c>
      <c r="C6246" s="8" t="s">
        <v>5319</v>
      </c>
      <c r="D6246" t="s">
        <v>266</v>
      </c>
      <c r="E6246" t="s">
        <v>1020</v>
      </c>
      <c r="F6246" t="s">
        <v>79</v>
      </c>
      <c r="G6246" t="s">
        <v>3596</v>
      </c>
      <c r="H6246" s="9">
        <v>44733</v>
      </c>
      <c r="I6246" t="s">
        <v>882</v>
      </c>
      <c r="J6246" t="s">
        <v>2</v>
      </c>
      <c r="K6246" s="9">
        <v>44834</v>
      </c>
      <c r="L6246" t="s">
        <v>29</v>
      </c>
      <c r="M6246" t="s">
        <v>5331</v>
      </c>
      <c r="N6246" s="9">
        <v>44778</v>
      </c>
      <c r="O6246" s="9">
        <v>44834</v>
      </c>
      <c r="P6246"/>
      <c r="Q6246"/>
      <c r="R6246"/>
      <c r="S6246"/>
      <c r="T6246"/>
      <c r="U6246"/>
    </row>
    <row r="6247" spans="1:21" hidden="1">
      <c r="A6247" s="7" t="s">
        <v>8804</v>
      </c>
      <c r="B6247" s="7" t="s">
        <v>7832</v>
      </c>
      <c r="C6247" s="8" t="s">
        <v>5319</v>
      </c>
      <c r="D6247" t="s">
        <v>266</v>
      </c>
      <c r="E6247" t="s">
        <v>1026</v>
      </c>
      <c r="F6247" t="s">
        <v>117</v>
      </c>
      <c r="G6247" t="s">
        <v>3597</v>
      </c>
      <c r="H6247" s="9">
        <v>44733</v>
      </c>
      <c r="I6247" t="s">
        <v>488</v>
      </c>
      <c r="J6247" t="s">
        <v>276</v>
      </c>
      <c r="K6247" s="9">
        <v>44874.705752314803</v>
      </c>
      <c r="L6247" t="s">
        <v>29</v>
      </c>
      <c r="M6247" t="s">
        <v>5331</v>
      </c>
      <c r="N6247" s="9">
        <v>44778</v>
      </c>
      <c r="O6247" s="9">
        <v>44834</v>
      </c>
      <c r="P6247"/>
      <c r="Q6247"/>
      <c r="R6247" s="9">
        <v>44874.704629629603</v>
      </c>
      <c r="S6247"/>
      <c r="T6247"/>
      <c r="U6247"/>
    </row>
    <row r="6248" spans="1:21" hidden="1">
      <c r="A6248" s="7" t="s">
        <v>8804</v>
      </c>
      <c r="B6248" s="7" t="s">
        <v>7832</v>
      </c>
      <c r="C6248" s="8" t="s">
        <v>5319</v>
      </c>
      <c r="D6248" t="s">
        <v>266</v>
      </c>
      <c r="E6248" t="s">
        <v>1026</v>
      </c>
      <c r="F6248" t="s">
        <v>117</v>
      </c>
      <c r="G6248" t="s">
        <v>3598</v>
      </c>
      <c r="H6248" s="9">
        <v>44733</v>
      </c>
      <c r="I6248" t="s">
        <v>488</v>
      </c>
      <c r="J6248" t="s">
        <v>276</v>
      </c>
      <c r="K6248" s="9">
        <v>44874.705752314803</v>
      </c>
      <c r="L6248" t="s">
        <v>29</v>
      </c>
      <c r="M6248" t="s">
        <v>5331</v>
      </c>
      <c r="N6248" s="9">
        <v>44778</v>
      </c>
      <c r="O6248" s="9">
        <v>44834</v>
      </c>
      <c r="P6248"/>
      <c r="Q6248"/>
      <c r="R6248" s="9">
        <v>44874.704629629603</v>
      </c>
      <c r="S6248"/>
      <c r="T6248"/>
      <c r="U6248"/>
    </row>
    <row r="6249" spans="1:21" hidden="1">
      <c r="A6249" s="7" t="s">
        <v>8804</v>
      </c>
      <c r="B6249" s="7" t="s">
        <v>7832</v>
      </c>
      <c r="C6249" s="8" t="s">
        <v>5319</v>
      </c>
      <c r="D6249" t="s">
        <v>266</v>
      </c>
      <c r="E6249" t="s">
        <v>1026</v>
      </c>
      <c r="F6249" t="s">
        <v>117</v>
      </c>
      <c r="G6249" t="s">
        <v>3599</v>
      </c>
      <c r="H6249" s="9">
        <v>44733</v>
      </c>
      <c r="I6249" t="s">
        <v>488</v>
      </c>
      <c r="J6249" t="s">
        <v>276</v>
      </c>
      <c r="K6249" s="9">
        <v>44874.705752314803</v>
      </c>
      <c r="L6249" t="s">
        <v>29</v>
      </c>
      <c r="M6249" t="s">
        <v>5331</v>
      </c>
      <c r="N6249" s="9">
        <v>44778</v>
      </c>
      <c r="O6249" s="9">
        <v>44834</v>
      </c>
      <c r="P6249"/>
      <c r="Q6249"/>
      <c r="R6249" s="9">
        <v>44874.704629629603</v>
      </c>
      <c r="S6249"/>
      <c r="T6249"/>
      <c r="U6249"/>
    </row>
    <row r="6250" spans="1:21" hidden="1">
      <c r="A6250" s="7" t="s">
        <v>8804</v>
      </c>
      <c r="B6250" s="7" t="s">
        <v>7832</v>
      </c>
      <c r="C6250" s="8" t="s">
        <v>5319</v>
      </c>
      <c r="D6250" t="s">
        <v>266</v>
      </c>
      <c r="E6250" t="s">
        <v>1026</v>
      </c>
      <c r="F6250" t="s">
        <v>117</v>
      </c>
      <c r="G6250" t="s">
        <v>3600</v>
      </c>
      <c r="H6250" s="9">
        <v>44733</v>
      </c>
      <c r="I6250" t="s">
        <v>488</v>
      </c>
      <c r="J6250" t="s">
        <v>276</v>
      </c>
      <c r="K6250" s="9">
        <v>44874.705752314803</v>
      </c>
      <c r="L6250" t="s">
        <v>29</v>
      </c>
      <c r="M6250" t="s">
        <v>5331</v>
      </c>
      <c r="N6250" s="9">
        <v>44778</v>
      </c>
      <c r="O6250" s="9">
        <v>44834</v>
      </c>
      <c r="P6250"/>
      <c r="Q6250"/>
      <c r="R6250" s="9">
        <v>44874.704629629603</v>
      </c>
      <c r="S6250"/>
      <c r="T6250"/>
      <c r="U6250"/>
    </row>
    <row r="6251" spans="1:21" hidden="1">
      <c r="A6251" s="7" t="s">
        <v>8804</v>
      </c>
      <c r="B6251" s="7" t="s">
        <v>7832</v>
      </c>
      <c r="C6251" s="8" t="s">
        <v>5319</v>
      </c>
      <c r="D6251" t="s">
        <v>266</v>
      </c>
      <c r="E6251" t="s">
        <v>1026</v>
      </c>
      <c r="F6251" t="s">
        <v>117</v>
      </c>
      <c r="G6251" t="s">
        <v>3601</v>
      </c>
      <c r="H6251" s="9">
        <v>44733</v>
      </c>
      <c r="I6251" t="s">
        <v>488</v>
      </c>
      <c r="J6251" t="s">
        <v>276</v>
      </c>
      <c r="K6251" s="9">
        <v>44874.705752314803</v>
      </c>
      <c r="L6251" t="s">
        <v>29</v>
      </c>
      <c r="M6251" t="s">
        <v>5331</v>
      </c>
      <c r="N6251" s="9">
        <v>44778</v>
      </c>
      <c r="O6251" s="9">
        <v>44834</v>
      </c>
      <c r="P6251"/>
      <c r="Q6251"/>
      <c r="R6251" s="9">
        <v>44874.704629629603</v>
      </c>
      <c r="S6251"/>
      <c r="T6251"/>
      <c r="U6251"/>
    </row>
    <row r="6252" spans="1:21" hidden="1">
      <c r="A6252" s="7" t="s">
        <v>8804</v>
      </c>
      <c r="B6252" s="7" t="s">
        <v>7832</v>
      </c>
      <c r="C6252" s="8" t="s">
        <v>5319</v>
      </c>
      <c r="D6252" t="s">
        <v>266</v>
      </c>
      <c r="E6252" t="s">
        <v>1026</v>
      </c>
      <c r="F6252" t="s">
        <v>117</v>
      </c>
      <c r="G6252" t="s">
        <v>3602</v>
      </c>
      <c r="H6252" s="9">
        <v>44733</v>
      </c>
      <c r="I6252" t="s">
        <v>488</v>
      </c>
      <c r="J6252" t="s">
        <v>276</v>
      </c>
      <c r="K6252" s="9">
        <v>44874.705752314803</v>
      </c>
      <c r="L6252" t="s">
        <v>29</v>
      </c>
      <c r="M6252" t="s">
        <v>5331</v>
      </c>
      <c r="N6252" s="9">
        <v>44778</v>
      </c>
      <c r="O6252" s="9">
        <v>44834</v>
      </c>
      <c r="P6252"/>
      <c r="Q6252"/>
      <c r="R6252" s="9">
        <v>44874.704629629603</v>
      </c>
      <c r="S6252"/>
      <c r="T6252"/>
      <c r="U6252"/>
    </row>
    <row r="6253" spans="1:21" hidden="1">
      <c r="A6253" s="7" t="s">
        <v>8765</v>
      </c>
      <c r="B6253" s="7" t="s">
        <v>5405</v>
      </c>
      <c r="C6253" s="8" t="s">
        <v>5319</v>
      </c>
      <c r="D6253" t="s">
        <v>266</v>
      </c>
      <c r="E6253" t="s">
        <v>25</v>
      </c>
      <c r="F6253" t="s">
        <v>231</v>
      </c>
      <c r="G6253" t="s">
        <v>3603</v>
      </c>
      <c r="H6253" s="9">
        <v>44733</v>
      </c>
      <c r="I6253" t="s">
        <v>8634</v>
      </c>
      <c r="J6253" t="s">
        <v>2</v>
      </c>
      <c r="K6253" s="9">
        <v>44834</v>
      </c>
      <c r="L6253" t="s">
        <v>29</v>
      </c>
      <c r="M6253" t="s">
        <v>5331</v>
      </c>
      <c r="N6253" s="9">
        <v>44778</v>
      </c>
      <c r="O6253" s="9">
        <v>44834</v>
      </c>
      <c r="P6253"/>
      <c r="Q6253"/>
      <c r="R6253"/>
      <c r="S6253"/>
      <c r="T6253"/>
      <c r="U6253"/>
    </row>
    <row r="6254" spans="1:21" hidden="1">
      <c r="A6254" s="7" t="s">
        <v>8765</v>
      </c>
      <c r="B6254" s="7" t="s">
        <v>5405</v>
      </c>
      <c r="C6254" s="8" t="s">
        <v>5319</v>
      </c>
      <c r="D6254" t="s">
        <v>266</v>
      </c>
      <c r="E6254" t="s">
        <v>25</v>
      </c>
      <c r="F6254" t="s">
        <v>231</v>
      </c>
      <c r="G6254" t="s">
        <v>3604</v>
      </c>
      <c r="H6254" s="9">
        <v>44733</v>
      </c>
      <c r="I6254" t="s">
        <v>8634</v>
      </c>
      <c r="J6254" t="s">
        <v>2</v>
      </c>
      <c r="K6254" s="9">
        <v>44834</v>
      </c>
      <c r="L6254" t="s">
        <v>29</v>
      </c>
      <c r="M6254" t="s">
        <v>5331</v>
      </c>
      <c r="N6254" s="9">
        <v>44778</v>
      </c>
      <c r="O6254" s="9">
        <v>44834</v>
      </c>
      <c r="P6254"/>
      <c r="Q6254"/>
      <c r="R6254"/>
      <c r="S6254"/>
      <c r="T6254"/>
      <c r="U6254"/>
    </row>
    <row r="6255" spans="1:21" hidden="1">
      <c r="A6255" s="7" t="s">
        <v>8931</v>
      </c>
      <c r="B6255" s="7" t="s">
        <v>8367</v>
      </c>
      <c r="C6255" s="8" t="s">
        <v>5319</v>
      </c>
      <c r="D6255" t="s">
        <v>266</v>
      </c>
      <c r="E6255" t="s">
        <v>3586</v>
      </c>
      <c r="F6255" t="s">
        <v>117</v>
      </c>
      <c r="G6255" t="s">
        <v>3605</v>
      </c>
      <c r="H6255" s="9">
        <v>44733</v>
      </c>
      <c r="I6255" t="s">
        <v>882</v>
      </c>
      <c r="J6255" t="s">
        <v>2</v>
      </c>
      <c r="K6255" s="9">
        <v>44834</v>
      </c>
      <c r="L6255" t="s">
        <v>29</v>
      </c>
      <c r="M6255" t="s">
        <v>5331</v>
      </c>
      <c r="N6255" s="9">
        <v>44778</v>
      </c>
      <c r="O6255" s="9">
        <v>44834</v>
      </c>
      <c r="P6255"/>
      <c r="Q6255"/>
      <c r="R6255"/>
      <c r="S6255"/>
      <c r="T6255"/>
      <c r="U6255"/>
    </row>
    <row r="6256" spans="1:21" hidden="1">
      <c r="A6256" s="7" t="s">
        <v>8931</v>
      </c>
      <c r="B6256" s="7" t="s">
        <v>8367</v>
      </c>
      <c r="C6256" s="8" t="s">
        <v>5319</v>
      </c>
      <c r="D6256" t="s">
        <v>266</v>
      </c>
      <c r="E6256" t="s">
        <v>3586</v>
      </c>
      <c r="F6256" t="s">
        <v>117</v>
      </c>
      <c r="G6256" t="s">
        <v>3606</v>
      </c>
      <c r="H6256" s="9">
        <v>44733</v>
      </c>
      <c r="I6256" t="s">
        <v>882</v>
      </c>
      <c r="J6256" t="s">
        <v>2</v>
      </c>
      <c r="K6256" s="9">
        <v>44834</v>
      </c>
      <c r="L6256" t="s">
        <v>29</v>
      </c>
      <c r="M6256" t="s">
        <v>5331</v>
      </c>
      <c r="N6256" s="9">
        <v>44778</v>
      </c>
      <c r="O6256" s="9">
        <v>44834</v>
      </c>
      <c r="P6256"/>
      <c r="Q6256"/>
      <c r="R6256"/>
      <c r="S6256"/>
      <c r="T6256"/>
      <c r="U6256"/>
    </row>
    <row r="6257" spans="1:21" hidden="1">
      <c r="A6257" s="7" t="s">
        <v>8931</v>
      </c>
      <c r="B6257" s="7" t="s">
        <v>8367</v>
      </c>
      <c r="C6257" s="8" t="s">
        <v>5319</v>
      </c>
      <c r="D6257" t="s">
        <v>266</v>
      </c>
      <c r="E6257" t="s">
        <v>3586</v>
      </c>
      <c r="F6257" t="s">
        <v>117</v>
      </c>
      <c r="G6257" t="s">
        <v>3607</v>
      </c>
      <c r="H6257" s="9">
        <v>44733</v>
      </c>
      <c r="I6257" t="s">
        <v>882</v>
      </c>
      <c r="J6257" t="s">
        <v>2</v>
      </c>
      <c r="K6257" s="9">
        <v>44834</v>
      </c>
      <c r="L6257" t="s">
        <v>29</v>
      </c>
      <c r="M6257" t="s">
        <v>5331</v>
      </c>
      <c r="N6257" s="9">
        <v>44778</v>
      </c>
      <c r="O6257" s="9">
        <v>44834</v>
      </c>
      <c r="P6257"/>
      <c r="Q6257"/>
      <c r="R6257"/>
      <c r="S6257"/>
      <c r="T6257"/>
      <c r="U6257"/>
    </row>
    <row r="6258" spans="1:21" hidden="1">
      <c r="A6258" s="7" t="s">
        <v>8931</v>
      </c>
      <c r="B6258" s="7" t="s">
        <v>8367</v>
      </c>
      <c r="C6258" s="8" t="s">
        <v>5319</v>
      </c>
      <c r="D6258" t="s">
        <v>266</v>
      </c>
      <c r="E6258" t="s">
        <v>3586</v>
      </c>
      <c r="F6258" t="s">
        <v>117</v>
      </c>
      <c r="G6258" t="s">
        <v>3608</v>
      </c>
      <c r="H6258" s="9">
        <v>44733</v>
      </c>
      <c r="I6258" t="s">
        <v>882</v>
      </c>
      <c r="J6258" t="s">
        <v>2</v>
      </c>
      <c r="K6258" s="9">
        <v>44834</v>
      </c>
      <c r="L6258" t="s">
        <v>29</v>
      </c>
      <c r="M6258" t="s">
        <v>5331</v>
      </c>
      <c r="N6258" s="9">
        <v>44778</v>
      </c>
      <c r="O6258" s="9">
        <v>44834</v>
      </c>
      <c r="P6258"/>
      <c r="Q6258"/>
      <c r="R6258"/>
      <c r="S6258"/>
      <c r="T6258"/>
      <c r="U6258"/>
    </row>
    <row r="6259" spans="1:21" hidden="1">
      <c r="A6259" s="7" t="s">
        <v>8931</v>
      </c>
      <c r="B6259" s="7" t="s">
        <v>8367</v>
      </c>
      <c r="C6259" s="8" t="s">
        <v>5319</v>
      </c>
      <c r="D6259" t="s">
        <v>266</v>
      </c>
      <c r="E6259" t="s">
        <v>3586</v>
      </c>
      <c r="F6259" t="s">
        <v>117</v>
      </c>
      <c r="G6259" t="s">
        <v>3609</v>
      </c>
      <c r="H6259" s="9">
        <v>44733</v>
      </c>
      <c r="I6259" t="s">
        <v>882</v>
      </c>
      <c r="J6259" t="s">
        <v>2</v>
      </c>
      <c r="K6259" s="9">
        <v>44834</v>
      </c>
      <c r="L6259" t="s">
        <v>29</v>
      </c>
      <c r="M6259" t="s">
        <v>5331</v>
      </c>
      <c r="N6259" s="9">
        <v>44778</v>
      </c>
      <c r="O6259" s="9">
        <v>44834</v>
      </c>
      <c r="P6259"/>
      <c r="Q6259"/>
      <c r="R6259"/>
      <c r="S6259"/>
      <c r="T6259"/>
      <c r="U6259"/>
    </row>
    <row r="6260" spans="1:21" hidden="1">
      <c r="A6260" s="7" t="s">
        <v>8931</v>
      </c>
      <c r="B6260" s="7" t="s">
        <v>8367</v>
      </c>
      <c r="C6260" s="8" t="s">
        <v>5319</v>
      </c>
      <c r="D6260" t="s">
        <v>266</v>
      </c>
      <c r="E6260" t="s">
        <v>3586</v>
      </c>
      <c r="F6260" t="s">
        <v>117</v>
      </c>
      <c r="G6260" t="s">
        <v>3610</v>
      </c>
      <c r="H6260" s="9">
        <v>44733</v>
      </c>
      <c r="I6260" t="s">
        <v>882</v>
      </c>
      <c r="J6260" t="s">
        <v>2</v>
      </c>
      <c r="K6260" s="9">
        <v>44834</v>
      </c>
      <c r="L6260" t="s">
        <v>29</v>
      </c>
      <c r="M6260" t="s">
        <v>5331</v>
      </c>
      <c r="N6260" s="9">
        <v>44778</v>
      </c>
      <c r="O6260" s="9">
        <v>44834</v>
      </c>
      <c r="P6260"/>
      <c r="Q6260"/>
      <c r="R6260"/>
      <c r="S6260"/>
      <c r="T6260"/>
      <c r="U6260"/>
    </row>
    <row r="6261" spans="1:21" hidden="1">
      <c r="A6261" s="7" t="s">
        <v>8931</v>
      </c>
      <c r="B6261" s="7" t="s">
        <v>8367</v>
      </c>
      <c r="C6261" s="8" t="s">
        <v>5319</v>
      </c>
      <c r="D6261" t="s">
        <v>266</v>
      </c>
      <c r="E6261" t="s">
        <v>3586</v>
      </c>
      <c r="F6261" t="s">
        <v>117</v>
      </c>
      <c r="G6261" t="s">
        <v>3611</v>
      </c>
      <c r="H6261" s="9">
        <v>44733</v>
      </c>
      <c r="I6261" t="s">
        <v>882</v>
      </c>
      <c r="J6261" t="s">
        <v>2</v>
      </c>
      <c r="K6261" s="9">
        <v>44834</v>
      </c>
      <c r="L6261" t="s">
        <v>29</v>
      </c>
      <c r="M6261" t="s">
        <v>5331</v>
      </c>
      <c r="N6261" s="9">
        <v>44778</v>
      </c>
      <c r="O6261" s="9">
        <v>44834</v>
      </c>
      <c r="P6261"/>
      <c r="Q6261"/>
      <c r="R6261"/>
      <c r="S6261"/>
      <c r="T6261"/>
      <c r="U6261"/>
    </row>
    <row r="6262" spans="1:21" hidden="1">
      <c r="A6262" s="7" t="s">
        <v>8931</v>
      </c>
      <c r="B6262" s="7" t="s">
        <v>8367</v>
      </c>
      <c r="C6262" s="8" t="s">
        <v>5319</v>
      </c>
      <c r="D6262" t="s">
        <v>266</v>
      </c>
      <c r="E6262" t="s">
        <v>3586</v>
      </c>
      <c r="F6262" t="s">
        <v>117</v>
      </c>
      <c r="G6262" t="s">
        <v>3612</v>
      </c>
      <c r="H6262" s="9">
        <v>44733</v>
      </c>
      <c r="I6262" t="s">
        <v>882</v>
      </c>
      <c r="J6262" t="s">
        <v>2</v>
      </c>
      <c r="K6262" s="9">
        <v>44834</v>
      </c>
      <c r="L6262" t="s">
        <v>29</v>
      </c>
      <c r="M6262" t="s">
        <v>5331</v>
      </c>
      <c r="N6262" s="9">
        <v>44778</v>
      </c>
      <c r="O6262" s="9">
        <v>44834</v>
      </c>
      <c r="P6262"/>
      <c r="Q6262"/>
      <c r="R6262"/>
      <c r="S6262"/>
      <c r="T6262"/>
      <c r="U6262"/>
    </row>
    <row r="6263" spans="1:21" hidden="1">
      <c r="A6263" s="7" t="s">
        <v>8931</v>
      </c>
      <c r="B6263" s="7" t="s">
        <v>8367</v>
      </c>
      <c r="C6263" s="8" t="s">
        <v>5319</v>
      </c>
      <c r="D6263" t="s">
        <v>266</v>
      </c>
      <c r="E6263" t="s">
        <v>3586</v>
      </c>
      <c r="F6263" t="s">
        <v>117</v>
      </c>
      <c r="G6263" t="s">
        <v>3613</v>
      </c>
      <c r="H6263" s="9">
        <v>44733</v>
      </c>
      <c r="I6263" t="s">
        <v>882</v>
      </c>
      <c r="J6263" t="s">
        <v>2</v>
      </c>
      <c r="K6263" s="9">
        <v>44834</v>
      </c>
      <c r="L6263" t="s">
        <v>29</v>
      </c>
      <c r="M6263" t="s">
        <v>5331</v>
      </c>
      <c r="N6263" s="9">
        <v>44778</v>
      </c>
      <c r="O6263" s="9">
        <v>44834</v>
      </c>
      <c r="P6263"/>
      <c r="Q6263"/>
      <c r="R6263"/>
      <c r="S6263"/>
      <c r="T6263"/>
      <c r="U6263"/>
    </row>
    <row r="6264" spans="1:21" hidden="1">
      <c r="A6264" s="7" t="s">
        <v>8931</v>
      </c>
      <c r="B6264" s="7" t="s">
        <v>8367</v>
      </c>
      <c r="C6264" s="8" t="s">
        <v>5319</v>
      </c>
      <c r="D6264" t="s">
        <v>266</v>
      </c>
      <c r="E6264" t="s">
        <v>3586</v>
      </c>
      <c r="F6264" t="s">
        <v>117</v>
      </c>
      <c r="G6264" t="s">
        <v>3614</v>
      </c>
      <c r="H6264" s="9">
        <v>44733</v>
      </c>
      <c r="I6264" t="s">
        <v>882</v>
      </c>
      <c r="J6264" t="s">
        <v>2</v>
      </c>
      <c r="K6264" s="9">
        <v>44834</v>
      </c>
      <c r="L6264" t="s">
        <v>29</v>
      </c>
      <c r="M6264" t="s">
        <v>5331</v>
      </c>
      <c r="N6264" s="9">
        <v>44778</v>
      </c>
      <c r="O6264" s="9">
        <v>44834</v>
      </c>
      <c r="P6264"/>
      <c r="Q6264"/>
      <c r="R6264"/>
      <c r="S6264"/>
      <c r="T6264"/>
      <c r="U6264"/>
    </row>
    <row r="6265" spans="1:21" hidden="1">
      <c r="A6265" s="7" t="s">
        <v>8931</v>
      </c>
      <c r="B6265" s="7" t="s">
        <v>8367</v>
      </c>
      <c r="C6265" s="8" t="s">
        <v>5319</v>
      </c>
      <c r="D6265" t="s">
        <v>266</v>
      </c>
      <c r="E6265" t="s">
        <v>3586</v>
      </c>
      <c r="F6265" t="s">
        <v>117</v>
      </c>
      <c r="G6265" t="s">
        <v>3615</v>
      </c>
      <c r="H6265" s="9">
        <v>44733</v>
      </c>
      <c r="I6265" t="s">
        <v>882</v>
      </c>
      <c r="J6265" t="s">
        <v>2</v>
      </c>
      <c r="K6265" s="9">
        <v>44834</v>
      </c>
      <c r="L6265" t="s">
        <v>29</v>
      </c>
      <c r="M6265" t="s">
        <v>5331</v>
      </c>
      <c r="N6265" s="9">
        <v>44778</v>
      </c>
      <c r="O6265" s="9">
        <v>44834</v>
      </c>
      <c r="P6265"/>
      <c r="Q6265"/>
      <c r="R6265"/>
      <c r="S6265"/>
      <c r="T6265"/>
      <c r="U6265"/>
    </row>
    <row r="6266" spans="1:21" hidden="1">
      <c r="A6266" s="7" t="s">
        <v>8931</v>
      </c>
      <c r="B6266" s="7" t="s">
        <v>8367</v>
      </c>
      <c r="C6266" s="8" t="s">
        <v>5319</v>
      </c>
      <c r="D6266" t="s">
        <v>266</v>
      </c>
      <c r="E6266" t="s">
        <v>3586</v>
      </c>
      <c r="F6266" t="s">
        <v>117</v>
      </c>
      <c r="G6266" t="s">
        <v>3616</v>
      </c>
      <c r="H6266" s="9">
        <v>44733</v>
      </c>
      <c r="I6266" t="s">
        <v>882</v>
      </c>
      <c r="J6266" t="s">
        <v>2</v>
      </c>
      <c r="K6266" s="9">
        <v>44834</v>
      </c>
      <c r="L6266" t="s">
        <v>29</v>
      </c>
      <c r="M6266" t="s">
        <v>5331</v>
      </c>
      <c r="N6266" s="9">
        <v>44778</v>
      </c>
      <c r="O6266" s="9">
        <v>44834</v>
      </c>
      <c r="P6266"/>
      <c r="Q6266"/>
      <c r="R6266"/>
      <c r="S6266"/>
      <c r="T6266"/>
      <c r="U6266"/>
    </row>
    <row r="6267" spans="1:21" hidden="1">
      <c r="A6267" s="7" t="s">
        <v>8931</v>
      </c>
      <c r="B6267" s="7" t="s">
        <v>8367</v>
      </c>
      <c r="C6267" s="8" t="s">
        <v>5319</v>
      </c>
      <c r="D6267" t="s">
        <v>266</v>
      </c>
      <c r="E6267" t="s">
        <v>3586</v>
      </c>
      <c r="F6267" t="s">
        <v>117</v>
      </c>
      <c r="G6267" t="s">
        <v>3617</v>
      </c>
      <c r="H6267" s="9">
        <v>44733</v>
      </c>
      <c r="I6267" t="s">
        <v>882</v>
      </c>
      <c r="J6267" t="s">
        <v>2</v>
      </c>
      <c r="K6267" s="9">
        <v>44834</v>
      </c>
      <c r="L6267" t="s">
        <v>29</v>
      </c>
      <c r="M6267" t="s">
        <v>5331</v>
      </c>
      <c r="N6267" s="9">
        <v>44778</v>
      </c>
      <c r="O6267" s="9">
        <v>44834</v>
      </c>
      <c r="P6267"/>
      <c r="Q6267"/>
      <c r="R6267"/>
      <c r="S6267"/>
      <c r="T6267"/>
      <c r="U6267"/>
    </row>
    <row r="6268" spans="1:21" hidden="1">
      <c r="A6268" s="7" t="s">
        <v>8931</v>
      </c>
      <c r="B6268" s="7" t="s">
        <v>8367</v>
      </c>
      <c r="C6268" s="8" t="s">
        <v>5319</v>
      </c>
      <c r="D6268" t="s">
        <v>266</v>
      </c>
      <c r="E6268" t="s">
        <v>3586</v>
      </c>
      <c r="F6268" t="s">
        <v>117</v>
      </c>
      <c r="G6268" t="s">
        <v>3618</v>
      </c>
      <c r="H6268" s="9">
        <v>44733</v>
      </c>
      <c r="I6268" t="s">
        <v>882</v>
      </c>
      <c r="J6268" t="s">
        <v>2</v>
      </c>
      <c r="K6268" s="9">
        <v>44834</v>
      </c>
      <c r="L6268" t="s">
        <v>29</v>
      </c>
      <c r="M6268" t="s">
        <v>5331</v>
      </c>
      <c r="N6268" s="9">
        <v>44778</v>
      </c>
      <c r="O6268" s="9">
        <v>44834</v>
      </c>
      <c r="P6268"/>
      <c r="Q6268"/>
      <c r="R6268"/>
      <c r="S6268"/>
      <c r="T6268"/>
      <c r="U6268"/>
    </row>
    <row r="6269" spans="1:21" hidden="1">
      <c r="A6269" s="7" t="s">
        <v>8931</v>
      </c>
      <c r="B6269" s="7" t="s">
        <v>8367</v>
      </c>
      <c r="C6269" s="8" t="s">
        <v>5319</v>
      </c>
      <c r="D6269" t="s">
        <v>266</v>
      </c>
      <c r="E6269" t="s">
        <v>3586</v>
      </c>
      <c r="F6269" t="s">
        <v>117</v>
      </c>
      <c r="G6269" t="s">
        <v>3619</v>
      </c>
      <c r="H6269" s="9">
        <v>44733</v>
      </c>
      <c r="I6269" t="s">
        <v>882</v>
      </c>
      <c r="J6269" t="s">
        <v>2</v>
      </c>
      <c r="K6269" s="9">
        <v>44834</v>
      </c>
      <c r="L6269" t="s">
        <v>29</v>
      </c>
      <c r="M6269" t="s">
        <v>5331</v>
      </c>
      <c r="N6269" s="9">
        <v>44778</v>
      </c>
      <c r="O6269" s="9">
        <v>44834</v>
      </c>
      <c r="P6269"/>
      <c r="Q6269"/>
      <c r="R6269"/>
      <c r="S6269"/>
      <c r="T6269"/>
      <c r="U6269"/>
    </row>
    <row r="6270" spans="1:21" hidden="1">
      <c r="A6270" s="7" t="s">
        <v>8933</v>
      </c>
      <c r="B6270" s="7" t="s">
        <v>8368</v>
      </c>
      <c r="C6270" s="8" t="s">
        <v>5319</v>
      </c>
      <c r="D6270" t="s">
        <v>266</v>
      </c>
      <c r="E6270" t="s">
        <v>3620</v>
      </c>
      <c r="F6270" t="s">
        <v>117</v>
      </c>
      <c r="G6270" t="s">
        <v>3621</v>
      </c>
      <c r="H6270" s="9">
        <v>44733</v>
      </c>
      <c r="I6270" t="s">
        <v>758</v>
      </c>
      <c r="J6270" t="s">
        <v>2</v>
      </c>
      <c r="K6270" s="9">
        <v>44834</v>
      </c>
      <c r="L6270" t="s">
        <v>29</v>
      </c>
      <c r="M6270" t="s">
        <v>5331</v>
      </c>
      <c r="N6270" s="9">
        <v>44778</v>
      </c>
      <c r="O6270" s="9">
        <v>44834</v>
      </c>
      <c r="P6270"/>
      <c r="Q6270" s="9">
        <v>44874</v>
      </c>
      <c r="R6270"/>
      <c r="S6270"/>
      <c r="T6270"/>
      <c r="U6270"/>
    </row>
    <row r="6271" spans="1:21" hidden="1">
      <c r="A6271" s="7" t="s">
        <v>8933</v>
      </c>
      <c r="B6271" s="7" t="s">
        <v>8368</v>
      </c>
      <c r="C6271" s="8" t="s">
        <v>5319</v>
      </c>
      <c r="D6271" t="s">
        <v>266</v>
      </c>
      <c r="E6271" t="s">
        <v>3620</v>
      </c>
      <c r="F6271" t="s">
        <v>117</v>
      </c>
      <c r="G6271" t="s">
        <v>3622</v>
      </c>
      <c r="H6271" s="9">
        <v>44733</v>
      </c>
      <c r="I6271" t="s">
        <v>758</v>
      </c>
      <c r="J6271" t="s">
        <v>2</v>
      </c>
      <c r="K6271" s="9">
        <v>44834</v>
      </c>
      <c r="L6271" t="s">
        <v>29</v>
      </c>
      <c r="M6271" t="s">
        <v>5331</v>
      </c>
      <c r="N6271" s="9">
        <v>44778</v>
      </c>
      <c r="O6271" s="9">
        <v>44834</v>
      </c>
      <c r="P6271"/>
      <c r="Q6271" s="9">
        <v>44874</v>
      </c>
      <c r="R6271"/>
      <c r="S6271"/>
      <c r="T6271"/>
      <c r="U6271"/>
    </row>
    <row r="6272" spans="1:21" hidden="1">
      <c r="A6272" s="7" t="s">
        <v>8933</v>
      </c>
      <c r="B6272" s="7" t="s">
        <v>8368</v>
      </c>
      <c r="C6272" s="8" t="s">
        <v>5319</v>
      </c>
      <c r="D6272" t="s">
        <v>266</v>
      </c>
      <c r="E6272" t="s">
        <v>3620</v>
      </c>
      <c r="F6272" t="s">
        <v>117</v>
      </c>
      <c r="G6272" t="s">
        <v>3623</v>
      </c>
      <c r="H6272" s="9">
        <v>44733</v>
      </c>
      <c r="I6272" t="s">
        <v>758</v>
      </c>
      <c r="J6272" t="s">
        <v>2</v>
      </c>
      <c r="K6272" s="9">
        <v>44834</v>
      </c>
      <c r="L6272" t="s">
        <v>29</v>
      </c>
      <c r="M6272" t="s">
        <v>5331</v>
      </c>
      <c r="N6272" s="9">
        <v>44778</v>
      </c>
      <c r="O6272" s="9">
        <v>44834</v>
      </c>
      <c r="P6272"/>
      <c r="Q6272" s="9">
        <v>44874</v>
      </c>
      <c r="R6272"/>
      <c r="S6272"/>
      <c r="T6272"/>
      <c r="U6272"/>
    </row>
    <row r="6273" spans="1:21" hidden="1">
      <c r="A6273" s="7" t="s">
        <v>8933</v>
      </c>
      <c r="B6273" s="7" t="s">
        <v>8368</v>
      </c>
      <c r="C6273" s="8" t="s">
        <v>5319</v>
      </c>
      <c r="D6273" t="s">
        <v>266</v>
      </c>
      <c r="E6273" t="s">
        <v>3620</v>
      </c>
      <c r="F6273" t="s">
        <v>117</v>
      </c>
      <c r="G6273" t="s">
        <v>3624</v>
      </c>
      <c r="H6273" s="9">
        <v>44733</v>
      </c>
      <c r="I6273" t="s">
        <v>758</v>
      </c>
      <c r="J6273" t="s">
        <v>2</v>
      </c>
      <c r="K6273" s="9">
        <v>44834</v>
      </c>
      <c r="L6273" t="s">
        <v>29</v>
      </c>
      <c r="M6273" t="s">
        <v>5331</v>
      </c>
      <c r="N6273" s="9">
        <v>44778</v>
      </c>
      <c r="O6273" s="9">
        <v>44834</v>
      </c>
      <c r="P6273"/>
      <c r="Q6273" s="9">
        <v>44874</v>
      </c>
      <c r="R6273"/>
      <c r="S6273"/>
      <c r="T6273"/>
      <c r="U6273"/>
    </row>
    <row r="6274" spans="1:21" hidden="1">
      <c r="A6274" s="7" t="s">
        <v>8933</v>
      </c>
      <c r="B6274" s="7" t="s">
        <v>8368</v>
      </c>
      <c r="C6274" s="8" t="s">
        <v>5319</v>
      </c>
      <c r="D6274" t="s">
        <v>266</v>
      </c>
      <c r="E6274" t="s">
        <v>3620</v>
      </c>
      <c r="F6274" t="s">
        <v>117</v>
      </c>
      <c r="G6274" t="s">
        <v>3625</v>
      </c>
      <c r="H6274" s="9">
        <v>44733</v>
      </c>
      <c r="I6274" t="s">
        <v>758</v>
      </c>
      <c r="J6274" t="s">
        <v>2</v>
      </c>
      <c r="K6274" s="9">
        <v>44834</v>
      </c>
      <c r="L6274" t="s">
        <v>29</v>
      </c>
      <c r="M6274" t="s">
        <v>5331</v>
      </c>
      <c r="N6274" s="9">
        <v>44778</v>
      </c>
      <c r="O6274" s="9">
        <v>44834</v>
      </c>
      <c r="P6274"/>
      <c r="Q6274" s="9">
        <v>44874</v>
      </c>
      <c r="R6274"/>
      <c r="S6274"/>
      <c r="T6274"/>
      <c r="U6274"/>
    </row>
    <row r="6275" spans="1:21" hidden="1">
      <c r="A6275" s="7" t="s">
        <v>8933</v>
      </c>
      <c r="B6275" s="7" t="s">
        <v>8368</v>
      </c>
      <c r="C6275" s="8" t="s">
        <v>5319</v>
      </c>
      <c r="D6275" t="s">
        <v>266</v>
      </c>
      <c r="E6275" t="s">
        <v>3620</v>
      </c>
      <c r="F6275" t="s">
        <v>117</v>
      </c>
      <c r="G6275" t="s">
        <v>3626</v>
      </c>
      <c r="H6275" s="9">
        <v>44733</v>
      </c>
      <c r="I6275" t="s">
        <v>758</v>
      </c>
      <c r="J6275" t="s">
        <v>2</v>
      </c>
      <c r="K6275" s="9">
        <v>44834</v>
      </c>
      <c r="L6275" t="s">
        <v>29</v>
      </c>
      <c r="M6275" t="s">
        <v>5331</v>
      </c>
      <c r="N6275" s="9">
        <v>44778</v>
      </c>
      <c r="O6275" s="9">
        <v>44834</v>
      </c>
      <c r="P6275"/>
      <c r="Q6275" s="9">
        <v>44874</v>
      </c>
      <c r="R6275"/>
      <c r="S6275"/>
      <c r="T6275"/>
      <c r="U6275"/>
    </row>
    <row r="6276" spans="1:21" hidden="1">
      <c r="A6276" s="7" t="s">
        <v>8933</v>
      </c>
      <c r="B6276" s="7" t="s">
        <v>8368</v>
      </c>
      <c r="C6276" s="8" t="s">
        <v>5319</v>
      </c>
      <c r="D6276" t="s">
        <v>266</v>
      </c>
      <c r="E6276" t="s">
        <v>3620</v>
      </c>
      <c r="F6276" t="s">
        <v>117</v>
      </c>
      <c r="G6276" t="s">
        <v>3627</v>
      </c>
      <c r="H6276" s="9">
        <v>44733</v>
      </c>
      <c r="I6276" t="s">
        <v>758</v>
      </c>
      <c r="J6276" t="s">
        <v>2</v>
      </c>
      <c r="K6276" s="9">
        <v>44834</v>
      </c>
      <c r="L6276" t="s">
        <v>29</v>
      </c>
      <c r="M6276" t="s">
        <v>5331</v>
      </c>
      <c r="N6276" s="9">
        <v>44778</v>
      </c>
      <c r="O6276" s="9">
        <v>44834</v>
      </c>
      <c r="P6276"/>
      <c r="Q6276" s="9">
        <v>44874</v>
      </c>
      <c r="R6276"/>
      <c r="S6276"/>
      <c r="T6276"/>
      <c r="U6276"/>
    </row>
    <row r="6277" spans="1:21" hidden="1">
      <c r="A6277" s="7" t="s">
        <v>8933</v>
      </c>
      <c r="B6277" s="7" t="s">
        <v>8368</v>
      </c>
      <c r="C6277" s="8" t="s">
        <v>5319</v>
      </c>
      <c r="D6277" t="s">
        <v>266</v>
      </c>
      <c r="E6277" t="s">
        <v>3620</v>
      </c>
      <c r="F6277" t="s">
        <v>117</v>
      </c>
      <c r="G6277" t="s">
        <v>3628</v>
      </c>
      <c r="H6277" s="9">
        <v>44733</v>
      </c>
      <c r="I6277" t="s">
        <v>758</v>
      </c>
      <c r="J6277" t="s">
        <v>2</v>
      </c>
      <c r="K6277" s="9">
        <v>44834</v>
      </c>
      <c r="L6277" t="s">
        <v>29</v>
      </c>
      <c r="M6277" t="s">
        <v>5331</v>
      </c>
      <c r="N6277" s="9">
        <v>44778</v>
      </c>
      <c r="O6277" s="9">
        <v>44834</v>
      </c>
      <c r="P6277"/>
      <c r="Q6277" s="9">
        <v>44874</v>
      </c>
      <c r="R6277"/>
      <c r="S6277"/>
      <c r="T6277"/>
      <c r="U6277"/>
    </row>
    <row r="6278" spans="1:21" hidden="1">
      <c r="A6278" s="7" t="s">
        <v>8933</v>
      </c>
      <c r="B6278" s="7" t="s">
        <v>8368</v>
      </c>
      <c r="C6278" s="8" t="s">
        <v>5319</v>
      </c>
      <c r="D6278" t="s">
        <v>266</v>
      </c>
      <c r="E6278" t="s">
        <v>3620</v>
      </c>
      <c r="F6278" t="s">
        <v>117</v>
      </c>
      <c r="G6278" t="s">
        <v>3629</v>
      </c>
      <c r="H6278" s="9">
        <v>44733</v>
      </c>
      <c r="I6278" t="s">
        <v>758</v>
      </c>
      <c r="J6278" t="s">
        <v>2</v>
      </c>
      <c r="K6278" s="9">
        <v>44834</v>
      </c>
      <c r="L6278" t="s">
        <v>29</v>
      </c>
      <c r="M6278" t="s">
        <v>5331</v>
      </c>
      <c r="N6278" s="9">
        <v>44778</v>
      </c>
      <c r="O6278" s="9">
        <v>44834</v>
      </c>
      <c r="P6278"/>
      <c r="Q6278" s="9">
        <v>44874</v>
      </c>
      <c r="R6278"/>
      <c r="S6278"/>
      <c r="T6278"/>
      <c r="U6278"/>
    </row>
    <row r="6279" spans="1:21" hidden="1">
      <c r="A6279" s="7" t="s">
        <v>8933</v>
      </c>
      <c r="B6279" s="7" t="s">
        <v>8368</v>
      </c>
      <c r="C6279" s="8" t="s">
        <v>5319</v>
      </c>
      <c r="D6279" t="s">
        <v>266</v>
      </c>
      <c r="E6279" t="s">
        <v>3620</v>
      </c>
      <c r="F6279" t="s">
        <v>117</v>
      </c>
      <c r="G6279" t="s">
        <v>3630</v>
      </c>
      <c r="H6279" s="9">
        <v>44733</v>
      </c>
      <c r="I6279" t="s">
        <v>758</v>
      </c>
      <c r="J6279" t="s">
        <v>2</v>
      </c>
      <c r="K6279" s="9">
        <v>44834</v>
      </c>
      <c r="L6279" t="s">
        <v>29</v>
      </c>
      <c r="M6279" t="s">
        <v>5331</v>
      </c>
      <c r="N6279" s="9">
        <v>44778</v>
      </c>
      <c r="O6279" s="9">
        <v>44834</v>
      </c>
      <c r="P6279"/>
      <c r="Q6279" s="9">
        <v>44874</v>
      </c>
      <c r="R6279"/>
      <c r="S6279"/>
      <c r="T6279"/>
      <c r="U6279"/>
    </row>
    <row r="6280" spans="1:21" hidden="1">
      <c r="A6280" s="7" t="s">
        <v>8933</v>
      </c>
      <c r="B6280" s="7" t="s">
        <v>8368</v>
      </c>
      <c r="C6280" s="8" t="s">
        <v>5319</v>
      </c>
      <c r="D6280" t="s">
        <v>266</v>
      </c>
      <c r="E6280" t="s">
        <v>3620</v>
      </c>
      <c r="F6280" t="s">
        <v>117</v>
      </c>
      <c r="G6280" t="s">
        <v>3631</v>
      </c>
      <c r="H6280" s="9">
        <v>44733</v>
      </c>
      <c r="I6280" t="s">
        <v>758</v>
      </c>
      <c r="J6280" t="s">
        <v>2</v>
      </c>
      <c r="K6280" s="9">
        <v>44834</v>
      </c>
      <c r="L6280" t="s">
        <v>29</v>
      </c>
      <c r="M6280" t="s">
        <v>5331</v>
      </c>
      <c r="N6280" s="9">
        <v>44778</v>
      </c>
      <c r="O6280" s="9">
        <v>44834</v>
      </c>
      <c r="P6280"/>
      <c r="Q6280" s="9">
        <v>44874</v>
      </c>
      <c r="R6280"/>
      <c r="S6280"/>
      <c r="T6280"/>
      <c r="U6280"/>
    </row>
    <row r="6281" spans="1:21" hidden="1">
      <c r="A6281" s="7" t="s">
        <v>8933</v>
      </c>
      <c r="B6281" s="7" t="s">
        <v>8368</v>
      </c>
      <c r="C6281" s="8" t="s">
        <v>5319</v>
      </c>
      <c r="D6281" t="s">
        <v>266</v>
      </c>
      <c r="E6281" t="s">
        <v>3620</v>
      </c>
      <c r="F6281" t="s">
        <v>117</v>
      </c>
      <c r="G6281" t="s">
        <v>3632</v>
      </c>
      <c r="H6281" s="9">
        <v>44733</v>
      </c>
      <c r="I6281" t="s">
        <v>758</v>
      </c>
      <c r="J6281" t="s">
        <v>2</v>
      </c>
      <c r="K6281" s="9">
        <v>44834</v>
      </c>
      <c r="L6281" t="s">
        <v>29</v>
      </c>
      <c r="M6281" t="s">
        <v>5331</v>
      </c>
      <c r="N6281" s="9">
        <v>44778</v>
      </c>
      <c r="O6281" s="9">
        <v>44834</v>
      </c>
      <c r="P6281"/>
      <c r="Q6281" s="9">
        <v>44874</v>
      </c>
      <c r="R6281"/>
      <c r="S6281"/>
      <c r="T6281"/>
      <c r="U6281"/>
    </row>
    <row r="6282" spans="1:21" hidden="1">
      <c r="A6282" s="7" t="s">
        <v>8933</v>
      </c>
      <c r="B6282" s="7" t="s">
        <v>8368</v>
      </c>
      <c r="C6282" s="8" t="s">
        <v>5319</v>
      </c>
      <c r="D6282" t="s">
        <v>266</v>
      </c>
      <c r="E6282" t="s">
        <v>3620</v>
      </c>
      <c r="F6282" t="s">
        <v>117</v>
      </c>
      <c r="G6282" t="s">
        <v>3633</v>
      </c>
      <c r="H6282" s="9">
        <v>44733</v>
      </c>
      <c r="I6282" t="s">
        <v>758</v>
      </c>
      <c r="J6282" t="s">
        <v>2</v>
      </c>
      <c r="K6282" s="9">
        <v>44834</v>
      </c>
      <c r="L6282" t="s">
        <v>29</v>
      </c>
      <c r="M6282" t="s">
        <v>5331</v>
      </c>
      <c r="N6282" s="9">
        <v>44778</v>
      </c>
      <c r="O6282" s="9">
        <v>44834</v>
      </c>
      <c r="P6282"/>
      <c r="Q6282" s="9">
        <v>44874</v>
      </c>
      <c r="R6282"/>
      <c r="S6282"/>
      <c r="T6282"/>
      <c r="U6282"/>
    </row>
    <row r="6283" spans="1:21" hidden="1">
      <c r="A6283" s="7" t="s">
        <v>8933</v>
      </c>
      <c r="B6283" s="7" t="s">
        <v>8368</v>
      </c>
      <c r="C6283" s="8" t="s">
        <v>5319</v>
      </c>
      <c r="D6283" t="s">
        <v>266</v>
      </c>
      <c r="E6283" t="s">
        <v>3620</v>
      </c>
      <c r="F6283" t="s">
        <v>117</v>
      </c>
      <c r="G6283" t="s">
        <v>3634</v>
      </c>
      <c r="H6283" s="9">
        <v>44733</v>
      </c>
      <c r="I6283" t="s">
        <v>758</v>
      </c>
      <c r="J6283" t="s">
        <v>2</v>
      </c>
      <c r="K6283" s="9">
        <v>44834</v>
      </c>
      <c r="L6283" t="s">
        <v>29</v>
      </c>
      <c r="M6283" t="s">
        <v>5331</v>
      </c>
      <c r="N6283" s="9">
        <v>44778</v>
      </c>
      <c r="O6283" s="9">
        <v>44834</v>
      </c>
      <c r="P6283"/>
      <c r="Q6283" s="9">
        <v>44874</v>
      </c>
      <c r="R6283"/>
      <c r="S6283"/>
      <c r="T6283"/>
      <c r="U6283"/>
    </row>
    <row r="6284" spans="1:21" hidden="1">
      <c r="A6284" s="7" t="s">
        <v>8933</v>
      </c>
      <c r="B6284" s="7" t="s">
        <v>8368</v>
      </c>
      <c r="C6284" s="8" t="s">
        <v>5319</v>
      </c>
      <c r="D6284" t="s">
        <v>266</v>
      </c>
      <c r="E6284" t="s">
        <v>3620</v>
      </c>
      <c r="F6284" t="s">
        <v>117</v>
      </c>
      <c r="G6284" t="s">
        <v>3635</v>
      </c>
      <c r="H6284" s="9">
        <v>44733</v>
      </c>
      <c r="I6284" t="s">
        <v>758</v>
      </c>
      <c r="J6284" t="s">
        <v>2</v>
      </c>
      <c r="K6284" s="9">
        <v>44834</v>
      </c>
      <c r="L6284" t="s">
        <v>29</v>
      </c>
      <c r="M6284" t="s">
        <v>5331</v>
      </c>
      <c r="N6284" s="9">
        <v>44778</v>
      </c>
      <c r="O6284" s="9">
        <v>44834</v>
      </c>
      <c r="P6284"/>
      <c r="Q6284" s="9">
        <v>44874</v>
      </c>
      <c r="R6284"/>
      <c r="S6284"/>
      <c r="T6284"/>
      <c r="U6284"/>
    </row>
    <row r="6285" spans="1:21" hidden="1">
      <c r="A6285" s="7" t="s">
        <v>8933</v>
      </c>
      <c r="B6285" s="7" t="s">
        <v>8368</v>
      </c>
      <c r="C6285" s="8" t="s">
        <v>5319</v>
      </c>
      <c r="D6285" t="s">
        <v>266</v>
      </c>
      <c r="E6285" t="s">
        <v>3620</v>
      </c>
      <c r="F6285" t="s">
        <v>117</v>
      </c>
      <c r="G6285" t="s">
        <v>3636</v>
      </c>
      <c r="H6285" s="9">
        <v>44733</v>
      </c>
      <c r="I6285" t="s">
        <v>758</v>
      </c>
      <c r="J6285" t="s">
        <v>2</v>
      </c>
      <c r="K6285" s="9">
        <v>44834</v>
      </c>
      <c r="L6285" t="s">
        <v>29</v>
      </c>
      <c r="M6285" t="s">
        <v>5331</v>
      </c>
      <c r="N6285" s="9">
        <v>44778</v>
      </c>
      <c r="O6285" s="9">
        <v>44834</v>
      </c>
      <c r="P6285"/>
      <c r="Q6285" s="9">
        <v>44874</v>
      </c>
      <c r="R6285"/>
      <c r="S6285"/>
      <c r="T6285"/>
      <c r="U6285"/>
    </row>
    <row r="6286" spans="1:21" hidden="1">
      <c r="A6286" s="7" t="s">
        <v>8933</v>
      </c>
      <c r="B6286" s="7" t="s">
        <v>8368</v>
      </c>
      <c r="C6286" s="8" t="s">
        <v>5319</v>
      </c>
      <c r="D6286" t="s">
        <v>266</v>
      </c>
      <c r="E6286" t="s">
        <v>3620</v>
      </c>
      <c r="F6286" t="s">
        <v>117</v>
      </c>
      <c r="G6286" t="s">
        <v>3637</v>
      </c>
      <c r="H6286" s="9">
        <v>44733</v>
      </c>
      <c r="I6286" t="s">
        <v>758</v>
      </c>
      <c r="J6286" t="s">
        <v>2</v>
      </c>
      <c r="K6286" s="9">
        <v>44834</v>
      </c>
      <c r="L6286" t="s">
        <v>29</v>
      </c>
      <c r="M6286" t="s">
        <v>5331</v>
      </c>
      <c r="N6286" s="9">
        <v>44778</v>
      </c>
      <c r="O6286" s="9">
        <v>44834</v>
      </c>
      <c r="P6286"/>
      <c r="Q6286" s="9">
        <v>44874</v>
      </c>
      <c r="R6286"/>
      <c r="S6286"/>
      <c r="T6286"/>
      <c r="U6286"/>
    </row>
    <row r="6287" spans="1:21" hidden="1">
      <c r="A6287" s="7" t="s">
        <v>8933</v>
      </c>
      <c r="B6287" s="7" t="s">
        <v>8368</v>
      </c>
      <c r="C6287" s="8" t="s">
        <v>5319</v>
      </c>
      <c r="D6287" t="s">
        <v>266</v>
      </c>
      <c r="E6287" t="s">
        <v>3620</v>
      </c>
      <c r="F6287" t="s">
        <v>117</v>
      </c>
      <c r="G6287" t="s">
        <v>3638</v>
      </c>
      <c r="H6287" s="9">
        <v>44733</v>
      </c>
      <c r="I6287" t="s">
        <v>758</v>
      </c>
      <c r="J6287" t="s">
        <v>2</v>
      </c>
      <c r="K6287" s="9">
        <v>44834</v>
      </c>
      <c r="L6287" t="s">
        <v>29</v>
      </c>
      <c r="M6287" t="s">
        <v>5331</v>
      </c>
      <c r="N6287" s="9">
        <v>44778</v>
      </c>
      <c r="O6287" s="9">
        <v>44834</v>
      </c>
      <c r="P6287"/>
      <c r="Q6287" s="9">
        <v>44874</v>
      </c>
      <c r="R6287"/>
      <c r="S6287"/>
      <c r="T6287"/>
      <c r="U6287"/>
    </row>
    <row r="6288" spans="1:21" hidden="1">
      <c r="A6288" s="7" t="s">
        <v>8933</v>
      </c>
      <c r="B6288" s="7" t="s">
        <v>8368</v>
      </c>
      <c r="C6288" s="8" t="s">
        <v>5319</v>
      </c>
      <c r="D6288" t="s">
        <v>266</v>
      </c>
      <c r="E6288" t="s">
        <v>3620</v>
      </c>
      <c r="F6288" t="s">
        <v>117</v>
      </c>
      <c r="G6288" t="s">
        <v>3639</v>
      </c>
      <c r="H6288" s="9">
        <v>44733</v>
      </c>
      <c r="I6288" t="s">
        <v>758</v>
      </c>
      <c r="J6288" t="s">
        <v>2</v>
      </c>
      <c r="K6288" s="9">
        <v>44834</v>
      </c>
      <c r="L6288" t="s">
        <v>29</v>
      </c>
      <c r="M6288" t="s">
        <v>5331</v>
      </c>
      <c r="N6288" s="9">
        <v>44778</v>
      </c>
      <c r="O6288" s="9">
        <v>44834</v>
      </c>
      <c r="P6288"/>
      <c r="Q6288" s="9">
        <v>44874</v>
      </c>
      <c r="R6288"/>
      <c r="S6288"/>
      <c r="T6288"/>
      <c r="U6288"/>
    </row>
    <row r="6289" spans="1:21" hidden="1">
      <c r="A6289" s="7" t="s">
        <v>8934</v>
      </c>
      <c r="B6289" s="7" t="s">
        <v>7267</v>
      </c>
      <c r="C6289" s="8" t="s">
        <v>5319</v>
      </c>
      <c r="D6289" t="s">
        <v>266</v>
      </c>
      <c r="E6289" t="s">
        <v>3640</v>
      </c>
      <c r="F6289" t="s">
        <v>117</v>
      </c>
      <c r="G6289" t="s">
        <v>3641</v>
      </c>
      <c r="H6289" s="9">
        <v>44733</v>
      </c>
      <c r="I6289" t="s">
        <v>903</v>
      </c>
      <c r="J6289" t="s">
        <v>0</v>
      </c>
      <c r="K6289" s="9">
        <v>44782</v>
      </c>
      <c r="L6289" t="s">
        <v>29</v>
      </c>
      <c r="M6289"/>
      <c r="N6289"/>
      <c r="O6289"/>
      <c r="P6289"/>
      <c r="Q6289" s="9">
        <v>44782</v>
      </c>
      <c r="R6289"/>
      <c r="S6289"/>
      <c r="T6289"/>
      <c r="U6289"/>
    </row>
    <row r="6290" spans="1:21" hidden="1">
      <c r="A6290" s="7" t="s">
        <v>8934</v>
      </c>
      <c r="B6290" s="7" t="s">
        <v>7267</v>
      </c>
      <c r="C6290" s="8" t="s">
        <v>5319</v>
      </c>
      <c r="D6290" t="s">
        <v>266</v>
      </c>
      <c r="E6290" t="s">
        <v>3640</v>
      </c>
      <c r="F6290" t="s">
        <v>117</v>
      </c>
      <c r="G6290" t="s">
        <v>3642</v>
      </c>
      <c r="H6290" s="9">
        <v>44733</v>
      </c>
      <c r="I6290" t="s">
        <v>903</v>
      </c>
      <c r="J6290" t="s">
        <v>0</v>
      </c>
      <c r="K6290" s="9">
        <v>44782</v>
      </c>
      <c r="L6290" t="s">
        <v>29</v>
      </c>
      <c r="M6290"/>
      <c r="N6290"/>
      <c r="O6290"/>
      <c r="P6290"/>
      <c r="Q6290" s="9">
        <v>44782</v>
      </c>
      <c r="R6290"/>
      <c r="S6290"/>
      <c r="T6290"/>
      <c r="U6290"/>
    </row>
    <row r="6291" spans="1:21" hidden="1">
      <c r="A6291" s="7" t="s">
        <v>8934</v>
      </c>
      <c r="B6291" s="7" t="s">
        <v>7267</v>
      </c>
      <c r="C6291" s="8" t="s">
        <v>5319</v>
      </c>
      <c r="D6291" t="s">
        <v>266</v>
      </c>
      <c r="E6291" t="s">
        <v>3640</v>
      </c>
      <c r="F6291" t="s">
        <v>117</v>
      </c>
      <c r="G6291" t="s">
        <v>3643</v>
      </c>
      <c r="H6291" s="9">
        <v>44733</v>
      </c>
      <c r="I6291" t="s">
        <v>903</v>
      </c>
      <c r="J6291" t="s">
        <v>0</v>
      </c>
      <c r="K6291" s="9">
        <v>44782</v>
      </c>
      <c r="L6291" t="s">
        <v>29</v>
      </c>
      <c r="M6291"/>
      <c r="N6291"/>
      <c r="O6291"/>
      <c r="P6291"/>
      <c r="Q6291" s="9">
        <v>44782</v>
      </c>
      <c r="R6291"/>
      <c r="S6291"/>
      <c r="T6291"/>
      <c r="U6291"/>
    </row>
    <row r="6292" spans="1:21" hidden="1">
      <c r="A6292" s="7" t="s">
        <v>8934</v>
      </c>
      <c r="B6292" s="7" t="s">
        <v>7267</v>
      </c>
      <c r="C6292" s="8" t="s">
        <v>5319</v>
      </c>
      <c r="D6292" t="s">
        <v>266</v>
      </c>
      <c r="E6292" t="s">
        <v>3640</v>
      </c>
      <c r="F6292" t="s">
        <v>117</v>
      </c>
      <c r="G6292" t="s">
        <v>3644</v>
      </c>
      <c r="H6292" s="9">
        <v>44733</v>
      </c>
      <c r="I6292" t="s">
        <v>903</v>
      </c>
      <c r="J6292" t="s">
        <v>0</v>
      </c>
      <c r="K6292" s="9">
        <v>44782</v>
      </c>
      <c r="L6292" t="s">
        <v>29</v>
      </c>
      <c r="M6292"/>
      <c r="N6292"/>
      <c r="O6292"/>
      <c r="P6292"/>
      <c r="Q6292" s="9">
        <v>44782</v>
      </c>
      <c r="R6292"/>
      <c r="S6292"/>
      <c r="T6292"/>
      <c r="U6292"/>
    </row>
    <row r="6293" spans="1:21" hidden="1">
      <c r="A6293" s="7" t="s">
        <v>8934</v>
      </c>
      <c r="B6293" s="7" t="s">
        <v>7267</v>
      </c>
      <c r="C6293" s="8" t="s">
        <v>5319</v>
      </c>
      <c r="D6293" t="s">
        <v>266</v>
      </c>
      <c r="E6293" t="s">
        <v>3640</v>
      </c>
      <c r="F6293" t="s">
        <v>117</v>
      </c>
      <c r="G6293" t="s">
        <v>3645</v>
      </c>
      <c r="H6293" s="9">
        <v>44733</v>
      </c>
      <c r="I6293" t="s">
        <v>903</v>
      </c>
      <c r="J6293" t="s">
        <v>0</v>
      </c>
      <c r="K6293" s="9">
        <v>44782</v>
      </c>
      <c r="L6293" t="s">
        <v>29</v>
      </c>
      <c r="M6293"/>
      <c r="N6293"/>
      <c r="O6293"/>
      <c r="P6293"/>
      <c r="Q6293" s="9">
        <v>44782</v>
      </c>
      <c r="R6293"/>
      <c r="S6293"/>
      <c r="T6293"/>
      <c r="U6293"/>
    </row>
    <row r="6294" spans="1:21" hidden="1">
      <c r="A6294" s="7" t="s">
        <v>8934</v>
      </c>
      <c r="B6294" s="7" t="s">
        <v>7267</v>
      </c>
      <c r="C6294" s="8" t="s">
        <v>5319</v>
      </c>
      <c r="D6294" t="s">
        <v>266</v>
      </c>
      <c r="E6294" t="s">
        <v>3640</v>
      </c>
      <c r="F6294" t="s">
        <v>117</v>
      </c>
      <c r="G6294" t="s">
        <v>3646</v>
      </c>
      <c r="H6294" s="9">
        <v>44733</v>
      </c>
      <c r="I6294" t="s">
        <v>903</v>
      </c>
      <c r="J6294" t="s">
        <v>0</v>
      </c>
      <c r="K6294" s="9">
        <v>44782</v>
      </c>
      <c r="L6294" t="s">
        <v>29</v>
      </c>
      <c r="M6294"/>
      <c r="N6294"/>
      <c r="O6294"/>
      <c r="P6294"/>
      <c r="Q6294" s="9">
        <v>44782</v>
      </c>
      <c r="R6294"/>
      <c r="S6294"/>
      <c r="T6294"/>
      <c r="U6294"/>
    </row>
    <row r="6295" spans="1:21" hidden="1">
      <c r="A6295" s="7" t="s">
        <v>8934</v>
      </c>
      <c r="B6295" s="7" t="s">
        <v>7267</v>
      </c>
      <c r="C6295" s="8" t="s">
        <v>5319</v>
      </c>
      <c r="D6295" t="s">
        <v>266</v>
      </c>
      <c r="E6295" t="s">
        <v>3640</v>
      </c>
      <c r="F6295" t="s">
        <v>117</v>
      </c>
      <c r="G6295" t="s">
        <v>3647</v>
      </c>
      <c r="H6295" s="9">
        <v>44733</v>
      </c>
      <c r="I6295" t="s">
        <v>903</v>
      </c>
      <c r="J6295" t="s">
        <v>0</v>
      </c>
      <c r="K6295" s="9">
        <v>44782</v>
      </c>
      <c r="L6295" t="s">
        <v>29</v>
      </c>
      <c r="M6295"/>
      <c r="N6295"/>
      <c r="O6295"/>
      <c r="P6295"/>
      <c r="Q6295" s="9">
        <v>44782</v>
      </c>
      <c r="R6295"/>
      <c r="S6295"/>
      <c r="T6295"/>
      <c r="U6295"/>
    </row>
    <row r="6296" spans="1:21" hidden="1">
      <c r="A6296" s="7" t="s">
        <v>8934</v>
      </c>
      <c r="B6296" s="7" t="s">
        <v>7267</v>
      </c>
      <c r="C6296" s="8" t="s">
        <v>5319</v>
      </c>
      <c r="D6296" t="s">
        <v>266</v>
      </c>
      <c r="E6296" t="s">
        <v>3640</v>
      </c>
      <c r="F6296" t="s">
        <v>117</v>
      </c>
      <c r="G6296" t="s">
        <v>3648</v>
      </c>
      <c r="H6296" s="9">
        <v>44733</v>
      </c>
      <c r="I6296" t="s">
        <v>903</v>
      </c>
      <c r="J6296" t="s">
        <v>0</v>
      </c>
      <c r="K6296" s="9">
        <v>44782</v>
      </c>
      <c r="L6296" t="s">
        <v>29</v>
      </c>
      <c r="M6296"/>
      <c r="N6296"/>
      <c r="O6296"/>
      <c r="P6296"/>
      <c r="Q6296" s="9">
        <v>44782</v>
      </c>
      <c r="R6296"/>
      <c r="S6296"/>
      <c r="T6296"/>
      <c r="U6296"/>
    </row>
    <row r="6297" spans="1:21" hidden="1">
      <c r="A6297" s="7" t="s">
        <v>8934</v>
      </c>
      <c r="B6297" s="7" t="s">
        <v>7267</v>
      </c>
      <c r="C6297" s="8" t="s">
        <v>5319</v>
      </c>
      <c r="D6297" t="s">
        <v>266</v>
      </c>
      <c r="E6297" t="s">
        <v>3640</v>
      </c>
      <c r="F6297" t="s">
        <v>117</v>
      </c>
      <c r="G6297" t="s">
        <v>3649</v>
      </c>
      <c r="H6297" s="9">
        <v>44733</v>
      </c>
      <c r="I6297" t="s">
        <v>903</v>
      </c>
      <c r="J6297" t="s">
        <v>0</v>
      </c>
      <c r="K6297" s="9">
        <v>44782</v>
      </c>
      <c r="L6297" t="s">
        <v>29</v>
      </c>
      <c r="M6297"/>
      <c r="N6297"/>
      <c r="O6297"/>
      <c r="P6297"/>
      <c r="Q6297" s="9">
        <v>44782</v>
      </c>
      <c r="R6297"/>
      <c r="S6297"/>
      <c r="T6297"/>
      <c r="U6297"/>
    </row>
    <row r="6298" spans="1:21" hidden="1">
      <c r="A6298" s="7" t="s">
        <v>8934</v>
      </c>
      <c r="B6298" s="7" t="s">
        <v>7267</v>
      </c>
      <c r="C6298" s="8" t="s">
        <v>5319</v>
      </c>
      <c r="D6298" t="s">
        <v>266</v>
      </c>
      <c r="E6298" t="s">
        <v>3640</v>
      </c>
      <c r="F6298" t="s">
        <v>117</v>
      </c>
      <c r="G6298" t="s">
        <v>3650</v>
      </c>
      <c r="H6298" s="9">
        <v>44733</v>
      </c>
      <c r="I6298" t="s">
        <v>903</v>
      </c>
      <c r="J6298" t="s">
        <v>0</v>
      </c>
      <c r="K6298" s="9">
        <v>44782</v>
      </c>
      <c r="L6298" t="s">
        <v>29</v>
      </c>
      <c r="M6298"/>
      <c r="N6298"/>
      <c r="O6298"/>
      <c r="P6298"/>
      <c r="Q6298" s="9">
        <v>44782</v>
      </c>
      <c r="R6298"/>
      <c r="S6298"/>
      <c r="T6298"/>
      <c r="U6298"/>
    </row>
    <row r="6299" spans="1:21" hidden="1">
      <c r="A6299" s="7" t="s">
        <v>8934</v>
      </c>
      <c r="B6299" s="7" t="s">
        <v>7267</v>
      </c>
      <c r="C6299" s="8" t="s">
        <v>5319</v>
      </c>
      <c r="D6299" t="s">
        <v>266</v>
      </c>
      <c r="E6299" t="s">
        <v>3640</v>
      </c>
      <c r="F6299" t="s">
        <v>117</v>
      </c>
      <c r="G6299" t="s">
        <v>3651</v>
      </c>
      <c r="H6299" s="9">
        <v>44733</v>
      </c>
      <c r="I6299" t="s">
        <v>903</v>
      </c>
      <c r="J6299" t="s">
        <v>0</v>
      </c>
      <c r="K6299" s="9">
        <v>44782</v>
      </c>
      <c r="L6299" t="s">
        <v>29</v>
      </c>
      <c r="M6299"/>
      <c r="N6299"/>
      <c r="O6299"/>
      <c r="P6299"/>
      <c r="Q6299" s="9">
        <v>44782</v>
      </c>
      <c r="R6299"/>
      <c r="S6299"/>
      <c r="T6299"/>
      <c r="U6299"/>
    </row>
    <row r="6300" spans="1:21" hidden="1">
      <c r="A6300" s="7" t="s">
        <v>8934</v>
      </c>
      <c r="B6300" s="7" t="s">
        <v>7267</v>
      </c>
      <c r="C6300" s="8" t="s">
        <v>5319</v>
      </c>
      <c r="D6300" t="s">
        <v>266</v>
      </c>
      <c r="E6300" t="s">
        <v>3640</v>
      </c>
      <c r="F6300" t="s">
        <v>117</v>
      </c>
      <c r="G6300" t="s">
        <v>3652</v>
      </c>
      <c r="H6300" s="9">
        <v>44733</v>
      </c>
      <c r="I6300" t="s">
        <v>903</v>
      </c>
      <c r="J6300" t="s">
        <v>0</v>
      </c>
      <c r="K6300" s="9">
        <v>44782</v>
      </c>
      <c r="L6300" t="s">
        <v>29</v>
      </c>
      <c r="M6300"/>
      <c r="N6300"/>
      <c r="O6300"/>
      <c r="P6300"/>
      <c r="Q6300" s="9">
        <v>44782</v>
      </c>
      <c r="R6300"/>
      <c r="S6300"/>
      <c r="T6300"/>
      <c r="U6300"/>
    </row>
    <row r="6301" spans="1:21" hidden="1">
      <c r="A6301" s="7" t="s">
        <v>8934</v>
      </c>
      <c r="B6301" s="7" t="s">
        <v>7267</v>
      </c>
      <c r="C6301" s="8" t="s">
        <v>5319</v>
      </c>
      <c r="D6301" t="s">
        <v>266</v>
      </c>
      <c r="E6301" t="s">
        <v>3640</v>
      </c>
      <c r="F6301" t="s">
        <v>117</v>
      </c>
      <c r="G6301" t="s">
        <v>3653</v>
      </c>
      <c r="H6301" s="9">
        <v>44733</v>
      </c>
      <c r="I6301" t="s">
        <v>903</v>
      </c>
      <c r="J6301" t="s">
        <v>2</v>
      </c>
      <c r="K6301" s="9">
        <v>44834</v>
      </c>
      <c r="L6301" t="s">
        <v>29</v>
      </c>
      <c r="M6301" t="s">
        <v>5331</v>
      </c>
      <c r="N6301" s="9">
        <v>44778</v>
      </c>
      <c r="O6301" s="9">
        <v>44834</v>
      </c>
      <c r="P6301"/>
      <c r="Q6301"/>
      <c r="R6301"/>
      <c r="S6301"/>
      <c r="T6301"/>
      <c r="U6301"/>
    </row>
    <row r="6302" spans="1:21" hidden="1">
      <c r="A6302" s="7" t="s">
        <v>8934</v>
      </c>
      <c r="B6302" s="7" t="s">
        <v>7267</v>
      </c>
      <c r="C6302" s="8" t="s">
        <v>5319</v>
      </c>
      <c r="D6302" t="s">
        <v>266</v>
      </c>
      <c r="E6302" t="s">
        <v>3640</v>
      </c>
      <c r="F6302" t="s">
        <v>117</v>
      </c>
      <c r="G6302" t="s">
        <v>3654</v>
      </c>
      <c r="H6302" s="9">
        <v>44733</v>
      </c>
      <c r="I6302" t="s">
        <v>903</v>
      </c>
      <c r="J6302" t="s">
        <v>2</v>
      </c>
      <c r="K6302" s="9">
        <v>44834</v>
      </c>
      <c r="L6302" t="s">
        <v>29</v>
      </c>
      <c r="M6302" t="s">
        <v>5331</v>
      </c>
      <c r="N6302" s="9">
        <v>44778</v>
      </c>
      <c r="O6302" s="9">
        <v>44834</v>
      </c>
      <c r="P6302"/>
      <c r="Q6302"/>
      <c r="R6302"/>
      <c r="S6302"/>
      <c r="T6302"/>
      <c r="U6302"/>
    </row>
    <row r="6303" spans="1:21" hidden="1">
      <c r="A6303" s="7" t="s">
        <v>8934</v>
      </c>
      <c r="B6303" s="7" t="s">
        <v>7267</v>
      </c>
      <c r="C6303" s="8" t="s">
        <v>5319</v>
      </c>
      <c r="D6303" t="s">
        <v>266</v>
      </c>
      <c r="E6303" t="s">
        <v>3640</v>
      </c>
      <c r="F6303" t="s">
        <v>117</v>
      </c>
      <c r="G6303" t="s">
        <v>3655</v>
      </c>
      <c r="H6303" s="9">
        <v>44733</v>
      </c>
      <c r="I6303" t="s">
        <v>903</v>
      </c>
      <c r="J6303" t="s">
        <v>2</v>
      </c>
      <c r="K6303" s="9">
        <v>44834</v>
      </c>
      <c r="L6303" t="s">
        <v>29</v>
      </c>
      <c r="M6303" t="s">
        <v>5331</v>
      </c>
      <c r="N6303" s="9">
        <v>44778</v>
      </c>
      <c r="O6303" s="9">
        <v>44834</v>
      </c>
      <c r="P6303"/>
      <c r="Q6303"/>
      <c r="R6303"/>
      <c r="S6303"/>
      <c r="T6303"/>
      <c r="U6303"/>
    </row>
    <row r="6304" spans="1:21" hidden="1">
      <c r="A6304" s="7" t="s">
        <v>8934</v>
      </c>
      <c r="B6304" s="7" t="s">
        <v>7267</v>
      </c>
      <c r="C6304" s="8" t="s">
        <v>5319</v>
      </c>
      <c r="D6304" t="s">
        <v>266</v>
      </c>
      <c r="E6304" t="s">
        <v>3640</v>
      </c>
      <c r="F6304" t="s">
        <v>117</v>
      </c>
      <c r="G6304" t="s">
        <v>3656</v>
      </c>
      <c r="H6304" s="9">
        <v>44733</v>
      </c>
      <c r="I6304" t="s">
        <v>903</v>
      </c>
      <c r="J6304" t="s">
        <v>2</v>
      </c>
      <c r="K6304" s="9">
        <v>44834</v>
      </c>
      <c r="L6304" t="s">
        <v>29</v>
      </c>
      <c r="M6304" t="s">
        <v>5331</v>
      </c>
      <c r="N6304" s="9">
        <v>44778</v>
      </c>
      <c r="O6304" s="9">
        <v>44834</v>
      </c>
      <c r="P6304"/>
      <c r="Q6304"/>
      <c r="R6304"/>
      <c r="S6304"/>
      <c r="T6304"/>
      <c r="U6304"/>
    </row>
    <row r="6305" spans="1:21" hidden="1">
      <c r="A6305" s="7" t="s">
        <v>8934</v>
      </c>
      <c r="B6305" s="7" t="s">
        <v>7267</v>
      </c>
      <c r="C6305" s="8" t="s">
        <v>5319</v>
      </c>
      <c r="D6305" t="s">
        <v>266</v>
      </c>
      <c r="E6305" t="s">
        <v>3640</v>
      </c>
      <c r="F6305" t="s">
        <v>117</v>
      </c>
      <c r="G6305" t="s">
        <v>3657</v>
      </c>
      <c r="H6305" s="9">
        <v>44733</v>
      </c>
      <c r="I6305" t="s">
        <v>903</v>
      </c>
      <c r="J6305" t="s">
        <v>0</v>
      </c>
      <c r="K6305" s="9">
        <v>44782</v>
      </c>
      <c r="L6305" t="s">
        <v>29</v>
      </c>
      <c r="M6305"/>
      <c r="N6305"/>
      <c r="O6305"/>
      <c r="P6305"/>
      <c r="Q6305" s="9">
        <v>44782</v>
      </c>
      <c r="R6305"/>
      <c r="S6305"/>
      <c r="T6305"/>
      <c r="U6305"/>
    </row>
    <row r="6306" spans="1:21" hidden="1">
      <c r="A6306" s="7" t="s">
        <v>8934</v>
      </c>
      <c r="B6306" s="7" t="s">
        <v>7267</v>
      </c>
      <c r="C6306" s="8" t="s">
        <v>5319</v>
      </c>
      <c r="D6306" t="s">
        <v>266</v>
      </c>
      <c r="E6306" t="s">
        <v>3640</v>
      </c>
      <c r="F6306" t="s">
        <v>117</v>
      </c>
      <c r="G6306" t="s">
        <v>3658</v>
      </c>
      <c r="H6306" s="9">
        <v>44733</v>
      </c>
      <c r="I6306" t="s">
        <v>903</v>
      </c>
      <c r="J6306" t="s">
        <v>0</v>
      </c>
      <c r="K6306" s="9">
        <v>44782</v>
      </c>
      <c r="L6306" t="s">
        <v>29</v>
      </c>
      <c r="M6306"/>
      <c r="N6306"/>
      <c r="O6306"/>
      <c r="P6306"/>
      <c r="Q6306" s="9">
        <v>44782</v>
      </c>
      <c r="R6306"/>
      <c r="S6306"/>
      <c r="T6306"/>
      <c r="U6306"/>
    </row>
    <row r="6307" spans="1:21" hidden="1">
      <c r="A6307" s="7" t="s">
        <v>8806</v>
      </c>
      <c r="B6307" s="7" t="s">
        <v>7593</v>
      </c>
      <c r="C6307" s="8" t="s">
        <v>5319</v>
      </c>
      <c r="D6307" t="s">
        <v>266</v>
      </c>
      <c r="E6307" t="s">
        <v>1034</v>
      </c>
      <c r="F6307" t="s">
        <v>117</v>
      </c>
      <c r="G6307" t="s">
        <v>1900</v>
      </c>
      <c r="H6307" s="9">
        <v>44733</v>
      </c>
      <c r="I6307" t="s">
        <v>984</v>
      </c>
      <c r="J6307" t="s">
        <v>2</v>
      </c>
      <c r="K6307" s="9">
        <v>44834</v>
      </c>
      <c r="L6307" t="s">
        <v>29</v>
      </c>
      <c r="M6307" t="s">
        <v>5331</v>
      </c>
      <c r="N6307" s="9">
        <v>44778</v>
      </c>
      <c r="O6307" s="9">
        <v>44834</v>
      </c>
      <c r="P6307"/>
      <c r="Q6307" s="9">
        <v>44872</v>
      </c>
      <c r="R6307"/>
      <c r="S6307"/>
      <c r="T6307"/>
      <c r="U6307"/>
    </row>
    <row r="6308" spans="1:21" hidden="1">
      <c r="A6308" s="7" t="s">
        <v>8805</v>
      </c>
      <c r="B6308" s="7" t="s">
        <v>6936</v>
      </c>
      <c r="C6308" s="8" t="s">
        <v>5319</v>
      </c>
      <c r="D6308" t="s">
        <v>266</v>
      </c>
      <c r="E6308" t="s">
        <v>1032</v>
      </c>
      <c r="F6308" t="s">
        <v>83</v>
      </c>
      <c r="G6308" t="s">
        <v>3659</v>
      </c>
      <c r="H6308" s="9">
        <v>44733</v>
      </c>
      <c r="I6308" t="s">
        <v>984</v>
      </c>
      <c r="J6308" t="s">
        <v>2</v>
      </c>
      <c r="K6308" s="9">
        <v>44834</v>
      </c>
      <c r="L6308" t="s">
        <v>29</v>
      </c>
      <c r="M6308" t="s">
        <v>5331</v>
      </c>
      <c r="N6308" s="9">
        <v>44778</v>
      </c>
      <c r="O6308" s="9">
        <v>44834</v>
      </c>
      <c r="P6308"/>
      <c r="Q6308"/>
      <c r="R6308"/>
      <c r="S6308"/>
      <c r="T6308"/>
      <c r="U6308"/>
    </row>
    <row r="6309" spans="1:21" hidden="1">
      <c r="A6309" s="7" t="s">
        <v>8806</v>
      </c>
      <c r="B6309" s="7" t="s">
        <v>7593</v>
      </c>
      <c r="C6309" s="8" t="s">
        <v>5319</v>
      </c>
      <c r="D6309" t="s">
        <v>266</v>
      </c>
      <c r="E6309" t="s">
        <v>1034</v>
      </c>
      <c r="F6309" t="s">
        <v>117</v>
      </c>
      <c r="G6309" t="s">
        <v>1898</v>
      </c>
      <c r="H6309" s="9">
        <v>44733</v>
      </c>
      <c r="I6309" t="s">
        <v>984</v>
      </c>
      <c r="J6309" t="s">
        <v>2</v>
      </c>
      <c r="K6309" s="9">
        <v>44834</v>
      </c>
      <c r="L6309" t="s">
        <v>29</v>
      </c>
      <c r="M6309" t="s">
        <v>5331</v>
      </c>
      <c r="N6309" s="9">
        <v>44778</v>
      </c>
      <c r="O6309" s="9">
        <v>44834</v>
      </c>
      <c r="P6309"/>
      <c r="Q6309" s="9">
        <v>44872</v>
      </c>
      <c r="R6309"/>
      <c r="S6309"/>
      <c r="T6309"/>
      <c r="U6309"/>
    </row>
    <row r="6310" spans="1:21" hidden="1">
      <c r="A6310" s="7" t="s">
        <v>8806</v>
      </c>
      <c r="B6310" s="7" t="s">
        <v>7593</v>
      </c>
      <c r="C6310" s="8" t="s">
        <v>5319</v>
      </c>
      <c r="D6310" t="s">
        <v>266</v>
      </c>
      <c r="E6310" t="s">
        <v>1034</v>
      </c>
      <c r="F6310" t="s">
        <v>117</v>
      </c>
      <c r="G6310" t="s">
        <v>1902</v>
      </c>
      <c r="H6310" s="9">
        <v>44733</v>
      </c>
      <c r="I6310" t="s">
        <v>984</v>
      </c>
      <c r="J6310" t="s">
        <v>2</v>
      </c>
      <c r="K6310" s="9">
        <v>44834</v>
      </c>
      <c r="L6310" t="s">
        <v>29</v>
      </c>
      <c r="M6310" t="s">
        <v>5331</v>
      </c>
      <c r="N6310" s="9">
        <v>44778</v>
      </c>
      <c r="O6310" s="9">
        <v>44834</v>
      </c>
      <c r="P6310"/>
      <c r="Q6310" s="9">
        <v>44872</v>
      </c>
      <c r="R6310"/>
      <c r="S6310"/>
      <c r="T6310"/>
      <c r="U6310"/>
    </row>
    <row r="6311" spans="1:21" hidden="1">
      <c r="A6311" s="7" t="s">
        <v>8806</v>
      </c>
      <c r="B6311" s="7" t="s">
        <v>7593</v>
      </c>
      <c r="C6311" s="8" t="s">
        <v>5319</v>
      </c>
      <c r="D6311" t="s">
        <v>266</v>
      </c>
      <c r="E6311" t="s">
        <v>1034</v>
      </c>
      <c r="F6311" t="s">
        <v>117</v>
      </c>
      <c r="G6311" t="s">
        <v>1899</v>
      </c>
      <c r="H6311" s="9">
        <v>44733</v>
      </c>
      <c r="I6311" t="s">
        <v>984</v>
      </c>
      <c r="J6311" t="s">
        <v>2</v>
      </c>
      <c r="K6311" s="9">
        <v>44834</v>
      </c>
      <c r="L6311" t="s">
        <v>29</v>
      </c>
      <c r="M6311" t="s">
        <v>5331</v>
      </c>
      <c r="N6311" s="9">
        <v>44778</v>
      </c>
      <c r="O6311" s="9">
        <v>44834</v>
      </c>
      <c r="P6311"/>
      <c r="Q6311" s="9">
        <v>44872</v>
      </c>
      <c r="R6311"/>
      <c r="S6311"/>
      <c r="T6311"/>
      <c r="U6311"/>
    </row>
    <row r="6312" spans="1:21" hidden="1">
      <c r="A6312" s="7" t="s">
        <v>8806</v>
      </c>
      <c r="B6312" s="7" t="s">
        <v>7593</v>
      </c>
      <c r="C6312" s="8" t="s">
        <v>5319</v>
      </c>
      <c r="D6312" t="s">
        <v>266</v>
      </c>
      <c r="E6312" t="s">
        <v>1034</v>
      </c>
      <c r="F6312" t="s">
        <v>117</v>
      </c>
      <c r="G6312" t="s">
        <v>1901</v>
      </c>
      <c r="H6312" s="9">
        <v>44733</v>
      </c>
      <c r="I6312" t="s">
        <v>984</v>
      </c>
      <c r="J6312" t="s">
        <v>2</v>
      </c>
      <c r="K6312" s="9">
        <v>44834</v>
      </c>
      <c r="L6312" t="s">
        <v>29</v>
      </c>
      <c r="M6312" t="s">
        <v>5331</v>
      </c>
      <c r="N6312" s="9">
        <v>44778</v>
      </c>
      <c r="O6312" s="9">
        <v>44834</v>
      </c>
      <c r="P6312"/>
      <c r="Q6312" s="9">
        <v>44872</v>
      </c>
      <c r="R6312"/>
      <c r="S6312"/>
      <c r="T6312"/>
      <c r="U6312"/>
    </row>
    <row r="6313" spans="1:21" hidden="1">
      <c r="A6313" s="7" t="s">
        <v>8806</v>
      </c>
      <c r="B6313" s="7" t="s">
        <v>7593</v>
      </c>
      <c r="C6313" s="8" t="s">
        <v>5319</v>
      </c>
      <c r="D6313" t="s">
        <v>266</v>
      </c>
      <c r="E6313" t="s">
        <v>1034</v>
      </c>
      <c r="F6313" t="s">
        <v>117</v>
      </c>
      <c r="G6313" t="s">
        <v>1905</v>
      </c>
      <c r="H6313" s="9">
        <v>44733</v>
      </c>
      <c r="I6313" t="s">
        <v>984</v>
      </c>
      <c r="J6313" t="s">
        <v>2</v>
      </c>
      <c r="K6313" s="9">
        <v>44834</v>
      </c>
      <c r="L6313" t="s">
        <v>29</v>
      </c>
      <c r="M6313" t="s">
        <v>5331</v>
      </c>
      <c r="N6313" s="9">
        <v>44778</v>
      </c>
      <c r="O6313" s="9">
        <v>44834</v>
      </c>
      <c r="P6313"/>
      <c r="Q6313" s="9">
        <v>44872</v>
      </c>
      <c r="R6313"/>
      <c r="S6313"/>
      <c r="T6313"/>
      <c r="U6313"/>
    </row>
    <row r="6314" spans="1:21" hidden="1">
      <c r="A6314" s="7" t="s">
        <v>8806</v>
      </c>
      <c r="B6314" s="7" t="s">
        <v>7593</v>
      </c>
      <c r="C6314" s="8" t="s">
        <v>5319</v>
      </c>
      <c r="D6314" t="s">
        <v>266</v>
      </c>
      <c r="E6314" t="s">
        <v>1034</v>
      </c>
      <c r="F6314" t="s">
        <v>117</v>
      </c>
      <c r="G6314" t="s">
        <v>3660</v>
      </c>
      <c r="H6314" s="9">
        <v>44733</v>
      </c>
      <c r="I6314" t="s">
        <v>984</v>
      </c>
      <c r="J6314" t="s">
        <v>2</v>
      </c>
      <c r="K6314" s="9">
        <v>44834</v>
      </c>
      <c r="L6314" t="s">
        <v>29</v>
      </c>
      <c r="M6314" t="s">
        <v>5331</v>
      </c>
      <c r="N6314" s="9">
        <v>44778</v>
      </c>
      <c r="O6314" s="9">
        <v>44834</v>
      </c>
      <c r="P6314"/>
      <c r="Q6314"/>
      <c r="R6314"/>
      <c r="S6314"/>
      <c r="T6314"/>
      <c r="U6314"/>
    </row>
    <row r="6315" spans="1:21" hidden="1">
      <c r="A6315" s="7" t="s">
        <v>8934</v>
      </c>
      <c r="B6315" s="7" t="s">
        <v>7267</v>
      </c>
      <c r="C6315" s="8" t="s">
        <v>5319</v>
      </c>
      <c r="D6315" t="s">
        <v>266</v>
      </c>
      <c r="E6315" t="s">
        <v>3640</v>
      </c>
      <c r="F6315" t="s">
        <v>117</v>
      </c>
      <c r="G6315" t="s">
        <v>3661</v>
      </c>
      <c r="H6315" s="9">
        <v>44733</v>
      </c>
      <c r="I6315" t="s">
        <v>903</v>
      </c>
      <c r="J6315" t="s">
        <v>0</v>
      </c>
      <c r="K6315" s="9">
        <v>44782</v>
      </c>
      <c r="L6315" t="s">
        <v>29</v>
      </c>
      <c r="M6315"/>
      <c r="N6315"/>
      <c r="O6315"/>
      <c r="P6315"/>
      <c r="Q6315" s="9">
        <v>44782</v>
      </c>
      <c r="R6315"/>
      <c r="S6315"/>
      <c r="T6315"/>
      <c r="U6315"/>
    </row>
    <row r="6316" spans="1:21" hidden="1">
      <c r="A6316" s="7" t="s">
        <v>8934</v>
      </c>
      <c r="B6316" s="7" t="s">
        <v>7267</v>
      </c>
      <c r="C6316" s="8" t="s">
        <v>5319</v>
      </c>
      <c r="D6316" t="s">
        <v>266</v>
      </c>
      <c r="E6316" t="s">
        <v>3640</v>
      </c>
      <c r="F6316" t="s">
        <v>117</v>
      </c>
      <c r="G6316" t="s">
        <v>3662</v>
      </c>
      <c r="H6316" s="9">
        <v>44733</v>
      </c>
      <c r="I6316" t="s">
        <v>903</v>
      </c>
      <c r="J6316" t="s">
        <v>0</v>
      </c>
      <c r="K6316" s="9">
        <v>44782</v>
      </c>
      <c r="L6316" t="s">
        <v>29</v>
      </c>
      <c r="M6316"/>
      <c r="N6316"/>
      <c r="O6316"/>
      <c r="P6316"/>
      <c r="Q6316" s="9">
        <v>44782</v>
      </c>
      <c r="R6316"/>
      <c r="S6316"/>
      <c r="T6316"/>
      <c r="U6316"/>
    </row>
    <row r="6317" spans="1:21" hidden="1">
      <c r="A6317" s="7" t="s">
        <v>8934</v>
      </c>
      <c r="B6317" s="7" t="s">
        <v>7267</v>
      </c>
      <c r="C6317" s="8" t="s">
        <v>5319</v>
      </c>
      <c r="D6317" t="s">
        <v>266</v>
      </c>
      <c r="E6317" t="s">
        <v>3640</v>
      </c>
      <c r="F6317" t="s">
        <v>117</v>
      </c>
      <c r="G6317" t="s">
        <v>3663</v>
      </c>
      <c r="H6317" s="9">
        <v>44733</v>
      </c>
      <c r="I6317" t="s">
        <v>903</v>
      </c>
      <c r="J6317" t="s">
        <v>0</v>
      </c>
      <c r="K6317" s="9">
        <v>44782</v>
      </c>
      <c r="L6317" t="s">
        <v>29</v>
      </c>
      <c r="M6317"/>
      <c r="N6317"/>
      <c r="O6317"/>
      <c r="P6317"/>
      <c r="Q6317" s="9">
        <v>44782</v>
      </c>
      <c r="R6317"/>
      <c r="S6317"/>
      <c r="T6317"/>
      <c r="U6317"/>
    </row>
    <row r="6318" spans="1:21" hidden="1">
      <c r="A6318" s="7" t="s">
        <v>8934</v>
      </c>
      <c r="B6318" s="7" t="s">
        <v>7267</v>
      </c>
      <c r="C6318" s="8" t="s">
        <v>5319</v>
      </c>
      <c r="D6318" t="s">
        <v>266</v>
      </c>
      <c r="E6318" t="s">
        <v>3640</v>
      </c>
      <c r="F6318" t="s">
        <v>117</v>
      </c>
      <c r="G6318" t="s">
        <v>3664</v>
      </c>
      <c r="H6318" s="9">
        <v>44733</v>
      </c>
      <c r="I6318" t="s">
        <v>903</v>
      </c>
      <c r="J6318" t="s">
        <v>0</v>
      </c>
      <c r="K6318" s="9">
        <v>44782</v>
      </c>
      <c r="L6318" t="s">
        <v>29</v>
      </c>
      <c r="M6318"/>
      <c r="N6318"/>
      <c r="O6318"/>
      <c r="P6318"/>
      <c r="Q6318" s="9">
        <v>44782</v>
      </c>
      <c r="R6318"/>
      <c r="S6318"/>
      <c r="T6318"/>
      <c r="U6318"/>
    </row>
    <row r="6319" spans="1:21" hidden="1">
      <c r="A6319" s="7" t="s">
        <v>8934</v>
      </c>
      <c r="B6319" s="7" t="s">
        <v>7267</v>
      </c>
      <c r="C6319" s="8" t="s">
        <v>5319</v>
      </c>
      <c r="D6319" t="s">
        <v>266</v>
      </c>
      <c r="E6319" t="s">
        <v>3640</v>
      </c>
      <c r="F6319" t="s">
        <v>117</v>
      </c>
      <c r="G6319" t="s">
        <v>3665</v>
      </c>
      <c r="H6319" s="9">
        <v>44733</v>
      </c>
      <c r="I6319" t="s">
        <v>903</v>
      </c>
      <c r="J6319" t="s">
        <v>0</v>
      </c>
      <c r="K6319" s="9">
        <v>44782</v>
      </c>
      <c r="L6319" t="s">
        <v>29</v>
      </c>
      <c r="M6319"/>
      <c r="N6319"/>
      <c r="O6319"/>
      <c r="P6319"/>
      <c r="Q6319" s="9">
        <v>44782</v>
      </c>
      <c r="R6319"/>
      <c r="S6319"/>
      <c r="T6319"/>
      <c r="U6319"/>
    </row>
    <row r="6320" spans="1:21" hidden="1">
      <c r="A6320" s="7" t="s">
        <v>8934</v>
      </c>
      <c r="B6320" s="7" t="s">
        <v>7267</v>
      </c>
      <c r="C6320" s="8" t="s">
        <v>5319</v>
      </c>
      <c r="D6320" t="s">
        <v>266</v>
      </c>
      <c r="E6320" t="s">
        <v>3640</v>
      </c>
      <c r="F6320" t="s">
        <v>117</v>
      </c>
      <c r="G6320" t="s">
        <v>3666</v>
      </c>
      <c r="H6320" s="9">
        <v>44733</v>
      </c>
      <c r="I6320" t="s">
        <v>903</v>
      </c>
      <c r="J6320" t="s">
        <v>0</v>
      </c>
      <c r="K6320" s="9">
        <v>44782</v>
      </c>
      <c r="L6320" t="s">
        <v>29</v>
      </c>
      <c r="M6320"/>
      <c r="N6320"/>
      <c r="O6320"/>
      <c r="P6320"/>
      <c r="Q6320" s="9">
        <v>44782</v>
      </c>
      <c r="R6320"/>
      <c r="S6320"/>
      <c r="T6320"/>
      <c r="U6320"/>
    </row>
    <row r="6321" spans="1:21" hidden="1">
      <c r="A6321" s="7" t="s">
        <v>8934</v>
      </c>
      <c r="B6321" s="7" t="s">
        <v>7267</v>
      </c>
      <c r="C6321" s="8" t="s">
        <v>5319</v>
      </c>
      <c r="D6321" t="s">
        <v>266</v>
      </c>
      <c r="E6321" t="s">
        <v>3640</v>
      </c>
      <c r="F6321" t="s">
        <v>117</v>
      </c>
      <c r="G6321" t="s">
        <v>3667</v>
      </c>
      <c r="H6321" s="9">
        <v>44733</v>
      </c>
      <c r="I6321" t="s">
        <v>903</v>
      </c>
      <c r="J6321" t="s">
        <v>0</v>
      </c>
      <c r="K6321" s="9">
        <v>44782</v>
      </c>
      <c r="L6321" t="s">
        <v>29</v>
      </c>
      <c r="M6321"/>
      <c r="N6321"/>
      <c r="O6321"/>
      <c r="P6321"/>
      <c r="Q6321" s="9">
        <v>44782</v>
      </c>
      <c r="R6321"/>
      <c r="S6321"/>
      <c r="T6321"/>
      <c r="U6321"/>
    </row>
    <row r="6322" spans="1:21" hidden="1">
      <c r="A6322" s="7" t="s">
        <v>8934</v>
      </c>
      <c r="B6322" s="7" t="s">
        <v>7267</v>
      </c>
      <c r="C6322" s="8" t="s">
        <v>5319</v>
      </c>
      <c r="D6322" t="s">
        <v>266</v>
      </c>
      <c r="E6322" t="s">
        <v>3640</v>
      </c>
      <c r="F6322" t="s">
        <v>117</v>
      </c>
      <c r="G6322" t="s">
        <v>3668</v>
      </c>
      <c r="H6322" s="9">
        <v>44733</v>
      </c>
      <c r="I6322" t="s">
        <v>903</v>
      </c>
      <c r="J6322" t="s">
        <v>0</v>
      </c>
      <c r="K6322" s="9">
        <v>44782</v>
      </c>
      <c r="L6322" t="s">
        <v>29</v>
      </c>
      <c r="M6322"/>
      <c r="N6322"/>
      <c r="O6322"/>
      <c r="P6322"/>
      <c r="Q6322" s="9">
        <v>44782</v>
      </c>
      <c r="R6322"/>
      <c r="S6322"/>
      <c r="T6322"/>
      <c r="U6322"/>
    </row>
    <row r="6323" spans="1:21" hidden="1">
      <c r="A6323" s="7" t="s">
        <v>8934</v>
      </c>
      <c r="B6323" s="7" t="s">
        <v>7267</v>
      </c>
      <c r="C6323" s="8" t="s">
        <v>5319</v>
      </c>
      <c r="D6323" t="s">
        <v>266</v>
      </c>
      <c r="E6323" t="s">
        <v>3640</v>
      </c>
      <c r="F6323" t="s">
        <v>117</v>
      </c>
      <c r="G6323" t="s">
        <v>3669</v>
      </c>
      <c r="H6323" s="9">
        <v>44733</v>
      </c>
      <c r="I6323" t="s">
        <v>903</v>
      </c>
      <c r="J6323" t="s">
        <v>0</v>
      </c>
      <c r="K6323" s="9">
        <v>44782</v>
      </c>
      <c r="L6323" t="s">
        <v>29</v>
      </c>
      <c r="M6323"/>
      <c r="N6323"/>
      <c r="O6323"/>
      <c r="P6323"/>
      <c r="Q6323" s="9">
        <v>44782</v>
      </c>
      <c r="R6323"/>
      <c r="S6323"/>
      <c r="T6323"/>
      <c r="U6323"/>
    </row>
    <row r="6324" spans="1:21" hidden="1">
      <c r="A6324" s="7" t="s">
        <v>8934</v>
      </c>
      <c r="B6324" s="7" t="s">
        <v>7267</v>
      </c>
      <c r="C6324" s="8" t="s">
        <v>5319</v>
      </c>
      <c r="D6324" t="s">
        <v>266</v>
      </c>
      <c r="E6324" t="s">
        <v>3640</v>
      </c>
      <c r="F6324" t="s">
        <v>117</v>
      </c>
      <c r="G6324" t="s">
        <v>3670</v>
      </c>
      <c r="H6324" s="9">
        <v>44733</v>
      </c>
      <c r="I6324" t="s">
        <v>903</v>
      </c>
      <c r="J6324" t="s">
        <v>0</v>
      </c>
      <c r="K6324" s="9">
        <v>44782</v>
      </c>
      <c r="L6324" t="s">
        <v>29</v>
      </c>
      <c r="M6324"/>
      <c r="N6324"/>
      <c r="O6324"/>
      <c r="P6324"/>
      <c r="Q6324" s="9">
        <v>44782</v>
      </c>
      <c r="R6324"/>
      <c r="S6324"/>
      <c r="T6324"/>
      <c r="U6324"/>
    </row>
    <row r="6325" spans="1:21" hidden="1">
      <c r="A6325" s="7" t="s">
        <v>8934</v>
      </c>
      <c r="B6325" s="7" t="s">
        <v>7267</v>
      </c>
      <c r="C6325" s="8" t="s">
        <v>5319</v>
      </c>
      <c r="D6325" t="s">
        <v>266</v>
      </c>
      <c r="E6325" t="s">
        <v>3640</v>
      </c>
      <c r="F6325" t="s">
        <v>117</v>
      </c>
      <c r="G6325" t="s">
        <v>3671</v>
      </c>
      <c r="H6325" s="9">
        <v>44733</v>
      </c>
      <c r="I6325" t="s">
        <v>903</v>
      </c>
      <c r="J6325" t="s">
        <v>0</v>
      </c>
      <c r="K6325" s="9">
        <v>44782</v>
      </c>
      <c r="L6325" t="s">
        <v>29</v>
      </c>
      <c r="M6325"/>
      <c r="N6325"/>
      <c r="O6325"/>
      <c r="P6325"/>
      <c r="Q6325" s="9">
        <v>44782</v>
      </c>
      <c r="R6325"/>
      <c r="S6325"/>
      <c r="T6325"/>
      <c r="U6325"/>
    </row>
    <row r="6326" spans="1:21" hidden="1">
      <c r="A6326" s="7" t="s">
        <v>8934</v>
      </c>
      <c r="B6326" s="7" t="s">
        <v>7267</v>
      </c>
      <c r="C6326" s="8" t="s">
        <v>5319</v>
      </c>
      <c r="D6326" t="s">
        <v>266</v>
      </c>
      <c r="E6326" t="s">
        <v>3640</v>
      </c>
      <c r="F6326" t="s">
        <v>117</v>
      </c>
      <c r="G6326" t="s">
        <v>3672</v>
      </c>
      <c r="H6326" s="9">
        <v>44733</v>
      </c>
      <c r="I6326" t="s">
        <v>903</v>
      </c>
      <c r="J6326" t="s">
        <v>0</v>
      </c>
      <c r="K6326" s="9">
        <v>44782</v>
      </c>
      <c r="L6326" t="s">
        <v>29</v>
      </c>
      <c r="M6326"/>
      <c r="N6326"/>
      <c r="O6326"/>
      <c r="P6326"/>
      <c r="Q6326" s="9">
        <v>44782</v>
      </c>
      <c r="R6326"/>
      <c r="S6326"/>
      <c r="T6326"/>
      <c r="U6326"/>
    </row>
    <row r="6327" spans="1:21" hidden="1">
      <c r="A6327" s="7" t="s">
        <v>8934</v>
      </c>
      <c r="B6327" s="7" t="s">
        <v>7267</v>
      </c>
      <c r="C6327" s="8" t="s">
        <v>5319</v>
      </c>
      <c r="D6327" t="s">
        <v>266</v>
      </c>
      <c r="E6327" t="s">
        <v>3640</v>
      </c>
      <c r="F6327" t="s">
        <v>117</v>
      </c>
      <c r="G6327" t="s">
        <v>3673</v>
      </c>
      <c r="H6327" s="9">
        <v>44733</v>
      </c>
      <c r="I6327" t="s">
        <v>903</v>
      </c>
      <c r="J6327" t="s">
        <v>0</v>
      </c>
      <c r="K6327" s="9">
        <v>44782</v>
      </c>
      <c r="L6327" t="s">
        <v>29</v>
      </c>
      <c r="M6327"/>
      <c r="N6327"/>
      <c r="O6327"/>
      <c r="P6327"/>
      <c r="Q6327" s="9">
        <v>44782</v>
      </c>
      <c r="R6327"/>
      <c r="S6327"/>
      <c r="T6327"/>
      <c r="U6327"/>
    </row>
    <row r="6328" spans="1:21" hidden="1">
      <c r="A6328" s="7" t="s">
        <v>8934</v>
      </c>
      <c r="B6328" s="7" t="s">
        <v>7267</v>
      </c>
      <c r="C6328" s="8" t="s">
        <v>5319</v>
      </c>
      <c r="D6328" t="s">
        <v>266</v>
      </c>
      <c r="E6328" t="s">
        <v>3640</v>
      </c>
      <c r="F6328" t="s">
        <v>117</v>
      </c>
      <c r="G6328" t="s">
        <v>3674</v>
      </c>
      <c r="H6328" s="9">
        <v>44733</v>
      </c>
      <c r="I6328" t="s">
        <v>903</v>
      </c>
      <c r="J6328" t="s">
        <v>0</v>
      </c>
      <c r="K6328" s="9">
        <v>44782</v>
      </c>
      <c r="L6328" t="s">
        <v>29</v>
      </c>
      <c r="M6328"/>
      <c r="N6328"/>
      <c r="O6328"/>
      <c r="P6328"/>
      <c r="Q6328" s="9">
        <v>44782</v>
      </c>
      <c r="R6328"/>
      <c r="S6328"/>
      <c r="T6328"/>
      <c r="U6328"/>
    </row>
    <row r="6329" spans="1:21" hidden="1">
      <c r="A6329" s="7" t="s">
        <v>8934</v>
      </c>
      <c r="B6329" s="7" t="s">
        <v>7267</v>
      </c>
      <c r="C6329" s="8" t="s">
        <v>5319</v>
      </c>
      <c r="D6329" t="s">
        <v>266</v>
      </c>
      <c r="E6329" t="s">
        <v>3640</v>
      </c>
      <c r="F6329" t="s">
        <v>117</v>
      </c>
      <c r="G6329" t="s">
        <v>3675</v>
      </c>
      <c r="H6329" s="9">
        <v>44733</v>
      </c>
      <c r="I6329" t="s">
        <v>903</v>
      </c>
      <c r="J6329" t="s">
        <v>0</v>
      </c>
      <c r="K6329" s="9">
        <v>44782</v>
      </c>
      <c r="L6329" t="s">
        <v>29</v>
      </c>
      <c r="M6329"/>
      <c r="N6329"/>
      <c r="O6329"/>
      <c r="P6329"/>
      <c r="Q6329" s="9">
        <v>44782</v>
      </c>
      <c r="R6329"/>
      <c r="S6329"/>
      <c r="T6329"/>
      <c r="U6329"/>
    </row>
    <row r="6330" spans="1:21" hidden="1">
      <c r="A6330" s="7" t="s">
        <v>8934</v>
      </c>
      <c r="B6330" s="7" t="s">
        <v>7267</v>
      </c>
      <c r="C6330" s="8" t="s">
        <v>5319</v>
      </c>
      <c r="D6330" t="s">
        <v>266</v>
      </c>
      <c r="E6330" t="s">
        <v>3640</v>
      </c>
      <c r="F6330" t="s">
        <v>117</v>
      </c>
      <c r="G6330" t="s">
        <v>3676</v>
      </c>
      <c r="H6330" s="9">
        <v>44733</v>
      </c>
      <c r="I6330" t="s">
        <v>903</v>
      </c>
      <c r="J6330" t="s">
        <v>0</v>
      </c>
      <c r="K6330" s="9">
        <v>44782</v>
      </c>
      <c r="L6330" t="s">
        <v>29</v>
      </c>
      <c r="M6330"/>
      <c r="N6330"/>
      <c r="O6330"/>
      <c r="P6330"/>
      <c r="Q6330" s="9">
        <v>44782</v>
      </c>
      <c r="R6330"/>
      <c r="S6330"/>
      <c r="T6330"/>
      <c r="U6330"/>
    </row>
    <row r="6331" spans="1:21" hidden="1">
      <c r="A6331" s="7" t="s">
        <v>8934</v>
      </c>
      <c r="B6331" s="7" t="s">
        <v>7267</v>
      </c>
      <c r="C6331" s="8" t="s">
        <v>5319</v>
      </c>
      <c r="D6331" t="s">
        <v>266</v>
      </c>
      <c r="E6331" t="s">
        <v>3640</v>
      </c>
      <c r="F6331" t="s">
        <v>117</v>
      </c>
      <c r="G6331" t="s">
        <v>3677</v>
      </c>
      <c r="H6331" s="9">
        <v>44733</v>
      </c>
      <c r="I6331" t="s">
        <v>903</v>
      </c>
      <c r="J6331" t="s">
        <v>0</v>
      </c>
      <c r="K6331" s="9">
        <v>44782</v>
      </c>
      <c r="L6331" t="s">
        <v>29</v>
      </c>
      <c r="M6331"/>
      <c r="N6331"/>
      <c r="O6331"/>
      <c r="P6331"/>
      <c r="Q6331" s="9">
        <v>44782</v>
      </c>
      <c r="R6331"/>
      <c r="S6331"/>
      <c r="T6331"/>
      <c r="U6331"/>
    </row>
    <row r="6332" spans="1:21" hidden="1">
      <c r="A6332" s="7" t="s">
        <v>8934</v>
      </c>
      <c r="B6332" s="7" t="s">
        <v>7267</v>
      </c>
      <c r="C6332" s="8" t="s">
        <v>5319</v>
      </c>
      <c r="D6332" t="s">
        <v>266</v>
      </c>
      <c r="E6332" t="s">
        <v>3640</v>
      </c>
      <c r="F6332" t="s">
        <v>117</v>
      </c>
      <c r="G6332" t="s">
        <v>3678</v>
      </c>
      <c r="H6332" s="9">
        <v>44733</v>
      </c>
      <c r="I6332" t="s">
        <v>903</v>
      </c>
      <c r="J6332" t="s">
        <v>0</v>
      </c>
      <c r="K6332" s="9">
        <v>44782</v>
      </c>
      <c r="L6332" t="s">
        <v>29</v>
      </c>
      <c r="M6332"/>
      <c r="N6332"/>
      <c r="O6332"/>
      <c r="P6332"/>
      <c r="Q6332" s="9">
        <v>44782</v>
      </c>
      <c r="R6332"/>
      <c r="S6332"/>
      <c r="T6332"/>
      <c r="U6332"/>
    </row>
    <row r="6333" spans="1:21" hidden="1">
      <c r="A6333" s="7" t="s">
        <v>8934</v>
      </c>
      <c r="B6333" s="7" t="s">
        <v>7267</v>
      </c>
      <c r="C6333" s="8" t="s">
        <v>5319</v>
      </c>
      <c r="D6333" t="s">
        <v>266</v>
      </c>
      <c r="E6333" t="s">
        <v>3640</v>
      </c>
      <c r="F6333" t="s">
        <v>117</v>
      </c>
      <c r="G6333" t="s">
        <v>3679</v>
      </c>
      <c r="H6333" s="9">
        <v>44733</v>
      </c>
      <c r="I6333" t="s">
        <v>903</v>
      </c>
      <c r="J6333" t="s">
        <v>0</v>
      </c>
      <c r="K6333" s="9">
        <v>44782</v>
      </c>
      <c r="L6333" t="s">
        <v>29</v>
      </c>
      <c r="M6333"/>
      <c r="N6333"/>
      <c r="O6333"/>
      <c r="P6333"/>
      <c r="Q6333" s="9">
        <v>44782</v>
      </c>
      <c r="R6333"/>
      <c r="S6333"/>
      <c r="T6333"/>
      <c r="U6333"/>
    </row>
    <row r="6334" spans="1:21" hidden="1">
      <c r="A6334" s="7" t="s">
        <v>8934</v>
      </c>
      <c r="B6334" s="7" t="s">
        <v>7267</v>
      </c>
      <c r="C6334" s="8" t="s">
        <v>5319</v>
      </c>
      <c r="D6334" t="s">
        <v>266</v>
      </c>
      <c r="E6334" t="s">
        <v>3640</v>
      </c>
      <c r="F6334" t="s">
        <v>117</v>
      </c>
      <c r="G6334" t="s">
        <v>3680</v>
      </c>
      <c r="H6334" s="9">
        <v>44733</v>
      </c>
      <c r="I6334" t="s">
        <v>903</v>
      </c>
      <c r="J6334" t="s">
        <v>0</v>
      </c>
      <c r="K6334" s="9">
        <v>44782</v>
      </c>
      <c r="L6334" t="s">
        <v>29</v>
      </c>
      <c r="M6334"/>
      <c r="N6334"/>
      <c r="O6334"/>
      <c r="P6334"/>
      <c r="Q6334" s="9">
        <v>44782</v>
      </c>
      <c r="R6334"/>
      <c r="S6334"/>
      <c r="T6334"/>
      <c r="U6334"/>
    </row>
    <row r="6335" spans="1:21" hidden="1">
      <c r="A6335" s="7" t="s">
        <v>8934</v>
      </c>
      <c r="B6335" s="7" t="s">
        <v>7267</v>
      </c>
      <c r="C6335" s="8" t="s">
        <v>5319</v>
      </c>
      <c r="D6335" t="s">
        <v>266</v>
      </c>
      <c r="E6335" t="s">
        <v>3640</v>
      </c>
      <c r="F6335" t="s">
        <v>117</v>
      </c>
      <c r="G6335" t="s">
        <v>3681</v>
      </c>
      <c r="H6335" s="9">
        <v>44733</v>
      </c>
      <c r="I6335" t="s">
        <v>903</v>
      </c>
      <c r="J6335" t="s">
        <v>0</v>
      </c>
      <c r="K6335" s="9">
        <v>44782</v>
      </c>
      <c r="L6335" t="s">
        <v>29</v>
      </c>
      <c r="M6335"/>
      <c r="N6335"/>
      <c r="O6335"/>
      <c r="P6335"/>
      <c r="Q6335" s="9">
        <v>44782</v>
      </c>
      <c r="R6335"/>
      <c r="S6335"/>
      <c r="T6335"/>
      <c r="U6335"/>
    </row>
    <row r="6336" spans="1:21" hidden="1">
      <c r="A6336" s="7" t="s">
        <v>8934</v>
      </c>
      <c r="B6336" s="7" t="s">
        <v>7267</v>
      </c>
      <c r="C6336" s="8" t="s">
        <v>5319</v>
      </c>
      <c r="D6336" t="s">
        <v>266</v>
      </c>
      <c r="E6336" t="s">
        <v>3640</v>
      </c>
      <c r="F6336" t="s">
        <v>117</v>
      </c>
      <c r="G6336" t="s">
        <v>3682</v>
      </c>
      <c r="H6336" s="9">
        <v>44733</v>
      </c>
      <c r="I6336" t="s">
        <v>903</v>
      </c>
      <c r="J6336" t="s">
        <v>0</v>
      </c>
      <c r="K6336" s="9">
        <v>44782</v>
      </c>
      <c r="L6336" t="s">
        <v>29</v>
      </c>
      <c r="M6336"/>
      <c r="N6336"/>
      <c r="O6336"/>
      <c r="P6336"/>
      <c r="Q6336" s="9">
        <v>44782</v>
      </c>
      <c r="R6336"/>
      <c r="S6336"/>
      <c r="T6336"/>
      <c r="U6336"/>
    </row>
    <row r="6337" spans="1:21" hidden="1">
      <c r="A6337" s="7" t="s">
        <v>8934</v>
      </c>
      <c r="B6337" s="7" t="s">
        <v>7267</v>
      </c>
      <c r="C6337" s="8" t="s">
        <v>5319</v>
      </c>
      <c r="D6337" t="s">
        <v>266</v>
      </c>
      <c r="E6337" t="s">
        <v>3640</v>
      </c>
      <c r="F6337" t="s">
        <v>117</v>
      </c>
      <c r="G6337" t="s">
        <v>3683</v>
      </c>
      <c r="H6337" s="9">
        <v>44733</v>
      </c>
      <c r="I6337" t="s">
        <v>903</v>
      </c>
      <c r="J6337" t="s">
        <v>0</v>
      </c>
      <c r="K6337" s="9">
        <v>44782</v>
      </c>
      <c r="L6337" t="s">
        <v>29</v>
      </c>
      <c r="M6337"/>
      <c r="N6337"/>
      <c r="O6337"/>
      <c r="P6337"/>
      <c r="Q6337" s="9">
        <v>44782</v>
      </c>
      <c r="R6337"/>
      <c r="S6337"/>
      <c r="T6337"/>
      <c r="U6337"/>
    </row>
    <row r="6338" spans="1:21" hidden="1">
      <c r="A6338" s="7" t="s">
        <v>8934</v>
      </c>
      <c r="B6338" s="7" t="s">
        <v>7267</v>
      </c>
      <c r="C6338" s="8" t="s">
        <v>5319</v>
      </c>
      <c r="D6338" t="s">
        <v>266</v>
      </c>
      <c r="E6338" t="s">
        <v>3640</v>
      </c>
      <c r="F6338" t="s">
        <v>117</v>
      </c>
      <c r="G6338" t="s">
        <v>3684</v>
      </c>
      <c r="H6338" s="9">
        <v>44733</v>
      </c>
      <c r="I6338" t="s">
        <v>903</v>
      </c>
      <c r="J6338" t="s">
        <v>0</v>
      </c>
      <c r="K6338" s="9">
        <v>44782</v>
      </c>
      <c r="L6338" t="s">
        <v>29</v>
      </c>
      <c r="M6338"/>
      <c r="N6338"/>
      <c r="O6338"/>
      <c r="P6338"/>
      <c r="Q6338" s="9">
        <v>44782</v>
      </c>
      <c r="R6338"/>
      <c r="S6338"/>
      <c r="T6338"/>
      <c r="U6338"/>
    </row>
    <row r="6339" spans="1:21" hidden="1">
      <c r="A6339" s="7" t="s">
        <v>8934</v>
      </c>
      <c r="B6339" s="7" t="s">
        <v>7267</v>
      </c>
      <c r="C6339" s="8" t="s">
        <v>5319</v>
      </c>
      <c r="D6339" t="s">
        <v>266</v>
      </c>
      <c r="E6339" t="s">
        <v>3640</v>
      </c>
      <c r="F6339" t="s">
        <v>117</v>
      </c>
      <c r="G6339" t="s">
        <v>3685</v>
      </c>
      <c r="H6339" s="9">
        <v>44733</v>
      </c>
      <c r="I6339" t="s">
        <v>903</v>
      </c>
      <c r="J6339" t="s">
        <v>0</v>
      </c>
      <c r="K6339" s="9">
        <v>44782</v>
      </c>
      <c r="L6339" t="s">
        <v>29</v>
      </c>
      <c r="M6339"/>
      <c r="N6339"/>
      <c r="O6339"/>
      <c r="P6339"/>
      <c r="Q6339" s="9">
        <v>44782</v>
      </c>
      <c r="R6339"/>
      <c r="S6339"/>
      <c r="T6339"/>
      <c r="U6339"/>
    </row>
    <row r="6340" spans="1:21" hidden="1">
      <c r="A6340" s="7" t="s">
        <v>8934</v>
      </c>
      <c r="B6340" s="7" t="s">
        <v>7267</v>
      </c>
      <c r="C6340" s="8" t="s">
        <v>5319</v>
      </c>
      <c r="D6340" t="s">
        <v>266</v>
      </c>
      <c r="E6340" t="s">
        <v>3640</v>
      </c>
      <c r="F6340" t="s">
        <v>117</v>
      </c>
      <c r="G6340" t="s">
        <v>3686</v>
      </c>
      <c r="H6340" s="9">
        <v>44733</v>
      </c>
      <c r="I6340" t="s">
        <v>903</v>
      </c>
      <c r="J6340" t="s">
        <v>0</v>
      </c>
      <c r="K6340" s="9">
        <v>44782</v>
      </c>
      <c r="L6340" t="s">
        <v>29</v>
      </c>
      <c r="M6340"/>
      <c r="N6340"/>
      <c r="O6340"/>
      <c r="P6340"/>
      <c r="Q6340" s="9">
        <v>44782</v>
      </c>
      <c r="R6340"/>
      <c r="S6340"/>
      <c r="T6340"/>
      <c r="U6340"/>
    </row>
    <row r="6341" spans="1:21" hidden="1">
      <c r="A6341" s="7" t="s">
        <v>8934</v>
      </c>
      <c r="B6341" s="7" t="s">
        <v>7267</v>
      </c>
      <c r="C6341" s="8" t="s">
        <v>5319</v>
      </c>
      <c r="D6341" t="s">
        <v>266</v>
      </c>
      <c r="E6341" t="s">
        <v>3640</v>
      </c>
      <c r="F6341" t="s">
        <v>117</v>
      </c>
      <c r="G6341" t="s">
        <v>3687</v>
      </c>
      <c r="H6341" s="9">
        <v>44733</v>
      </c>
      <c r="I6341" t="s">
        <v>903</v>
      </c>
      <c r="J6341" t="s">
        <v>0</v>
      </c>
      <c r="K6341" s="9">
        <v>44782</v>
      </c>
      <c r="L6341" t="s">
        <v>29</v>
      </c>
      <c r="M6341"/>
      <c r="N6341"/>
      <c r="O6341"/>
      <c r="P6341"/>
      <c r="Q6341" s="9">
        <v>44782</v>
      </c>
      <c r="R6341"/>
      <c r="S6341"/>
      <c r="T6341"/>
      <c r="U6341"/>
    </row>
    <row r="6342" spans="1:21" hidden="1">
      <c r="A6342" s="7" t="s">
        <v>8934</v>
      </c>
      <c r="B6342" s="7" t="s">
        <v>7267</v>
      </c>
      <c r="C6342" s="8" t="s">
        <v>5319</v>
      </c>
      <c r="D6342" t="s">
        <v>266</v>
      </c>
      <c r="E6342" t="s">
        <v>3640</v>
      </c>
      <c r="F6342" t="s">
        <v>117</v>
      </c>
      <c r="G6342" t="s">
        <v>3688</v>
      </c>
      <c r="H6342" s="9">
        <v>44733</v>
      </c>
      <c r="I6342" t="s">
        <v>903</v>
      </c>
      <c r="J6342" t="s">
        <v>0</v>
      </c>
      <c r="K6342" s="9">
        <v>44782</v>
      </c>
      <c r="L6342" t="s">
        <v>29</v>
      </c>
      <c r="M6342"/>
      <c r="N6342"/>
      <c r="O6342"/>
      <c r="P6342"/>
      <c r="Q6342" s="9">
        <v>44782</v>
      </c>
      <c r="R6342"/>
      <c r="S6342"/>
      <c r="T6342"/>
      <c r="U6342"/>
    </row>
    <row r="6343" spans="1:21" hidden="1">
      <c r="A6343" s="7" t="s">
        <v>8934</v>
      </c>
      <c r="B6343" s="7" t="s">
        <v>7267</v>
      </c>
      <c r="C6343" s="8" t="s">
        <v>5319</v>
      </c>
      <c r="D6343" t="s">
        <v>266</v>
      </c>
      <c r="E6343" t="s">
        <v>3640</v>
      </c>
      <c r="F6343" t="s">
        <v>117</v>
      </c>
      <c r="G6343" t="s">
        <v>3689</v>
      </c>
      <c r="H6343" s="9">
        <v>44733</v>
      </c>
      <c r="I6343" t="s">
        <v>903</v>
      </c>
      <c r="J6343" t="s">
        <v>0</v>
      </c>
      <c r="K6343" s="9">
        <v>44782</v>
      </c>
      <c r="L6343" t="s">
        <v>29</v>
      </c>
      <c r="M6343"/>
      <c r="N6343"/>
      <c r="O6343"/>
      <c r="P6343"/>
      <c r="Q6343" s="9">
        <v>44782</v>
      </c>
      <c r="R6343"/>
      <c r="S6343"/>
      <c r="T6343"/>
      <c r="U6343"/>
    </row>
    <row r="6344" spans="1:21" hidden="1">
      <c r="A6344" s="7" t="s">
        <v>8934</v>
      </c>
      <c r="B6344" s="7" t="s">
        <v>7267</v>
      </c>
      <c r="C6344" s="8" t="s">
        <v>5319</v>
      </c>
      <c r="D6344" t="s">
        <v>266</v>
      </c>
      <c r="E6344" t="s">
        <v>3640</v>
      </c>
      <c r="F6344" t="s">
        <v>117</v>
      </c>
      <c r="G6344" t="s">
        <v>3690</v>
      </c>
      <c r="H6344" s="9">
        <v>44733</v>
      </c>
      <c r="I6344" t="s">
        <v>903</v>
      </c>
      <c r="J6344" t="s">
        <v>0</v>
      </c>
      <c r="K6344" s="9">
        <v>44782</v>
      </c>
      <c r="L6344" t="s">
        <v>29</v>
      </c>
      <c r="M6344"/>
      <c r="N6344"/>
      <c r="O6344"/>
      <c r="P6344"/>
      <c r="Q6344" s="9">
        <v>44782</v>
      </c>
      <c r="R6344"/>
      <c r="S6344"/>
      <c r="T6344"/>
      <c r="U6344"/>
    </row>
    <row r="6345" spans="1:21" hidden="1">
      <c r="A6345" s="7" t="s">
        <v>8934</v>
      </c>
      <c r="B6345" s="7" t="s">
        <v>7267</v>
      </c>
      <c r="C6345" s="8" t="s">
        <v>5319</v>
      </c>
      <c r="D6345" t="s">
        <v>266</v>
      </c>
      <c r="E6345" t="s">
        <v>3640</v>
      </c>
      <c r="F6345" t="s">
        <v>117</v>
      </c>
      <c r="G6345" t="s">
        <v>3691</v>
      </c>
      <c r="H6345" s="9">
        <v>44733</v>
      </c>
      <c r="I6345" t="s">
        <v>903</v>
      </c>
      <c r="J6345" t="s">
        <v>0</v>
      </c>
      <c r="K6345" s="9">
        <v>44782</v>
      </c>
      <c r="L6345" t="s">
        <v>29</v>
      </c>
      <c r="M6345"/>
      <c r="N6345"/>
      <c r="O6345"/>
      <c r="P6345"/>
      <c r="Q6345" s="9">
        <v>44782</v>
      </c>
      <c r="R6345"/>
      <c r="S6345"/>
      <c r="T6345"/>
      <c r="U6345"/>
    </row>
    <row r="6346" spans="1:21" hidden="1">
      <c r="A6346" s="7" t="s">
        <v>8934</v>
      </c>
      <c r="B6346" s="7" t="s">
        <v>7267</v>
      </c>
      <c r="C6346" s="8" t="s">
        <v>5319</v>
      </c>
      <c r="D6346" t="s">
        <v>266</v>
      </c>
      <c r="E6346" t="s">
        <v>3640</v>
      </c>
      <c r="F6346" t="s">
        <v>117</v>
      </c>
      <c r="G6346" t="s">
        <v>3692</v>
      </c>
      <c r="H6346" s="9">
        <v>44733</v>
      </c>
      <c r="I6346" t="s">
        <v>903</v>
      </c>
      <c r="J6346" t="s">
        <v>0</v>
      </c>
      <c r="K6346" s="9">
        <v>44782</v>
      </c>
      <c r="L6346" t="s">
        <v>29</v>
      </c>
      <c r="M6346"/>
      <c r="N6346"/>
      <c r="O6346"/>
      <c r="P6346"/>
      <c r="Q6346" s="9">
        <v>44782</v>
      </c>
      <c r="R6346"/>
      <c r="S6346"/>
      <c r="T6346"/>
      <c r="U6346"/>
    </row>
    <row r="6347" spans="1:21" hidden="1">
      <c r="A6347" s="7" t="s">
        <v>8934</v>
      </c>
      <c r="B6347" s="7" t="s">
        <v>7267</v>
      </c>
      <c r="C6347" s="8" t="s">
        <v>5319</v>
      </c>
      <c r="D6347" t="s">
        <v>266</v>
      </c>
      <c r="E6347" t="s">
        <v>3640</v>
      </c>
      <c r="F6347" t="s">
        <v>117</v>
      </c>
      <c r="G6347" t="s">
        <v>3693</v>
      </c>
      <c r="H6347" s="9">
        <v>44733</v>
      </c>
      <c r="I6347" t="s">
        <v>903</v>
      </c>
      <c r="J6347" t="s">
        <v>0</v>
      </c>
      <c r="K6347" s="9">
        <v>44782</v>
      </c>
      <c r="L6347" t="s">
        <v>29</v>
      </c>
      <c r="M6347"/>
      <c r="N6347"/>
      <c r="O6347"/>
      <c r="P6347"/>
      <c r="Q6347" s="9">
        <v>44782</v>
      </c>
      <c r="R6347"/>
      <c r="S6347"/>
      <c r="T6347"/>
      <c r="U6347"/>
    </row>
    <row r="6348" spans="1:21" hidden="1">
      <c r="A6348" s="7" t="s">
        <v>8934</v>
      </c>
      <c r="B6348" s="7" t="s">
        <v>7267</v>
      </c>
      <c r="C6348" s="8" t="s">
        <v>5319</v>
      </c>
      <c r="D6348" t="s">
        <v>266</v>
      </c>
      <c r="E6348" t="s">
        <v>3640</v>
      </c>
      <c r="F6348" t="s">
        <v>117</v>
      </c>
      <c r="G6348" t="s">
        <v>3694</v>
      </c>
      <c r="H6348" s="9">
        <v>44733</v>
      </c>
      <c r="I6348" t="s">
        <v>903</v>
      </c>
      <c r="J6348" t="s">
        <v>0</v>
      </c>
      <c r="K6348" s="9">
        <v>44782</v>
      </c>
      <c r="L6348" t="s">
        <v>29</v>
      </c>
      <c r="M6348"/>
      <c r="N6348"/>
      <c r="O6348"/>
      <c r="P6348"/>
      <c r="Q6348" s="9">
        <v>44782</v>
      </c>
      <c r="R6348"/>
      <c r="S6348"/>
      <c r="T6348"/>
      <c r="U6348"/>
    </row>
    <row r="6349" spans="1:21" hidden="1">
      <c r="A6349" s="7" t="s">
        <v>8934</v>
      </c>
      <c r="B6349" s="7" t="s">
        <v>7267</v>
      </c>
      <c r="C6349" s="8" t="s">
        <v>5319</v>
      </c>
      <c r="D6349" t="s">
        <v>266</v>
      </c>
      <c r="E6349" t="s">
        <v>3640</v>
      </c>
      <c r="F6349" t="s">
        <v>117</v>
      </c>
      <c r="G6349" t="s">
        <v>3695</v>
      </c>
      <c r="H6349" s="9">
        <v>44733</v>
      </c>
      <c r="I6349" t="s">
        <v>903</v>
      </c>
      <c r="J6349" t="s">
        <v>0</v>
      </c>
      <c r="K6349" s="9">
        <v>44782</v>
      </c>
      <c r="L6349" t="s">
        <v>29</v>
      </c>
      <c r="M6349"/>
      <c r="N6349"/>
      <c r="O6349"/>
      <c r="P6349"/>
      <c r="Q6349" s="9">
        <v>44782</v>
      </c>
      <c r="R6349"/>
      <c r="S6349"/>
      <c r="T6349"/>
      <c r="U6349"/>
    </row>
    <row r="6350" spans="1:21" hidden="1">
      <c r="A6350" s="7" t="s">
        <v>8934</v>
      </c>
      <c r="B6350" s="7" t="s">
        <v>7267</v>
      </c>
      <c r="C6350" s="8" t="s">
        <v>5319</v>
      </c>
      <c r="D6350" t="s">
        <v>266</v>
      </c>
      <c r="E6350" t="s">
        <v>3640</v>
      </c>
      <c r="F6350" t="s">
        <v>117</v>
      </c>
      <c r="G6350" t="s">
        <v>3696</v>
      </c>
      <c r="H6350" s="9">
        <v>44733</v>
      </c>
      <c r="I6350" t="s">
        <v>903</v>
      </c>
      <c r="J6350" t="s">
        <v>0</v>
      </c>
      <c r="K6350" s="9">
        <v>44782</v>
      </c>
      <c r="L6350" t="s">
        <v>29</v>
      </c>
      <c r="M6350"/>
      <c r="N6350"/>
      <c r="O6350"/>
      <c r="P6350"/>
      <c r="Q6350" s="9">
        <v>44782</v>
      </c>
      <c r="R6350"/>
      <c r="S6350"/>
      <c r="T6350"/>
      <c r="U6350"/>
    </row>
    <row r="6351" spans="1:21" hidden="1">
      <c r="A6351" s="7" t="s">
        <v>8934</v>
      </c>
      <c r="B6351" s="7" t="s">
        <v>7267</v>
      </c>
      <c r="C6351" s="8" t="s">
        <v>5319</v>
      </c>
      <c r="D6351" t="s">
        <v>266</v>
      </c>
      <c r="E6351" t="s">
        <v>3640</v>
      </c>
      <c r="F6351" t="s">
        <v>117</v>
      </c>
      <c r="G6351" t="s">
        <v>3697</v>
      </c>
      <c r="H6351" s="9">
        <v>44733</v>
      </c>
      <c r="I6351" t="s">
        <v>903</v>
      </c>
      <c r="J6351" t="s">
        <v>0</v>
      </c>
      <c r="K6351" s="9">
        <v>44782</v>
      </c>
      <c r="L6351" t="s">
        <v>29</v>
      </c>
      <c r="M6351"/>
      <c r="N6351"/>
      <c r="O6351"/>
      <c r="P6351"/>
      <c r="Q6351" s="9">
        <v>44782</v>
      </c>
      <c r="R6351"/>
      <c r="S6351"/>
      <c r="T6351"/>
      <c r="U6351"/>
    </row>
    <row r="6352" spans="1:21" hidden="1">
      <c r="A6352" s="7" t="s">
        <v>8934</v>
      </c>
      <c r="B6352" s="7" t="s">
        <v>7267</v>
      </c>
      <c r="C6352" s="8" t="s">
        <v>5319</v>
      </c>
      <c r="D6352" t="s">
        <v>266</v>
      </c>
      <c r="E6352" t="s">
        <v>3640</v>
      </c>
      <c r="F6352" t="s">
        <v>117</v>
      </c>
      <c r="G6352" t="s">
        <v>3698</v>
      </c>
      <c r="H6352" s="9">
        <v>44733</v>
      </c>
      <c r="I6352" t="s">
        <v>903</v>
      </c>
      <c r="J6352" t="s">
        <v>0</v>
      </c>
      <c r="K6352" s="9">
        <v>44782</v>
      </c>
      <c r="L6352" t="s">
        <v>29</v>
      </c>
      <c r="M6352"/>
      <c r="N6352"/>
      <c r="O6352"/>
      <c r="P6352"/>
      <c r="Q6352" s="9">
        <v>44782</v>
      </c>
      <c r="R6352"/>
      <c r="S6352"/>
      <c r="T6352"/>
      <c r="U6352"/>
    </row>
    <row r="6353" spans="1:21" hidden="1">
      <c r="A6353" s="7" t="s">
        <v>8934</v>
      </c>
      <c r="B6353" s="7" t="s">
        <v>7267</v>
      </c>
      <c r="C6353" s="8" t="s">
        <v>5319</v>
      </c>
      <c r="D6353" t="s">
        <v>266</v>
      </c>
      <c r="E6353" t="s">
        <v>3640</v>
      </c>
      <c r="F6353" t="s">
        <v>117</v>
      </c>
      <c r="G6353" t="s">
        <v>3699</v>
      </c>
      <c r="H6353" s="9">
        <v>44733</v>
      </c>
      <c r="I6353" t="s">
        <v>903</v>
      </c>
      <c r="J6353" t="s">
        <v>0</v>
      </c>
      <c r="K6353" s="9">
        <v>44782</v>
      </c>
      <c r="L6353" t="s">
        <v>29</v>
      </c>
      <c r="M6353"/>
      <c r="N6353"/>
      <c r="O6353"/>
      <c r="P6353"/>
      <c r="Q6353" s="9">
        <v>44782</v>
      </c>
      <c r="R6353"/>
      <c r="S6353"/>
      <c r="T6353"/>
      <c r="U6353"/>
    </row>
    <row r="6354" spans="1:21" hidden="1">
      <c r="A6354" s="7" t="s">
        <v>8861</v>
      </c>
      <c r="B6354" s="7" t="s">
        <v>8218</v>
      </c>
      <c r="C6354" s="8" t="s">
        <v>5319</v>
      </c>
      <c r="D6354" t="s">
        <v>266</v>
      </c>
      <c r="E6354" t="s">
        <v>2260</v>
      </c>
      <c r="F6354" t="s">
        <v>117</v>
      </c>
      <c r="G6354" t="s">
        <v>3700</v>
      </c>
      <c r="H6354" s="9">
        <v>44733</v>
      </c>
      <c r="I6354" t="s">
        <v>2262</v>
      </c>
      <c r="J6354" t="s">
        <v>2</v>
      </c>
      <c r="K6354" s="9">
        <v>44834</v>
      </c>
      <c r="L6354" t="s">
        <v>29</v>
      </c>
      <c r="M6354" t="s">
        <v>5331</v>
      </c>
      <c r="N6354" s="9">
        <v>44778</v>
      </c>
      <c r="O6354" s="9">
        <v>44834</v>
      </c>
      <c r="P6354"/>
      <c r="Q6354" s="9">
        <v>44879</v>
      </c>
      <c r="R6354"/>
      <c r="S6354"/>
      <c r="T6354"/>
      <c r="U6354"/>
    </row>
    <row r="6355" spans="1:21" hidden="1">
      <c r="A6355" s="7" t="s">
        <v>8726</v>
      </c>
      <c r="B6355" s="7" t="s">
        <v>7519</v>
      </c>
      <c r="C6355" s="8" t="s">
        <v>5319</v>
      </c>
      <c r="D6355" t="s">
        <v>266</v>
      </c>
      <c r="E6355" t="s">
        <v>179</v>
      </c>
      <c r="F6355" t="s">
        <v>117</v>
      </c>
      <c r="G6355" t="s">
        <v>189</v>
      </c>
      <c r="H6355" s="9">
        <v>44733</v>
      </c>
      <c r="I6355" t="s">
        <v>181</v>
      </c>
      <c r="J6355" t="s">
        <v>2</v>
      </c>
      <c r="K6355" s="9">
        <v>44834</v>
      </c>
      <c r="L6355" t="s">
        <v>29</v>
      </c>
      <c r="M6355" t="s">
        <v>5331</v>
      </c>
      <c r="N6355" s="9">
        <v>44778</v>
      </c>
      <c r="O6355" s="9">
        <v>44834</v>
      </c>
      <c r="P6355"/>
      <c r="Q6355"/>
      <c r="R6355"/>
      <c r="S6355"/>
      <c r="T6355"/>
      <c r="U6355"/>
    </row>
    <row r="6356" spans="1:21" hidden="1">
      <c r="A6356" s="7" t="s">
        <v>8765</v>
      </c>
      <c r="B6356" s="7" t="s">
        <v>5405</v>
      </c>
      <c r="C6356" s="8" t="s">
        <v>5319</v>
      </c>
      <c r="D6356" t="s">
        <v>266</v>
      </c>
      <c r="E6356" t="s">
        <v>25</v>
      </c>
      <c r="F6356" t="s">
        <v>231</v>
      </c>
      <c r="G6356" t="s">
        <v>3701</v>
      </c>
      <c r="H6356" s="9">
        <v>44733</v>
      </c>
      <c r="I6356" t="s">
        <v>8634</v>
      </c>
      <c r="J6356" t="s">
        <v>2</v>
      </c>
      <c r="K6356" s="9">
        <v>44834</v>
      </c>
      <c r="L6356" t="s">
        <v>29</v>
      </c>
      <c r="M6356" t="s">
        <v>5331</v>
      </c>
      <c r="N6356" s="9">
        <v>44778</v>
      </c>
      <c r="O6356" s="9">
        <v>44834</v>
      </c>
      <c r="P6356"/>
      <c r="Q6356"/>
      <c r="R6356"/>
      <c r="S6356"/>
      <c r="T6356"/>
      <c r="U6356"/>
    </row>
    <row r="6357" spans="1:21" hidden="1">
      <c r="A6357" s="7" t="s">
        <v>8935</v>
      </c>
      <c r="B6357" s="7" t="s">
        <v>8369</v>
      </c>
      <c r="C6357" s="8" t="s">
        <v>5319</v>
      </c>
      <c r="D6357" t="s">
        <v>266</v>
      </c>
      <c r="E6357" t="s">
        <v>3702</v>
      </c>
      <c r="F6357" t="s">
        <v>117</v>
      </c>
      <c r="G6357" t="s">
        <v>3703</v>
      </c>
      <c r="H6357" s="9">
        <v>44735</v>
      </c>
      <c r="I6357" t="s">
        <v>3092</v>
      </c>
      <c r="J6357" t="s">
        <v>2</v>
      </c>
      <c r="K6357" s="9">
        <v>44834</v>
      </c>
      <c r="L6357" t="s">
        <v>29</v>
      </c>
      <c r="M6357" t="s">
        <v>5331</v>
      </c>
      <c r="N6357" s="9">
        <v>44778</v>
      </c>
      <c r="O6357" s="9">
        <v>44834</v>
      </c>
      <c r="P6357"/>
      <c r="Q6357"/>
      <c r="R6357"/>
      <c r="S6357"/>
      <c r="T6357"/>
      <c r="U6357"/>
    </row>
    <row r="6358" spans="1:21" hidden="1">
      <c r="A6358" s="7" t="s">
        <v>8809</v>
      </c>
      <c r="B6358" s="7" t="s">
        <v>7973</v>
      </c>
      <c r="C6358" s="8" t="s">
        <v>5319</v>
      </c>
      <c r="D6358" t="s">
        <v>266</v>
      </c>
      <c r="E6358" t="s">
        <v>1040</v>
      </c>
      <c r="F6358" t="s">
        <v>231</v>
      </c>
      <c r="G6358" t="s">
        <v>3704</v>
      </c>
      <c r="H6358" s="9">
        <v>44733</v>
      </c>
      <c r="I6358" t="s">
        <v>984</v>
      </c>
      <c r="J6358" t="s">
        <v>0</v>
      </c>
      <c r="K6358" s="9">
        <v>44791</v>
      </c>
      <c r="L6358" t="s">
        <v>29</v>
      </c>
      <c r="M6358"/>
      <c r="N6358" s="9">
        <v>44778</v>
      </c>
      <c r="O6358"/>
      <c r="P6358"/>
      <c r="Q6358" s="9">
        <v>44791</v>
      </c>
      <c r="R6358" s="9">
        <v>44782.597326388903</v>
      </c>
      <c r="S6358"/>
      <c r="T6358"/>
      <c r="U6358"/>
    </row>
    <row r="6359" spans="1:21" hidden="1">
      <c r="A6359" s="7" t="s">
        <v>8809</v>
      </c>
      <c r="B6359" s="7" t="s">
        <v>7973</v>
      </c>
      <c r="C6359" s="8" t="s">
        <v>5319</v>
      </c>
      <c r="D6359" t="s">
        <v>266</v>
      </c>
      <c r="E6359" t="s">
        <v>1040</v>
      </c>
      <c r="F6359" t="s">
        <v>231</v>
      </c>
      <c r="G6359" t="s">
        <v>3705</v>
      </c>
      <c r="H6359" s="9">
        <v>44733</v>
      </c>
      <c r="I6359" t="s">
        <v>984</v>
      </c>
      <c r="J6359" t="s">
        <v>0</v>
      </c>
      <c r="K6359" s="9">
        <v>44791</v>
      </c>
      <c r="L6359" t="s">
        <v>29</v>
      </c>
      <c r="M6359"/>
      <c r="N6359" s="9">
        <v>44778</v>
      </c>
      <c r="O6359"/>
      <c r="P6359"/>
      <c r="Q6359" s="9">
        <v>44791</v>
      </c>
      <c r="R6359" s="9">
        <v>44782.597326388903</v>
      </c>
      <c r="S6359"/>
      <c r="T6359"/>
      <c r="U6359"/>
    </row>
    <row r="6360" spans="1:21" hidden="1">
      <c r="A6360" s="7" t="s">
        <v>8871</v>
      </c>
      <c r="B6360" s="7" t="s">
        <v>8280</v>
      </c>
      <c r="C6360" s="8" t="s">
        <v>5319</v>
      </c>
      <c r="D6360" t="s">
        <v>266</v>
      </c>
      <c r="E6360" t="s">
        <v>2463</v>
      </c>
      <c r="F6360" t="s">
        <v>231</v>
      </c>
      <c r="G6360" t="s">
        <v>3706</v>
      </c>
      <c r="H6360" s="9">
        <v>44733</v>
      </c>
      <c r="I6360" t="s">
        <v>903</v>
      </c>
      <c r="J6360" t="s">
        <v>2</v>
      </c>
      <c r="K6360" s="9">
        <v>44806.4850925926</v>
      </c>
      <c r="L6360" t="s">
        <v>29</v>
      </c>
      <c r="M6360" t="s">
        <v>5331</v>
      </c>
      <c r="N6360" s="9">
        <v>44778</v>
      </c>
      <c r="O6360"/>
      <c r="P6360"/>
      <c r="Q6360"/>
      <c r="R6360" s="9">
        <v>44806.484525462998</v>
      </c>
      <c r="S6360"/>
      <c r="T6360"/>
      <c r="U6360"/>
    </row>
    <row r="6361" spans="1:21" hidden="1">
      <c r="A6361" s="7" t="s">
        <v>8890</v>
      </c>
      <c r="B6361" s="7" t="s">
        <v>8280</v>
      </c>
      <c r="C6361" s="8" t="s">
        <v>5319</v>
      </c>
      <c r="D6361" t="s">
        <v>266</v>
      </c>
      <c r="E6361" t="s">
        <v>2463</v>
      </c>
      <c r="F6361" t="s">
        <v>117</v>
      </c>
      <c r="G6361" t="s">
        <v>3707</v>
      </c>
      <c r="H6361" s="9">
        <v>44733</v>
      </c>
      <c r="I6361" t="s">
        <v>903</v>
      </c>
      <c r="J6361" t="s">
        <v>2</v>
      </c>
      <c r="K6361" s="9">
        <v>44806.485057870399</v>
      </c>
      <c r="L6361" t="s">
        <v>29</v>
      </c>
      <c r="M6361" t="s">
        <v>5331</v>
      </c>
      <c r="N6361" s="9">
        <v>44778</v>
      </c>
      <c r="O6361"/>
      <c r="P6361"/>
      <c r="Q6361"/>
      <c r="R6361" s="9">
        <v>44806.4842361111</v>
      </c>
      <c r="S6361"/>
      <c r="T6361"/>
      <c r="U6361"/>
    </row>
    <row r="6362" spans="1:21" hidden="1">
      <c r="A6362" s="7" t="s">
        <v>8890</v>
      </c>
      <c r="B6362" s="7" t="s">
        <v>8280</v>
      </c>
      <c r="C6362" s="8" t="s">
        <v>5319</v>
      </c>
      <c r="D6362" t="s">
        <v>266</v>
      </c>
      <c r="E6362" t="s">
        <v>2463</v>
      </c>
      <c r="F6362" t="s">
        <v>117</v>
      </c>
      <c r="G6362" t="s">
        <v>3708</v>
      </c>
      <c r="H6362" s="9">
        <v>44733</v>
      </c>
      <c r="I6362" t="s">
        <v>903</v>
      </c>
      <c r="J6362" t="s">
        <v>2</v>
      </c>
      <c r="K6362" s="9">
        <v>44806.485057870399</v>
      </c>
      <c r="L6362" t="s">
        <v>29</v>
      </c>
      <c r="M6362" t="s">
        <v>5331</v>
      </c>
      <c r="N6362" s="9">
        <v>44778</v>
      </c>
      <c r="O6362"/>
      <c r="P6362"/>
      <c r="Q6362"/>
      <c r="R6362" s="9">
        <v>44806.4842361111</v>
      </c>
      <c r="S6362"/>
      <c r="T6362"/>
      <c r="U6362"/>
    </row>
    <row r="6363" spans="1:21" hidden="1">
      <c r="A6363" s="7" t="s">
        <v>8890</v>
      </c>
      <c r="B6363" s="7" t="s">
        <v>8280</v>
      </c>
      <c r="C6363" s="8" t="s">
        <v>5319</v>
      </c>
      <c r="D6363" t="s">
        <v>266</v>
      </c>
      <c r="E6363" t="s">
        <v>2463</v>
      </c>
      <c r="F6363" t="s">
        <v>117</v>
      </c>
      <c r="G6363" t="s">
        <v>3709</v>
      </c>
      <c r="H6363" s="9">
        <v>44733</v>
      </c>
      <c r="I6363" t="s">
        <v>903</v>
      </c>
      <c r="J6363" t="s">
        <v>2</v>
      </c>
      <c r="K6363" s="9">
        <v>44806.485057870399</v>
      </c>
      <c r="L6363" t="s">
        <v>29</v>
      </c>
      <c r="M6363" t="s">
        <v>5331</v>
      </c>
      <c r="N6363" s="9">
        <v>44778</v>
      </c>
      <c r="O6363"/>
      <c r="P6363"/>
      <c r="Q6363"/>
      <c r="R6363" s="9">
        <v>44806.4842361111</v>
      </c>
      <c r="S6363"/>
      <c r="T6363"/>
      <c r="U6363"/>
    </row>
    <row r="6364" spans="1:21" hidden="1">
      <c r="A6364" s="7" t="s">
        <v>8871</v>
      </c>
      <c r="B6364" s="7" t="s">
        <v>8280</v>
      </c>
      <c r="C6364" s="8" t="s">
        <v>5319</v>
      </c>
      <c r="D6364" t="s">
        <v>266</v>
      </c>
      <c r="E6364" t="s">
        <v>2463</v>
      </c>
      <c r="F6364" t="s">
        <v>231</v>
      </c>
      <c r="G6364" t="s">
        <v>3710</v>
      </c>
      <c r="H6364" s="9">
        <v>44733</v>
      </c>
      <c r="I6364" t="s">
        <v>903</v>
      </c>
      <c r="J6364" t="s">
        <v>2</v>
      </c>
      <c r="K6364" s="9">
        <v>44806.4850925926</v>
      </c>
      <c r="L6364" t="s">
        <v>29</v>
      </c>
      <c r="M6364" t="s">
        <v>5331</v>
      </c>
      <c r="N6364" s="9">
        <v>44778</v>
      </c>
      <c r="O6364"/>
      <c r="P6364"/>
      <c r="Q6364"/>
      <c r="R6364" s="9">
        <v>44806.484525462998</v>
      </c>
      <c r="S6364"/>
      <c r="T6364"/>
      <c r="U6364"/>
    </row>
    <row r="6365" spans="1:21" hidden="1">
      <c r="A6365" s="7" t="s">
        <v>8890</v>
      </c>
      <c r="B6365" s="7" t="s">
        <v>8280</v>
      </c>
      <c r="C6365" s="8" t="s">
        <v>5319</v>
      </c>
      <c r="D6365" t="s">
        <v>266</v>
      </c>
      <c r="E6365" t="s">
        <v>2463</v>
      </c>
      <c r="F6365" t="s">
        <v>117</v>
      </c>
      <c r="G6365" t="s">
        <v>3711</v>
      </c>
      <c r="H6365" s="9">
        <v>44733</v>
      </c>
      <c r="I6365" t="s">
        <v>903</v>
      </c>
      <c r="J6365" t="s">
        <v>2</v>
      </c>
      <c r="K6365" s="9">
        <v>44806.485057870399</v>
      </c>
      <c r="L6365" t="s">
        <v>29</v>
      </c>
      <c r="M6365" t="s">
        <v>5331</v>
      </c>
      <c r="N6365" s="9">
        <v>44778</v>
      </c>
      <c r="O6365"/>
      <c r="P6365"/>
      <c r="Q6365"/>
      <c r="R6365" s="9">
        <v>44806.4842361111</v>
      </c>
      <c r="S6365"/>
      <c r="T6365"/>
      <c r="U6365"/>
    </row>
    <row r="6366" spans="1:21" hidden="1">
      <c r="A6366" s="7" t="s">
        <v>8765</v>
      </c>
      <c r="B6366" s="7" t="s">
        <v>5405</v>
      </c>
      <c r="C6366" s="8" t="s">
        <v>5319</v>
      </c>
      <c r="D6366" t="s">
        <v>266</v>
      </c>
      <c r="E6366" t="s">
        <v>25</v>
      </c>
      <c r="F6366" t="s">
        <v>231</v>
      </c>
      <c r="G6366" t="s">
        <v>3712</v>
      </c>
      <c r="H6366" s="9">
        <v>44733</v>
      </c>
      <c r="I6366" t="s">
        <v>8634</v>
      </c>
      <c r="J6366" t="s">
        <v>2</v>
      </c>
      <c r="K6366" s="9">
        <v>44862</v>
      </c>
      <c r="L6366" t="s">
        <v>29</v>
      </c>
      <c r="M6366" t="s">
        <v>5331</v>
      </c>
      <c r="N6366" s="9">
        <v>44778</v>
      </c>
      <c r="O6366"/>
      <c r="P6366"/>
      <c r="Q6366" s="9">
        <v>44862</v>
      </c>
      <c r="R6366"/>
      <c r="S6366"/>
      <c r="T6366"/>
      <c r="U6366"/>
    </row>
    <row r="6367" spans="1:21" hidden="1">
      <c r="A6367" s="7" t="s">
        <v>8936</v>
      </c>
      <c r="B6367" s="7" t="s">
        <v>8059</v>
      </c>
      <c r="C6367" s="8" t="s">
        <v>5319</v>
      </c>
      <c r="D6367" t="s">
        <v>266</v>
      </c>
      <c r="E6367" t="s">
        <v>3713</v>
      </c>
      <c r="F6367" t="s">
        <v>117</v>
      </c>
      <c r="G6367" t="s">
        <v>3714</v>
      </c>
      <c r="H6367" s="9">
        <v>44733</v>
      </c>
      <c r="I6367" t="s">
        <v>984</v>
      </c>
      <c r="J6367" t="s">
        <v>2</v>
      </c>
      <c r="K6367" s="9">
        <v>44834</v>
      </c>
      <c r="L6367" t="s">
        <v>29</v>
      </c>
      <c r="M6367" t="s">
        <v>5331</v>
      </c>
      <c r="N6367" s="9">
        <v>44778</v>
      </c>
      <c r="O6367" s="9">
        <v>44834</v>
      </c>
      <c r="P6367"/>
      <c r="Q6367"/>
      <c r="R6367"/>
      <c r="S6367"/>
      <c r="T6367"/>
      <c r="U6367"/>
    </row>
    <row r="6368" spans="1:21" hidden="1">
      <c r="A6368" s="7" t="s">
        <v>8936</v>
      </c>
      <c r="B6368" s="7" t="s">
        <v>8059</v>
      </c>
      <c r="C6368" s="8" t="s">
        <v>5319</v>
      </c>
      <c r="D6368" t="s">
        <v>266</v>
      </c>
      <c r="E6368" t="s">
        <v>3713</v>
      </c>
      <c r="F6368" t="s">
        <v>117</v>
      </c>
      <c r="G6368" t="s">
        <v>3715</v>
      </c>
      <c r="H6368" s="9">
        <v>44733</v>
      </c>
      <c r="I6368" t="s">
        <v>984</v>
      </c>
      <c r="J6368" t="s">
        <v>2</v>
      </c>
      <c r="K6368" s="9">
        <v>44834</v>
      </c>
      <c r="L6368" t="s">
        <v>29</v>
      </c>
      <c r="M6368" t="s">
        <v>5331</v>
      </c>
      <c r="N6368" s="9">
        <v>44778</v>
      </c>
      <c r="O6368" s="9">
        <v>44834</v>
      </c>
      <c r="P6368"/>
      <c r="Q6368"/>
      <c r="R6368"/>
      <c r="S6368"/>
      <c r="T6368"/>
      <c r="U6368"/>
    </row>
    <row r="6369" spans="1:21" hidden="1">
      <c r="A6369" s="7" t="s">
        <v>8937</v>
      </c>
      <c r="B6369" s="7" t="s">
        <v>8039</v>
      </c>
      <c r="C6369" s="8" t="s">
        <v>5319</v>
      </c>
      <c r="D6369" t="s">
        <v>266</v>
      </c>
      <c r="E6369" t="s">
        <v>3716</v>
      </c>
      <c r="F6369" t="s">
        <v>117</v>
      </c>
      <c r="G6369" t="s">
        <v>3717</v>
      </c>
      <c r="H6369" s="9">
        <v>44733</v>
      </c>
      <c r="I6369" t="s">
        <v>77</v>
      </c>
      <c r="J6369" t="s">
        <v>2</v>
      </c>
      <c r="K6369" s="9">
        <v>44834</v>
      </c>
      <c r="L6369" t="s">
        <v>29</v>
      </c>
      <c r="M6369" t="s">
        <v>5331</v>
      </c>
      <c r="N6369" s="9">
        <v>44778</v>
      </c>
      <c r="O6369" s="9">
        <v>44834</v>
      </c>
      <c r="P6369"/>
      <c r="Q6369"/>
      <c r="R6369"/>
      <c r="S6369"/>
      <c r="T6369"/>
      <c r="U6369"/>
    </row>
    <row r="6370" spans="1:21" hidden="1">
      <c r="A6370" s="7" t="s">
        <v>8810</v>
      </c>
      <c r="B6370" s="7" t="s">
        <v>6752</v>
      </c>
      <c r="C6370" s="8" t="s">
        <v>5319</v>
      </c>
      <c r="D6370" t="s">
        <v>266</v>
      </c>
      <c r="E6370" t="s">
        <v>1050</v>
      </c>
      <c r="F6370" t="s">
        <v>117</v>
      </c>
      <c r="G6370" t="s">
        <v>3718</v>
      </c>
      <c r="H6370" s="9">
        <v>44733</v>
      </c>
      <c r="I6370" t="s">
        <v>984</v>
      </c>
      <c r="J6370" t="s">
        <v>2</v>
      </c>
      <c r="K6370" s="9">
        <v>44834</v>
      </c>
      <c r="L6370" t="s">
        <v>29</v>
      </c>
      <c r="M6370" t="s">
        <v>5331</v>
      </c>
      <c r="N6370" s="9">
        <v>44778</v>
      </c>
      <c r="O6370" s="9">
        <v>44834</v>
      </c>
      <c r="P6370"/>
      <c r="Q6370"/>
      <c r="R6370"/>
      <c r="S6370"/>
      <c r="T6370"/>
      <c r="U6370"/>
    </row>
    <row r="6371" spans="1:21" hidden="1">
      <c r="A6371" s="7" t="s">
        <v>8810</v>
      </c>
      <c r="B6371" s="7" t="s">
        <v>6752</v>
      </c>
      <c r="C6371" s="8" t="s">
        <v>5319</v>
      </c>
      <c r="D6371" t="s">
        <v>266</v>
      </c>
      <c r="E6371" t="s">
        <v>1050</v>
      </c>
      <c r="F6371" t="s">
        <v>117</v>
      </c>
      <c r="G6371" t="s">
        <v>3719</v>
      </c>
      <c r="H6371" s="9">
        <v>44733</v>
      </c>
      <c r="I6371" t="s">
        <v>984</v>
      </c>
      <c r="J6371" t="s">
        <v>2</v>
      </c>
      <c r="K6371" s="9">
        <v>44834</v>
      </c>
      <c r="L6371" t="s">
        <v>29</v>
      </c>
      <c r="M6371" t="s">
        <v>5331</v>
      </c>
      <c r="N6371" s="9">
        <v>44778</v>
      </c>
      <c r="O6371" s="9">
        <v>44834</v>
      </c>
      <c r="P6371"/>
      <c r="Q6371"/>
      <c r="R6371"/>
      <c r="S6371"/>
      <c r="T6371"/>
      <c r="U6371"/>
    </row>
    <row r="6372" spans="1:21" hidden="1">
      <c r="A6372" s="7" t="s">
        <v>8810</v>
      </c>
      <c r="B6372" s="7" t="s">
        <v>6752</v>
      </c>
      <c r="C6372" s="8" t="s">
        <v>5319</v>
      </c>
      <c r="D6372" t="s">
        <v>266</v>
      </c>
      <c r="E6372" t="s">
        <v>1050</v>
      </c>
      <c r="F6372" t="s">
        <v>117</v>
      </c>
      <c r="G6372" t="s">
        <v>3720</v>
      </c>
      <c r="H6372" s="9">
        <v>44733</v>
      </c>
      <c r="I6372" t="s">
        <v>984</v>
      </c>
      <c r="J6372" t="s">
        <v>2</v>
      </c>
      <c r="K6372" s="9">
        <v>44834</v>
      </c>
      <c r="L6372" t="s">
        <v>29</v>
      </c>
      <c r="M6372" t="s">
        <v>5331</v>
      </c>
      <c r="N6372" s="9">
        <v>44778</v>
      </c>
      <c r="O6372" s="9">
        <v>44834</v>
      </c>
      <c r="P6372"/>
      <c r="Q6372"/>
      <c r="R6372"/>
      <c r="S6372"/>
      <c r="T6372"/>
      <c r="U6372"/>
    </row>
    <row r="6373" spans="1:21" hidden="1">
      <c r="A6373" s="7" t="s">
        <v>8758</v>
      </c>
      <c r="B6373" s="7" t="s">
        <v>5405</v>
      </c>
      <c r="C6373" s="8" t="s">
        <v>5319</v>
      </c>
      <c r="D6373" t="s">
        <v>266</v>
      </c>
      <c r="E6373" t="s">
        <v>25</v>
      </c>
      <c r="F6373" t="s">
        <v>493</v>
      </c>
      <c r="G6373" t="s">
        <v>2767</v>
      </c>
      <c r="H6373" s="9">
        <v>44733</v>
      </c>
      <c r="I6373" t="s">
        <v>8634</v>
      </c>
      <c r="J6373" t="s">
        <v>0</v>
      </c>
      <c r="K6373" s="9">
        <v>44862</v>
      </c>
      <c r="L6373" t="s">
        <v>29</v>
      </c>
      <c r="M6373"/>
      <c r="N6373"/>
      <c r="O6373"/>
      <c r="P6373"/>
      <c r="Q6373" s="9">
        <v>44862</v>
      </c>
      <c r="R6373"/>
      <c r="S6373"/>
      <c r="T6373"/>
      <c r="U6373"/>
    </row>
    <row r="6374" spans="1:21" hidden="1">
      <c r="A6374" s="7" t="s">
        <v>8810</v>
      </c>
      <c r="B6374" s="7" t="s">
        <v>6752</v>
      </c>
      <c r="C6374" s="8" t="s">
        <v>5319</v>
      </c>
      <c r="D6374" t="s">
        <v>266</v>
      </c>
      <c r="E6374" t="s">
        <v>1050</v>
      </c>
      <c r="F6374" t="s">
        <v>117</v>
      </c>
      <c r="G6374" t="s">
        <v>3721</v>
      </c>
      <c r="H6374" s="9">
        <v>44733</v>
      </c>
      <c r="I6374" t="s">
        <v>984</v>
      </c>
      <c r="J6374" t="s">
        <v>2</v>
      </c>
      <c r="K6374" s="9">
        <v>44834</v>
      </c>
      <c r="L6374" t="s">
        <v>29</v>
      </c>
      <c r="M6374" t="s">
        <v>5331</v>
      </c>
      <c r="N6374" s="9">
        <v>44778</v>
      </c>
      <c r="O6374" s="9">
        <v>44834</v>
      </c>
      <c r="P6374"/>
      <c r="Q6374"/>
      <c r="R6374"/>
      <c r="S6374"/>
      <c r="T6374"/>
      <c r="U6374"/>
    </row>
    <row r="6375" spans="1:21" hidden="1">
      <c r="A6375" s="7" t="s">
        <v>8811</v>
      </c>
      <c r="B6375" s="7" t="s">
        <v>8293</v>
      </c>
      <c r="C6375" s="8" t="s">
        <v>5319</v>
      </c>
      <c r="D6375" t="s">
        <v>266</v>
      </c>
      <c r="E6375" t="s">
        <v>1053</v>
      </c>
      <c r="F6375" t="s">
        <v>117</v>
      </c>
      <c r="G6375" t="s">
        <v>3722</v>
      </c>
      <c r="H6375" s="9">
        <v>44733</v>
      </c>
      <c r="I6375" t="s">
        <v>322</v>
      </c>
      <c r="J6375" t="s">
        <v>2</v>
      </c>
      <c r="K6375" s="9">
        <v>44834</v>
      </c>
      <c r="L6375" t="s">
        <v>29</v>
      </c>
      <c r="M6375" t="s">
        <v>5331</v>
      </c>
      <c r="N6375" s="9">
        <v>44778</v>
      </c>
      <c r="O6375" s="9">
        <v>44834</v>
      </c>
      <c r="P6375"/>
      <c r="Q6375"/>
      <c r="R6375"/>
      <c r="S6375"/>
      <c r="T6375"/>
      <c r="U6375"/>
    </row>
    <row r="6376" spans="1:21" hidden="1">
      <c r="A6376" s="7" t="s">
        <v>8811</v>
      </c>
      <c r="B6376" s="7" t="s">
        <v>8293</v>
      </c>
      <c r="C6376" s="8" t="s">
        <v>5319</v>
      </c>
      <c r="D6376" t="s">
        <v>266</v>
      </c>
      <c r="E6376" t="s">
        <v>1053</v>
      </c>
      <c r="F6376" t="s">
        <v>117</v>
      </c>
      <c r="G6376" t="s">
        <v>3723</v>
      </c>
      <c r="H6376" s="9">
        <v>44733</v>
      </c>
      <c r="I6376" t="s">
        <v>322</v>
      </c>
      <c r="J6376" t="s">
        <v>2</v>
      </c>
      <c r="K6376" s="9">
        <v>44834</v>
      </c>
      <c r="L6376" t="s">
        <v>29</v>
      </c>
      <c r="M6376" t="s">
        <v>5331</v>
      </c>
      <c r="N6376" s="9">
        <v>44778</v>
      </c>
      <c r="O6376" s="9">
        <v>44834</v>
      </c>
      <c r="P6376"/>
      <c r="Q6376"/>
      <c r="R6376"/>
      <c r="S6376"/>
      <c r="T6376"/>
      <c r="U6376"/>
    </row>
    <row r="6377" spans="1:21" hidden="1">
      <c r="A6377" s="7" t="s">
        <v>8811</v>
      </c>
      <c r="B6377" s="7" t="s">
        <v>8293</v>
      </c>
      <c r="C6377" s="8" t="s">
        <v>5319</v>
      </c>
      <c r="D6377" t="s">
        <v>266</v>
      </c>
      <c r="E6377" t="s">
        <v>1053</v>
      </c>
      <c r="F6377" t="s">
        <v>117</v>
      </c>
      <c r="G6377" t="s">
        <v>3724</v>
      </c>
      <c r="H6377" s="9">
        <v>44733</v>
      </c>
      <c r="I6377" t="s">
        <v>322</v>
      </c>
      <c r="J6377" t="s">
        <v>2</v>
      </c>
      <c r="K6377" s="9">
        <v>44834</v>
      </c>
      <c r="L6377" t="s">
        <v>29</v>
      </c>
      <c r="M6377" t="s">
        <v>5331</v>
      </c>
      <c r="N6377" s="9">
        <v>44778</v>
      </c>
      <c r="O6377" s="9">
        <v>44834</v>
      </c>
      <c r="P6377"/>
      <c r="Q6377"/>
      <c r="R6377"/>
      <c r="S6377"/>
      <c r="T6377"/>
      <c r="U6377"/>
    </row>
    <row r="6378" spans="1:21" hidden="1">
      <c r="A6378" s="7" t="s">
        <v>8811</v>
      </c>
      <c r="B6378" s="7" t="s">
        <v>8293</v>
      </c>
      <c r="C6378" s="8" t="s">
        <v>5319</v>
      </c>
      <c r="D6378" t="s">
        <v>266</v>
      </c>
      <c r="E6378" t="s">
        <v>1053</v>
      </c>
      <c r="F6378" t="s">
        <v>117</v>
      </c>
      <c r="G6378" t="s">
        <v>3725</v>
      </c>
      <c r="H6378" s="9">
        <v>44733</v>
      </c>
      <c r="I6378" t="s">
        <v>322</v>
      </c>
      <c r="J6378" t="s">
        <v>2</v>
      </c>
      <c r="K6378" s="9">
        <v>44834</v>
      </c>
      <c r="L6378" t="s">
        <v>29</v>
      </c>
      <c r="M6378" t="s">
        <v>5331</v>
      </c>
      <c r="N6378" s="9">
        <v>44778</v>
      </c>
      <c r="O6378" s="9">
        <v>44834</v>
      </c>
      <c r="P6378"/>
      <c r="Q6378"/>
      <c r="R6378"/>
      <c r="S6378"/>
      <c r="T6378"/>
      <c r="U6378"/>
    </row>
    <row r="6379" spans="1:21" hidden="1">
      <c r="A6379" s="7" t="s">
        <v>8811</v>
      </c>
      <c r="B6379" s="7" t="s">
        <v>8293</v>
      </c>
      <c r="C6379" s="8" t="s">
        <v>5319</v>
      </c>
      <c r="D6379" t="s">
        <v>266</v>
      </c>
      <c r="E6379" t="s">
        <v>1053</v>
      </c>
      <c r="F6379" t="s">
        <v>117</v>
      </c>
      <c r="G6379" t="s">
        <v>3726</v>
      </c>
      <c r="H6379" s="9">
        <v>44733</v>
      </c>
      <c r="I6379" t="s">
        <v>322</v>
      </c>
      <c r="J6379" t="s">
        <v>2</v>
      </c>
      <c r="K6379" s="9">
        <v>44834</v>
      </c>
      <c r="L6379" t="s">
        <v>29</v>
      </c>
      <c r="M6379" t="s">
        <v>5331</v>
      </c>
      <c r="N6379" s="9">
        <v>44778</v>
      </c>
      <c r="O6379" s="9">
        <v>44834</v>
      </c>
      <c r="P6379"/>
      <c r="Q6379"/>
      <c r="R6379"/>
      <c r="S6379"/>
      <c r="T6379"/>
      <c r="U6379"/>
    </row>
    <row r="6380" spans="1:21" hidden="1">
      <c r="A6380" s="7" t="s">
        <v>8890</v>
      </c>
      <c r="B6380" s="7" t="s">
        <v>8280</v>
      </c>
      <c r="C6380" s="8" t="s">
        <v>5319</v>
      </c>
      <c r="D6380" t="s">
        <v>266</v>
      </c>
      <c r="E6380" t="s">
        <v>2463</v>
      </c>
      <c r="F6380" t="s">
        <v>117</v>
      </c>
      <c r="G6380" t="s">
        <v>3727</v>
      </c>
      <c r="H6380" s="9">
        <v>44733</v>
      </c>
      <c r="I6380" t="s">
        <v>903</v>
      </c>
      <c r="J6380" t="s">
        <v>2</v>
      </c>
      <c r="K6380" s="9">
        <v>44806.485057870399</v>
      </c>
      <c r="L6380" t="s">
        <v>29</v>
      </c>
      <c r="M6380" t="s">
        <v>5331</v>
      </c>
      <c r="N6380" s="9">
        <v>44778</v>
      </c>
      <c r="O6380"/>
      <c r="P6380"/>
      <c r="Q6380"/>
      <c r="R6380" s="9">
        <v>44806.4842361111</v>
      </c>
      <c r="S6380"/>
      <c r="T6380"/>
      <c r="U6380"/>
    </row>
    <row r="6381" spans="1:21" hidden="1">
      <c r="A6381" s="7" t="s">
        <v>8890</v>
      </c>
      <c r="B6381" s="7" t="s">
        <v>8280</v>
      </c>
      <c r="C6381" s="8" t="s">
        <v>5319</v>
      </c>
      <c r="D6381" t="s">
        <v>266</v>
      </c>
      <c r="E6381" t="s">
        <v>2463</v>
      </c>
      <c r="F6381" t="s">
        <v>117</v>
      </c>
      <c r="G6381" t="s">
        <v>3728</v>
      </c>
      <c r="H6381" s="9">
        <v>44733</v>
      </c>
      <c r="I6381" t="s">
        <v>903</v>
      </c>
      <c r="J6381" t="s">
        <v>2</v>
      </c>
      <c r="K6381" s="9">
        <v>44806.485057870399</v>
      </c>
      <c r="L6381" t="s">
        <v>29</v>
      </c>
      <c r="M6381" t="s">
        <v>5331</v>
      </c>
      <c r="N6381" s="9">
        <v>44778</v>
      </c>
      <c r="O6381"/>
      <c r="P6381"/>
      <c r="Q6381"/>
      <c r="R6381" s="9">
        <v>44806.4842361111</v>
      </c>
      <c r="S6381"/>
      <c r="T6381"/>
      <c r="U6381"/>
    </row>
    <row r="6382" spans="1:21" hidden="1">
      <c r="A6382" s="7" t="s">
        <v>8871</v>
      </c>
      <c r="B6382" s="7" t="s">
        <v>8280</v>
      </c>
      <c r="C6382" s="8" t="s">
        <v>5319</v>
      </c>
      <c r="D6382" t="s">
        <v>266</v>
      </c>
      <c r="E6382" t="s">
        <v>2463</v>
      </c>
      <c r="F6382" t="s">
        <v>231</v>
      </c>
      <c r="G6382" t="s">
        <v>3729</v>
      </c>
      <c r="H6382" s="9">
        <v>44733</v>
      </c>
      <c r="I6382" t="s">
        <v>903</v>
      </c>
      <c r="J6382" t="s">
        <v>2</v>
      </c>
      <c r="K6382" s="9">
        <v>44806.4850925926</v>
      </c>
      <c r="L6382" t="s">
        <v>29</v>
      </c>
      <c r="M6382" t="s">
        <v>5331</v>
      </c>
      <c r="N6382" s="9">
        <v>44778</v>
      </c>
      <c r="O6382"/>
      <c r="P6382"/>
      <c r="Q6382"/>
      <c r="R6382" s="9">
        <v>44806.484525462998</v>
      </c>
      <c r="S6382"/>
      <c r="T6382"/>
      <c r="U6382"/>
    </row>
    <row r="6383" spans="1:21" hidden="1">
      <c r="A6383" s="7" t="s">
        <v>8890</v>
      </c>
      <c r="B6383" s="7" t="s">
        <v>8280</v>
      </c>
      <c r="C6383" s="8" t="s">
        <v>5319</v>
      </c>
      <c r="D6383" t="s">
        <v>266</v>
      </c>
      <c r="E6383" t="s">
        <v>2463</v>
      </c>
      <c r="F6383" t="s">
        <v>117</v>
      </c>
      <c r="G6383" t="s">
        <v>3730</v>
      </c>
      <c r="H6383" s="9">
        <v>44733</v>
      </c>
      <c r="I6383" t="s">
        <v>903</v>
      </c>
      <c r="J6383" t="s">
        <v>2</v>
      </c>
      <c r="K6383" s="9">
        <v>44806.485057870399</v>
      </c>
      <c r="L6383" t="s">
        <v>29</v>
      </c>
      <c r="M6383" t="s">
        <v>5331</v>
      </c>
      <c r="N6383" s="9">
        <v>44778</v>
      </c>
      <c r="O6383"/>
      <c r="P6383"/>
      <c r="Q6383"/>
      <c r="R6383" s="9">
        <v>44806.4842361111</v>
      </c>
      <c r="S6383"/>
      <c r="T6383"/>
      <c r="U6383"/>
    </row>
    <row r="6384" spans="1:21" hidden="1">
      <c r="A6384" s="7" t="s">
        <v>8890</v>
      </c>
      <c r="B6384" s="7" t="s">
        <v>8280</v>
      </c>
      <c r="C6384" s="8" t="s">
        <v>5319</v>
      </c>
      <c r="D6384" t="s">
        <v>266</v>
      </c>
      <c r="E6384" t="s">
        <v>2463</v>
      </c>
      <c r="F6384" t="s">
        <v>117</v>
      </c>
      <c r="G6384" t="s">
        <v>3731</v>
      </c>
      <c r="H6384" s="9">
        <v>44733</v>
      </c>
      <c r="I6384" t="s">
        <v>903</v>
      </c>
      <c r="J6384" t="s">
        <v>2</v>
      </c>
      <c r="K6384" s="9">
        <v>44806.485057870399</v>
      </c>
      <c r="L6384" t="s">
        <v>29</v>
      </c>
      <c r="M6384" t="s">
        <v>5331</v>
      </c>
      <c r="N6384" s="9">
        <v>44778</v>
      </c>
      <c r="O6384"/>
      <c r="P6384"/>
      <c r="Q6384"/>
      <c r="R6384" s="9">
        <v>44806.4842361111</v>
      </c>
      <c r="S6384"/>
      <c r="T6384"/>
      <c r="U6384"/>
    </row>
    <row r="6385" spans="1:21" hidden="1">
      <c r="A6385" s="7" t="s">
        <v>8890</v>
      </c>
      <c r="B6385" s="7" t="s">
        <v>8280</v>
      </c>
      <c r="C6385" s="8" t="s">
        <v>5319</v>
      </c>
      <c r="D6385" t="s">
        <v>266</v>
      </c>
      <c r="E6385" t="s">
        <v>2463</v>
      </c>
      <c r="F6385" t="s">
        <v>117</v>
      </c>
      <c r="G6385" t="s">
        <v>3732</v>
      </c>
      <c r="H6385" s="9">
        <v>44733</v>
      </c>
      <c r="I6385" t="s">
        <v>903</v>
      </c>
      <c r="J6385" t="s">
        <v>2</v>
      </c>
      <c r="K6385" s="9">
        <v>44806.485057870399</v>
      </c>
      <c r="L6385" t="s">
        <v>29</v>
      </c>
      <c r="M6385" t="s">
        <v>5331</v>
      </c>
      <c r="N6385" s="9">
        <v>44778</v>
      </c>
      <c r="O6385"/>
      <c r="P6385"/>
      <c r="Q6385"/>
      <c r="R6385" s="9">
        <v>44806.4842361111</v>
      </c>
      <c r="S6385"/>
      <c r="T6385"/>
      <c r="U6385"/>
    </row>
    <row r="6386" spans="1:21" hidden="1">
      <c r="A6386" s="7" t="s">
        <v>8890</v>
      </c>
      <c r="B6386" s="7" t="s">
        <v>8280</v>
      </c>
      <c r="C6386" s="8" t="s">
        <v>5319</v>
      </c>
      <c r="D6386" t="s">
        <v>266</v>
      </c>
      <c r="E6386" t="s">
        <v>2463</v>
      </c>
      <c r="F6386" t="s">
        <v>117</v>
      </c>
      <c r="G6386" t="s">
        <v>3733</v>
      </c>
      <c r="H6386" s="9">
        <v>44733</v>
      </c>
      <c r="I6386" t="s">
        <v>903</v>
      </c>
      <c r="J6386" t="s">
        <v>2</v>
      </c>
      <c r="K6386" s="9">
        <v>44806.485057870399</v>
      </c>
      <c r="L6386" t="s">
        <v>29</v>
      </c>
      <c r="M6386" t="s">
        <v>5331</v>
      </c>
      <c r="N6386" s="9">
        <v>44778</v>
      </c>
      <c r="O6386"/>
      <c r="P6386"/>
      <c r="Q6386"/>
      <c r="R6386" s="9">
        <v>44806.4842361111</v>
      </c>
      <c r="S6386"/>
      <c r="T6386"/>
      <c r="U6386"/>
    </row>
    <row r="6387" spans="1:21" hidden="1">
      <c r="A6387" s="7" t="s">
        <v>8890</v>
      </c>
      <c r="B6387" s="7" t="s">
        <v>8280</v>
      </c>
      <c r="C6387" s="8" t="s">
        <v>5319</v>
      </c>
      <c r="D6387" t="s">
        <v>266</v>
      </c>
      <c r="E6387" t="s">
        <v>2463</v>
      </c>
      <c r="F6387" t="s">
        <v>117</v>
      </c>
      <c r="G6387" t="s">
        <v>3734</v>
      </c>
      <c r="H6387" s="9">
        <v>44733</v>
      </c>
      <c r="I6387" t="s">
        <v>903</v>
      </c>
      <c r="J6387" t="s">
        <v>2</v>
      </c>
      <c r="K6387" s="9">
        <v>44806.485057870399</v>
      </c>
      <c r="L6387" t="s">
        <v>29</v>
      </c>
      <c r="M6387" t="s">
        <v>5331</v>
      </c>
      <c r="N6387" s="9">
        <v>44778</v>
      </c>
      <c r="O6387"/>
      <c r="P6387"/>
      <c r="Q6387"/>
      <c r="R6387" s="9">
        <v>44806.4842361111</v>
      </c>
      <c r="S6387"/>
      <c r="T6387"/>
      <c r="U6387"/>
    </row>
    <row r="6388" spans="1:21" hidden="1">
      <c r="A6388" s="7" t="s">
        <v>8871</v>
      </c>
      <c r="B6388" s="7" t="s">
        <v>8280</v>
      </c>
      <c r="C6388" s="8" t="s">
        <v>5319</v>
      </c>
      <c r="D6388" t="s">
        <v>266</v>
      </c>
      <c r="E6388" t="s">
        <v>2463</v>
      </c>
      <c r="F6388" t="s">
        <v>231</v>
      </c>
      <c r="G6388" t="s">
        <v>3734</v>
      </c>
      <c r="H6388" s="9">
        <v>44733</v>
      </c>
      <c r="I6388" t="s">
        <v>903</v>
      </c>
      <c r="J6388" t="s">
        <v>2</v>
      </c>
      <c r="K6388" s="9">
        <v>44806.4850925926</v>
      </c>
      <c r="L6388" t="s">
        <v>29</v>
      </c>
      <c r="M6388" t="s">
        <v>5331</v>
      </c>
      <c r="N6388" s="9">
        <v>44778</v>
      </c>
      <c r="O6388"/>
      <c r="P6388"/>
      <c r="Q6388"/>
      <c r="R6388" s="9">
        <v>44806.484525462998</v>
      </c>
      <c r="S6388"/>
      <c r="T6388"/>
      <c r="U6388"/>
    </row>
    <row r="6389" spans="1:21" hidden="1">
      <c r="A6389" s="7" t="s">
        <v>8890</v>
      </c>
      <c r="B6389" s="7" t="s">
        <v>8280</v>
      </c>
      <c r="C6389" s="8" t="s">
        <v>5319</v>
      </c>
      <c r="D6389" t="s">
        <v>266</v>
      </c>
      <c r="E6389" t="s">
        <v>2463</v>
      </c>
      <c r="F6389" t="s">
        <v>117</v>
      </c>
      <c r="G6389" t="s">
        <v>3735</v>
      </c>
      <c r="H6389" s="9">
        <v>44733</v>
      </c>
      <c r="I6389" t="s">
        <v>903</v>
      </c>
      <c r="J6389" t="s">
        <v>2</v>
      </c>
      <c r="K6389" s="9">
        <v>44806.485057870399</v>
      </c>
      <c r="L6389" t="s">
        <v>29</v>
      </c>
      <c r="M6389" t="s">
        <v>5331</v>
      </c>
      <c r="N6389" s="9">
        <v>44778</v>
      </c>
      <c r="O6389"/>
      <c r="P6389"/>
      <c r="Q6389"/>
      <c r="R6389" s="9">
        <v>44806.4842361111</v>
      </c>
      <c r="S6389"/>
      <c r="T6389"/>
      <c r="U6389"/>
    </row>
    <row r="6390" spans="1:21" hidden="1">
      <c r="A6390" s="7" t="s">
        <v>8871</v>
      </c>
      <c r="B6390" s="7" t="s">
        <v>8280</v>
      </c>
      <c r="C6390" s="8" t="s">
        <v>5319</v>
      </c>
      <c r="D6390" t="s">
        <v>266</v>
      </c>
      <c r="E6390" t="s">
        <v>2463</v>
      </c>
      <c r="F6390" t="s">
        <v>231</v>
      </c>
      <c r="G6390" t="s">
        <v>3735</v>
      </c>
      <c r="H6390" s="9">
        <v>44733</v>
      </c>
      <c r="I6390" t="s">
        <v>903</v>
      </c>
      <c r="J6390" t="s">
        <v>2</v>
      </c>
      <c r="K6390" s="9">
        <v>44806.4850925926</v>
      </c>
      <c r="L6390" t="s">
        <v>29</v>
      </c>
      <c r="M6390" t="s">
        <v>5331</v>
      </c>
      <c r="N6390" s="9">
        <v>44778</v>
      </c>
      <c r="O6390"/>
      <c r="P6390"/>
      <c r="Q6390"/>
      <c r="R6390" s="9">
        <v>44806.484525462998</v>
      </c>
      <c r="S6390"/>
      <c r="T6390"/>
      <c r="U6390"/>
    </row>
    <row r="6391" spans="1:21" hidden="1">
      <c r="A6391" s="7" t="s">
        <v>8890</v>
      </c>
      <c r="B6391" s="7" t="s">
        <v>8280</v>
      </c>
      <c r="C6391" s="8" t="s">
        <v>5319</v>
      </c>
      <c r="D6391" t="s">
        <v>266</v>
      </c>
      <c r="E6391" t="s">
        <v>2463</v>
      </c>
      <c r="F6391" t="s">
        <v>117</v>
      </c>
      <c r="G6391" t="s">
        <v>3736</v>
      </c>
      <c r="H6391" s="9">
        <v>44733</v>
      </c>
      <c r="I6391" t="s">
        <v>903</v>
      </c>
      <c r="J6391" t="s">
        <v>2</v>
      </c>
      <c r="K6391" s="9">
        <v>44806.485057870399</v>
      </c>
      <c r="L6391" t="s">
        <v>29</v>
      </c>
      <c r="M6391" t="s">
        <v>5331</v>
      </c>
      <c r="N6391" s="9">
        <v>44778</v>
      </c>
      <c r="O6391"/>
      <c r="P6391"/>
      <c r="Q6391"/>
      <c r="R6391" s="9">
        <v>44806.4842361111</v>
      </c>
      <c r="S6391"/>
      <c r="T6391"/>
      <c r="U6391"/>
    </row>
    <row r="6392" spans="1:21" hidden="1">
      <c r="A6392" s="7" t="s">
        <v>8871</v>
      </c>
      <c r="B6392" s="7" t="s">
        <v>8280</v>
      </c>
      <c r="C6392" s="8" t="s">
        <v>5319</v>
      </c>
      <c r="D6392" t="s">
        <v>266</v>
      </c>
      <c r="E6392" t="s">
        <v>2463</v>
      </c>
      <c r="F6392" t="s">
        <v>231</v>
      </c>
      <c r="G6392" t="s">
        <v>3736</v>
      </c>
      <c r="H6392" s="9">
        <v>44733</v>
      </c>
      <c r="I6392" t="s">
        <v>903</v>
      </c>
      <c r="J6392" t="s">
        <v>2</v>
      </c>
      <c r="K6392" s="9">
        <v>44806.4850925926</v>
      </c>
      <c r="L6392" t="s">
        <v>29</v>
      </c>
      <c r="M6392" t="s">
        <v>5331</v>
      </c>
      <c r="N6392" s="9">
        <v>44778</v>
      </c>
      <c r="O6392"/>
      <c r="P6392"/>
      <c r="Q6392"/>
      <c r="R6392" s="9">
        <v>44806.484525462998</v>
      </c>
      <c r="S6392"/>
      <c r="T6392"/>
      <c r="U6392"/>
    </row>
    <row r="6393" spans="1:21" hidden="1">
      <c r="A6393" s="7" t="s">
        <v>8890</v>
      </c>
      <c r="B6393" s="7" t="s">
        <v>8280</v>
      </c>
      <c r="C6393" s="8" t="s">
        <v>5319</v>
      </c>
      <c r="D6393" t="s">
        <v>266</v>
      </c>
      <c r="E6393" t="s">
        <v>2463</v>
      </c>
      <c r="F6393" t="s">
        <v>117</v>
      </c>
      <c r="G6393" t="s">
        <v>3737</v>
      </c>
      <c r="H6393" s="9">
        <v>44733</v>
      </c>
      <c r="I6393" t="s">
        <v>903</v>
      </c>
      <c r="J6393" t="s">
        <v>2</v>
      </c>
      <c r="K6393" s="9">
        <v>44806.485057870399</v>
      </c>
      <c r="L6393" t="s">
        <v>29</v>
      </c>
      <c r="M6393" t="s">
        <v>5331</v>
      </c>
      <c r="N6393" s="9">
        <v>44778</v>
      </c>
      <c r="O6393"/>
      <c r="P6393"/>
      <c r="Q6393"/>
      <c r="R6393" s="9">
        <v>44806.4842361111</v>
      </c>
      <c r="S6393"/>
      <c r="T6393"/>
      <c r="U6393"/>
    </row>
    <row r="6394" spans="1:21" hidden="1">
      <c r="A6394" s="7" t="s">
        <v>8871</v>
      </c>
      <c r="B6394" s="7" t="s">
        <v>8280</v>
      </c>
      <c r="C6394" s="8" t="s">
        <v>5319</v>
      </c>
      <c r="D6394" t="s">
        <v>266</v>
      </c>
      <c r="E6394" t="s">
        <v>2463</v>
      </c>
      <c r="F6394" t="s">
        <v>231</v>
      </c>
      <c r="G6394" t="s">
        <v>3737</v>
      </c>
      <c r="H6394" s="9">
        <v>44733</v>
      </c>
      <c r="I6394" t="s">
        <v>903</v>
      </c>
      <c r="J6394" t="s">
        <v>2</v>
      </c>
      <c r="K6394" s="9">
        <v>44806.4850925926</v>
      </c>
      <c r="L6394" t="s">
        <v>29</v>
      </c>
      <c r="M6394" t="s">
        <v>5331</v>
      </c>
      <c r="N6394" s="9">
        <v>44778</v>
      </c>
      <c r="O6394"/>
      <c r="P6394"/>
      <c r="Q6394"/>
      <c r="R6394" s="9">
        <v>44806.484525462998</v>
      </c>
      <c r="S6394"/>
      <c r="T6394"/>
      <c r="U6394"/>
    </row>
    <row r="6395" spans="1:21" hidden="1">
      <c r="A6395" s="7" t="s">
        <v>8890</v>
      </c>
      <c r="B6395" s="7" t="s">
        <v>8280</v>
      </c>
      <c r="C6395" s="8" t="s">
        <v>5319</v>
      </c>
      <c r="D6395" t="s">
        <v>266</v>
      </c>
      <c r="E6395" t="s">
        <v>2463</v>
      </c>
      <c r="F6395" t="s">
        <v>117</v>
      </c>
      <c r="G6395" t="s">
        <v>3738</v>
      </c>
      <c r="H6395" s="9">
        <v>44733</v>
      </c>
      <c r="I6395" t="s">
        <v>903</v>
      </c>
      <c r="J6395" t="s">
        <v>2</v>
      </c>
      <c r="K6395" s="9">
        <v>44806.485057870399</v>
      </c>
      <c r="L6395" t="s">
        <v>29</v>
      </c>
      <c r="M6395" t="s">
        <v>5331</v>
      </c>
      <c r="N6395" s="9">
        <v>44778</v>
      </c>
      <c r="O6395"/>
      <c r="P6395"/>
      <c r="Q6395"/>
      <c r="R6395" s="9">
        <v>44806.4842361111</v>
      </c>
      <c r="S6395"/>
      <c r="T6395"/>
      <c r="U6395"/>
    </row>
    <row r="6396" spans="1:21" hidden="1">
      <c r="A6396" s="7" t="s">
        <v>8890</v>
      </c>
      <c r="B6396" s="7" t="s">
        <v>8280</v>
      </c>
      <c r="C6396" s="8" t="s">
        <v>5319</v>
      </c>
      <c r="D6396" t="s">
        <v>266</v>
      </c>
      <c r="E6396" t="s">
        <v>2463</v>
      </c>
      <c r="F6396" t="s">
        <v>117</v>
      </c>
      <c r="G6396" t="s">
        <v>3739</v>
      </c>
      <c r="H6396" s="9">
        <v>44733</v>
      </c>
      <c r="I6396" t="s">
        <v>903</v>
      </c>
      <c r="J6396" t="s">
        <v>2</v>
      </c>
      <c r="K6396" s="9">
        <v>44806.485057870399</v>
      </c>
      <c r="L6396" t="s">
        <v>29</v>
      </c>
      <c r="M6396" t="s">
        <v>5331</v>
      </c>
      <c r="N6396" s="9">
        <v>44778</v>
      </c>
      <c r="O6396"/>
      <c r="P6396"/>
      <c r="Q6396"/>
      <c r="R6396" s="9">
        <v>44806.4842361111</v>
      </c>
      <c r="S6396"/>
      <c r="T6396"/>
      <c r="U6396"/>
    </row>
    <row r="6397" spans="1:21" hidden="1">
      <c r="A6397" s="7" t="s">
        <v>8890</v>
      </c>
      <c r="B6397" s="7" t="s">
        <v>8280</v>
      </c>
      <c r="C6397" s="8" t="s">
        <v>5319</v>
      </c>
      <c r="D6397" t="s">
        <v>266</v>
      </c>
      <c r="E6397" t="s">
        <v>2463</v>
      </c>
      <c r="F6397" t="s">
        <v>117</v>
      </c>
      <c r="G6397" t="s">
        <v>3740</v>
      </c>
      <c r="H6397" s="9">
        <v>44733</v>
      </c>
      <c r="I6397" t="s">
        <v>903</v>
      </c>
      <c r="J6397" t="s">
        <v>2</v>
      </c>
      <c r="K6397" s="9">
        <v>44806.485057870399</v>
      </c>
      <c r="L6397" t="s">
        <v>29</v>
      </c>
      <c r="M6397" t="s">
        <v>5331</v>
      </c>
      <c r="N6397" s="9">
        <v>44778</v>
      </c>
      <c r="O6397"/>
      <c r="P6397"/>
      <c r="Q6397"/>
      <c r="R6397" s="9">
        <v>44806.4842361111</v>
      </c>
      <c r="S6397"/>
      <c r="T6397"/>
      <c r="U6397"/>
    </row>
    <row r="6398" spans="1:21" hidden="1">
      <c r="A6398" s="7" t="s">
        <v>8871</v>
      </c>
      <c r="B6398" s="7" t="s">
        <v>8280</v>
      </c>
      <c r="C6398" s="8" t="s">
        <v>5319</v>
      </c>
      <c r="D6398" t="s">
        <v>266</v>
      </c>
      <c r="E6398" t="s">
        <v>2463</v>
      </c>
      <c r="F6398" t="s">
        <v>231</v>
      </c>
      <c r="G6398" t="s">
        <v>3741</v>
      </c>
      <c r="H6398" s="9">
        <v>44733</v>
      </c>
      <c r="I6398" t="s">
        <v>903</v>
      </c>
      <c r="J6398" t="s">
        <v>2</v>
      </c>
      <c r="K6398" s="9">
        <v>44806.4850925926</v>
      </c>
      <c r="L6398" t="s">
        <v>29</v>
      </c>
      <c r="M6398" t="s">
        <v>5331</v>
      </c>
      <c r="N6398" s="9">
        <v>44778</v>
      </c>
      <c r="O6398"/>
      <c r="P6398"/>
      <c r="Q6398"/>
      <c r="R6398" s="9">
        <v>44806.484525462998</v>
      </c>
      <c r="S6398"/>
      <c r="T6398"/>
      <c r="U6398"/>
    </row>
    <row r="6399" spans="1:21" hidden="1">
      <c r="A6399" s="7" t="s">
        <v>8890</v>
      </c>
      <c r="B6399" s="7" t="s">
        <v>8280</v>
      </c>
      <c r="C6399" s="8" t="s">
        <v>5319</v>
      </c>
      <c r="D6399" t="s">
        <v>266</v>
      </c>
      <c r="E6399" t="s">
        <v>2463</v>
      </c>
      <c r="F6399" t="s">
        <v>117</v>
      </c>
      <c r="G6399" t="s">
        <v>3742</v>
      </c>
      <c r="H6399" s="9">
        <v>44733</v>
      </c>
      <c r="I6399" t="s">
        <v>903</v>
      </c>
      <c r="J6399" t="s">
        <v>2</v>
      </c>
      <c r="K6399" s="9">
        <v>44806.485057870399</v>
      </c>
      <c r="L6399" t="s">
        <v>29</v>
      </c>
      <c r="M6399" t="s">
        <v>5331</v>
      </c>
      <c r="N6399" s="9">
        <v>44778</v>
      </c>
      <c r="O6399"/>
      <c r="P6399"/>
      <c r="Q6399"/>
      <c r="R6399" s="9">
        <v>44806.4842361111</v>
      </c>
      <c r="S6399"/>
      <c r="T6399"/>
      <c r="U6399"/>
    </row>
    <row r="6400" spans="1:21" hidden="1">
      <c r="A6400" s="7" t="s">
        <v>8890</v>
      </c>
      <c r="B6400" s="7" t="s">
        <v>8280</v>
      </c>
      <c r="C6400" s="8" t="s">
        <v>5319</v>
      </c>
      <c r="D6400" t="s">
        <v>266</v>
      </c>
      <c r="E6400" t="s">
        <v>2463</v>
      </c>
      <c r="F6400" t="s">
        <v>117</v>
      </c>
      <c r="G6400" t="s">
        <v>3743</v>
      </c>
      <c r="H6400" s="9">
        <v>44733</v>
      </c>
      <c r="I6400" t="s">
        <v>903</v>
      </c>
      <c r="J6400" t="s">
        <v>2</v>
      </c>
      <c r="K6400" s="9">
        <v>44806.485057870399</v>
      </c>
      <c r="L6400" t="s">
        <v>29</v>
      </c>
      <c r="M6400" t="s">
        <v>5331</v>
      </c>
      <c r="N6400" s="9">
        <v>44778</v>
      </c>
      <c r="O6400"/>
      <c r="P6400"/>
      <c r="Q6400"/>
      <c r="R6400" s="9">
        <v>44806.4842361111</v>
      </c>
      <c r="S6400"/>
      <c r="T6400"/>
      <c r="U6400"/>
    </row>
    <row r="6401" spans="1:21" hidden="1">
      <c r="A6401" s="7" t="s">
        <v>8938</v>
      </c>
      <c r="B6401" s="7" t="s">
        <v>8370</v>
      </c>
      <c r="C6401" s="8" t="s">
        <v>5319</v>
      </c>
      <c r="D6401" t="s">
        <v>266</v>
      </c>
      <c r="E6401" t="s">
        <v>3744</v>
      </c>
      <c r="F6401" t="s">
        <v>117</v>
      </c>
      <c r="G6401" t="s">
        <v>3745</v>
      </c>
      <c r="H6401" s="9">
        <v>44735</v>
      </c>
      <c r="I6401" t="s">
        <v>3107</v>
      </c>
      <c r="J6401" t="s">
        <v>2</v>
      </c>
      <c r="K6401" s="9">
        <v>44834</v>
      </c>
      <c r="L6401" t="s">
        <v>29</v>
      </c>
      <c r="M6401" t="s">
        <v>5331</v>
      </c>
      <c r="N6401" s="9">
        <v>44778</v>
      </c>
      <c r="O6401" s="9">
        <v>44834</v>
      </c>
      <c r="P6401"/>
      <c r="Q6401"/>
      <c r="R6401"/>
      <c r="S6401"/>
      <c r="T6401"/>
      <c r="U6401"/>
    </row>
    <row r="6402" spans="1:21" hidden="1">
      <c r="A6402" s="7" t="s">
        <v>8939</v>
      </c>
      <c r="B6402" s="7" t="s">
        <v>8078</v>
      </c>
      <c r="C6402" s="8" t="s">
        <v>5319</v>
      </c>
      <c r="D6402" t="s">
        <v>266</v>
      </c>
      <c r="E6402" t="s">
        <v>3746</v>
      </c>
      <c r="F6402" t="s">
        <v>117</v>
      </c>
      <c r="G6402" t="s">
        <v>3747</v>
      </c>
      <c r="H6402" s="9">
        <v>44733</v>
      </c>
      <c r="I6402" t="s">
        <v>984</v>
      </c>
      <c r="J6402" t="s">
        <v>2</v>
      </c>
      <c r="K6402" s="9">
        <v>44834</v>
      </c>
      <c r="L6402" t="s">
        <v>29</v>
      </c>
      <c r="M6402" t="s">
        <v>5331</v>
      </c>
      <c r="N6402" s="9">
        <v>44778</v>
      </c>
      <c r="O6402" s="9">
        <v>44834</v>
      </c>
      <c r="P6402"/>
      <c r="Q6402"/>
      <c r="R6402"/>
      <c r="S6402"/>
      <c r="T6402"/>
      <c r="U6402"/>
    </row>
    <row r="6403" spans="1:21" hidden="1">
      <c r="A6403" s="7" t="s">
        <v>8758</v>
      </c>
      <c r="B6403" s="7" t="s">
        <v>5405</v>
      </c>
      <c r="C6403" s="8" t="s">
        <v>5319</v>
      </c>
      <c r="D6403" t="s">
        <v>266</v>
      </c>
      <c r="E6403" t="s">
        <v>25</v>
      </c>
      <c r="F6403" t="s">
        <v>493</v>
      </c>
      <c r="G6403" t="s">
        <v>2769</v>
      </c>
      <c r="H6403" s="9">
        <v>44733</v>
      </c>
      <c r="I6403" t="s">
        <v>8634</v>
      </c>
      <c r="J6403" t="s">
        <v>0</v>
      </c>
      <c r="K6403" s="9">
        <v>44862</v>
      </c>
      <c r="L6403" t="s">
        <v>29</v>
      </c>
      <c r="M6403"/>
      <c r="N6403"/>
      <c r="O6403"/>
      <c r="P6403"/>
      <c r="Q6403" s="9">
        <v>44862</v>
      </c>
      <c r="R6403"/>
      <c r="S6403"/>
      <c r="T6403"/>
      <c r="U6403"/>
    </row>
    <row r="6404" spans="1:21" hidden="1">
      <c r="A6404" s="7" t="s">
        <v>8940</v>
      </c>
      <c r="B6404" s="7" t="s">
        <v>6941</v>
      </c>
      <c r="C6404" s="8" t="s">
        <v>5319</v>
      </c>
      <c r="D6404" t="s">
        <v>266</v>
      </c>
      <c r="E6404" t="s">
        <v>3748</v>
      </c>
      <c r="F6404" t="s">
        <v>280</v>
      </c>
      <c r="G6404" t="s">
        <v>3749</v>
      </c>
      <c r="H6404" s="9">
        <v>44733</v>
      </c>
      <c r="I6404" t="s">
        <v>758</v>
      </c>
      <c r="J6404" t="s">
        <v>2</v>
      </c>
      <c r="K6404" s="9">
        <v>44834</v>
      </c>
      <c r="L6404" t="s">
        <v>29</v>
      </c>
      <c r="M6404" t="s">
        <v>5331</v>
      </c>
      <c r="N6404" s="9">
        <v>44778</v>
      </c>
      <c r="O6404" s="9">
        <v>44834</v>
      </c>
      <c r="P6404"/>
      <c r="Q6404"/>
      <c r="R6404"/>
      <c r="S6404"/>
      <c r="T6404"/>
      <c r="U6404"/>
    </row>
    <row r="6405" spans="1:21" hidden="1">
      <c r="A6405" s="7" t="s">
        <v>8940</v>
      </c>
      <c r="B6405" s="7" t="s">
        <v>6941</v>
      </c>
      <c r="C6405" s="8" t="s">
        <v>5319</v>
      </c>
      <c r="D6405" t="s">
        <v>266</v>
      </c>
      <c r="E6405" t="s">
        <v>3748</v>
      </c>
      <c r="F6405" t="s">
        <v>280</v>
      </c>
      <c r="G6405" t="s">
        <v>3750</v>
      </c>
      <c r="H6405" s="9">
        <v>44733</v>
      </c>
      <c r="I6405" t="s">
        <v>758</v>
      </c>
      <c r="J6405" t="s">
        <v>2</v>
      </c>
      <c r="K6405" s="9">
        <v>44834</v>
      </c>
      <c r="L6405" t="s">
        <v>29</v>
      </c>
      <c r="M6405" t="s">
        <v>5331</v>
      </c>
      <c r="N6405" s="9">
        <v>44778</v>
      </c>
      <c r="O6405" s="9">
        <v>44834</v>
      </c>
      <c r="P6405"/>
      <c r="Q6405"/>
      <c r="R6405"/>
      <c r="S6405"/>
      <c r="T6405"/>
      <c r="U6405"/>
    </row>
    <row r="6406" spans="1:21" hidden="1">
      <c r="A6406" s="7" t="s">
        <v>8940</v>
      </c>
      <c r="B6406" s="7" t="s">
        <v>6941</v>
      </c>
      <c r="C6406" s="8" t="s">
        <v>5319</v>
      </c>
      <c r="D6406" t="s">
        <v>266</v>
      </c>
      <c r="E6406" t="s">
        <v>3748</v>
      </c>
      <c r="F6406" t="s">
        <v>280</v>
      </c>
      <c r="G6406" t="s">
        <v>3751</v>
      </c>
      <c r="H6406" s="9">
        <v>44733</v>
      </c>
      <c r="I6406" t="s">
        <v>758</v>
      </c>
      <c r="J6406" t="s">
        <v>2</v>
      </c>
      <c r="K6406" s="9">
        <v>44834</v>
      </c>
      <c r="L6406" t="s">
        <v>29</v>
      </c>
      <c r="M6406" t="s">
        <v>5331</v>
      </c>
      <c r="N6406" s="9">
        <v>44778</v>
      </c>
      <c r="O6406" s="9">
        <v>44834</v>
      </c>
      <c r="P6406"/>
      <c r="Q6406"/>
      <c r="R6406"/>
      <c r="S6406"/>
      <c r="T6406"/>
      <c r="U6406"/>
    </row>
    <row r="6407" spans="1:21" hidden="1">
      <c r="A6407" s="7" t="s">
        <v>8902</v>
      </c>
      <c r="B6407" s="7" t="s">
        <v>6805</v>
      </c>
      <c r="C6407" s="8" t="s">
        <v>5319</v>
      </c>
      <c r="D6407" t="s">
        <v>266</v>
      </c>
      <c r="E6407" t="s">
        <v>2175</v>
      </c>
      <c r="F6407" t="s">
        <v>117</v>
      </c>
      <c r="G6407" t="s">
        <v>3752</v>
      </c>
      <c r="H6407" s="9">
        <v>44733</v>
      </c>
      <c r="I6407" t="s">
        <v>488</v>
      </c>
      <c r="J6407" t="s">
        <v>2</v>
      </c>
      <c r="K6407" s="9">
        <v>44834</v>
      </c>
      <c r="L6407" t="s">
        <v>29</v>
      </c>
      <c r="M6407" t="s">
        <v>5331</v>
      </c>
      <c r="N6407" s="9">
        <v>44778</v>
      </c>
      <c r="O6407" s="9">
        <v>44834</v>
      </c>
      <c r="P6407"/>
      <c r="Q6407"/>
      <c r="R6407"/>
      <c r="S6407"/>
      <c r="T6407"/>
      <c r="U6407"/>
    </row>
    <row r="6408" spans="1:21" hidden="1">
      <c r="A6408" s="7" t="s">
        <v>8849</v>
      </c>
      <c r="B6408" s="7" t="s">
        <v>6805</v>
      </c>
      <c r="C6408" s="8" t="s">
        <v>5319</v>
      </c>
      <c r="D6408" t="s">
        <v>266</v>
      </c>
      <c r="E6408" t="s">
        <v>2175</v>
      </c>
      <c r="F6408" t="s">
        <v>75</v>
      </c>
      <c r="G6408" t="s">
        <v>3752</v>
      </c>
      <c r="H6408" s="9">
        <v>44733</v>
      </c>
      <c r="I6408" t="s">
        <v>488</v>
      </c>
      <c r="J6408" t="s">
        <v>2</v>
      </c>
      <c r="K6408" s="9">
        <v>44834</v>
      </c>
      <c r="L6408" t="s">
        <v>29</v>
      </c>
      <c r="M6408" t="s">
        <v>5331</v>
      </c>
      <c r="N6408" s="9">
        <v>44778</v>
      </c>
      <c r="O6408" s="9">
        <v>44834</v>
      </c>
      <c r="P6408"/>
      <c r="Q6408"/>
      <c r="R6408"/>
      <c r="S6408"/>
      <c r="T6408"/>
      <c r="U6408"/>
    </row>
    <row r="6409" spans="1:21" hidden="1">
      <c r="A6409" s="7" t="s">
        <v>8902</v>
      </c>
      <c r="B6409" s="7" t="s">
        <v>6805</v>
      </c>
      <c r="C6409" s="8" t="s">
        <v>5319</v>
      </c>
      <c r="D6409" t="s">
        <v>266</v>
      </c>
      <c r="E6409" t="s">
        <v>2175</v>
      </c>
      <c r="F6409" t="s">
        <v>117</v>
      </c>
      <c r="G6409" t="s">
        <v>3753</v>
      </c>
      <c r="H6409" s="9">
        <v>44733</v>
      </c>
      <c r="I6409" t="s">
        <v>488</v>
      </c>
      <c r="J6409" t="s">
        <v>2</v>
      </c>
      <c r="K6409" s="9">
        <v>44834</v>
      </c>
      <c r="L6409" t="s">
        <v>29</v>
      </c>
      <c r="M6409" t="s">
        <v>5331</v>
      </c>
      <c r="N6409" s="9">
        <v>44778</v>
      </c>
      <c r="O6409" s="9">
        <v>44834</v>
      </c>
      <c r="P6409"/>
      <c r="Q6409"/>
      <c r="R6409"/>
      <c r="S6409"/>
      <c r="T6409"/>
      <c r="U6409"/>
    </row>
    <row r="6410" spans="1:21" hidden="1">
      <c r="A6410" s="7" t="s">
        <v>8849</v>
      </c>
      <c r="B6410" s="7" t="s">
        <v>6805</v>
      </c>
      <c r="C6410" s="8" t="s">
        <v>5319</v>
      </c>
      <c r="D6410" t="s">
        <v>266</v>
      </c>
      <c r="E6410" t="s">
        <v>2175</v>
      </c>
      <c r="F6410" t="s">
        <v>75</v>
      </c>
      <c r="G6410" t="s">
        <v>3753</v>
      </c>
      <c r="H6410" s="9">
        <v>44733</v>
      </c>
      <c r="I6410" t="s">
        <v>488</v>
      </c>
      <c r="J6410" t="s">
        <v>2</v>
      </c>
      <c r="K6410" s="9">
        <v>44834</v>
      </c>
      <c r="L6410" t="s">
        <v>29</v>
      </c>
      <c r="M6410" t="s">
        <v>5331</v>
      </c>
      <c r="N6410" s="9">
        <v>44778</v>
      </c>
      <c r="O6410" s="9">
        <v>44834</v>
      </c>
      <c r="P6410"/>
      <c r="Q6410"/>
      <c r="R6410"/>
      <c r="S6410"/>
      <c r="T6410"/>
      <c r="U6410"/>
    </row>
    <row r="6411" spans="1:21" hidden="1">
      <c r="A6411" s="7" t="s">
        <v>8902</v>
      </c>
      <c r="B6411" s="7" t="s">
        <v>6805</v>
      </c>
      <c r="C6411" s="8" t="s">
        <v>5319</v>
      </c>
      <c r="D6411" t="s">
        <v>266</v>
      </c>
      <c r="E6411" t="s">
        <v>2175</v>
      </c>
      <c r="F6411" t="s">
        <v>117</v>
      </c>
      <c r="G6411" t="s">
        <v>3754</v>
      </c>
      <c r="H6411" s="9">
        <v>44733</v>
      </c>
      <c r="I6411" t="s">
        <v>488</v>
      </c>
      <c r="J6411" t="s">
        <v>2</v>
      </c>
      <c r="K6411" s="9">
        <v>44834</v>
      </c>
      <c r="L6411" t="s">
        <v>29</v>
      </c>
      <c r="M6411" t="s">
        <v>5331</v>
      </c>
      <c r="N6411" s="9">
        <v>44778</v>
      </c>
      <c r="O6411" s="9">
        <v>44834</v>
      </c>
      <c r="P6411"/>
      <c r="Q6411"/>
      <c r="R6411"/>
      <c r="S6411"/>
      <c r="T6411"/>
      <c r="U6411"/>
    </row>
    <row r="6412" spans="1:21" hidden="1">
      <c r="A6412" s="7" t="s">
        <v>8849</v>
      </c>
      <c r="B6412" s="7" t="s">
        <v>6805</v>
      </c>
      <c r="C6412" s="8" t="s">
        <v>5319</v>
      </c>
      <c r="D6412" t="s">
        <v>266</v>
      </c>
      <c r="E6412" t="s">
        <v>2175</v>
      </c>
      <c r="F6412" t="s">
        <v>75</v>
      </c>
      <c r="G6412" t="s">
        <v>3754</v>
      </c>
      <c r="H6412" s="9">
        <v>44733</v>
      </c>
      <c r="I6412" t="s">
        <v>488</v>
      </c>
      <c r="J6412" t="s">
        <v>2</v>
      </c>
      <c r="K6412" s="9">
        <v>44834</v>
      </c>
      <c r="L6412" t="s">
        <v>29</v>
      </c>
      <c r="M6412" t="s">
        <v>5331</v>
      </c>
      <c r="N6412" s="9">
        <v>44778</v>
      </c>
      <c r="O6412" s="9">
        <v>44834</v>
      </c>
      <c r="P6412"/>
      <c r="Q6412"/>
      <c r="R6412"/>
      <c r="S6412"/>
      <c r="T6412"/>
      <c r="U6412"/>
    </row>
    <row r="6413" spans="1:21" hidden="1">
      <c r="A6413" s="7" t="s">
        <v>8941</v>
      </c>
      <c r="B6413" s="7" t="s">
        <v>7852</v>
      </c>
      <c r="C6413" s="8" t="s">
        <v>5319</v>
      </c>
      <c r="D6413" t="s">
        <v>266</v>
      </c>
      <c r="E6413" t="s">
        <v>3755</v>
      </c>
      <c r="F6413" t="s">
        <v>117</v>
      </c>
      <c r="G6413" t="s">
        <v>3756</v>
      </c>
      <c r="H6413" s="9">
        <v>44733</v>
      </c>
      <c r="I6413" t="s">
        <v>85</v>
      </c>
      <c r="J6413" t="s">
        <v>2</v>
      </c>
      <c r="K6413" s="9">
        <v>44834</v>
      </c>
      <c r="L6413" t="s">
        <v>29</v>
      </c>
      <c r="M6413" t="s">
        <v>5331</v>
      </c>
      <c r="N6413" s="9">
        <v>44778</v>
      </c>
      <c r="O6413" s="9">
        <v>44834</v>
      </c>
      <c r="P6413"/>
      <c r="Q6413"/>
      <c r="R6413"/>
      <c r="S6413"/>
      <c r="T6413"/>
      <c r="U6413"/>
    </row>
    <row r="6414" spans="1:21" hidden="1">
      <c r="A6414" s="7" t="s">
        <v>8942</v>
      </c>
      <c r="B6414" s="7" t="s">
        <v>7965</v>
      </c>
      <c r="C6414" s="8" t="s">
        <v>5319</v>
      </c>
      <c r="D6414" t="s">
        <v>266</v>
      </c>
      <c r="E6414" t="s">
        <v>3757</v>
      </c>
      <c r="F6414" t="s">
        <v>231</v>
      </c>
      <c r="G6414" t="s">
        <v>3758</v>
      </c>
      <c r="H6414" s="9">
        <v>44733</v>
      </c>
      <c r="I6414" t="s">
        <v>2187</v>
      </c>
      <c r="J6414" t="s">
        <v>2</v>
      </c>
      <c r="K6414" s="9">
        <v>44834</v>
      </c>
      <c r="L6414" t="s">
        <v>29</v>
      </c>
      <c r="M6414" t="s">
        <v>5331</v>
      </c>
      <c r="N6414" s="9">
        <v>44778</v>
      </c>
      <c r="O6414" s="9">
        <v>44834</v>
      </c>
      <c r="P6414"/>
      <c r="Q6414"/>
      <c r="R6414"/>
      <c r="S6414"/>
      <c r="T6414"/>
      <c r="U6414"/>
    </row>
    <row r="6415" spans="1:21" hidden="1">
      <c r="A6415" s="7" t="s">
        <v>8908</v>
      </c>
      <c r="B6415" s="7" t="s">
        <v>6755</v>
      </c>
      <c r="C6415" s="8" t="s">
        <v>5319</v>
      </c>
      <c r="D6415" t="s">
        <v>266</v>
      </c>
      <c r="E6415" t="s">
        <v>3179</v>
      </c>
      <c r="F6415" t="s">
        <v>117</v>
      </c>
      <c r="G6415" t="s">
        <v>3759</v>
      </c>
      <c r="H6415" s="9">
        <v>44733</v>
      </c>
      <c r="I6415" t="s">
        <v>3102</v>
      </c>
      <c r="J6415" t="s">
        <v>2</v>
      </c>
      <c r="K6415" s="9">
        <v>44834</v>
      </c>
      <c r="L6415" t="s">
        <v>29</v>
      </c>
      <c r="M6415" t="s">
        <v>5331</v>
      </c>
      <c r="N6415" s="9">
        <v>44778</v>
      </c>
      <c r="O6415" s="9">
        <v>44834</v>
      </c>
      <c r="P6415"/>
      <c r="Q6415"/>
      <c r="R6415"/>
      <c r="S6415"/>
      <c r="T6415"/>
      <c r="U6415"/>
    </row>
    <row r="6416" spans="1:21" hidden="1">
      <c r="A6416" s="7" t="s">
        <v>8926</v>
      </c>
      <c r="B6416" s="7" t="s">
        <v>6802</v>
      </c>
      <c r="C6416" s="8" t="s">
        <v>5319</v>
      </c>
      <c r="D6416" t="s">
        <v>266</v>
      </c>
      <c r="E6416" t="s">
        <v>3511</v>
      </c>
      <c r="F6416" t="s">
        <v>117</v>
      </c>
      <c r="G6416" t="s">
        <v>3760</v>
      </c>
      <c r="H6416" s="9">
        <v>44733</v>
      </c>
      <c r="I6416" t="s">
        <v>2187</v>
      </c>
      <c r="J6416" t="s">
        <v>2</v>
      </c>
      <c r="K6416" s="9">
        <v>44834</v>
      </c>
      <c r="L6416" t="s">
        <v>29</v>
      </c>
      <c r="M6416" t="s">
        <v>5331</v>
      </c>
      <c r="N6416" s="9">
        <v>44778</v>
      </c>
      <c r="O6416" s="9">
        <v>44834</v>
      </c>
      <c r="P6416"/>
      <c r="Q6416"/>
      <c r="R6416"/>
      <c r="S6416"/>
      <c r="T6416"/>
      <c r="U6416"/>
    </row>
    <row r="6417" spans="1:21" hidden="1">
      <c r="A6417" s="7" t="s">
        <v>8927</v>
      </c>
      <c r="B6417" s="7" t="s">
        <v>8366</v>
      </c>
      <c r="C6417" s="8" t="s">
        <v>5319</v>
      </c>
      <c r="D6417" t="s">
        <v>266</v>
      </c>
      <c r="E6417" t="s">
        <v>3513</v>
      </c>
      <c r="F6417" t="s">
        <v>117</v>
      </c>
      <c r="G6417" t="s">
        <v>3761</v>
      </c>
      <c r="H6417" s="9">
        <v>44733</v>
      </c>
      <c r="I6417" t="s">
        <v>2187</v>
      </c>
      <c r="J6417" t="s">
        <v>2</v>
      </c>
      <c r="K6417" s="9">
        <v>44834</v>
      </c>
      <c r="L6417" t="s">
        <v>29</v>
      </c>
      <c r="M6417" t="s">
        <v>5331</v>
      </c>
      <c r="N6417" s="9">
        <v>44778</v>
      </c>
      <c r="O6417" s="9">
        <v>44834</v>
      </c>
      <c r="P6417"/>
      <c r="Q6417"/>
      <c r="R6417"/>
      <c r="S6417"/>
      <c r="T6417"/>
      <c r="U6417"/>
    </row>
    <row r="6418" spans="1:21" hidden="1">
      <c r="A6418" s="7" t="s">
        <v>8892</v>
      </c>
      <c r="B6418" s="7" t="s">
        <v>8194</v>
      </c>
      <c r="C6418" s="8" t="s">
        <v>5319</v>
      </c>
      <c r="D6418" t="s">
        <v>266</v>
      </c>
      <c r="E6418" t="s">
        <v>2800</v>
      </c>
      <c r="F6418" t="s">
        <v>117</v>
      </c>
      <c r="G6418" t="s">
        <v>3762</v>
      </c>
      <c r="H6418" s="9">
        <v>44733</v>
      </c>
      <c r="I6418" t="s">
        <v>85</v>
      </c>
      <c r="J6418" t="s">
        <v>2</v>
      </c>
      <c r="K6418" s="9">
        <v>44753</v>
      </c>
      <c r="L6418" t="s">
        <v>29</v>
      </c>
      <c r="M6418" t="s">
        <v>5331</v>
      </c>
      <c r="N6418"/>
      <c r="O6418"/>
      <c r="P6418"/>
      <c r="Q6418" s="9">
        <v>44753</v>
      </c>
      <c r="R6418"/>
      <c r="S6418"/>
      <c r="T6418"/>
      <c r="U6418"/>
    </row>
    <row r="6419" spans="1:21" hidden="1">
      <c r="A6419" s="7" t="s">
        <v>8892</v>
      </c>
      <c r="B6419" s="7" t="s">
        <v>8194</v>
      </c>
      <c r="C6419" s="8" t="s">
        <v>5319</v>
      </c>
      <c r="D6419" t="s">
        <v>266</v>
      </c>
      <c r="E6419" t="s">
        <v>2800</v>
      </c>
      <c r="F6419" t="s">
        <v>117</v>
      </c>
      <c r="G6419" t="s">
        <v>3763</v>
      </c>
      <c r="H6419" s="9">
        <v>44733</v>
      </c>
      <c r="I6419" t="s">
        <v>85</v>
      </c>
      <c r="J6419" t="s">
        <v>2</v>
      </c>
      <c r="K6419" s="9">
        <v>44753</v>
      </c>
      <c r="L6419" t="s">
        <v>29</v>
      </c>
      <c r="M6419" t="s">
        <v>5331</v>
      </c>
      <c r="N6419"/>
      <c r="O6419"/>
      <c r="P6419"/>
      <c r="Q6419" s="9">
        <v>44753</v>
      </c>
      <c r="R6419"/>
      <c r="S6419"/>
      <c r="T6419"/>
      <c r="U6419"/>
    </row>
    <row r="6420" spans="1:21" hidden="1">
      <c r="A6420" s="7" t="s">
        <v>8943</v>
      </c>
      <c r="B6420" s="7" t="s">
        <v>7874</v>
      </c>
      <c r="C6420" s="8" t="s">
        <v>5319</v>
      </c>
      <c r="D6420" t="s">
        <v>266</v>
      </c>
      <c r="E6420" t="s">
        <v>3764</v>
      </c>
      <c r="F6420" t="s">
        <v>231</v>
      </c>
      <c r="G6420" t="s">
        <v>3765</v>
      </c>
      <c r="H6420" s="9">
        <v>44733</v>
      </c>
      <c r="I6420" t="s">
        <v>984</v>
      </c>
      <c r="J6420" t="s">
        <v>2</v>
      </c>
      <c r="K6420" s="9">
        <v>44792</v>
      </c>
      <c r="L6420" t="s">
        <v>29</v>
      </c>
      <c r="M6420" t="s">
        <v>3766</v>
      </c>
      <c r="N6420" s="9">
        <v>44778</v>
      </c>
      <c r="O6420"/>
      <c r="P6420"/>
      <c r="Q6420"/>
      <c r="R6420"/>
      <c r="S6420"/>
      <c r="T6420"/>
      <c r="U6420"/>
    </row>
    <row r="6421" spans="1:21" hidden="1">
      <c r="A6421" s="7" t="s">
        <v>8943</v>
      </c>
      <c r="B6421" s="7" t="s">
        <v>7874</v>
      </c>
      <c r="C6421" s="8" t="s">
        <v>5319</v>
      </c>
      <c r="D6421" t="s">
        <v>266</v>
      </c>
      <c r="E6421" t="s">
        <v>3764</v>
      </c>
      <c r="F6421" t="s">
        <v>231</v>
      </c>
      <c r="G6421" t="s">
        <v>3767</v>
      </c>
      <c r="H6421" s="9">
        <v>44733</v>
      </c>
      <c r="I6421" t="s">
        <v>984</v>
      </c>
      <c r="J6421" t="s">
        <v>2</v>
      </c>
      <c r="K6421" s="9">
        <v>44792</v>
      </c>
      <c r="L6421" t="s">
        <v>29</v>
      </c>
      <c r="M6421" t="s">
        <v>3766</v>
      </c>
      <c r="N6421" s="9">
        <v>44778</v>
      </c>
      <c r="O6421"/>
      <c r="P6421"/>
      <c r="Q6421"/>
      <c r="R6421"/>
      <c r="S6421"/>
      <c r="T6421"/>
      <c r="U6421"/>
    </row>
    <row r="6422" spans="1:21" hidden="1">
      <c r="A6422" s="7" t="s">
        <v>8943</v>
      </c>
      <c r="B6422" s="7" t="s">
        <v>7874</v>
      </c>
      <c r="C6422" s="8" t="s">
        <v>5319</v>
      </c>
      <c r="D6422" t="s">
        <v>266</v>
      </c>
      <c r="E6422" t="s">
        <v>3764</v>
      </c>
      <c r="F6422" t="s">
        <v>231</v>
      </c>
      <c r="G6422" t="s">
        <v>3768</v>
      </c>
      <c r="H6422" s="9">
        <v>44733</v>
      </c>
      <c r="I6422" t="s">
        <v>984</v>
      </c>
      <c r="J6422" t="s">
        <v>2</v>
      </c>
      <c r="K6422" s="9">
        <v>44792</v>
      </c>
      <c r="L6422" t="s">
        <v>29</v>
      </c>
      <c r="M6422" t="s">
        <v>3766</v>
      </c>
      <c r="N6422" s="9">
        <v>44778</v>
      </c>
      <c r="O6422"/>
      <c r="P6422"/>
      <c r="Q6422"/>
      <c r="R6422"/>
      <c r="S6422"/>
      <c r="T6422"/>
      <c r="U6422"/>
    </row>
    <row r="6423" spans="1:21" hidden="1">
      <c r="A6423" s="7" t="s">
        <v>8944</v>
      </c>
      <c r="B6423" s="7" t="s">
        <v>7932</v>
      </c>
      <c r="C6423" s="8" t="s">
        <v>5319</v>
      </c>
      <c r="D6423" t="s">
        <v>266</v>
      </c>
      <c r="E6423" t="s">
        <v>3769</v>
      </c>
      <c r="F6423" t="s">
        <v>117</v>
      </c>
      <c r="G6423" t="s">
        <v>3770</v>
      </c>
      <c r="H6423" s="9">
        <v>44733</v>
      </c>
      <c r="I6423" t="s">
        <v>3771</v>
      </c>
      <c r="J6423" t="s">
        <v>2</v>
      </c>
      <c r="K6423" s="9">
        <v>44834</v>
      </c>
      <c r="L6423" t="s">
        <v>29</v>
      </c>
      <c r="M6423" t="s">
        <v>5331</v>
      </c>
      <c r="N6423" s="9">
        <v>44778</v>
      </c>
      <c r="O6423" s="9">
        <v>44834</v>
      </c>
      <c r="P6423"/>
      <c r="Q6423"/>
      <c r="R6423"/>
      <c r="S6423"/>
      <c r="T6423"/>
      <c r="U6423"/>
    </row>
    <row r="6424" spans="1:21" hidden="1">
      <c r="A6424" s="7" t="s">
        <v>8944</v>
      </c>
      <c r="B6424" s="7" t="s">
        <v>7932</v>
      </c>
      <c r="C6424" s="8" t="s">
        <v>5319</v>
      </c>
      <c r="D6424" t="s">
        <v>266</v>
      </c>
      <c r="E6424" t="s">
        <v>3769</v>
      </c>
      <c r="F6424" t="s">
        <v>117</v>
      </c>
      <c r="G6424" t="s">
        <v>3772</v>
      </c>
      <c r="H6424" s="9">
        <v>44733</v>
      </c>
      <c r="I6424" t="s">
        <v>3771</v>
      </c>
      <c r="J6424" t="s">
        <v>2</v>
      </c>
      <c r="K6424" s="9">
        <v>44834</v>
      </c>
      <c r="L6424" t="s">
        <v>29</v>
      </c>
      <c r="M6424" t="s">
        <v>5331</v>
      </c>
      <c r="N6424" s="9">
        <v>44778</v>
      </c>
      <c r="O6424" s="9">
        <v>44834</v>
      </c>
      <c r="P6424"/>
      <c r="Q6424"/>
      <c r="R6424"/>
      <c r="S6424"/>
      <c r="T6424"/>
      <c r="U6424"/>
    </row>
    <row r="6425" spans="1:21" hidden="1">
      <c r="A6425" s="7" t="s">
        <v>8944</v>
      </c>
      <c r="B6425" s="7" t="s">
        <v>7932</v>
      </c>
      <c r="C6425" s="8" t="s">
        <v>5319</v>
      </c>
      <c r="D6425" t="s">
        <v>266</v>
      </c>
      <c r="E6425" t="s">
        <v>3769</v>
      </c>
      <c r="F6425" t="s">
        <v>117</v>
      </c>
      <c r="G6425" t="s">
        <v>3773</v>
      </c>
      <c r="H6425" s="9">
        <v>44733</v>
      </c>
      <c r="I6425" t="s">
        <v>3771</v>
      </c>
      <c r="J6425" t="s">
        <v>2</v>
      </c>
      <c r="K6425" s="9">
        <v>44834</v>
      </c>
      <c r="L6425" t="s">
        <v>29</v>
      </c>
      <c r="M6425" t="s">
        <v>5331</v>
      </c>
      <c r="N6425" s="9">
        <v>44778</v>
      </c>
      <c r="O6425" s="9">
        <v>44834</v>
      </c>
      <c r="P6425"/>
      <c r="Q6425"/>
      <c r="R6425"/>
      <c r="S6425"/>
      <c r="T6425"/>
      <c r="U6425"/>
    </row>
    <row r="6426" spans="1:21" hidden="1">
      <c r="A6426" s="7" t="s">
        <v>8825</v>
      </c>
      <c r="B6426" s="7" t="s">
        <v>5405</v>
      </c>
      <c r="C6426" s="8" t="s">
        <v>5319</v>
      </c>
      <c r="D6426" t="s">
        <v>266</v>
      </c>
      <c r="E6426" t="s">
        <v>25</v>
      </c>
      <c r="F6426" t="s">
        <v>111</v>
      </c>
      <c r="G6426" t="s">
        <v>3774</v>
      </c>
      <c r="H6426" s="9">
        <v>44733</v>
      </c>
      <c r="I6426" t="s">
        <v>8634</v>
      </c>
      <c r="J6426" t="s">
        <v>0</v>
      </c>
      <c r="K6426" s="9">
        <v>44881</v>
      </c>
      <c r="L6426" t="s">
        <v>29</v>
      </c>
      <c r="M6426"/>
      <c r="N6426"/>
      <c r="O6426"/>
      <c r="P6426"/>
      <c r="Q6426" s="9">
        <v>44881</v>
      </c>
      <c r="R6426"/>
      <c r="S6426"/>
      <c r="T6426"/>
      <c r="U6426"/>
    </row>
    <row r="6427" spans="1:21" hidden="1">
      <c r="A6427" s="7" t="s">
        <v>8758</v>
      </c>
      <c r="B6427" s="7" t="s">
        <v>5405</v>
      </c>
      <c r="C6427" s="8" t="s">
        <v>5319</v>
      </c>
      <c r="D6427" t="s">
        <v>266</v>
      </c>
      <c r="E6427" t="s">
        <v>25</v>
      </c>
      <c r="F6427" t="s">
        <v>493</v>
      </c>
      <c r="G6427" t="s">
        <v>2806</v>
      </c>
      <c r="H6427" s="9">
        <v>44733</v>
      </c>
      <c r="I6427" t="s">
        <v>8634</v>
      </c>
      <c r="J6427" t="s">
        <v>0</v>
      </c>
      <c r="K6427" s="9">
        <v>44862</v>
      </c>
      <c r="L6427" t="s">
        <v>29</v>
      </c>
      <c r="M6427"/>
      <c r="N6427"/>
      <c r="O6427"/>
      <c r="P6427"/>
      <c r="Q6427" s="9">
        <v>44862</v>
      </c>
      <c r="R6427"/>
      <c r="S6427"/>
      <c r="T6427"/>
      <c r="U6427"/>
    </row>
    <row r="6428" spans="1:21" hidden="1">
      <c r="A6428" s="7" t="s">
        <v>8825</v>
      </c>
      <c r="B6428" s="7" t="s">
        <v>5405</v>
      </c>
      <c r="C6428" s="8" t="s">
        <v>5319</v>
      </c>
      <c r="D6428" t="s">
        <v>266</v>
      </c>
      <c r="E6428" t="s">
        <v>25</v>
      </c>
      <c r="F6428" t="s">
        <v>111</v>
      </c>
      <c r="G6428" t="s">
        <v>3775</v>
      </c>
      <c r="H6428" s="9">
        <v>44733</v>
      </c>
      <c r="I6428" t="s">
        <v>8634</v>
      </c>
      <c r="J6428" t="s">
        <v>0</v>
      </c>
      <c r="K6428" s="9">
        <v>44881</v>
      </c>
      <c r="L6428" t="s">
        <v>29</v>
      </c>
      <c r="M6428"/>
      <c r="N6428"/>
      <c r="O6428"/>
      <c r="P6428"/>
      <c r="Q6428" s="9">
        <v>44881</v>
      </c>
      <c r="R6428"/>
      <c r="S6428"/>
      <c r="T6428"/>
      <c r="U6428"/>
    </row>
    <row r="6429" spans="1:21" hidden="1">
      <c r="A6429" s="7" t="s">
        <v>8945</v>
      </c>
      <c r="B6429" s="7" t="s">
        <v>8371</v>
      </c>
      <c r="C6429" s="8" t="s">
        <v>5319</v>
      </c>
      <c r="D6429" t="s">
        <v>266</v>
      </c>
      <c r="E6429" t="s">
        <v>3776</v>
      </c>
      <c r="F6429" t="s">
        <v>83</v>
      </c>
      <c r="G6429" t="s">
        <v>3777</v>
      </c>
      <c r="H6429" s="9">
        <v>44735</v>
      </c>
      <c r="I6429" t="s">
        <v>3778</v>
      </c>
      <c r="J6429" t="s">
        <v>2</v>
      </c>
      <c r="K6429" s="9">
        <v>44834</v>
      </c>
      <c r="L6429" t="s">
        <v>29</v>
      </c>
      <c r="M6429" t="s">
        <v>5331</v>
      </c>
      <c r="N6429" s="9">
        <v>44778</v>
      </c>
      <c r="O6429" s="9">
        <v>44834</v>
      </c>
      <c r="P6429"/>
      <c r="Q6429"/>
      <c r="R6429"/>
      <c r="S6429"/>
      <c r="T6429"/>
      <c r="U6429"/>
    </row>
    <row r="6430" spans="1:21" hidden="1">
      <c r="A6430" s="7" t="s">
        <v>8825</v>
      </c>
      <c r="B6430" s="7" t="s">
        <v>5405</v>
      </c>
      <c r="C6430" s="8" t="s">
        <v>5319</v>
      </c>
      <c r="D6430" t="s">
        <v>266</v>
      </c>
      <c r="E6430" t="s">
        <v>25</v>
      </c>
      <c r="F6430" t="s">
        <v>111</v>
      </c>
      <c r="G6430" t="s">
        <v>3779</v>
      </c>
      <c r="H6430" s="9">
        <v>44733</v>
      </c>
      <c r="I6430" t="s">
        <v>8634</v>
      </c>
      <c r="J6430" t="s">
        <v>2</v>
      </c>
      <c r="K6430" s="9">
        <v>44834</v>
      </c>
      <c r="L6430" t="s">
        <v>29</v>
      </c>
      <c r="M6430" t="s">
        <v>5331</v>
      </c>
      <c r="N6430" s="9">
        <v>44778</v>
      </c>
      <c r="O6430" s="9">
        <v>44834</v>
      </c>
      <c r="P6430"/>
      <c r="Q6430"/>
      <c r="R6430"/>
      <c r="S6430"/>
      <c r="T6430"/>
      <c r="U6430"/>
    </row>
    <row r="6431" spans="1:21" hidden="1">
      <c r="A6431" s="7" t="s">
        <v>8825</v>
      </c>
      <c r="B6431" s="7" t="s">
        <v>5405</v>
      </c>
      <c r="C6431" s="8" t="s">
        <v>5319</v>
      </c>
      <c r="D6431" t="s">
        <v>266</v>
      </c>
      <c r="E6431" t="s">
        <v>25</v>
      </c>
      <c r="F6431" t="s">
        <v>111</v>
      </c>
      <c r="G6431" t="s">
        <v>3780</v>
      </c>
      <c r="H6431" s="9">
        <v>44733</v>
      </c>
      <c r="I6431" t="s">
        <v>8634</v>
      </c>
      <c r="J6431" t="s">
        <v>2</v>
      </c>
      <c r="K6431" s="9">
        <v>44834</v>
      </c>
      <c r="L6431" t="s">
        <v>29</v>
      </c>
      <c r="M6431" t="s">
        <v>5331</v>
      </c>
      <c r="N6431" s="9">
        <v>44778</v>
      </c>
      <c r="O6431" s="9">
        <v>44834</v>
      </c>
      <c r="P6431"/>
      <c r="Q6431"/>
      <c r="R6431"/>
      <c r="S6431"/>
      <c r="T6431"/>
      <c r="U6431"/>
    </row>
    <row r="6432" spans="1:21" hidden="1">
      <c r="A6432" s="7" t="s">
        <v>8758</v>
      </c>
      <c r="B6432" s="7" t="s">
        <v>5405</v>
      </c>
      <c r="C6432" s="8" t="s">
        <v>5319</v>
      </c>
      <c r="D6432" t="s">
        <v>266</v>
      </c>
      <c r="E6432" t="s">
        <v>25</v>
      </c>
      <c r="F6432" t="s">
        <v>493</v>
      </c>
      <c r="G6432" t="s">
        <v>3781</v>
      </c>
      <c r="H6432" s="9">
        <v>44733</v>
      </c>
      <c r="I6432" t="s">
        <v>8634</v>
      </c>
      <c r="J6432" t="s">
        <v>0</v>
      </c>
      <c r="K6432" s="9">
        <v>44862</v>
      </c>
      <c r="L6432" t="s">
        <v>29</v>
      </c>
      <c r="M6432"/>
      <c r="N6432"/>
      <c r="O6432"/>
      <c r="P6432"/>
      <c r="Q6432" s="9">
        <v>44862</v>
      </c>
      <c r="R6432"/>
      <c r="S6432"/>
      <c r="T6432"/>
      <c r="U6432"/>
    </row>
    <row r="6433" spans="1:21" hidden="1">
      <c r="A6433" s="7" t="s">
        <v>8946</v>
      </c>
      <c r="B6433" s="7" t="s">
        <v>8372</v>
      </c>
      <c r="C6433" s="8" t="s">
        <v>5319</v>
      </c>
      <c r="D6433" t="s">
        <v>266</v>
      </c>
      <c r="E6433" t="s">
        <v>3782</v>
      </c>
      <c r="F6433" t="s">
        <v>231</v>
      </c>
      <c r="G6433" t="s">
        <v>3783</v>
      </c>
      <c r="H6433" s="9">
        <v>44733</v>
      </c>
      <c r="I6433" t="s">
        <v>2121</v>
      </c>
      <c r="J6433" t="s">
        <v>2</v>
      </c>
      <c r="K6433" s="9">
        <v>44834</v>
      </c>
      <c r="L6433" t="s">
        <v>29</v>
      </c>
      <c r="M6433" t="s">
        <v>5331</v>
      </c>
      <c r="N6433" s="9">
        <v>44778</v>
      </c>
      <c r="O6433" s="9">
        <v>44834</v>
      </c>
      <c r="P6433"/>
      <c r="Q6433"/>
      <c r="R6433"/>
      <c r="S6433"/>
      <c r="T6433"/>
      <c r="U6433"/>
    </row>
    <row r="6434" spans="1:21" hidden="1">
      <c r="A6434" s="7" t="s">
        <v>8805</v>
      </c>
      <c r="B6434" s="7" t="s">
        <v>6936</v>
      </c>
      <c r="C6434" s="8" t="s">
        <v>5319</v>
      </c>
      <c r="D6434" t="s">
        <v>266</v>
      </c>
      <c r="E6434" t="s">
        <v>1032</v>
      </c>
      <c r="F6434" t="s">
        <v>83</v>
      </c>
      <c r="G6434" t="s">
        <v>3784</v>
      </c>
      <c r="H6434" s="9">
        <v>44733</v>
      </c>
      <c r="I6434" t="s">
        <v>984</v>
      </c>
      <c r="J6434" t="s">
        <v>2</v>
      </c>
      <c r="K6434" s="9">
        <v>44834</v>
      </c>
      <c r="L6434" t="s">
        <v>29</v>
      </c>
      <c r="M6434" t="s">
        <v>5331</v>
      </c>
      <c r="N6434" s="9">
        <v>44778</v>
      </c>
      <c r="O6434" s="9">
        <v>44834</v>
      </c>
      <c r="P6434"/>
      <c r="Q6434"/>
      <c r="R6434"/>
      <c r="S6434"/>
      <c r="T6434"/>
      <c r="U6434"/>
    </row>
    <row r="6435" spans="1:21" hidden="1">
      <c r="A6435" s="7" t="s">
        <v>8805</v>
      </c>
      <c r="B6435" s="7" t="s">
        <v>6936</v>
      </c>
      <c r="C6435" s="8" t="s">
        <v>5319</v>
      </c>
      <c r="D6435" t="s">
        <v>266</v>
      </c>
      <c r="E6435" t="s">
        <v>1032</v>
      </c>
      <c r="F6435" t="s">
        <v>83</v>
      </c>
      <c r="G6435" t="s">
        <v>3785</v>
      </c>
      <c r="H6435" s="9">
        <v>44733</v>
      </c>
      <c r="I6435" t="s">
        <v>984</v>
      </c>
      <c r="J6435" t="s">
        <v>2</v>
      </c>
      <c r="K6435" s="9">
        <v>44834</v>
      </c>
      <c r="L6435" t="s">
        <v>29</v>
      </c>
      <c r="M6435" t="s">
        <v>5331</v>
      </c>
      <c r="N6435" s="9">
        <v>44778</v>
      </c>
      <c r="O6435" s="9">
        <v>44834</v>
      </c>
      <c r="P6435"/>
      <c r="Q6435"/>
      <c r="R6435"/>
      <c r="S6435"/>
      <c r="T6435"/>
      <c r="U6435"/>
    </row>
    <row r="6436" spans="1:21" hidden="1">
      <c r="A6436" s="7" t="s">
        <v>8805</v>
      </c>
      <c r="B6436" s="7" t="s">
        <v>6936</v>
      </c>
      <c r="C6436" s="8" t="s">
        <v>5319</v>
      </c>
      <c r="D6436" t="s">
        <v>266</v>
      </c>
      <c r="E6436" t="s">
        <v>1032</v>
      </c>
      <c r="F6436" t="s">
        <v>83</v>
      </c>
      <c r="G6436" t="s">
        <v>3786</v>
      </c>
      <c r="H6436" s="9">
        <v>44733</v>
      </c>
      <c r="I6436" t="s">
        <v>984</v>
      </c>
      <c r="J6436" t="s">
        <v>2</v>
      </c>
      <c r="K6436" s="9">
        <v>44834</v>
      </c>
      <c r="L6436" t="s">
        <v>29</v>
      </c>
      <c r="M6436" t="s">
        <v>5331</v>
      </c>
      <c r="N6436" s="9">
        <v>44778</v>
      </c>
      <c r="O6436" s="9">
        <v>44834</v>
      </c>
      <c r="P6436"/>
      <c r="Q6436"/>
      <c r="R6436"/>
      <c r="S6436"/>
      <c r="T6436"/>
      <c r="U6436"/>
    </row>
    <row r="6437" spans="1:21" hidden="1">
      <c r="A6437" s="7" t="s">
        <v>8805</v>
      </c>
      <c r="B6437" s="7" t="s">
        <v>6936</v>
      </c>
      <c r="C6437" s="8" t="s">
        <v>5319</v>
      </c>
      <c r="D6437" t="s">
        <v>266</v>
      </c>
      <c r="E6437" t="s">
        <v>1032</v>
      </c>
      <c r="F6437" t="s">
        <v>83</v>
      </c>
      <c r="G6437" t="s">
        <v>3787</v>
      </c>
      <c r="H6437" s="9">
        <v>44733</v>
      </c>
      <c r="I6437" t="s">
        <v>984</v>
      </c>
      <c r="J6437" t="s">
        <v>2</v>
      </c>
      <c r="K6437" s="9">
        <v>44834</v>
      </c>
      <c r="L6437" t="s">
        <v>29</v>
      </c>
      <c r="M6437" t="s">
        <v>5331</v>
      </c>
      <c r="N6437" s="9">
        <v>44778</v>
      </c>
      <c r="O6437" s="9">
        <v>44834</v>
      </c>
      <c r="P6437"/>
      <c r="Q6437"/>
      <c r="R6437"/>
      <c r="S6437"/>
      <c r="T6437"/>
      <c r="U6437"/>
    </row>
    <row r="6438" spans="1:21" hidden="1">
      <c r="A6438" s="7" t="s">
        <v>8805</v>
      </c>
      <c r="B6438" s="7" t="s">
        <v>6936</v>
      </c>
      <c r="C6438" s="8" t="s">
        <v>5319</v>
      </c>
      <c r="D6438" t="s">
        <v>266</v>
      </c>
      <c r="E6438" t="s">
        <v>1032</v>
      </c>
      <c r="F6438" t="s">
        <v>83</v>
      </c>
      <c r="G6438" t="s">
        <v>3788</v>
      </c>
      <c r="H6438" s="9">
        <v>44733</v>
      </c>
      <c r="I6438" t="s">
        <v>984</v>
      </c>
      <c r="J6438" t="s">
        <v>2</v>
      </c>
      <c r="K6438" s="9">
        <v>44834</v>
      </c>
      <c r="L6438" t="s">
        <v>29</v>
      </c>
      <c r="M6438" t="s">
        <v>5331</v>
      </c>
      <c r="N6438" s="9">
        <v>44778</v>
      </c>
      <c r="O6438" s="9">
        <v>44834</v>
      </c>
      <c r="P6438"/>
      <c r="Q6438"/>
      <c r="R6438"/>
      <c r="S6438"/>
      <c r="T6438"/>
      <c r="U6438"/>
    </row>
    <row r="6439" spans="1:21" hidden="1">
      <c r="A6439" s="7" t="s">
        <v>8805</v>
      </c>
      <c r="B6439" s="7" t="s">
        <v>6936</v>
      </c>
      <c r="C6439" s="8" t="s">
        <v>5319</v>
      </c>
      <c r="D6439" t="s">
        <v>266</v>
      </c>
      <c r="E6439" t="s">
        <v>1032</v>
      </c>
      <c r="F6439" t="s">
        <v>83</v>
      </c>
      <c r="G6439" t="s">
        <v>3789</v>
      </c>
      <c r="H6439" s="9">
        <v>44733</v>
      </c>
      <c r="I6439" t="s">
        <v>984</v>
      </c>
      <c r="J6439" t="s">
        <v>2</v>
      </c>
      <c r="K6439" s="9">
        <v>44834</v>
      </c>
      <c r="L6439" t="s">
        <v>29</v>
      </c>
      <c r="M6439" t="s">
        <v>5331</v>
      </c>
      <c r="N6439" s="9">
        <v>44778</v>
      </c>
      <c r="O6439" s="9">
        <v>44834</v>
      </c>
      <c r="P6439"/>
      <c r="Q6439"/>
      <c r="R6439"/>
      <c r="S6439"/>
      <c r="T6439"/>
      <c r="U6439"/>
    </row>
    <row r="6440" spans="1:21" hidden="1">
      <c r="A6440" s="7" t="s">
        <v>8805</v>
      </c>
      <c r="B6440" s="7" t="s">
        <v>6936</v>
      </c>
      <c r="C6440" s="8" t="s">
        <v>5319</v>
      </c>
      <c r="D6440" t="s">
        <v>266</v>
      </c>
      <c r="E6440" t="s">
        <v>1032</v>
      </c>
      <c r="F6440" t="s">
        <v>83</v>
      </c>
      <c r="G6440" t="s">
        <v>3790</v>
      </c>
      <c r="H6440" s="9">
        <v>44733</v>
      </c>
      <c r="I6440" t="s">
        <v>984</v>
      </c>
      <c r="J6440" t="s">
        <v>2</v>
      </c>
      <c r="K6440" s="9">
        <v>44834</v>
      </c>
      <c r="L6440" t="s">
        <v>29</v>
      </c>
      <c r="M6440" t="s">
        <v>5331</v>
      </c>
      <c r="N6440" s="9">
        <v>44778</v>
      </c>
      <c r="O6440" s="9">
        <v>44834</v>
      </c>
      <c r="P6440"/>
      <c r="Q6440"/>
      <c r="R6440"/>
      <c r="S6440"/>
      <c r="T6440"/>
      <c r="U6440"/>
    </row>
    <row r="6441" spans="1:21" hidden="1">
      <c r="A6441" s="7" t="s">
        <v>8805</v>
      </c>
      <c r="B6441" s="7" t="s">
        <v>6936</v>
      </c>
      <c r="C6441" s="8" t="s">
        <v>5319</v>
      </c>
      <c r="D6441" t="s">
        <v>266</v>
      </c>
      <c r="E6441" t="s">
        <v>1032</v>
      </c>
      <c r="F6441" t="s">
        <v>83</v>
      </c>
      <c r="G6441" t="s">
        <v>3791</v>
      </c>
      <c r="H6441" s="9">
        <v>44733</v>
      </c>
      <c r="I6441" t="s">
        <v>984</v>
      </c>
      <c r="J6441" t="s">
        <v>2</v>
      </c>
      <c r="K6441" s="9">
        <v>44834</v>
      </c>
      <c r="L6441" t="s">
        <v>29</v>
      </c>
      <c r="M6441" t="s">
        <v>5331</v>
      </c>
      <c r="N6441" s="9">
        <v>44778</v>
      </c>
      <c r="O6441" s="9">
        <v>44834</v>
      </c>
      <c r="P6441"/>
      <c r="Q6441"/>
      <c r="R6441"/>
      <c r="S6441"/>
      <c r="T6441"/>
      <c r="U6441"/>
    </row>
    <row r="6442" spans="1:21" hidden="1">
      <c r="A6442" s="7" t="s">
        <v>8805</v>
      </c>
      <c r="B6442" s="7" t="s">
        <v>6936</v>
      </c>
      <c r="C6442" s="8" t="s">
        <v>5319</v>
      </c>
      <c r="D6442" t="s">
        <v>266</v>
      </c>
      <c r="E6442" t="s">
        <v>1032</v>
      </c>
      <c r="F6442" t="s">
        <v>83</v>
      </c>
      <c r="G6442" t="s">
        <v>3792</v>
      </c>
      <c r="H6442" s="9">
        <v>44733</v>
      </c>
      <c r="I6442" t="s">
        <v>984</v>
      </c>
      <c r="J6442" t="s">
        <v>2</v>
      </c>
      <c r="K6442" s="9">
        <v>44834</v>
      </c>
      <c r="L6442" t="s">
        <v>29</v>
      </c>
      <c r="M6442" t="s">
        <v>5331</v>
      </c>
      <c r="N6442" s="9">
        <v>44778</v>
      </c>
      <c r="O6442" s="9">
        <v>44834</v>
      </c>
      <c r="P6442"/>
      <c r="Q6442"/>
      <c r="R6442"/>
      <c r="S6442"/>
      <c r="T6442"/>
      <c r="U6442"/>
    </row>
    <row r="6443" spans="1:21" hidden="1">
      <c r="A6443" s="7" t="s">
        <v>8805</v>
      </c>
      <c r="B6443" s="7" t="s">
        <v>6936</v>
      </c>
      <c r="C6443" s="8" t="s">
        <v>5319</v>
      </c>
      <c r="D6443" t="s">
        <v>266</v>
      </c>
      <c r="E6443" t="s">
        <v>1032</v>
      </c>
      <c r="F6443" t="s">
        <v>83</v>
      </c>
      <c r="G6443" t="s">
        <v>3793</v>
      </c>
      <c r="H6443" s="9">
        <v>44733</v>
      </c>
      <c r="I6443" t="s">
        <v>984</v>
      </c>
      <c r="J6443" t="s">
        <v>2</v>
      </c>
      <c r="K6443" s="9">
        <v>44834</v>
      </c>
      <c r="L6443" t="s">
        <v>29</v>
      </c>
      <c r="M6443" t="s">
        <v>5331</v>
      </c>
      <c r="N6443" s="9">
        <v>44778</v>
      </c>
      <c r="O6443" s="9">
        <v>44834</v>
      </c>
      <c r="P6443"/>
      <c r="Q6443"/>
      <c r="R6443"/>
      <c r="S6443"/>
      <c r="T6443"/>
      <c r="U6443"/>
    </row>
    <row r="6444" spans="1:21" hidden="1">
      <c r="A6444" s="7" t="s">
        <v>8814</v>
      </c>
      <c r="B6444" s="7" t="s">
        <v>6936</v>
      </c>
      <c r="C6444" s="8" t="s">
        <v>5319</v>
      </c>
      <c r="D6444" t="s">
        <v>266</v>
      </c>
      <c r="E6444" t="s">
        <v>1032</v>
      </c>
      <c r="F6444" t="s">
        <v>280</v>
      </c>
      <c r="G6444" t="s">
        <v>3793</v>
      </c>
      <c r="H6444" s="9">
        <v>44733</v>
      </c>
      <c r="I6444" t="s">
        <v>984</v>
      </c>
      <c r="J6444" t="s">
        <v>2</v>
      </c>
      <c r="K6444" s="9">
        <v>44804.500555555598</v>
      </c>
      <c r="L6444" t="s">
        <v>29</v>
      </c>
      <c r="M6444" t="s">
        <v>5331</v>
      </c>
      <c r="N6444" s="9">
        <v>44778</v>
      </c>
      <c r="O6444"/>
      <c r="P6444"/>
      <c r="Q6444"/>
      <c r="R6444" s="9">
        <v>44804.498969907399</v>
      </c>
      <c r="S6444"/>
      <c r="T6444"/>
      <c r="U6444"/>
    </row>
    <row r="6445" spans="1:21" hidden="1">
      <c r="A6445" s="7" t="s">
        <v>8805</v>
      </c>
      <c r="B6445" s="7" t="s">
        <v>6936</v>
      </c>
      <c r="C6445" s="8" t="s">
        <v>5319</v>
      </c>
      <c r="D6445" t="s">
        <v>266</v>
      </c>
      <c r="E6445" t="s">
        <v>1032</v>
      </c>
      <c r="F6445" t="s">
        <v>83</v>
      </c>
      <c r="G6445" t="s">
        <v>3794</v>
      </c>
      <c r="H6445" s="9">
        <v>44733</v>
      </c>
      <c r="I6445" t="s">
        <v>984</v>
      </c>
      <c r="J6445" t="s">
        <v>2</v>
      </c>
      <c r="K6445" s="9">
        <v>44834</v>
      </c>
      <c r="L6445" t="s">
        <v>29</v>
      </c>
      <c r="M6445" t="s">
        <v>5331</v>
      </c>
      <c r="N6445" s="9">
        <v>44778</v>
      </c>
      <c r="O6445" s="9">
        <v>44834</v>
      </c>
      <c r="P6445"/>
      <c r="Q6445"/>
      <c r="R6445"/>
      <c r="S6445"/>
      <c r="T6445"/>
      <c r="U6445"/>
    </row>
    <row r="6446" spans="1:21" hidden="1">
      <c r="A6446" s="7" t="s">
        <v>8805</v>
      </c>
      <c r="B6446" s="7" t="s">
        <v>6936</v>
      </c>
      <c r="C6446" s="8" t="s">
        <v>5319</v>
      </c>
      <c r="D6446" t="s">
        <v>266</v>
      </c>
      <c r="E6446" t="s">
        <v>1032</v>
      </c>
      <c r="F6446" t="s">
        <v>83</v>
      </c>
      <c r="G6446" t="s">
        <v>3795</v>
      </c>
      <c r="H6446" s="9">
        <v>44733</v>
      </c>
      <c r="I6446" t="s">
        <v>984</v>
      </c>
      <c r="J6446" t="s">
        <v>2</v>
      </c>
      <c r="K6446" s="9">
        <v>44834</v>
      </c>
      <c r="L6446" t="s">
        <v>29</v>
      </c>
      <c r="M6446" t="s">
        <v>5331</v>
      </c>
      <c r="N6446" s="9">
        <v>44778</v>
      </c>
      <c r="O6446" s="9">
        <v>44834</v>
      </c>
      <c r="P6446"/>
      <c r="Q6446"/>
      <c r="R6446"/>
      <c r="S6446"/>
      <c r="T6446"/>
      <c r="U6446"/>
    </row>
    <row r="6447" spans="1:21" hidden="1">
      <c r="A6447" s="7" t="s">
        <v>8805</v>
      </c>
      <c r="B6447" s="7" t="s">
        <v>6936</v>
      </c>
      <c r="C6447" s="8" t="s">
        <v>5319</v>
      </c>
      <c r="D6447" t="s">
        <v>266</v>
      </c>
      <c r="E6447" t="s">
        <v>1032</v>
      </c>
      <c r="F6447" t="s">
        <v>83</v>
      </c>
      <c r="G6447" t="s">
        <v>3796</v>
      </c>
      <c r="H6447" s="9">
        <v>44733</v>
      </c>
      <c r="I6447" t="s">
        <v>984</v>
      </c>
      <c r="J6447" t="s">
        <v>2</v>
      </c>
      <c r="K6447" s="9">
        <v>44834</v>
      </c>
      <c r="L6447" t="s">
        <v>29</v>
      </c>
      <c r="M6447" t="s">
        <v>5331</v>
      </c>
      <c r="N6447" s="9">
        <v>44778</v>
      </c>
      <c r="O6447" s="9">
        <v>44834</v>
      </c>
      <c r="P6447"/>
      <c r="Q6447"/>
      <c r="R6447"/>
      <c r="S6447"/>
      <c r="T6447"/>
      <c r="U6447"/>
    </row>
    <row r="6448" spans="1:21" hidden="1">
      <c r="A6448" s="7" t="s">
        <v>8758</v>
      </c>
      <c r="B6448" s="7" t="s">
        <v>5405</v>
      </c>
      <c r="C6448" s="8" t="s">
        <v>5319</v>
      </c>
      <c r="D6448" t="s">
        <v>266</v>
      </c>
      <c r="E6448" t="s">
        <v>25</v>
      </c>
      <c r="F6448" t="s">
        <v>493</v>
      </c>
      <c r="G6448" t="s">
        <v>3797</v>
      </c>
      <c r="H6448" s="9">
        <v>44733</v>
      </c>
      <c r="I6448" t="s">
        <v>8634</v>
      </c>
      <c r="J6448" t="s">
        <v>0</v>
      </c>
      <c r="K6448" s="9">
        <v>44862</v>
      </c>
      <c r="L6448" t="s">
        <v>29</v>
      </c>
      <c r="M6448"/>
      <c r="N6448" s="9">
        <v>44778</v>
      </c>
      <c r="O6448"/>
      <c r="P6448"/>
      <c r="Q6448" s="9">
        <v>44862</v>
      </c>
      <c r="R6448"/>
      <c r="S6448"/>
      <c r="T6448"/>
      <c r="U6448"/>
    </row>
    <row r="6449" spans="1:21" hidden="1">
      <c r="A6449" s="7" t="s">
        <v>8758</v>
      </c>
      <c r="B6449" s="7" t="s">
        <v>5405</v>
      </c>
      <c r="C6449" s="8" t="s">
        <v>5319</v>
      </c>
      <c r="D6449" t="s">
        <v>266</v>
      </c>
      <c r="E6449" t="s">
        <v>25</v>
      </c>
      <c r="F6449" t="s">
        <v>493</v>
      </c>
      <c r="G6449" t="s">
        <v>2819</v>
      </c>
      <c r="H6449" s="9">
        <v>44733</v>
      </c>
      <c r="I6449" t="s">
        <v>8634</v>
      </c>
      <c r="J6449" t="s">
        <v>0</v>
      </c>
      <c r="K6449" s="9">
        <v>44862</v>
      </c>
      <c r="L6449" t="s">
        <v>29</v>
      </c>
      <c r="M6449"/>
      <c r="N6449" s="9">
        <v>44778</v>
      </c>
      <c r="O6449"/>
      <c r="P6449"/>
      <c r="Q6449" s="9">
        <v>44862</v>
      </c>
      <c r="R6449"/>
      <c r="S6449"/>
      <c r="T6449"/>
      <c r="U6449"/>
    </row>
    <row r="6450" spans="1:21" hidden="1">
      <c r="A6450" s="7" t="s">
        <v>8758</v>
      </c>
      <c r="B6450" s="7" t="s">
        <v>5405</v>
      </c>
      <c r="C6450" s="8" t="s">
        <v>5319</v>
      </c>
      <c r="D6450" t="s">
        <v>266</v>
      </c>
      <c r="E6450" t="s">
        <v>25</v>
      </c>
      <c r="F6450" t="s">
        <v>493</v>
      </c>
      <c r="G6450" t="s">
        <v>3798</v>
      </c>
      <c r="H6450" s="9">
        <v>44733</v>
      </c>
      <c r="I6450" t="s">
        <v>8634</v>
      </c>
      <c r="J6450" t="s">
        <v>2</v>
      </c>
      <c r="K6450" s="9">
        <v>44834</v>
      </c>
      <c r="L6450" t="s">
        <v>29</v>
      </c>
      <c r="M6450" t="s">
        <v>5331</v>
      </c>
      <c r="N6450" s="9">
        <v>44778</v>
      </c>
      <c r="O6450" s="9">
        <v>44834</v>
      </c>
      <c r="P6450"/>
      <c r="Q6450"/>
      <c r="R6450"/>
      <c r="S6450"/>
      <c r="T6450"/>
      <c r="U6450"/>
    </row>
    <row r="6451" spans="1:21" hidden="1">
      <c r="A6451" s="7" t="s">
        <v>8758</v>
      </c>
      <c r="B6451" s="7" t="s">
        <v>5405</v>
      </c>
      <c r="C6451" s="8" t="s">
        <v>5319</v>
      </c>
      <c r="D6451" t="s">
        <v>266</v>
      </c>
      <c r="E6451" t="s">
        <v>25</v>
      </c>
      <c r="F6451" t="s">
        <v>493</v>
      </c>
      <c r="G6451" t="s">
        <v>2828</v>
      </c>
      <c r="H6451" s="9">
        <v>44733</v>
      </c>
      <c r="I6451" t="s">
        <v>8634</v>
      </c>
      <c r="J6451" t="s">
        <v>0</v>
      </c>
      <c r="K6451" s="9">
        <v>44862</v>
      </c>
      <c r="L6451" t="s">
        <v>29</v>
      </c>
      <c r="M6451"/>
      <c r="N6451" s="9">
        <v>44778</v>
      </c>
      <c r="O6451"/>
      <c r="P6451"/>
      <c r="Q6451" s="9">
        <v>44862</v>
      </c>
      <c r="R6451"/>
      <c r="S6451"/>
      <c r="T6451"/>
      <c r="U6451"/>
    </row>
    <row r="6452" spans="1:21" hidden="1">
      <c r="A6452" s="7" t="s">
        <v>8758</v>
      </c>
      <c r="B6452" s="7" t="s">
        <v>5405</v>
      </c>
      <c r="C6452" s="8" t="s">
        <v>5319</v>
      </c>
      <c r="D6452" t="s">
        <v>266</v>
      </c>
      <c r="E6452" t="s">
        <v>25</v>
      </c>
      <c r="F6452" t="s">
        <v>493</v>
      </c>
      <c r="G6452" t="s">
        <v>3799</v>
      </c>
      <c r="H6452" s="9">
        <v>44733</v>
      </c>
      <c r="I6452" t="s">
        <v>8634</v>
      </c>
      <c r="J6452" t="s">
        <v>0</v>
      </c>
      <c r="K6452" s="9">
        <v>44862</v>
      </c>
      <c r="L6452" t="s">
        <v>29</v>
      </c>
      <c r="M6452"/>
      <c r="N6452" s="9">
        <v>44778</v>
      </c>
      <c r="O6452"/>
      <c r="P6452"/>
      <c r="Q6452" s="9">
        <v>44862</v>
      </c>
      <c r="R6452"/>
      <c r="S6452"/>
      <c r="T6452"/>
      <c r="U6452"/>
    </row>
    <row r="6453" spans="1:21" hidden="1">
      <c r="A6453" s="7" t="s">
        <v>8758</v>
      </c>
      <c r="B6453" s="7" t="s">
        <v>5405</v>
      </c>
      <c r="C6453" s="8" t="s">
        <v>5319</v>
      </c>
      <c r="D6453" t="s">
        <v>266</v>
      </c>
      <c r="E6453" t="s">
        <v>25</v>
      </c>
      <c r="F6453" t="s">
        <v>493</v>
      </c>
      <c r="G6453" t="s">
        <v>3800</v>
      </c>
      <c r="H6453" s="9">
        <v>44733</v>
      </c>
      <c r="I6453" t="s">
        <v>8634</v>
      </c>
      <c r="J6453" t="s">
        <v>0</v>
      </c>
      <c r="K6453" s="9">
        <v>44862</v>
      </c>
      <c r="L6453" t="s">
        <v>29</v>
      </c>
      <c r="M6453"/>
      <c r="N6453" s="9">
        <v>44778</v>
      </c>
      <c r="O6453"/>
      <c r="P6453"/>
      <c r="Q6453" s="9">
        <v>44862</v>
      </c>
      <c r="R6453"/>
      <c r="S6453"/>
      <c r="T6453"/>
      <c r="U6453"/>
    </row>
    <row r="6454" spans="1:21" hidden="1">
      <c r="A6454" s="7" t="s">
        <v>8758</v>
      </c>
      <c r="B6454" s="7" t="s">
        <v>5405</v>
      </c>
      <c r="C6454" s="8" t="s">
        <v>5319</v>
      </c>
      <c r="D6454" t="s">
        <v>266</v>
      </c>
      <c r="E6454" t="s">
        <v>25</v>
      </c>
      <c r="F6454" t="s">
        <v>493</v>
      </c>
      <c r="G6454" t="s">
        <v>2831</v>
      </c>
      <c r="H6454" s="9">
        <v>44733</v>
      </c>
      <c r="I6454" t="s">
        <v>8634</v>
      </c>
      <c r="J6454" t="s">
        <v>0</v>
      </c>
      <c r="K6454" s="9">
        <v>44862</v>
      </c>
      <c r="L6454" t="s">
        <v>29</v>
      </c>
      <c r="M6454"/>
      <c r="N6454" s="9">
        <v>44778</v>
      </c>
      <c r="O6454"/>
      <c r="P6454"/>
      <c r="Q6454" s="9">
        <v>44862</v>
      </c>
      <c r="R6454"/>
      <c r="S6454"/>
      <c r="T6454"/>
      <c r="U6454"/>
    </row>
    <row r="6455" spans="1:21" hidden="1">
      <c r="A6455" s="7" t="s">
        <v>8758</v>
      </c>
      <c r="B6455" s="7" t="s">
        <v>5405</v>
      </c>
      <c r="C6455" s="8" t="s">
        <v>5319</v>
      </c>
      <c r="D6455" t="s">
        <v>266</v>
      </c>
      <c r="E6455" t="s">
        <v>25</v>
      </c>
      <c r="F6455" t="s">
        <v>493</v>
      </c>
      <c r="G6455" t="s">
        <v>2832</v>
      </c>
      <c r="H6455" s="9">
        <v>44733</v>
      </c>
      <c r="I6455" t="s">
        <v>8634</v>
      </c>
      <c r="J6455" t="s">
        <v>0</v>
      </c>
      <c r="K6455" s="9">
        <v>44862</v>
      </c>
      <c r="L6455" t="s">
        <v>29</v>
      </c>
      <c r="M6455"/>
      <c r="N6455" s="9">
        <v>44778</v>
      </c>
      <c r="O6455"/>
      <c r="P6455"/>
      <c r="Q6455" s="9">
        <v>44862</v>
      </c>
      <c r="R6455"/>
      <c r="S6455"/>
      <c r="T6455"/>
      <c r="U6455"/>
    </row>
    <row r="6456" spans="1:21" hidden="1">
      <c r="A6456" s="7" t="s">
        <v>8758</v>
      </c>
      <c r="B6456" s="7" t="s">
        <v>5405</v>
      </c>
      <c r="C6456" s="8" t="s">
        <v>5319</v>
      </c>
      <c r="D6456" t="s">
        <v>266</v>
      </c>
      <c r="E6456" t="s">
        <v>25</v>
      </c>
      <c r="F6456" t="s">
        <v>493</v>
      </c>
      <c r="G6456" t="s">
        <v>3801</v>
      </c>
      <c r="H6456" s="9">
        <v>44733</v>
      </c>
      <c r="I6456" t="s">
        <v>8634</v>
      </c>
      <c r="J6456" t="s">
        <v>0</v>
      </c>
      <c r="K6456" s="9">
        <v>44862</v>
      </c>
      <c r="L6456" t="s">
        <v>29</v>
      </c>
      <c r="M6456"/>
      <c r="N6456" s="9">
        <v>44778</v>
      </c>
      <c r="O6456"/>
      <c r="P6456"/>
      <c r="Q6456" s="9">
        <v>44862</v>
      </c>
      <c r="R6456"/>
      <c r="S6456"/>
      <c r="T6456"/>
      <c r="U6456"/>
    </row>
    <row r="6457" spans="1:21" hidden="1">
      <c r="A6457" s="7" t="s">
        <v>8758</v>
      </c>
      <c r="B6457" s="7" t="s">
        <v>5405</v>
      </c>
      <c r="C6457" s="8" t="s">
        <v>5319</v>
      </c>
      <c r="D6457" t="s">
        <v>266</v>
      </c>
      <c r="E6457" t="s">
        <v>25</v>
      </c>
      <c r="F6457" t="s">
        <v>493</v>
      </c>
      <c r="G6457" t="s">
        <v>2834</v>
      </c>
      <c r="H6457" s="9">
        <v>44733</v>
      </c>
      <c r="I6457" t="s">
        <v>8634</v>
      </c>
      <c r="J6457" t="s">
        <v>0</v>
      </c>
      <c r="K6457" s="9">
        <v>44862</v>
      </c>
      <c r="L6457" t="s">
        <v>29</v>
      </c>
      <c r="M6457"/>
      <c r="N6457" s="9">
        <v>44778</v>
      </c>
      <c r="O6457"/>
      <c r="P6457"/>
      <c r="Q6457" s="9">
        <v>44862</v>
      </c>
      <c r="R6457"/>
      <c r="S6457"/>
      <c r="T6457"/>
      <c r="U6457"/>
    </row>
    <row r="6458" spans="1:21" hidden="1">
      <c r="A6458" s="7" t="s">
        <v>8758</v>
      </c>
      <c r="B6458" s="7" t="s">
        <v>5405</v>
      </c>
      <c r="C6458" s="8" t="s">
        <v>5319</v>
      </c>
      <c r="D6458" t="s">
        <v>266</v>
      </c>
      <c r="E6458" t="s">
        <v>25</v>
      </c>
      <c r="F6458" t="s">
        <v>493</v>
      </c>
      <c r="G6458" t="s">
        <v>3802</v>
      </c>
      <c r="H6458" s="9">
        <v>44733</v>
      </c>
      <c r="I6458" t="s">
        <v>8634</v>
      </c>
      <c r="J6458" t="s">
        <v>0</v>
      </c>
      <c r="K6458" s="9">
        <v>44862</v>
      </c>
      <c r="L6458" t="s">
        <v>29</v>
      </c>
      <c r="M6458"/>
      <c r="N6458" s="9">
        <v>44778</v>
      </c>
      <c r="O6458"/>
      <c r="P6458"/>
      <c r="Q6458" s="9">
        <v>44862</v>
      </c>
      <c r="R6458"/>
      <c r="S6458"/>
      <c r="T6458"/>
      <c r="U6458"/>
    </row>
    <row r="6459" spans="1:21" hidden="1">
      <c r="A6459" s="7" t="s">
        <v>8758</v>
      </c>
      <c r="B6459" s="7" t="s">
        <v>5405</v>
      </c>
      <c r="C6459" s="8" t="s">
        <v>5319</v>
      </c>
      <c r="D6459" t="s">
        <v>266</v>
      </c>
      <c r="E6459" t="s">
        <v>25</v>
      </c>
      <c r="F6459" t="s">
        <v>493</v>
      </c>
      <c r="G6459" t="s">
        <v>556</v>
      </c>
      <c r="H6459" s="9">
        <v>44733</v>
      </c>
      <c r="I6459" t="s">
        <v>8634</v>
      </c>
      <c r="J6459" t="s">
        <v>0</v>
      </c>
      <c r="K6459" s="9">
        <v>44862</v>
      </c>
      <c r="L6459" t="s">
        <v>29</v>
      </c>
      <c r="M6459"/>
      <c r="N6459" s="9">
        <v>44778</v>
      </c>
      <c r="O6459"/>
      <c r="P6459"/>
      <c r="Q6459" s="9">
        <v>44862</v>
      </c>
      <c r="R6459"/>
      <c r="S6459"/>
      <c r="T6459"/>
      <c r="U6459"/>
    </row>
    <row r="6460" spans="1:21" hidden="1">
      <c r="A6460" s="7" t="s">
        <v>8758</v>
      </c>
      <c r="B6460" s="7" t="s">
        <v>5405</v>
      </c>
      <c r="C6460" s="8" t="s">
        <v>5319</v>
      </c>
      <c r="D6460" t="s">
        <v>266</v>
      </c>
      <c r="E6460" t="s">
        <v>25</v>
      </c>
      <c r="F6460" t="s">
        <v>493</v>
      </c>
      <c r="G6460" t="s">
        <v>3803</v>
      </c>
      <c r="H6460" s="9">
        <v>44733</v>
      </c>
      <c r="I6460" t="s">
        <v>8634</v>
      </c>
      <c r="J6460" t="s">
        <v>2</v>
      </c>
      <c r="K6460" s="9">
        <v>44834</v>
      </c>
      <c r="L6460" t="s">
        <v>29</v>
      </c>
      <c r="M6460" t="s">
        <v>5331</v>
      </c>
      <c r="N6460" s="9">
        <v>44778</v>
      </c>
      <c r="O6460" s="9">
        <v>44834</v>
      </c>
      <c r="P6460"/>
      <c r="Q6460"/>
      <c r="R6460"/>
      <c r="S6460"/>
      <c r="T6460"/>
      <c r="U6460"/>
    </row>
    <row r="6461" spans="1:21" hidden="1">
      <c r="A6461" s="7" t="s">
        <v>8758</v>
      </c>
      <c r="B6461" s="7" t="s">
        <v>5405</v>
      </c>
      <c r="C6461" s="8" t="s">
        <v>5319</v>
      </c>
      <c r="D6461" t="s">
        <v>266</v>
      </c>
      <c r="E6461" t="s">
        <v>25</v>
      </c>
      <c r="F6461" t="s">
        <v>493</v>
      </c>
      <c r="G6461" t="s">
        <v>3804</v>
      </c>
      <c r="H6461" s="9">
        <v>44733</v>
      </c>
      <c r="I6461" t="s">
        <v>8634</v>
      </c>
      <c r="J6461" t="s">
        <v>0</v>
      </c>
      <c r="K6461" s="9">
        <v>44862</v>
      </c>
      <c r="L6461" t="s">
        <v>29</v>
      </c>
      <c r="M6461"/>
      <c r="N6461" s="9">
        <v>44778</v>
      </c>
      <c r="O6461"/>
      <c r="P6461"/>
      <c r="Q6461" s="9">
        <v>44862</v>
      </c>
      <c r="R6461"/>
      <c r="S6461"/>
      <c r="T6461"/>
      <c r="U6461"/>
    </row>
    <row r="6462" spans="1:21" hidden="1">
      <c r="A6462" s="7" t="s">
        <v>8758</v>
      </c>
      <c r="B6462" s="7" t="s">
        <v>5405</v>
      </c>
      <c r="C6462" s="8" t="s">
        <v>5319</v>
      </c>
      <c r="D6462" t="s">
        <v>266</v>
      </c>
      <c r="E6462" t="s">
        <v>25</v>
      </c>
      <c r="F6462" t="s">
        <v>493</v>
      </c>
      <c r="G6462" t="s">
        <v>2839</v>
      </c>
      <c r="H6462" s="9">
        <v>44733</v>
      </c>
      <c r="I6462" t="s">
        <v>8634</v>
      </c>
      <c r="J6462" t="s">
        <v>0</v>
      </c>
      <c r="K6462" s="9">
        <v>44862</v>
      </c>
      <c r="L6462" t="s">
        <v>29</v>
      </c>
      <c r="M6462"/>
      <c r="N6462" s="9">
        <v>44778</v>
      </c>
      <c r="O6462"/>
      <c r="P6462"/>
      <c r="Q6462" s="9">
        <v>44862</v>
      </c>
      <c r="R6462"/>
      <c r="S6462"/>
      <c r="T6462"/>
      <c r="U6462"/>
    </row>
    <row r="6463" spans="1:21" hidden="1">
      <c r="A6463" s="7" t="s">
        <v>8758</v>
      </c>
      <c r="B6463" s="7" t="s">
        <v>5405</v>
      </c>
      <c r="C6463" s="8" t="s">
        <v>5319</v>
      </c>
      <c r="D6463" t="s">
        <v>266</v>
      </c>
      <c r="E6463" t="s">
        <v>25</v>
      </c>
      <c r="F6463" t="s">
        <v>493</v>
      </c>
      <c r="G6463" t="s">
        <v>3805</v>
      </c>
      <c r="H6463" s="9">
        <v>44733</v>
      </c>
      <c r="I6463" t="s">
        <v>8634</v>
      </c>
      <c r="J6463" t="s">
        <v>0</v>
      </c>
      <c r="K6463" s="9">
        <v>44862</v>
      </c>
      <c r="L6463" t="s">
        <v>29</v>
      </c>
      <c r="M6463"/>
      <c r="N6463" s="9">
        <v>44778</v>
      </c>
      <c r="O6463"/>
      <c r="P6463"/>
      <c r="Q6463" s="9">
        <v>44862</v>
      </c>
      <c r="R6463"/>
      <c r="S6463"/>
      <c r="T6463"/>
      <c r="U6463"/>
    </row>
    <row r="6464" spans="1:21" hidden="1">
      <c r="A6464" s="7" t="s">
        <v>8758</v>
      </c>
      <c r="B6464" s="7" t="s">
        <v>5405</v>
      </c>
      <c r="C6464" s="8" t="s">
        <v>5319</v>
      </c>
      <c r="D6464" t="s">
        <v>266</v>
      </c>
      <c r="E6464" t="s">
        <v>25</v>
      </c>
      <c r="F6464" t="s">
        <v>493</v>
      </c>
      <c r="G6464" t="s">
        <v>3806</v>
      </c>
      <c r="H6464" s="9">
        <v>44733</v>
      </c>
      <c r="I6464" t="s">
        <v>8634</v>
      </c>
      <c r="J6464" t="s">
        <v>0</v>
      </c>
      <c r="K6464" s="9">
        <v>44862</v>
      </c>
      <c r="L6464" t="s">
        <v>29</v>
      </c>
      <c r="M6464"/>
      <c r="N6464" s="9">
        <v>44778</v>
      </c>
      <c r="O6464"/>
      <c r="P6464"/>
      <c r="Q6464" s="9">
        <v>44862</v>
      </c>
      <c r="R6464"/>
      <c r="S6464"/>
      <c r="T6464"/>
      <c r="U6464"/>
    </row>
    <row r="6465" spans="1:21" hidden="1">
      <c r="A6465" s="7" t="s">
        <v>8758</v>
      </c>
      <c r="B6465" s="7" t="s">
        <v>5405</v>
      </c>
      <c r="C6465" s="8" t="s">
        <v>5319</v>
      </c>
      <c r="D6465" t="s">
        <v>266</v>
      </c>
      <c r="E6465" t="s">
        <v>25</v>
      </c>
      <c r="F6465" t="s">
        <v>493</v>
      </c>
      <c r="G6465" t="s">
        <v>3807</v>
      </c>
      <c r="H6465" s="9">
        <v>44733</v>
      </c>
      <c r="I6465" t="s">
        <v>8634</v>
      </c>
      <c r="J6465" t="s">
        <v>0</v>
      </c>
      <c r="K6465" s="9">
        <v>44862</v>
      </c>
      <c r="L6465" t="s">
        <v>29</v>
      </c>
      <c r="M6465"/>
      <c r="N6465" s="9">
        <v>44778</v>
      </c>
      <c r="O6465"/>
      <c r="P6465"/>
      <c r="Q6465" s="9">
        <v>44862</v>
      </c>
      <c r="R6465"/>
      <c r="S6465"/>
      <c r="T6465"/>
      <c r="U6465"/>
    </row>
    <row r="6466" spans="1:21" hidden="1">
      <c r="A6466" s="7" t="s">
        <v>8758</v>
      </c>
      <c r="B6466" s="7" t="s">
        <v>5405</v>
      </c>
      <c r="C6466" s="8" t="s">
        <v>5319</v>
      </c>
      <c r="D6466" t="s">
        <v>266</v>
      </c>
      <c r="E6466" t="s">
        <v>25</v>
      </c>
      <c r="F6466" t="s">
        <v>493</v>
      </c>
      <c r="G6466" t="s">
        <v>3808</v>
      </c>
      <c r="H6466" s="9">
        <v>44733</v>
      </c>
      <c r="I6466" t="s">
        <v>8634</v>
      </c>
      <c r="J6466" t="s">
        <v>2</v>
      </c>
      <c r="K6466" s="9">
        <v>44834</v>
      </c>
      <c r="L6466" t="s">
        <v>29</v>
      </c>
      <c r="M6466" t="s">
        <v>5331</v>
      </c>
      <c r="N6466" s="9">
        <v>44778</v>
      </c>
      <c r="O6466" s="9">
        <v>44834</v>
      </c>
      <c r="P6466"/>
      <c r="Q6466"/>
      <c r="R6466"/>
      <c r="S6466"/>
      <c r="T6466"/>
      <c r="U6466"/>
    </row>
    <row r="6467" spans="1:21" hidden="1">
      <c r="A6467" s="7" t="s">
        <v>8758</v>
      </c>
      <c r="B6467" s="7" t="s">
        <v>5405</v>
      </c>
      <c r="C6467" s="8" t="s">
        <v>5319</v>
      </c>
      <c r="D6467" t="s">
        <v>266</v>
      </c>
      <c r="E6467" t="s">
        <v>25</v>
      </c>
      <c r="F6467" t="s">
        <v>493</v>
      </c>
      <c r="G6467" t="s">
        <v>3809</v>
      </c>
      <c r="H6467" s="9">
        <v>44733</v>
      </c>
      <c r="I6467" t="s">
        <v>8634</v>
      </c>
      <c r="J6467" t="s">
        <v>2</v>
      </c>
      <c r="K6467" s="9">
        <v>44834</v>
      </c>
      <c r="L6467" t="s">
        <v>29</v>
      </c>
      <c r="M6467" t="s">
        <v>5331</v>
      </c>
      <c r="N6467" s="9">
        <v>44778</v>
      </c>
      <c r="O6467" s="9">
        <v>44834</v>
      </c>
      <c r="P6467"/>
      <c r="Q6467"/>
      <c r="R6467"/>
      <c r="S6467"/>
      <c r="T6467"/>
      <c r="U6467"/>
    </row>
    <row r="6468" spans="1:21" hidden="1">
      <c r="A6468" s="7" t="s">
        <v>8758</v>
      </c>
      <c r="B6468" s="7" t="s">
        <v>5405</v>
      </c>
      <c r="C6468" s="8" t="s">
        <v>5319</v>
      </c>
      <c r="D6468" t="s">
        <v>266</v>
      </c>
      <c r="E6468" t="s">
        <v>25</v>
      </c>
      <c r="F6468" t="s">
        <v>493</v>
      </c>
      <c r="G6468" t="s">
        <v>3810</v>
      </c>
      <c r="H6468" s="9">
        <v>44733</v>
      </c>
      <c r="I6468" t="s">
        <v>8634</v>
      </c>
      <c r="J6468" t="s">
        <v>2</v>
      </c>
      <c r="K6468" s="9">
        <v>44834</v>
      </c>
      <c r="L6468" t="s">
        <v>29</v>
      </c>
      <c r="M6468" t="s">
        <v>5331</v>
      </c>
      <c r="N6468" s="9">
        <v>44778</v>
      </c>
      <c r="O6468" s="9">
        <v>44834</v>
      </c>
      <c r="P6468"/>
      <c r="Q6468"/>
      <c r="R6468"/>
      <c r="S6468"/>
      <c r="T6468"/>
      <c r="U6468"/>
    </row>
    <row r="6469" spans="1:21" hidden="1">
      <c r="A6469" s="7" t="s">
        <v>8758</v>
      </c>
      <c r="B6469" s="7" t="s">
        <v>5405</v>
      </c>
      <c r="C6469" s="8" t="s">
        <v>5319</v>
      </c>
      <c r="D6469" t="s">
        <v>266</v>
      </c>
      <c r="E6469" t="s">
        <v>25</v>
      </c>
      <c r="F6469" t="s">
        <v>493</v>
      </c>
      <c r="G6469" t="s">
        <v>3811</v>
      </c>
      <c r="H6469" s="9">
        <v>44733</v>
      </c>
      <c r="I6469" t="s">
        <v>8634</v>
      </c>
      <c r="J6469" t="s">
        <v>0</v>
      </c>
      <c r="K6469" s="9">
        <v>44862</v>
      </c>
      <c r="L6469" t="s">
        <v>29</v>
      </c>
      <c r="M6469"/>
      <c r="N6469" s="9">
        <v>44778</v>
      </c>
      <c r="O6469"/>
      <c r="P6469"/>
      <c r="Q6469" s="9">
        <v>44862</v>
      </c>
      <c r="R6469"/>
      <c r="S6469"/>
      <c r="T6469"/>
      <c r="U6469"/>
    </row>
    <row r="6470" spans="1:21" hidden="1">
      <c r="A6470" s="7" t="s">
        <v>8758</v>
      </c>
      <c r="B6470" s="7" t="s">
        <v>5405</v>
      </c>
      <c r="C6470" s="8" t="s">
        <v>5319</v>
      </c>
      <c r="D6470" t="s">
        <v>266</v>
      </c>
      <c r="E6470" t="s">
        <v>25</v>
      </c>
      <c r="F6470" t="s">
        <v>493</v>
      </c>
      <c r="G6470" t="s">
        <v>2844</v>
      </c>
      <c r="H6470" s="9">
        <v>44733</v>
      </c>
      <c r="I6470" t="s">
        <v>8634</v>
      </c>
      <c r="J6470" t="s">
        <v>2</v>
      </c>
      <c r="K6470" s="9">
        <v>44834</v>
      </c>
      <c r="L6470" t="s">
        <v>29</v>
      </c>
      <c r="M6470" t="s">
        <v>5331</v>
      </c>
      <c r="N6470" s="9">
        <v>44778</v>
      </c>
      <c r="O6470" s="9">
        <v>44834</v>
      </c>
      <c r="P6470"/>
      <c r="Q6470"/>
      <c r="R6470"/>
      <c r="S6470"/>
      <c r="T6470"/>
      <c r="U6470"/>
    </row>
    <row r="6471" spans="1:21" hidden="1">
      <c r="A6471" s="7" t="s">
        <v>8758</v>
      </c>
      <c r="B6471" s="7" t="s">
        <v>5405</v>
      </c>
      <c r="C6471" s="8" t="s">
        <v>5319</v>
      </c>
      <c r="D6471" t="s">
        <v>266</v>
      </c>
      <c r="E6471" t="s">
        <v>25</v>
      </c>
      <c r="F6471" t="s">
        <v>493</v>
      </c>
      <c r="G6471" t="s">
        <v>3812</v>
      </c>
      <c r="H6471" s="9">
        <v>44733</v>
      </c>
      <c r="I6471" t="s">
        <v>8634</v>
      </c>
      <c r="J6471" t="s">
        <v>0</v>
      </c>
      <c r="K6471" s="9">
        <v>44862</v>
      </c>
      <c r="L6471" t="s">
        <v>29</v>
      </c>
      <c r="M6471"/>
      <c r="N6471" s="9">
        <v>44778</v>
      </c>
      <c r="O6471"/>
      <c r="P6471"/>
      <c r="Q6471" s="9">
        <v>44862</v>
      </c>
      <c r="R6471"/>
      <c r="S6471"/>
      <c r="T6471"/>
      <c r="U6471"/>
    </row>
    <row r="6472" spans="1:21" hidden="1">
      <c r="A6472" s="7" t="s">
        <v>8758</v>
      </c>
      <c r="B6472" s="7" t="s">
        <v>5405</v>
      </c>
      <c r="C6472" s="8" t="s">
        <v>5319</v>
      </c>
      <c r="D6472" t="s">
        <v>266</v>
      </c>
      <c r="E6472" t="s">
        <v>25</v>
      </c>
      <c r="F6472" t="s">
        <v>493</v>
      </c>
      <c r="G6472" t="s">
        <v>3813</v>
      </c>
      <c r="H6472" s="9">
        <v>44733</v>
      </c>
      <c r="I6472" t="s">
        <v>8634</v>
      </c>
      <c r="J6472" t="s">
        <v>0</v>
      </c>
      <c r="K6472" s="9">
        <v>44862</v>
      </c>
      <c r="L6472" t="s">
        <v>29</v>
      </c>
      <c r="M6472"/>
      <c r="N6472" s="9">
        <v>44778</v>
      </c>
      <c r="O6472"/>
      <c r="P6472"/>
      <c r="Q6472" s="9">
        <v>44862</v>
      </c>
      <c r="R6472"/>
      <c r="S6472"/>
      <c r="T6472"/>
      <c r="U6472"/>
    </row>
    <row r="6473" spans="1:21" hidden="1">
      <c r="A6473" s="7" t="s">
        <v>8758</v>
      </c>
      <c r="B6473" s="7" t="s">
        <v>5405</v>
      </c>
      <c r="C6473" s="8" t="s">
        <v>5319</v>
      </c>
      <c r="D6473" t="s">
        <v>266</v>
      </c>
      <c r="E6473" t="s">
        <v>25</v>
      </c>
      <c r="F6473" t="s">
        <v>493</v>
      </c>
      <c r="G6473" t="s">
        <v>3814</v>
      </c>
      <c r="H6473" s="9">
        <v>44733</v>
      </c>
      <c r="I6473" t="s">
        <v>8634</v>
      </c>
      <c r="J6473" t="s">
        <v>0</v>
      </c>
      <c r="K6473" s="9">
        <v>44862</v>
      </c>
      <c r="L6473" t="s">
        <v>29</v>
      </c>
      <c r="M6473"/>
      <c r="N6473" s="9">
        <v>44778</v>
      </c>
      <c r="O6473"/>
      <c r="P6473"/>
      <c r="Q6473" s="9">
        <v>44862</v>
      </c>
      <c r="R6473"/>
      <c r="S6473"/>
      <c r="T6473"/>
      <c r="U6473"/>
    </row>
    <row r="6474" spans="1:21" hidden="1">
      <c r="A6474" s="7" t="s">
        <v>8758</v>
      </c>
      <c r="B6474" s="7" t="s">
        <v>5405</v>
      </c>
      <c r="C6474" s="8" t="s">
        <v>5319</v>
      </c>
      <c r="D6474" t="s">
        <v>266</v>
      </c>
      <c r="E6474" t="s">
        <v>25</v>
      </c>
      <c r="F6474" t="s">
        <v>493</v>
      </c>
      <c r="G6474" t="s">
        <v>2845</v>
      </c>
      <c r="H6474" s="9">
        <v>44733</v>
      </c>
      <c r="I6474" t="s">
        <v>8634</v>
      </c>
      <c r="J6474" t="s">
        <v>0</v>
      </c>
      <c r="K6474" s="9">
        <v>44862</v>
      </c>
      <c r="L6474" t="s">
        <v>29</v>
      </c>
      <c r="M6474"/>
      <c r="N6474" s="9">
        <v>44778</v>
      </c>
      <c r="O6474"/>
      <c r="P6474"/>
      <c r="Q6474" s="9">
        <v>44862</v>
      </c>
      <c r="R6474"/>
      <c r="S6474"/>
      <c r="T6474"/>
      <c r="U6474"/>
    </row>
    <row r="6475" spans="1:21" hidden="1">
      <c r="A6475" s="7" t="s">
        <v>8758</v>
      </c>
      <c r="B6475" s="7" t="s">
        <v>5405</v>
      </c>
      <c r="C6475" s="8" t="s">
        <v>5319</v>
      </c>
      <c r="D6475" t="s">
        <v>266</v>
      </c>
      <c r="E6475" t="s">
        <v>25</v>
      </c>
      <c r="F6475" t="s">
        <v>493</v>
      </c>
      <c r="G6475" t="s">
        <v>3815</v>
      </c>
      <c r="H6475" s="9">
        <v>44733</v>
      </c>
      <c r="I6475" t="s">
        <v>8634</v>
      </c>
      <c r="J6475" t="s">
        <v>0</v>
      </c>
      <c r="K6475" s="9">
        <v>44862</v>
      </c>
      <c r="L6475" t="s">
        <v>29</v>
      </c>
      <c r="M6475"/>
      <c r="N6475" s="9">
        <v>44778</v>
      </c>
      <c r="O6475"/>
      <c r="P6475"/>
      <c r="Q6475" s="9">
        <v>44862</v>
      </c>
      <c r="R6475"/>
      <c r="S6475"/>
      <c r="T6475"/>
      <c r="U6475"/>
    </row>
    <row r="6476" spans="1:21" hidden="1">
      <c r="A6476" s="7" t="s">
        <v>8758</v>
      </c>
      <c r="B6476" s="7" t="s">
        <v>5405</v>
      </c>
      <c r="C6476" s="8" t="s">
        <v>5319</v>
      </c>
      <c r="D6476" t="s">
        <v>266</v>
      </c>
      <c r="E6476" t="s">
        <v>25</v>
      </c>
      <c r="F6476" t="s">
        <v>493</v>
      </c>
      <c r="G6476" t="s">
        <v>3816</v>
      </c>
      <c r="H6476" s="9">
        <v>44733</v>
      </c>
      <c r="I6476" t="s">
        <v>8634</v>
      </c>
      <c r="J6476" t="s">
        <v>0</v>
      </c>
      <c r="K6476" s="9">
        <v>44862</v>
      </c>
      <c r="L6476" t="s">
        <v>29</v>
      </c>
      <c r="M6476"/>
      <c r="N6476" s="9">
        <v>44778</v>
      </c>
      <c r="O6476"/>
      <c r="P6476"/>
      <c r="Q6476" s="9">
        <v>44862</v>
      </c>
      <c r="R6476"/>
      <c r="S6476"/>
      <c r="T6476"/>
      <c r="U6476"/>
    </row>
    <row r="6477" spans="1:21" hidden="1">
      <c r="A6477" s="7" t="s">
        <v>8758</v>
      </c>
      <c r="B6477" s="7" t="s">
        <v>5405</v>
      </c>
      <c r="C6477" s="8" t="s">
        <v>5319</v>
      </c>
      <c r="D6477" t="s">
        <v>266</v>
      </c>
      <c r="E6477" t="s">
        <v>25</v>
      </c>
      <c r="F6477" t="s">
        <v>493</v>
      </c>
      <c r="G6477" t="s">
        <v>3817</v>
      </c>
      <c r="H6477" s="9">
        <v>44733</v>
      </c>
      <c r="I6477" t="s">
        <v>8634</v>
      </c>
      <c r="J6477" t="s">
        <v>0</v>
      </c>
      <c r="K6477" s="9">
        <v>44862</v>
      </c>
      <c r="L6477" t="s">
        <v>29</v>
      </c>
      <c r="M6477"/>
      <c r="N6477" s="9">
        <v>44778</v>
      </c>
      <c r="O6477"/>
      <c r="P6477"/>
      <c r="Q6477" s="9">
        <v>44862</v>
      </c>
      <c r="R6477"/>
      <c r="S6477"/>
      <c r="T6477"/>
      <c r="U6477"/>
    </row>
    <row r="6478" spans="1:21" hidden="1">
      <c r="A6478" s="7" t="s">
        <v>8758</v>
      </c>
      <c r="B6478" s="7" t="s">
        <v>5405</v>
      </c>
      <c r="C6478" s="8" t="s">
        <v>5319</v>
      </c>
      <c r="D6478" t="s">
        <v>266</v>
      </c>
      <c r="E6478" t="s">
        <v>25</v>
      </c>
      <c r="F6478" t="s">
        <v>493</v>
      </c>
      <c r="G6478" t="s">
        <v>3818</v>
      </c>
      <c r="H6478" s="9">
        <v>44733</v>
      </c>
      <c r="I6478" t="s">
        <v>8634</v>
      </c>
      <c r="J6478" t="s">
        <v>0</v>
      </c>
      <c r="K6478" s="9">
        <v>44862</v>
      </c>
      <c r="L6478" t="s">
        <v>29</v>
      </c>
      <c r="M6478"/>
      <c r="N6478" s="9">
        <v>44778</v>
      </c>
      <c r="O6478"/>
      <c r="P6478"/>
      <c r="Q6478" s="9">
        <v>44862</v>
      </c>
      <c r="R6478"/>
      <c r="S6478"/>
      <c r="T6478"/>
      <c r="U6478"/>
    </row>
    <row r="6479" spans="1:21" hidden="1">
      <c r="A6479" s="7" t="s">
        <v>8758</v>
      </c>
      <c r="B6479" s="7" t="s">
        <v>5405</v>
      </c>
      <c r="C6479" s="8" t="s">
        <v>5319</v>
      </c>
      <c r="D6479" t="s">
        <v>266</v>
      </c>
      <c r="E6479" t="s">
        <v>25</v>
      </c>
      <c r="F6479" t="s">
        <v>493</v>
      </c>
      <c r="G6479" t="s">
        <v>3819</v>
      </c>
      <c r="H6479" s="9">
        <v>44733</v>
      </c>
      <c r="I6479" t="s">
        <v>8634</v>
      </c>
      <c r="J6479" t="s">
        <v>0</v>
      </c>
      <c r="K6479" s="9">
        <v>44862</v>
      </c>
      <c r="L6479" t="s">
        <v>29</v>
      </c>
      <c r="M6479"/>
      <c r="N6479" s="9">
        <v>44778</v>
      </c>
      <c r="O6479"/>
      <c r="P6479"/>
      <c r="Q6479" s="9">
        <v>44862</v>
      </c>
      <c r="R6479"/>
      <c r="S6479"/>
      <c r="T6479"/>
      <c r="U6479"/>
    </row>
    <row r="6480" spans="1:21" hidden="1">
      <c r="A6480" s="7" t="s">
        <v>8758</v>
      </c>
      <c r="B6480" s="7" t="s">
        <v>5405</v>
      </c>
      <c r="C6480" s="8" t="s">
        <v>5319</v>
      </c>
      <c r="D6480" t="s">
        <v>266</v>
      </c>
      <c r="E6480" t="s">
        <v>25</v>
      </c>
      <c r="F6480" t="s">
        <v>493</v>
      </c>
      <c r="G6480" t="s">
        <v>3820</v>
      </c>
      <c r="H6480" s="9">
        <v>44733</v>
      </c>
      <c r="I6480" t="s">
        <v>8634</v>
      </c>
      <c r="J6480" t="s">
        <v>0</v>
      </c>
      <c r="K6480" s="9">
        <v>44862</v>
      </c>
      <c r="L6480" t="s">
        <v>29</v>
      </c>
      <c r="M6480"/>
      <c r="N6480" s="9">
        <v>44778</v>
      </c>
      <c r="O6480"/>
      <c r="P6480"/>
      <c r="Q6480" s="9">
        <v>44862</v>
      </c>
      <c r="R6480"/>
      <c r="S6480"/>
      <c r="T6480"/>
      <c r="U6480"/>
    </row>
    <row r="6481" spans="1:21" hidden="1">
      <c r="A6481" s="7" t="s">
        <v>8758</v>
      </c>
      <c r="B6481" s="7" t="s">
        <v>5405</v>
      </c>
      <c r="C6481" s="8" t="s">
        <v>5319</v>
      </c>
      <c r="D6481" t="s">
        <v>266</v>
      </c>
      <c r="E6481" t="s">
        <v>25</v>
      </c>
      <c r="F6481" t="s">
        <v>493</v>
      </c>
      <c r="G6481" t="s">
        <v>3821</v>
      </c>
      <c r="H6481" s="9">
        <v>44733</v>
      </c>
      <c r="I6481" t="s">
        <v>8634</v>
      </c>
      <c r="J6481" t="s">
        <v>0</v>
      </c>
      <c r="K6481" s="9">
        <v>44862</v>
      </c>
      <c r="L6481" t="s">
        <v>29</v>
      </c>
      <c r="M6481"/>
      <c r="N6481" s="9">
        <v>44778</v>
      </c>
      <c r="O6481"/>
      <c r="P6481"/>
      <c r="Q6481" s="9">
        <v>44862</v>
      </c>
      <c r="R6481"/>
      <c r="S6481"/>
      <c r="T6481"/>
      <c r="U6481"/>
    </row>
    <row r="6482" spans="1:21" hidden="1">
      <c r="A6482" s="7" t="s">
        <v>8758</v>
      </c>
      <c r="B6482" s="7" t="s">
        <v>5405</v>
      </c>
      <c r="C6482" s="8" t="s">
        <v>5319</v>
      </c>
      <c r="D6482" t="s">
        <v>266</v>
      </c>
      <c r="E6482" t="s">
        <v>25</v>
      </c>
      <c r="F6482" t="s">
        <v>493</v>
      </c>
      <c r="G6482" t="s">
        <v>3822</v>
      </c>
      <c r="H6482" s="9">
        <v>44733</v>
      </c>
      <c r="I6482" t="s">
        <v>8634</v>
      </c>
      <c r="J6482" t="s">
        <v>0</v>
      </c>
      <c r="K6482" s="9">
        <v>44862</v>
      </c>
      <c r="L6482" t="s">
        <v>29</v>
      </c>
      <c r="M6482"/>
      <c r="N6482" s="9">
        <v>44778</v>
      </c>
      <c r="O6482"/>
      <c r="P6482"/>
      <c r="Q6482" s="9">
        <v>44862</v>
      </c>
      <c r="R6482"/>
      <c r="S6482"/>
      <c r="T6482"/>
      <c r="U6482"/>
    </row>
    <row r="6483" spans="1:21" hidden="1">
      <c r="A6483" s="7" t="s">
        <v>8758</v>
      </c>
      <c r="B6483" s="7" t="s">
        <v>5405</v>
      </c>
      <c r="C6483" s="8" t="s">
        <v>5319</v>
      </c>
      <c r="D6483" t="s">
        <v>266</v>
      </c>
      <c r="E6483" t="s">
        <v>25</v>
      </c>
      <c r="F6483" t="s">
        <v>493</v>
      </c>
      <c r="G6483" t="s">
        <v>3823</v>
      </c>
      <c r="H6483" s="9">
        <v>44733</v>
      </c>
      <c r="I6483" t="s">
        <v>8634</v>
      </c>
      <c r="J6483" t="s">
        <v>0</v>
      </c>
      <c r="K6483" s="9">
        <v>44862</v>
      </c>
      <c r="L6483" t="s">
        <v>29</v>
      </c>
      <c r="M6483"/>
      <c r="N6483" s="9">
        <v>44778</v>
      </c>
      <c r="O6483"/>
      <c r="P6483"/>
      <c r="Q6483" s="9">
        <v>44862</v>
      </c>
      <c r="R6483"/>
      <c r="S6483"/>
      <c r="T6483"/>
      <c r="U6483"/>
    </row>
    <row r="6484" spans="1:21" hidden="1">
      <c r="A6484" s="7" t="s">
        <v>8758</v>
      </c>
      <c r="B6484" s="7" t="s">
        <v>5405</v>
      </c>
      <c r="C6484" s="8" t="s">
        <v>5319</v>
      </c>
      <c r="D6484" t="s">
        <v>266</v>
      </c>
      <c r="E6484" t="s">
        <v>25</v>
      </c>
      <c r="F6484" t="s">
        <v>493</v>
      </c>
      <c r="G6484" t="s">
        <v>2848</v>
      </c>
      <c r="H6484" s="9">
        <v>44733</v>
      </c>
      <c r="I6484" t="s">
        <v>8634</v>
      </c>
      <c r="J6484" t="s">
        <v>0</v>
      </c>
      <c r="K6484" s="9">
        <v>44862</v>
      </c>
      <c r="L6484" t="s">
        <v>29</v>
      </c>
      <c r="M6484"/>
      <c r="N6484" s="9">
        <v>44778</v>
      </c>
      <c r="O6484"/>
      <c r="P6484"/>
      <c r="Q6484" s="9">
        <v>44862</v>
      </c>
      <c r="R6484"/>
      <c r="S6484"/>
      <c r="T6484"/>
      <c r="U6484"/>
    </row>
    <row r="6485" spans="1:21" hidden="1">
      <c r="A6485" s="7" t="s">
        <v>8758</v>
      </c>
      <c r="B6485" s="7" t="s">
        <v>5405</v>
      </c>
      <c r="C6485" s="8" t="s">
        <v>5319</v>
      </c>
      <c r="D6485" t="s">
        <v>266</v>
      </c>
      <c r="E6485" t="s">
        <v>25</v>
      </c>
      <c r="F6485" t="s">
        <v>493</v>
      </c>
      <c r="G6485" t="s">
        <v>2849</v>
      </c>
      <c r="H6485" s="9">
        <v>44733</v>
      </c>
      <c r="I6485" t="s">
        <v>8634</v>
      </c>
      <c r="J6485" t="s">
        <v>0</v>
      </c>
      <c r="K6485" s="9">
        <v>44862</v>
      </c>
      <c r="L6485" t="s">
        <v>29</v>
      </c>
      <c r="M6485"/>
      <c r="N6485" s="9">
        <v>44778</v>
      </c>
      <c r="O6485"/>
      <c r="P6485"/>
      <c r="Q6485" s="9">
        <v>44862</v>
      </c>
      <c r="R6485"/>
      <c r="S6485"/>
      <c r="T6485"/>
      <c r="U6485"/>
    </row>
    <row r="6486" spans="1:21" hidden="1">
      <c r="A6486" s="7" t="s">
        <v>8758</v>
      </c>
      <c r="B6486" s="7" t="s">
        <v>5405</v>
      </c>
      <c r="C6486" s="8" t="s">
        <v>5319</v>
      </c>
      <c r="D6486" t="s">
        <v>266</v>
      </c>
      <c r="E6486" t="s">
        <v>25</v>
      </c>
      <c r="F6486" t="s">
        <v>493</v>
      </c>
      <c r="G6486" t="s">
        <v>3824</v>
      </c>
      <c r="H6486" s="9">
        <v>44733</v>
      </c>
      <c r="I6486" t="s">
        <v>8634</v>
      </c>
      <c r="J6486" t="s">
        <v>0</v>
      </c>
      <c r="K6486" s="9">
        <v>44862</v>
      </c>
      <c r="L6486" t="s">
        <v>29</v>
      </c>
      <c r="M6486"/>
      <c r="N6486" s="9">
        <v>44778</v>
      </c>
      <c r="O6486"/>
      <c r="P6486"/>
      <c r="Q6486" s="9">
        <v>44862</v>
      </c>
      <c r="R6486"/>
      <c r="S6486"/>
      <c r="T6486"/>
      <c r="U6486"/>
    </row>
    <row r="6487" spans="1:21" hidden="1">
      <c r="A6487" s="7" t="s">
        <v>8758</v>
      </c>
      <c r="B6487" s="7" t="s">
        <v>5405</v>
      </c>
      <c r="C6487" s="8" t="s">
        <v>5319</v>
      </c>
      <c r="D6487" t="s">
        <v>266</v>
      </c>
      <c r="E6487" t="s">
        <v>25</v>
      </c>
      <c r="F6487" t="s">
        <v>493</v>
      </c>
      <c r="G6487" t="s">
        <v>3825</v>
      </c>
      <c r="H6487" s="9">
        <v>44733</v>
      </c>
      <c r="I6487" t="s">
        <v>8634</v>
      </c>
      <c r="J6487" t="s">
        <v>2</v>
      </c>
      <c r="K6487" s="9">
        <v>44834</v>
      </c>
      <c r="L6487" t="s">
        <v>29</v>
      </c>
      <c r="M6487" t="s">
        <v>5331</v>
      </c>
      <c r="N6487" s="9">
        <v>44778</v>
      </c>
      <c r="O6487" s="9">
        <v>44834</v>
      </c>
      <c r="P6487"/>
      <c r="Q6487"/>
      <c r="R6487"/>
      <c r="S6487"/>
      <c r="T6487"/>
      <c r="U6487"/>
    </row>
    <row r="6488" spans="1:21" hidden="1">
      <c r="A6488" s="7" t="s">
        <v>8758</v>
      </c>
      <c r="B6488" s="7" t="s">
        <v>5405</v>
      </c>
      <c r="C6488" s="8" t="s">
        <v>5319</v>
      </c>
      <c r="D6488" t="s">
        <v>266</v>
      </c>
      <c r="E6488" t="s">
        <v>25</v>
      </c>
      <c r="F6488" t="s">
        <v>493</v>
      </c>
      <c r="G6488" t="s">
        <v>579</v>
      </c>
      <c r="H6488" s="9">
        <v>44733</v>
      </c>
      <c r="I6488" t="s">
        <v>8634</v>
      </c>
      <c r="J6488" t="s">
        <v>0</v>
      </c>
      <c r="K6488" s="9">
        <v>44862</v>
      </c>
      <c r="L6488" t="s">
        <v>29</v>
      </c>
      <c r="M6488"/>
      <c r="N6488" s="9">
        <v>44778</v>
      </c>
      <c r="O6488"/>
      <c r="P6488"/>
      <c r="Q6488" s="9">
        <v>44862</v>
      </c>
      <c r="R6488"/>
      <c r="S6488"/>
      <c r="T6488"/>
      <c r="U6488"/>
    </row>
    <row r="6489" spans="1:21" hidden="1">
      <c r="A6489" s="7" t="s">
        <v>8758</v>
      </c>
      <c r="B6489" s="7" t="s">
        <v>5405</v>
      </c>
      <c r="C6489" s="8" t="s">
        <v>5319</v>
      </c>
      <c r="D6489" t="s">
        <v>266</v>
      </c>
      <c r="E6489" t="s">
        <v>25</v>
      </c>
      <c r="F6489" t="s">
        <v>493</v>
      </c>
      <c r="G6489" t="s">
        <v>3826</v>
      </c>
      <c r="H6489" s="9">
        <v>44733</v>
      </c>
      <c r="I6489" t="s">
        <v>8634</v>
      </c>
      <c r="J6489" t="s">
        <v>0</v>
      </c>
      <c r="K6489" s="9">
        <v>44862</v>
      </c>
      <c r="L6489" t="s">
        <v>29</v>
      </c>
      <c r="M6489"/>
      <c r="N6489" s="9">
        <v>44778</v>
      </c>
      <c r="O6489"/>
      <c r="P6489"/>
      <c r="Q6489" s="9">
        <v>44862</v>
      </c>
      <c r="R6489"/>
      <c r="S6489"/>
      <c r="T6489"/>
      <c r="U6489"/>
    </row>
    <row r="6490" spans="1:21" hidden="1">
      <c r="A6490" s="7" t="s">
        <v>8758</v>
      </c>
      <c r="B6490" s="7" t="s">
        <v>5405</v>
      </c>
      <c r="C6490" s="8" t="s">
        <v>5319</v>
      </c>
      <c r="D6490" t="s">
        <v>266</v>
      </c>
      <c r="E6490" t="s">
        <v>25</v>
      </c>
      <c r="F6490" t="s">
        <v>493</v>
      </c>
      <c r="G6490" t="s">
        <v>3827</v>
      </c>
      <c r="H6490" s="9">
        <v>44733</v>
      </c>
      <c r="I6490" t="s">
        <v>8634</v>
      </c>
      <c r="J6490" t="s">
        <v>0</v>
      </c>
      <c r="K6490" s="9">
        <v>44862</v>
      </c>
      <c r="L6490" t="s">
        <v>29</v>
      </c>
      <c r="M6490"/>
      <c r="N6490" s="9">
        <v>44778</v>
      </c>
      <c r="O6490"/>
      <c r="P6490"/>
      <c r="Q6490" s="9">
        <v>44862</v>
      </c>
      <c r="R6490"/>
      <c r="S6490"/>
      <c r="T6490"/>
      <c r="U6490"/>
    </row>
    <row r="6491" spans="1:21" hidden="1">
      <c r="A6491" s="7" t="s">
        <v>8758</v>
      </c>
      <c r="B6491" s="7" t="s">
        <v>5405</v>
      </c>
      <c r="C6491" s="8" t="s">
        <v>5319</v>
      </c>
      <c r="D6491" t="s">
        <v>266</v>
      </c>
      <c r="E6491" t="s">
        <v>25</v>
      </c>
      <c r="F6491" t="s">
        <v>493</v>
      </c>
      <c r="G6491" t="s">
        <v>3828</v>
      </c>
      <c r="H6491" s="9">
        <v>44733</v>
      </c>
      <c r="I6491" t="s">
        <v>8634</v>
      </c>
      <c r="J6491" t="s">
        <v>0</v>
      </c>
      <c r="K6491" s="9">
        <v>44862</v>
      </c>
      <c r="L6491" t="s">
        <v>29</v>
      </c>
      <c r="M6491"/>
      <c r="N6491" s="9">
        <v>44778</v>
      </c>
      <c r="O6491"/>
      <c r="P6491"/>
      <c r="Q6491" s="9">
        <v>44862</v>
      </c>
      <c r="R6491"/>
      <c r="S6491"/>
      <c r="T6491"/>
      <c r="U6491"/>
    </row>
    <row r="6492" spans="1:21" hidden="1">
      <c r="A6492" s="7" t="s">
        <v>8758</v>
      </c>
      <c r="B6492" s="7" t="s">
        <v>5405</v>
      </c>
      <c r="C6492" s="8" t="s">
        <v>5319</v>
      </c>
      <c r="D6492" t="s">
        <v>266</v>
      </c>
      <c r="E6492" t="s">
        <v>25</v>
      </c>
      <c r="F6492" t="s">
        <v>493</v>
      </c>
      <c r="G6492" t="s">
        <v>3829</v>
      </c>
      <c r="H6492" s="9">
        <v>44733</v>
      </c>
      <c r="I6492" t="s">
        <v>8634</v>
      </c>
      <c r="J6492" t="s">
        <v>2</v>
      </c>
      <c r="K6492" s="9">
        <v>44834</v>
      </c>
      <c r="L6492" t="s">
        <v>29</v>
      </c>
      <c r="M6492" t="s">
        <v>5331</v>
      </c>
      <c r="N6492" s="9">
        <v>44778</v>
      </c>
      <c r="O6492" s="9">
        <v>44834</v>
      </c>
      <c r="P6492"/>
      <c r="Q6492"/>
      <c r="R6492"/>
      <c r="S6492"/>
      <c r="T6492"/>
      <c r="U6492"/>
    </row>
    <row r="6493" spans="1:21" hidden="1">
      <c r="A6493" s="7" t="s">
        <v>8758</v>
      </c>
      <c r="B6493" s="7" t="s">
        <v>5405</v>
      </c>
      <c r="C6493" s="8" t="s">
        <v>5319</v>
      </c>
      <c r="D6493" t="s">
        <v>266</v>
      </c>
      <c r="E6493" t="s">
        <v>25</v>
      </c>
      <c r="F6493" t="s">
        <v>493</v>
      </c>
      <c r="G6493" t="s">
        <v>2854</v>
      </c>
      <c r="H6493" s="9">
        <v>44733</v>
      </c>
      <c r="I6493" t="s">
        <v>8634</v>
      </c>
      <c r="J6493" t="s">
        <v>0</v>
      </c>
      <c r="K6493" s="9">
        <v>44862</v>
      </c>
      <c r="L6493" t="s">
        <v>29</v>
      </c>
      <c r="M6493"/>
      <c r="N6493" s="9">
        <v>44778</v>
      </c>
      <c r="O6493"/>
      <c r="P6493"/>
      <c r="Q6493" s="9">
        <v>44862</v>
      </c>
      <c r="R6493"/>
      <c r="S6493"/>
      <c r="T6493"/>
      <c r="U6493"/>
    </row>
    <row r="6494" spans="1:21" hidden="1">
      <c r="A6494" s="7" t="s">
        <v>8758</v>
      </c>
      <c r="B6494" s="7" t="s">
        <v>5405</v>
      </c>
      <c r="C6494" s="8" t="s">
        <v>5319</v>
      </c>
      <c r="D6494" t="s">
        <v>266</v>
      </c>
      <c r="E6494" t="s">
        <v>25</v>
      </c>
      <c r="F6494" t="s">
        <v>493</v>
      </c>
      <c r="G6494" t="s">
        <v>3830</v>
      </c>
      <c r="H6494" s="9">
        <v>44733</v>
      </c>
      <c r="I6494" t="s">
        <v>8634</v>
      </c>
      <c r="J6494" t="s">
        <v>2</v>
      </c>
      <c r="K6494" s="9">
        <v>44834</v>
      </c>
      <c r="L6494" t="s">
        <v>29</v>
      </c>
      <c r="M6494" t="s">
        <v>5331</v>
      </c>
      <c r="N6494" s="9">
        <v>44778</v>
      </c>
      <c r="O6494" s="9">
        <v>44834</v>
      </c>
      <c r="P6494"/>
      <c r="Q6494"/>
      <c r="R6494"/>
      <c r="S6494"/>
      <c r="T6494"/>
      <c r="U6494"/>
    </row>
    <row r="6495" spans="1:21" hidden="1">
      <c r="A6495" s="7" t="s">
        <v>8758</v>
      </c>
      <c r="B6495" s="7" t="s">
        <v>5405</v>
      </c>
      <c r="C6495" s="8" t="s">
        <v>5319</v>
      </c>
      <c r="D6495" t="s">
        <v>266</v>
      </c>
      <c r="E6495" t="s">
        <v>25</v>
      </c>
      <c r="F6495" t="s">
        <v>493</v>
      </c>
      <c r="G6495" t="s">
        <v>2855</v>
      </c>
      <c r="H6495" s="9">
        <v>44733</v>
      </c>
      <c r="I6495" t="s">
        <v>8634</v>
      </c>
      <c r="J6495" t="s">
        <v>0</v>
      </c>
      <c r="K6495" s="9">
        <v>44862</v>
      </c>
      <c r="L6495" t="s">
        <v>29</v>
      </c>
      <c r="M6495"/>
      <c r="N6495" s="9">
        <v>44778</v>
      </c>
      <c r="O6495"/>
      <c r="P6495"/>
      <c r="Q6495" s="9">
        <v>44862</v>
      </c>
      <c r="R6495"/>
      <c r="S6495"/>
      <c r="T6495"/>
      <c r="U6495"/>
    </row>
    <row r="6496" spans="1:21" hidden="1">
      <c r="A6496" s="7" t="s">
        <v>8758</v>
      </c>
      <c r="B6496" s="7" t="s">
        <v>5405</v>
      </c>
      <c r="C6496" s="8" t="s">
        <v>5319</v>
      </c>
      <c r="D6496" t="s">
        <v>266</v>
      </c>
      <c r="E6496" t="s">
        <v>25</v>
      </c>
      <c r="F6496" t="s">
        <v>493</v>
      </c>
      <c r="G6496" t="s">
        <v>3831</v>
      </c>
      <c r="H6496" s="9">
        <v>44733</v>
      </c>
      <c r="I6496" t="s">
        <v>8634</v>
      </c>
      <c r="J6496" t="s">
        <v>2</v>
      </c>
      <c r="K6496" s="9">
        <v>44834</v>
      </c>
      <c r="L6496" t="s">
        <v>29</v>
      </c>
      <c r="M6496" t="s">
        <v>5331</v>
      </c>
      <c r="N6496" s="9">
        <v>44778</v>
      </c>
      <c r="O6496" s="9">
        <v>44834</v>
      </c>
      <c r="P6496"/>
      <c r="Q6496"/>
      <c r="R6496"/>
      <c r="S6496"/>
      <c r="T6496"/>
      <c r="U6496"/>
    </row>
    <row r="6497" spans="1:21" hidden="1">
      <c r="A6497" s="7" t="s">
        <v>8758</v>
      </c>
      <c r="B6497" s="7" t="s">
        <v>5405</v>
      </c>
      <c r="C6497" s="8" t="s">
        <v>5319</v>
      </c>
      <c r="D6497" t="s">
        <v>266</v>
      </c>
      <c r="E6497" t="s">
        <v>25</v>
      </c>
      <c r="F6497" t="s">
        <v>493</v>
      </c>
      <c r="G6497" t="s">
        <v>2856</v>
      </c>
      <c r="H6497" s="9">
        <v>44733</v>
      </c>
      <c r="I6497" t="s">
        <v>8634</v>
      </c>
      <c r="J6497" t="s">
        <v>0</v>
      </c>
      <c r="K6497" s="9">
        <v>44862</v>
      </c>
      <c r="L6497" t="s">
        <v>29</v>
      </c>
      <c r="M6497"/>
      <c r="N6497" s="9">
        <v>44778</v>
      </c>
      <c r="O6497"/>
      <c r="P6497"/>
      <c r="Q6497" s="9">
        <v>44862</v>
      </c>
      <c r="R6497"/>
      <c r="S6497"/>
      <c r="T6497"/>
      <c r="U6497"/>
    </row>
    <row r="6498" spans="1:21" hidden="1">
      <c r="A6498" s="7" t="s">
        <v>8758</v>
      </c>
      <c r="B6498" s="7" t="s">
        <v>5405</v>
      </c>
      <c r="C6498" s="8" t="s">
        <v>5319</v>
      </c>
      <c r="D6498" t="s">
        <v>266</v>
      </c>
      <c r="E6498" t="s">
        <v>25</v>
      </c>
      <c r="F6498" t="s">
        <v>493</v>
      </c>
      <c r="G6498" t="s">
        <v>2857</v>
      </c>
      <c r="H6498" s="9">
        <v>44733</v>
      </c>
      <c r="I6498" t="s">
        <v>8634</v>
      </c>
      <c r="J6498" t="s">
        <v>0</v>
      </c>
      <c r="K6498" s="9">
        <v>44862</v>
      </c>
      <c r="L6498" t="s">
        <v>29</v>
      </c>
      <c r="M6498"/>
      <c r="N6498" s="9">
        <v>44778</v>
      </c>
      <c r="O6498"/>
      <c r="P6498"/>
      <c r="Q6498" s="9">
        <v>44862</v>
      </c>
      <c r="R6498"/>
      <c r="S6498"/>
      <c r="T6498"/>
      <c r="U6498"/>
    </row>
    <row r="6499" spans="1:21" hidden="1">
      <c r="A6499" s="7" t="s">
        <v>8758</v>
      </c>
      <c r="B6499" s="7" t="s">
        <v>5405</v>
      </c>
      <c r="C6499" s="8" t="s">
        <v>5319</v>
      </c>
      <c r="D6499" t="s">
        <v>266</v>
      </c>
      <c r="E6499" t="s">
        <v>25</v>
      </c>
      <c r="F6499" t="s">
        <v>493</v>
      </c>
      <c r="G6499" t="s">
        <v>2858</v>
      </c>
      <c r="H6499" s="9">
        <v>44733</v>
      </c>
      <c r="I6499" t="s">
        <v>8634</v>
      </c>
      <c r="J6499" t="s">
        <v>2</v>
      </c>
      <c r="K6499" s="9">
        <v>44834</v>
      </c>
      <c r="L6499" t="s">
        <v>29</v>
      </c>
      <c r="M6499" t="s">
        <v>5331</v>
      </c>
      <c r="N6499" s="9">
        <v>44778</v>
      </c>
      <c r="O6499" s="9">
        <v>44834</v>
      </c>
      <c r="P6499"/>
      <c r="Q6499"/>
      <c r="R6499"/>
      <c r="S6499"/>
      <c r="T6499"/>
      <c r="U6499"/>
    </row>
    <row r="6500" spans="1:21" hidden="1">
      <c r="A6500" s="7" t="s">
        <v>8758</v>
      </c>
      <c r="B6500" s="7" t="s">
        <v>5405</v>
      </c>
      <c r="C6500" s="8" t="s">
        <v>5319</v>
      </c>
      <c r="D6500" t="s">
        <v>266</v>
      </c>
      <c r="E6500" t="s">
        <v>25</v>
      </c>
      <c r="F6500" t="s">
        <v>493</v>
      </c>
      <c r="G6500" t="s">
        <v>2859</v>
      </c>
      <c r="H6500" s="9">
        <v>44733</v>
      </c>
      <c r="I6500" t="s">
        <v>8634</v>
      </c>
      <c r="J6500" t="s">
        <v>2</v>
      </c>
      <c r="K6500" s="9">
        <v>44834</v>
      </c>
      <c r="L6500" t="s">
        <v>29</v>
      </c>
      <c r="M6500" t="s">
        <v>5331</v>
      </c>
      <c r="N6500" s="9">
        <v>44778</v>
      </c>
      <c r="O6500" s="9">
        <v>44834</v>
      </c>
      <c r="P6500"/>
      <c r="Q6500"/>
      <c r="R6500"/>
      <c r="S6500"/>
      <c r="T6500"/>
      <c r="U6500"/>
    </row>
    <row r="6501" spans="1:21" hidden="1">
      <c r="A6501" s="7" t="s">
        <v>8758</v>
      </c>
      <c r="B6501" s="7" t="s">
        <v>5405</v>
      </c>
      <c r="C6501" s="8" t="s">
        <v>5319</v>
      </c>
      <c r="D6501" t="s">
        <v>266</v>
      </c>
      <c r="E6501" t="s">
        <v>25</v>
      </c>
      <c r="F6501" t="s">
        <v>493</v>
      </c>
      <c r="G6501" t="s">
        <v>3832</v>
      </c>
      <c r="H6501" s="9">
        <v>44733</v>
      </c>
      <c r="I6501" t="s">
        <v>8634</v>
      </c>
      <c r="J6501" t="s">
        <v>0</v>
      </c>
      <c r="K6501" s="9">
        <v>44862</v>
      </c>
      <c r="L6501" t="s">
        <v>29</v>
      </c>
      <c r="M6501"/>
      <c r="N6501" s="9">
        <v>44778</v>
      </c>
      <c r="O6501"/>
      <c r="P6501"/>
      <c r="Q6501" s="9">
        <v>44862</v>
      </c>
      <c r="R6501"/>
      <c r="S6501"/>
      <c r="T6501"/>
      <c r="U6501"/>
    </row>
    <row r="6502" spans="1:21" hidden="1">
      <c r="A6502" s="7" t="s">
        <v>8758</v>
      </c>
      <c r="B6502" s="7" t="s">
        <v>5405</v>
      </c>
      <c r="C6502" s="8" t="s">
        <v>5319</v>
      </c>
      <c r="D6502" t="s">
        <v>266</v>
      </c>
      <c r="E6502" t="s">
        <v>25</v>
      </c>
      <c r="F6502" t="s">
        <v>493</v>
      </c>
      <c r="G6502" t="s">
        <v>3833</v>
      </c>
      <c r="H6502" s="9">
        <v>44733</v>
      </c>
      <c r="I6502" t="s">
        <v>8634</v>
      </c>
      <c r="J6502" t="s">
        <v>2</v>
      </c>
      <c r="K6502" s="9">
        <v>44834</v>
      </c>
      <c r="L6502" t="s">
        <v>29</v>
      </c>
      <c r="M6502" t="s">
        <v>5331</v>
      </c>
      <c r="N6502" s="9">
        <v>44778</v>
      </c>
      <c r="O6502" s="9">
        <v>44834</v>
      </c>
      <c r="P6502"/>
      <c r="Q6502"/>
      <c r="R6502"/>
      <c r="S6502"/>
      <c r="T6502"/>
      <c r="U6502"/>
    </row>
    <row r="6503" spans="1:21" hidden="1">
      <c r="A6503" s="7" t="s">
        <v>8758</v>
      </c>
      <c r="B6503" s="7" t="s">
        <v>5405</v>
      </c>
      <c r="C6503" s="8" t="s">
        <v>5319</v>
      </c>
      <c r="D6503" t="s">
        <v>266</v>
      </c>
      <c r="E6503" t="s">
        <v>25</v>
      </c>
      <c r="F6503" t="s">
        <v>493</v>
      </c>
      <c r="G6503" t="s">
        <v>3834</v>
      </c>
      <c r="H6503" s="9">
        <v>44733</v>
      </c>
      <c r="I6503" t="s">
        <v>8634</v>
      </c>
      <c r="J6503" t="s">
        <v>0</v>
      </c>
      <c r="K6503" s="9">
        <v>44862</v>
      </c>
      <c r="L6503" t="s">
        <v>29</v>
      </c>
      <c r="M6503"/>
      <c r="N6503" s="9">
        <v>44778</v>
      </c>
      <c r="O6503"/>
      <c r="P6503"/>
      <c r="Q6503" s="9">
        <v>44862</v>
      </c>
      <c r="R6503"/>
      <c r="S6503"/>
      <c r="T6503"/>
      <c r="U6503"/>
    </row>
    <row r="6504" spans="1:21" hidden="1">
      <c r="A6504" s="7" t="s">
        <v>8758</v>
      </c>
      <c r="B6504" s="7" t="s">
        <v>5405</v>
      </c>
      <c r="C6504" s="8" t="s">
        <v>5319</v>
      </c>
      <c r="D6504" t="s">
        <v>266</v>
      </c>
      <c r="E6504" t="s">
        <v>25</v>
      </c>
      <c r="F6504" t="s">
        <v>493</v>
      </c>
      <c r="G6504" t="s">
        <v>2861</v>
      </c>
      <c r="H6504" s="9">
        <v>44733</v>
      </c>
      <c r="I6504" t="s">
        <v>8634</v>
      </c>
      <c r="J6504" t="s">
        <v>0</v>
      </c>
      <c r="K6504" s="9">
        <v>44862</v>
      </c>
      <c r="L6504" t="s">
        <v>29</v>
      </c>
      <c r="M6504"/>
      <c r="N6504" s="9">
        <v>44778</v>
      </c>
      <c r="O6504"/>
      <c r="P6504"/>
      <c r="Q6504" s="9">
        <v>44862</v>
      </c>
      <c r="R6504"/>
      <c r="S6504"/>
      <c r="T6504"/>
      <c r="U6504"/>
    </row>
    <row r="6505" spans="1:21" hidden="1">
      <c r="A6505" s="7" t="s">
        <v>8758</v>
      </c>
      <c r="B6505" s="7" t="s">
        <v>5405</v>
      </c>
      <c r="C6505" s="8" t="s">
        <v>5319</v>
      </c>
      <c r="D6505" t="s">
        <v>266</v>
      </c>
      <c r="E6505" t="s">
        <v>25</v>
      </c>
      <c r="F6505" t="s">
        <v>493</v>
      </c>
      <c r="G6505" t="s">
        <v>3835</v>
      </c>
      <c r="H6505" s="9">
        <v>44733</v>
      </c>
      <c r="I6505" t="s">
        <v>8634</v>
      </c>
      <c r="J6505" t="s">
        <v>0</v>
      </c>
      <c r="K6505" s="9">
        <v>44862</v>
      </c>
      <c r="L6505" t="s">
        <v>29</v>
      </c>
      <c r="M6505"/>
      <c r="N6505" s="9">
        <v>44778</v>
      </c>
      <c r="O6505"/>
      <c r="P6505"/>
      <c r="Q6505" s="9">
        <v>44862</v>
      </c>
      <c r="R6505"/>
      <c r="S6505"/>
      <c r="T6505"/>
      <c r="U6505"/>
    </row>
    <row r="6506" spans="1:21" hidden="1">
      <c r="A6506" s="7" t="s">
        <v>8758</v>
      </c>
      <c r="B6506" s="7" t="s">
        <v>5405</v>
      </c>
      <c r="C6506" s="8" t="s">
        <v>5319</v>
      </c>
      <c r="D6506" t="s">
        <v>266</v>
      </c>
      <c r="E6506" t="s">
        <v>25</v>
      </c>
      <c r="F6506" t="s">
        <v>493</v>
      </c>
      <c r="G6506" t="s">
        <v>2866</v>
      </c>
      <c r="H6506" s="9">
        <v>44733</v>
      </c>
      <c r="I6506" t="s">
        <v>8634</v>
      </c>
      <c r="J6506" t="s">
        <v>0</v>
      </c>
      <c r="K6506" s="9">
        <v>44862</v>
      </c>
      <c r="L6506" t="s">
        <v>29</v>
      </c>
      <c r="M6506"/>
      <c r="N6506" s="9">
        <v>44778</v>
      </c>
      <c r="O6506"/>
      <c r="P6506"/>
      <c r="Q6506" s="9">
        <v>44862</v>
      </c>
      <c r="R6506"/>
      <c r="S6506"/>
      <c r="T6506"/>
      <c r="U6506"/>
    </row>
    <row r="6507" spans="1:21" hidden="1">
      <c r="A6507" s="7" t="s">
        <v>8758</v>
      </c>
      <c r="B6507" s="7" t="s">
        <v>5405</v>
      </c>
      <c r="C6507" s="8" t="s">
        <v>5319</v>
      </c>
      <c r="D6507" t="s">
        <v>266</v>
      </c>
      <c r="E6507" t="s">
        <v>25</v>
      </c>
      <c r="F6507" t="s">
        <v>493</v>
      </c>
      <c r="G6507" t="s">
        <v>3836</v>
      </c>
      <c r="H6507" s="9">
        <v>44733</v>
      </c>
      <c r="I6507" t="s">
        <v>8634</v>
      </c>
      <c r="J6507" t="s">
        <v>2</v>
      </c>
      <c r="K6507" s="9">
        <v>44834</v>
      </c>
      <c r="L6507" t="s">
        <v>29</v>
      </c>
      <c r="M6507" t="s">
        <v>5331</v>
      </c>
      <c r="N6507" s="9">
        <v>44778</v>
      </c>
      <c r="O6507" s="9">
        <v>44834</v>
      </c>
      <c r="P6507"/>
      <c r="Q6507"/>
      <c r="R6507"/>
      <c r="S6507"/>
      <c r="T6507"/>
      <c r="U6507"/>
    </row>
    <row r="6508" spans="1:21" hidden="1">
      <c r="A6508" s="7" t="s">
        <v>8758</v>
      </c>
      <c r="B6508" s="7" t="s">
        <v>5405</v>
      </c>
      <c r="C6508" s="8" t="s">
        <v>5319</v>
      </c>
      <c r="D6508" t="s">
        <v>266</v>
      </c>
      <c r="E6508" t="s">
        <v>25</v>
      </c>
      <c r="F6508" t="s">
        <v>493</v>
      </c>
      <c r="G6508" t="s">
        <v>2871</v>
      </c>
      <c r="H6508" s="9">
        <v>44733</v>
      </c>
      <c r="I6508" t="s">
        <v>8634</v>
      </c>
      <c r="J6508" t="s">
        <v>0</v>
      </c>
      <c r="K6508" s="9">
        <v>44862</v>
      </c>
      <c r="L6508" t="s">
        <v>29</v>
      </c>
      <c r="M6508"/>
      <c r="N6508" s="9">
        <v>44778</v>
      </c>
      <c r="O6508"/>
      <c r="P6508"/>
      <c r="Q6508" s="9">
        <v>44862</v>
      </c>
      <c r="R6508"/>
      <c r="S6508"/>
      <c r="T6508"/>
      <c r="U6508"/>
    </row>
    <row r="6509" spans="1:21" hidden="1">
      <c r="A6509" s="7" t="s">
        <v>8758</v>
      </c>
      <c r="B6509" s="7" t="s">
        <v>5405</v>
      </c>
      <c r="C6509" s="8" t="s">
        <v>5319</v>
      </c>
      <c r="D6509" t="s">
        <v>266</v>
      </c>
      <c r="E6509" t="s">
        <v>25</v>
      </c>
      <c r="F6509" t="s">
        <v>493</v>
      </c>
      <c r="G6509" t="s">
        <v>3837</v>
      </c>
      <c r="H6509" s="9">
        <v>44733</v>
      </c>
      <c r="I6509" t="s">
        <v>8634</v>
      </c>
      <c r="J6509" t="s">
        <v>0</v>
      </c>
      <c r="K6509" s="9">
        <v>44862</v>
      </c>
      <c r="L6509" t="s">
        <v>29</v>
      </c>
      <c r="M6509"/>
      <c r="N6509" s="9">
        <v>44778</v>
      </c>
      <c r="O6509"/>
      <c r="P6509"/>
      <c r="Q6509" s="9">
        <v>44862</v>
      </c>
      <c r="R6509"/>
      <c r="S6509"/>
      <c r="T6509"/>
      <c r="U6509"/>
    </row>
    <row r="6510" spans="1:21" hidden="1">
      <c r="A6510" s="7" t="s">
        <v>8758</v>
      </c>
      <c r="B6510" s="7" t="s">
        <v>5405</v>
      </c>
      <c r="C6510" s="8" t="s">
        <v>5319</v>
      </c>
      <c r="D6510" t="s">
        <v>266</v>
      </c>
      <c r="E6510" t="s">
        <v>25</v>
      </c>
      <c r="F6510" t="s">
        <v>493</v>
      </c>
      <c r="G6510" t="s">
        <v>3838</v>
      </c>
      <c r="H6510" s="9">
        <v>44733</v>
      </c>
      <c r="I6510" t="s">
        <v>8634</v>
      </c>
      <c r="J6510" t="s">
        <v>0</v>
      </c>
      <c r="K6510" s="9">
        <v>44862</v>
      </c>
      <c r="L6510" t="s">
        <v>29</v>
      </c>
      <c r="M6510"/>
      <c r="N6510" s="9">
        <v>44778</v>
      </c>
      <c r="O6510"/>
      <c r="P6510"/>
      <c r="Q6510" s="9">
        <v>44862</v>
      </c>
      <c r="R6510"/>
      <c r="S6510"/>
      <c r="T6510"/>
      <c r="U6510"/>
    </row>
    <row r="6511" spans="1:21" hidden="1">
      <c r="A6511" s="7" t="s">
        <v>8758</v>
      </c>
      <c r="B6511" s="7" t="s">
        <v>5405</v>
      </c>
      <c r="C6511" s="8" t="s">
        <v>5319</v>
      </c>
      <c r="D6511" t="s">
        <v>266</v>
      </c>
      <c r="E6511" t="s">
        <v>25</v>
      </c>
      <c r="F6511" t="s">
        <v>493</v>
      </c>
      <c r="G6511" t="s">
        <v>2876</v>
      </c>
      <c r="H6511" s="9">
        <v>44733</v>
      </c>
      <c r="I6511" t="s">
        <v>8634</v>
      </c>
      <c r="J6511" t="s">
        <v>0</v>
      </c>
      <c r="K6511" s="9">
        <v>44862</v>
      </c>
      <c r="L6511" t="s">
        <v>29</v>
      </c>
      <c r="M6511"/>
      <c r="N6511" s="9">
        <v>44778</v>
      </c>
      <c r="O6511"/>
      <c r="P6511"/>
      <c r="Q6511" s="9">
        <v>44862</v>
      </c>
      <c r="R6511"/>
      <c r="S6511"/>
      <c r="T6511"/>
      <c r="U6511"/>
    </row>
    <row r="6512" spans="1:21" hidden="1">
      <c r="A6512" s="7" t="s">
        <v>8758</v>
      </c>
      <c r="B6512" s="7" t="s">
        <v>5405</v>
      </c>
      <c r="C6512" s="8" t="s">
        <v>5319</v>
      </c>
      <c r="D6512" t="s">
        <v>266</v>
      </c>
      <c r="E6512" t="s">
        <v>25</v>
      </c>
      <c r="F6512" t="s">
        <v>493</v>
      </c>
      <c r="G6512" t="s">
        <v>3839</v>
      </c>
      <c r="H6512" s="9">
        <v>44733</v>
      </c>
      <c r="I6512" t="s">
        <v>8634</v>
      </c>
      <c r="J6512" t="s">
        <v>0</v>
      </c>
      <c r="K6512" s="9">
        <v>44862</v>
      </c>
      <c r="L6512" t="s">
        <v>29</v>
      </c>
      <c r="M6512"/>
      <c r="N6512" s="9">
        <v>44778</v>
      </c>
      <c r="O6512"/>
      <c r="P6512"/>
      <c r="Q6512" s="9">
        <v>44862</v>
      </c>
      <c r="R6512"/>
      <c r="S6512"/>
      <c r="T6512"/>
      <c r="U6512"/>
    </row>
    <row r="6513" spans="1:21" hidden="1">
      <c r="A6513" s="7" t="s">
        <v>8758</v>
      </c>
      <c r="B6513" s="7" t="s">
        <v>5405</v>
      </c>
      <c r="C6513" s="8" t="s">
        <v>5319</v>
      </c>
      <c r="D6513" t="s">
        <v>266</v>
      </c>
      <c r="E6513" t="s">
        <v>25</v>
      </c>
      <c r="F6513" t="s">
        <v>493</v>
      </c>
      <c r="G6513" t="s">
        <v>3840</v>
      </c>
      <c r="H6513" s="9">
        <v>44733</v>
      </c>
      <c r="I6513" t="s">
        <v>8634</v>
      </c>
      <c r="J6513" t="s">
        <v>0</v>
      </c>
      <c r="K6513" s="9">
        <v>44862</v>
      </c>
      <c r="L6513" t="s">
        <v>29</v>
      </c>
      <c r="M6513"/>
      <c r="N6513" s="9">
        <v>44778</v>
      </c>
      <c r="O6513"/>
      <c r="P6513"/>
      <c r="Q6513" s="9">
        <v>44862</v>
      </c>
      <c r="R6513"/>
      <c r="S6513"/>
      <c r="T6513"/>
      <c r="U6513"/>
    </row>
    <row r="6514" spans="1:21" hidden="1">
      <c r="A6514" s="7" t="s">
        <v>8758</v>
      </c>
      <c r="B6514" s="7" t="s">
        <v>5405</v>
      </c>
      <c r="C6514" s="8" t="s">
        <v>5319</v>
      </c>
      <c r="D6514" t="s">
        <v>266</v>
      </c>
      <c r="E6514" t="s">
        <v>25</v>
      </c>
      <c r="F6514" t="s">
        <v>493</v>
      </c>
      <c r="G6514" t="s">
        <v>594</v>
      </c>
      <c r="H6514" s="9">
        <v>44733</v>
      </c>
      <c r="I6514" t="s">
        <v>8634</v>
      </c>
      <c r="J6514" t="s">
        <v>0</v>
      </c>
      <c r="K6514" s="9">
        <v>44862</v>
      </c>
      <c r="L6514" t="s">
        <v>29</v>
      </c>
      <c r="M6514"/>
      <c r="N6514" s="9">
        <v>44778</v>
      </c>
      <c r="O6514"/>
      <c r="P6514"/>
      <c r="Q6514" s="9">
        <v>44862</v>
      </c>
      <c r="R6514"/>
      <c r="S6514"/>
      <c r="T6514"/>
      <c r="U6514"/>
    </row>
    <row r="6515" spans="1:21" hidden="1">
      <c r="A6515" s="7" t="s">
        <v>8758</v>
      </c>
      <c r="B6515" s="7" t="s">
        <v>5405</v>
      </c>
      <c r="C6515" s="8" t="s">
        <v>5319</v>
      </c>
      <c r="D6515" t="s">
        <v>266</v>
      </c>
      <c r="E6515" t="s">
        <v>25</v>
      </c>
      <c r="F6515" t="s">
        <v>493</v>
      </c>
      <c r="G6515" t="s">
        <v>3841</v>
      </c>
      <c r="H6515" s="9">
        <v>44733</v>
      </c>
      <c r="I6515" t="s">
        <v>8634</v>
      </c>
      <c r="J6515" t="s">
        <v>0</v>
      </c>
      <c r="K6515" s="9">
        <v>44862</v>
      </c>
      <c r="L6515" t="s">
        <v>29</v>
      </c>
      <c r="M6515"/>
      <c r="N6515" s="9">
        <v>44778</v>
      </c>
      <c r="O6515"/>
      <c r="P6515"/>
      <c r="Q6515" s="9">
        <v>44862</v>
      </c>
      <c r="R6515"/>
      <c r="S6515"/>
      <c r="T6515"/>
      <c r="U6515"/>
    </row>
    <row r="6516" spans="1:21" hidden="1">
      <c r="A6516" s="7" t="s">
        <v>8758</v>
      </c>
      <c r="B6516" s="7" t="s">
        <v>5405</v>
      </c>
      <c r="C6516" s="8" t="s">
        <v>5319</v>
      </c>
      <c r="D6516" t="s">
        <v>266</v>
      </c>
      <c r="E6516" t="s">
        <v>25</v>
      </c>
      <c r="F6516" t="s">
        <v>493</v>
      </c>
      <c r="G6516" t="s">
        <v>3842</v>
      </c>
      <c r="H6516" s="9">
        <v>44733</v>
      </c>
      <c r="I6516" t="s">
        <v>8634</v>
      </c>
      <c r="J6516" t="s">
        <v>0</v>
      </c>
      <c r="K6516" s="9">
        <v>44862</v>
      </c>
      <c r="L6516" t="s">
        <v>29</v>
      </c>
      <c r="M6516"/>
      <c r="N6516" s="9">
        <v>44778</v>
      </c>
      <c r="O6516"/>
      <c r="P6516"/>
      <c r="Q6516" s="9">
        <v>44862</v>
      </c>
      <c r="R6516"/>
      <c r="S6516"/>
      <c r="T6516"/>
      <c r="U6516"/>
    </row>
    <row r="6517" spans="1:21" hidden="1">
      <c r="A6517" s="7" t="s">
        <v>8758</v>
      </c>
      <c r="B6517" s="7" t="s">
        <v>5405</v>
      </c>
      <c r="C6517" s="8" t="s">
        <v>5319</v>
      </c>
      <c r="D6517" t="s">
        <v>266</v>
      </c>
      <c r="E6517" t="s">
        <v>25</v>
      </c>
      <c r="F6517" t="s">
        <v>493</v>
      </c>
      <c r="G6517" t="s">
        <v>3843</v>
      </c>
      <c r="H6517" s="9">
        <v>44733</v>
      </c>
      <c r="I6517" t="s">
        <v>8634</v>
      </c>
      <c r="J6517" t="s">
        <v>2</v>
      </c>
      <c r="K6517" s="9">
        <v>44834</v>
      </c>
      <c r="L6517" t="s">
        <v>29</v>
      </c>
      <c r="M6517" t="s">
        <v>5331</v>
      </c>
      <c r="N6517" s="9">
        <v>44778</v>
      </c>
      <c r="O6517" s="9">
        <v>44834</v>
      </c>
      <c r="P6517"/>
      <c r="Q6517"/>
      <c r="R6517"/>
      <c r="S6517"/>
      <c r="T6517"/>
      <c r="U6517"/>
    </row>
    <row r="6518" spans="1:21" hidden="1">
      <c r="A6518" s="7" t="s">
        <v>8758</v>
      </c>
      <c r="B6518" s="7" t="s">
        <v>5405</v>
      </c>
      <c r="C6518" s="8" t="s">
        <v>5319</v>
      </c>
      <c r="D6518" t="s">
        <v>266</v>
      </c>
      <c r="E6518" t="s">
        <v>25</v>
      </c>
      <c r="F6518" t="s">
        <v>493</v>
      </c>
      <c r="G6518" t="s">
        <v>3844</v>
      </c>
      <c r="H6518" s="9">
        <v>44733</v>
      </c>
      <c r="I6518" t="s">
        <v>8634</v>
      </c>
      <c r="J6518" t="s">
        <v>0</v>
      </c>
      <c r="K6518" s="9">
        <v>44862</v>
      </c>
      <c r="L6518" t="s">
        <v>29</v>
      </c>
      <c r="M6518"/>
      <c r="N6518" s="9">
        <v>44778</v>
      </c>
      <c r="O6518"/>
      <c r="P6518"/>
      <c r="Q6518" s="9">
        <v>44862</v>
      </c>
      <c r="R6518"/>
      <c r="S6518"/>
      <c r="T6518"/>
      <c r="U6518"/>
    </row>
    <row r="6519" spans="1:21" hidden="1">
      <c r="A6519" s="7" t="s">
        <v>8758</v>
      </c>
      <c r="B6519" s="7" t="s">
        <v>5405</v>
      </c>
      <c r="C6519" s="8" t="s">
        <v>5319</v>
      </c>
      <c r="D6519" t="s">
        <v>266</v>
      </c>
      <c r="E6519" t="s">
        <v>25</v>
      </c>
      <c r="F6519" t="s">
        <v>493</v>
      </c>
      <c r="G6519" t="s">
        <v>3845</v>
      </c>
      <c r="H6519" s="9">
        <v>44733</v>
      </c>
      <c r="I6519" t="s">
        <v>8634</v>
      </c>
      <c r="J6519" t="s">
        <v>2</v>
      </c>
      <c r="K6519" s="9">
        <v>44834</v>
      </c>
      <c r="L6519" t="s">
        <v>29</v>
      </c>
      <c r="M6519" t="s">
        <v>5331</v>
      </c>
      <c r="N6519" s="9">
        <v>44778</v>
      </c>
      <c r="O6519" s="9">
        <v>44834</v>
      </c>
      <c r="P6519"/>
      <c r="Q6519"/>
      <c r="R6519"/>
      <c r="S6519"/>
      <c r="T6519"/>
      <c r="U6519"/>
    </row>
    <row r="6520" spans="1:21" hidden="1">
      <c r="A6520" s="7" t="s">
        <v>8758</v>
      </c>
      <c r="B6520" s="7" t="s">
        <v>5405</v>
      </c>
      <c r="C6520" s="8" t="s">
        <v>5319</v>
      </c>
      <c r="D6520" t="s">
        <v>266</v>
      </c>
      <c r="E6520" t="s">
        <v>25</v>
      </c>
      <c r="F6520" t="s">
        <v>493</v>
      </c>
      <c r="G6520" t="s">
        <v>2882</v>
      </c>
      <c r="H6520" s="9">
        <v>44733</v>
      </c>
      <c r="I6520" t="s">
        <v>8634</v>
      </c>
      <c r="J6520" t="s">
        <v>0</v>
      </c>
      <c r="K6520" s="9">
        <v>44862</v>
      </c>
      <c r="L6520" t="s">
        <v>29</v>
      </c>
      <c r="M6520"/>
      <c r="N6520" s="9">
        <v>44778</v>
      </c>
      <c r="O6520"/>
      <c r="P6520"/>
      <c r="Q6520" s="9">
        <v>44862</v>
      </c>
      <c r="R6520"/>
      <c r="S6520"/>
      <c r="T6520"/>
      <c r="U6520"/>
    </row>
    <row r="6521" spans="1:21" hidden="1">
      <c r="A6521" s="7" t="s">
        <v>8825</v>
      </c>
      <c r="B6521" s="7" t="s">
        <v>5405</v>
      </c>
      <c r="C6521" s="8" t="s">
        <v>5319</v>
      </c>
      <c r="D6521" t="s">
        <v>266</v>
      </c>
      <c r="E6521" t="s">
        <v>25</v>
      </c>
      <c r="F6521" t="s">
        <v>111</v>
      </c>
      <c r="G6521" t="s">
        <v>3846</v>
      </c>
      <c r="H6521" s="9">
        <v>44733</v>
      </c>
      <c r="I6521" t="s">
        <v>8634</v>
      </c>
      <c r="J6521" t="s">
        <v>0</v>
      </c>
      <c r="K6521" s="9">
        <v>44881</v>
      </c>
      <c r="L6521" t="s">
        <v>29</v>
      </c>
      <c r="M6521"/>
      <c r="N6521" s="9">
        <v>44778</v>
      </c>
      <c r="O6521"/>
      <c r="P6521"/>
      <c r="Q6521" s="9">
        <v>44881</v>
      </c>
      <c r="R6521"/>
      <c r="S6521"/>
      <c r="T6521"/>
      <c r="U6521"/>
    </row>
    <row r="6522" spans="1:21" hidden="1">
      <c r="A6522" s="7" t="s">
        <v>8758</v>
      </c>
      <c r="B6522" s="7" t="s">
        <v>5405</v>
      </c>
      <c r="C6522" s="8" t="s">
        <v>5319</v>
      </c>
      <c r="D6522" t="s">
        <v>266</v>
      </c>
      <c r="E6522" t="s">
        <v>25</v>
      </c>
      <c r="F6522" t="s">
        <v>493</v>
      </c>
      <c r="G6522" t="s">
        <v>3847</v>
      </c>
      <c r="H6522" s="9">
        <v>44733</v>
      </c>
      <c r="I6522" t="s">
        <v>8634</v>
      </c>
      <c r="J6522" t="s">
        <v>0</v>
      </c>
      <c r="K6522" s="9">
        <v>44862</v>
      </c>
      <c r="L6522" t="s">
        <v>29</v>
      </c>
      <c r="M6522"/>
      <c r="N6522" s="9">
        <v>44778</v>
      </c>
      <c r="O6522"/>
      <c r="P6522"/>
      <c r="Q6522" s="9">
        <v>44862</v>
      </c>
      <c r="R6522"/>
      <c r="S6522"/>
      <c r="T6522"/>
      <c r="U6522"/>
    </row>
    <row r="6523" spans="1:21" hidden="1">
      <c r="A6523" s="7" t="s">
        <v>8758</v>
      </c>
      <c r="B6523" s="7" t="s">
        <v>5405</v>
      </c>
      <c r="C6523" s="8" t="s">
        <v>5319</v>
      </c>
      <c r="D6523" t="s">
        <v>266</v>
      </c>
      <c r="E6523" t="s">
        <v>25</v>
      </c>
      <c r="F6523" t="s">
        <v>493</v>
      </c>
      <c r="G6523" t="s">
        <v>2885</v>
      </c>
      <c r="H6523" s="9">
        <v>44733</v>
      </c>
      <c r="I6523" t="s">
        <v>8634</v>
      </c>
      <c r="J6523" t="s">
        <v>0</v>
      </c>
      <c r="K6523" s="9">
        <v>44862</v>
      </c>
      <c r="L6523" t="s">
        <v>29</v>
      </c>
      <c r="M6523"/>
      <c r="N6523" s="9">
        <v>44778</v>
      </c>
      <c r="O6523"/>
      <c r="P6523"/>
      <c r="Q6523" s="9">
        <v>44862</v>
      </c>
      <c r="R6523"/>
      <c r="S6523"/>
      <c r="T6523"/>
      <c r="U6523"/>
    </row>
    <row r="6524" spans="1:21" hidden="1">
      <c r="A6524" s="7" t="s">
        <v>8758</v>
      </c>
      <c r="B6524" s="7" t="s">
        <v>5405</v>
      </c>
      <c r="C6524" s="8" t="s">
        <v>5319</v>
      </c>
      <c r="D6524" t="s">
        <v>266</v>
      </c>
      <c r="E6524" t="s">
        <v>25</v>
      </c>
      <c r="F6524" t="s">
        <v>493</v>
      </c>
      <c r="G6524" t="s">
        <v>2886</v>
      </c>
      <c r="H6524" s="9">
        <v>44733</v>
      </c>
      <c r="I6524" t="s">
        <v>8634</v>
      </c>
      <c r="J6524" t="s">
        <v>0</v>
      </c>
      <c r="K6524" s="9">
        <v>44862</v>
      </c>
      <c r="L6524" t="s">
        <v>29</v>
      </c>
      <c r="M6524"/>
      <c r="N6524" s="9">
        <v>44778</v>
      </c>
      <c r="O6524"/>
      <c r="P6524"/>
      <c r="Q6524" s="9">
        <v>44862</v>
      </c>
      <c r="R6524"/>
      <c r="S6524"/>
      <c r="T6524"/>
      <c r="U6524"/>
    </row>
    <row r="6525" spans="1:21" hidden="1">
      <c r="A6525" s="7" t="s">
        <v>8758</v>
      </c>
      <c r="B6525" s="7" t="s">
        <v>5405</v>
      </c>
      <c r="C6525" s="8" t="s">
        <v>5319</v>
      </c>
      <c r="D6525" t="s">
        <v>266</v>
      </c>
      <c r="E6525" t="s">
        <v>25</v>
      </c>
      <c r="F6525" t="s">
        <v>493</v>
      </c>
      <c r="G6525" t="s">
        <v>3848</v>
      </c>
      <c r="H6525" s="9">
        <v>44733</v>
      </c>
      <c r="I6525" t="s">
        <v>8634</v>
      </c>
      <c r="J6525" t="s">
        <v>0</v>
      </c>
      <c r="K6525" s="9">
        <v>44862</v>
      </c>
      <c r="L6525" t="s">
        <v>29</v>
      </c>
      <c r="M6525"/>
      <c r="N6525" s="9">
        <v>44778</v>
      </c>
      <c r="O6525"/>
      <c r="P6525"/>
      <c r="Q6525" s="9">
        <v>44862</v>
      </c>
      <c r="R6525"/>
      <c r="S6525"/>
      <c r="T6525"/>
      <c r="U6525"/>
    </row>
    <row r="6526" spans="1:21" hidden="1">
      <c r="A6526" s="7" t="s">
        <v>8758</v>
      </c>
      <c r="B6526" s="7" t="s">
        <v>5405</v>
      </c>
      <c r="C6526" s="8" t="s">
        <v>5319</v>
      </c>
      <c r="D6526" t="s">
        <v>266</v>
      </c>
      <c r="E6526" t="s">
        <v>25</v>
      </c>
      <c r="F6526" t="s">
        <v>493</v>
      </c>
      <c r="G6526" t="s">
        <v>3849</v>
      </c>
      <c r="H6526" s="9">
        <v>44733</v>
      </c>
      <c r="I6526" t="s">
        <v>8634</v>
      </c>
      <c r="J6526" t="s">
        <v>0</v>
      </c>
      <c r="K6526" s="9">
        <v>44862</v>
      </c>
      <c r="L6526" t="s">
        <v>29</v>
      </c>
      <c r="M6526"/>
      <c r="N6526" s="9">
        <v>44778</v>
      </c>
      <c r="O6526"/>
      <c r="P6526"/>
      <c r="Q6526" s="9">
        <v>44862</v>
      </c>
      <c r="R6526"/>
      <c r="S6526"/>
      <c r="T6526"/>
      <c r="U6526"/>
    </row>
    <row r="6527" spans="1:21" hidden="1">
      <c r="A6527" s="7" t="s">
        <v>8758</v>
      </c>
      <c r="B6527" s="7" t="s">
        <v>5405</v>
      </c>
      <c r="C6527" s="8" t="s">
        <v>5319</v>
      </c>
      <c r="D6527" t="s">
        <v>266</v>
      </c>
      <c r="E6527" t="s">
        <v>25</v>
      </c>
      <c r="F6527" t="s">
        <v>493</v>
      </c>
      <c r="G6527" t="s">
        <v>3850</v>
      </c>
      <c r="H6527" s="9">
        <v>44733</v>
      </c>
      <c r="I6527" t="s">
        <v>8634</v>
      </c>
      <c r="J6527" t="s">
        <v>0</v>
      </c>
      <c r="K6527" s="9">
        <v>44862</v>
      </c>
      <c r="L6527" t="s">
        <v>29</v>
      </c>
      <c r="M6527"/>
      <c r="N6527" s="9">
        <v>44778</v>
      </c>
      <c r="O6527"/>
      <c r="P6527"/>
      <c r="Q6527" s="9">
        <v>44862</v>
      </c>
      <c r="R6527"/>
      <c r="S6527"/>
      <c r="T6527"/>
      <c r="U6527"/>
    </row>
    <row r="6528" spans="1:21" hidden="1">
      <c r="A6528" s="7" t="s">
        <v>8758</v>
      </c>
      <c r="B6528" s="7" t="s">
        <v>5405</v>
      </c>
      <c r="C6528" s="8" t="s">
        <v>5319</v>
      </c>
      <c r="D6528" t="s">
        <v>266</v>
      </c>
      <c r="E6528" t="s">
        <v>25</v>
      </c>
      <c r="F6528" t="s">
        <v>493</v>
      </c>
      <c r="G6528" t="s">
        <v>3851</v>
      </c>
      <c r="H6528" s="9">
        <v>44733</v>
      </c>
      <c r="I6528" t="s">
        <v>8634</v>
      </c>
      <c r="J6528" t="s">
        <v>2</v>
      </c>
      <c r="K6528" s="9">
        <v>44834</v>
      </c>
      <c r="L6528" t="s">
        <v>29</v>
      </c>
      <c r="M6528" t="s">
        <v>5331</v>
      </c>
      <c r="N6528" s="9">
        <v>44778</v>
      </c>
      <c r="O6528" s="9">
        <v>44834</v>
      </c>
      <c r="P6528"/>
      <c r="Q6528"/>
      <c r="R6528"/>
      <c r="S6528"/>
      <c r="T6528"/>
      <c r="U6528"/>
    </row>
    <row r="6529" spans="1:21" hidden="1">
      <c r="A6529" s="7" t="s">
        <v>8758</v>
      </c>
      <c r="B6529" s="7" t="s">
        <v>5405</v>
      </c>
      <c r="C6529" s="8" t="s">
        <v>5319</v>
      </c>
      <c r="D6529" t="s">
        <v>266</v>
      </c>
      <c r="E6529" t="s">
        <v>25</v>
      </c>
      <c r="F6529" t="s">
        <v>493</v>
      </c>
      <c r="G6529" t="s">
        <v>2888</v>
      </c>
      <c r="H6529" s="9">
        <v>44733</v>
      </c>
      <c r="I6529" t="s">
        <v>8634</v>
      </c>
      <c r="J6529" t="s">
        <v>0</v>
      </c>
      <c r="K6529" s="9">
        <v>44862</v>
      </c>
      <c r="L6529" t="s">
        <v>29</v>
      </c>
      <c r="M6529"/>
      <c r="N6529" s="9">
        <v>44778</v>
      </c>
      <c r="O6529"/>
      <c r="P6529"/>
      <c r="Q6529" s="9">
        <v>44862</v>
      </c>
      <c r="R6529"/>
      <c r="S6529"/>
      <c r="T6529"/>
      <c r="U6529"/>
    </row>
    <row r="6530" spans="1:21" hidden="1">
      <c r="A6530" s="7" t="s">
        <v>8758</v>
      </c>
      <c r="B6530" s="7" t="s">
        <v>5405</v>
      </c>
      <c r="C6530" s="8" t="s">
        <v>5319</v>
      </c>
      <c r="D6530" t="s">
        <v>266</v>
      </c>
      <c r="E6530" t="s">
        <v>25</v>
      </c>
      <c r="F6530" t="s">
        <v>493</v>
      </c>
      <c r="G6530" t="s">
        <v>2889</v>
      </c>
      <c r="H6530" s="9">
        <v>44733</v>
      </c>
      <c r="I6530" t="s">
        <v>8634</v>
      </c>
      <c r="J6530" t="s">
        <v>0</v>
      </c>
      <c r="K6530" s="9">
        <v>44862</v>
      </c>
      <c r="L6530" t="s">
        <v>29</v>
      </c>
      <c r="M6530"/>
      <c r="N6530" s="9">
        <v>44778</v>
      </c>
      <c r="O6530"/>
      <c r="P6530"/>
      <c r="Q6530" s="9">
        <v>44862</v>
      </c>
      <c r="R6530"/>
      <c r="S6530"/>
      <c r="T6530"/>
      <c r="U6530"/>
    </row>
    <row r="6531" spans="1:21" hidden="1">
      <c r="A6531" s="7" t="s">
        <v>8758</v>
      </c>
      <c r="B6531" s="7" t="s">
        <v>5405</v>
      </c>
      <c r="C6531" s="8" t="s">
        <v>5319</v>
      </c>
      <c r="D6531" t="s">
        <v>266</v>
      </c>
      <c r="E6531" t="s">
        <v>25</v>
      </c>
      <c r="F6531" t="s">
        <v>493</v>
      </c>
      <c r="G6531" t="s">
        <v>2894</v>
      </c>
      <c r="H6531" s="9">
        <v>44733</v>
      </c>
      <c r="I6531" t="s">
        <v>8634</v>
      </c>
      <c r="J6531" t="s">
        <v>0</v>
      </c>
      <c r="K6531" s="9">
        <v>44862</v>
      </c>
      <c r="L6531" t="s">
        <v>29</v>
      </c>
      <c r="M6531"/>
      <c r="N6531" s="9">
        <v>44778</v>
      </c>
      <c r="O6531"/>
      <c r="P6531"/>
      <c r="Q6531" s="9">
        <v>44862</v>
      </c>
      <c r="R6531"/>
      <c r="S6531"/>
      <c r="T6531"/>
      <c r="U6531"/>
    </row>
    <row r="6532" spans="1:21" hidden="1">
      <c r="A6532" s="7" t="s">
        <v>8758</v>
      </c>
      <c r="B6532" s="7" t="s">
        <v>5405</v>
      </c>
      <c r="C6532" s="8" t="s">
        <v>5319</v>
      </c>
      <c r="D6532" t="s">
        <v>266</v>
      </c>
      <c r="E6532" t="s">
        <v>25</v>
      </c>
      <c r="F6532" t="s">
        <v>493</v>
      </c>
      <c r="G6532" t="s">
        <v>2898</v>
      </c>
      <c r="H6532" s="9">
        <v>44733</v>
      </c>
      <c r="I6532" t="s">
        <v>8634</v>
      </c>
      <c r="J6532" t="s">
        <v>0</v>
      </c>
      <c r="K6532" s="9">
        <v>44862</v>
      </c>
      <c r="L6532" t="s">
        <v>29</v>
      </c>
      <c r="M6532"/>
      <c r="N6532" s="9">
        <v>44778</v>
      </c>
      <c r="O6532"/>
      <c r="P6532"/>
      <c r="Q6532" s="9">
        <v>44862</v>
      </c>
      <c r="R6532"/>
      <c r="S6532"/>
      <c r="T6532"/>
      <c r="U6532"/>
    </row>
    <row r="6533" spans="1:21" hidden="1">
      <c r="A6533" s="7" t="s">
        <v>8758</v>
      </c>
      <c r="B6533" s="7" t="s">
        <v>5405</v>
      </c>
      <c r="C6533" s="8" t="s">
        <v>5319</v>
      </c>
      <c r="D6533" t="s">
        <v>266</v>
      </c>
      <c r="E6533" t="s">
        <v>25</v>
      </c>
      <c r="F6533" t="s">
        <v>493</v>
      </c>
      <c r="G6533" t="s">
        <v>3852</v>
      </c>
      <c r="H6533" s="9">
        <v>44733</v>
      </c>
      <c r="I6533" t="s">
        <v>8634</v>
      </c>
      <c r="J6533" t="s">
        <v>0</v>
      </c>
      <c r="K6533" s="9">
        <v>44862</v>
      </c>
      <c r="L6533" t="s">
        <v>29</v>
      </c>
      <c r="M6533"/>
      <c r="N6533" s="9">
        <v>44778</v>
      </c>
      <c r="O6533"/>
      <c r="P6533"/>
      <c r="Q6533" s="9">
        <v>44862</v>
      </c>
      <c r="R6533"/>
      <c r="S6533"/>
      <c r="T6533"/>
      <c r="U6533"/>
    </row>
    <row r="6534" spans="1:21" hidden="1">
      <c r="A6534" s="7" t="s">
        <v>8758</v>
      </c>
      <c r="B6534" s="7" t="s">
        <v>5405</v>
      </c>
      <c r="C6534" s="8" t="s">
        <v>5319</v>
      </c>
      <c r="D6534" t="s">
        <v>266</v>
      </c>
      <c r="E6534" t="s">
        <v>25</v>
      </c>
      <c r="F6534" t="s">
        <v>493</v>
      </c>
      <c r="G6534" t="s">
        <v>3853</v>
      </c>
      <c r="H6534" s="9">
        <v>44733</v>
      </c>
      <c r="I6534" t="s">
        <v>8634</v>
      </c>
      <c r="J6534" t="s">
        <v>0</v>
      </c>
      <c r="K6534" s="9">
        <v>44862</v>
      </c>
      <c r="L6534" t="s">
        <v>29</v>
      </c>
      <c r="M6534"/>
      <c r="N6534" s="9">
        <v>44778</v>
      </c>
      <c r="O6534"/>
      <c r="P6534"/>
      <c r="Q6534" s="9">
        <v>44862</v>
      </c>
      <c r="R6534"/>
      <c r="S6534"/>
      <c r="T6534"/>
      <c r="U6534"/>
    </row>
    <row r="6535" spans="1:21" hidden="1">
      <c r="A6535" s="7" t="s">
        <v>8758</v>
      </c>
      <c r="B6535" s="7" t="s">
        <v>5405</v>
      </c>
      <c r="C6535" s="8" t="s">
        <v>5319</v>
      </c>
      <c r="D6535" t="s">
        <v>266</v>
      </c>
      <c r="E6535" t="s">
        <v>25</v>
      </c>
      <c r="F6535" t="s">
        <v>493</v>
      </c>
      <c r="G6535" t="s">
        <v>3854</v>
      </c>
      <c r="H6535" s="9">
        <v>44733</v>
      </c>
      <c r="I6535" t="s">
        <v>8634</v>
      </c>
      <c r="J6535" t="s">
        <v>0</v>
      </c>
      <c r="K6535" s="9">
        <v>44862</v>
      </c>
      <c r="L6535" t="s">
        <v>29</v>
      </c>
      <c r="M6535"/>
      <c r="N6535" s="9">
        <v>44778</v>
      </c>
      <c r="O6535"/>
      <c r="P6535"/>
      <c r="Q6535" s="9">
        <v>44862</v>
      </c>
      <c r="R6535"/>
      <c r="S6535"/>
      <c r="T6535"/>
      <c r="U6535"/>
    </row>
    <row r="6536" spans="1:21" hidden="1">
      <c r="A6536" s="7" t="s">
        <v>8758</v>
      </c>
      <c r="B6536" s="7" t="s">
        <v>5405</v>
      </c>
      <c r="C6536" s="8" t="s">
        <v>5319</v>
      </c>
      <c r="D6536" t="s">
        <v>266</v>
      </c>
      <c r="E6536" t="s">
        <v>25</v>
      </c>
      <c r="F6536" t="s">
        <v>493</v>
      </c>
      <c r="G6536" t="s">
        <v>2906</v>
      </c>
      <c r="H6536" s="9">
        <v>44733</v>
      </c>
      <c r="I6536" t="s">
        <v>8634</v>
      </c>
      <c r="J6536" t="s">
        <v>0</v>
      </c>
      <c r="K6536" s="9">
        <v>44862</v>
      </c>
      <c r="L6536" t="s">
        <v>29</v>
      </c>
      <c r="M6536"/>
      <c r="N6536" s="9">
        <v>44778</v>
      </c>
      <c r="O6536"/>
      <c r="P6536"/>
      <c r="Q6536" s="9">
        <v>44862</v>
      </c>
      <c r="R6536"/>
      <c r="S6536"/>
      <c r="T6536"/>
      <c r="U6536"/>
    </row>
    <row r="6537" spans="1:21" hidden="1">
      <c r="A6537" s="7" t="s">
        <v>8758</v>
      </c>
      <c r="B6537" s="7" t="s">
        <v>5405</v>
      </c>
      <c r="C6537" s="8" t="s">
        <v>5319</v>
      </c>
      <c r="D6537" t="s">
        <v>266</v>
      </c>
      <c r="E6537" t="s">
        <v>25</v>
      </c>
      <c r="F6537" t="s">
        <v>493</v>
      </c>
      <c r="G6537" t="s">
        <v>2907</v>
      </c>
      <c r="H6537" s="9">
        <v>44733</v>
      </c>
      <c r="I6537" t="s">
        <v>8634</v>
      </c>
      <c r="J6537" t="s">
        <v>0</v>
      </c>
      <c r="K6537" s="9">
        <v>44862</v>
      </c>
      <c r="L6537" t="s">
        <v>29</v>
      </c>
      <c r="M6537"/>
      <c r="N6537" s="9">
        <v>44778</v>
      </c>
      <c r="O6537"/>
      <c r="P6537"/>
      <c r="Q6537" s="9">
        <v>44862</v>
      </c>
      <c r="R6537"/>
      <c r="S6537"/>
      <c r="T6537"/>
      <c r="U6537"/>
    </row>
    <row r="6538" spans="1:21" hidden="1">
      <c r="A6538" s="7" t="s">
        <v>8758</v>
      </c>
      <c r="B6538" s="7" t="s">
        <v>5405</v>
      </c>
      <c r="C6538" s="8" t="s">
        <v>5319</v>
      </c>
      <c r="D6538" t="s">
        <v>266</v>
      </c>
      <c r="E6538" t="s">
        <v>25</v>
      </c>
      <c r="F6538" t="s">
        <v>493</v>
      </c>
      <c r="G6538" t="s">
        <v>3855</v>
      </c>
      <c r="H6538" s="9">
        <v>44733</v>
      </c>
      <c r="I6538" t="s">
        <v>8634</v>
      </c>
      <c r="J6538" t="s">
        <v>0</v>
      </c>
      <c r="K6538" s="9">
        <v>44862</v>
      </c>
      <c r="L6538" t="s">
        <v>29</v>
      </c>
      <c r="M6538"/>
      <c r="N6538" s="9">
        <v>44778</v>
      </c>
      <c r="O6538"/>
      <c r="P6538"/>
      <c r="Q6538" s="9">
        <v>44862</v>
      </c>
      <c r="R6538"/>
      <c r="S6538"/>
      <c r="T6538"/>
      <c r="U6538"/>
    </row>
    <row r="6539" spans="1:21" hidden="1">
      <c r="A6539" s="7" t="s">
        <v>8758</v>
      </c>
      <c r="B6539" s="7" t="s">
        <v>5405</v>
      </c>
      <c r="C6539" s="8" t="s">
        <v>5319</v>
      </c>
      <c r="D6539" t="s">
        <v>266</v>
      </c>
      <c r="E6539" t="s">
        <v>25</v>
      </c>
      <c r="F6539" t="s">
        <v>493</v>
      </c>
      <c r="G6539" t="s">
        <v>2908</v>
      </c>
      <c r="H6539" s="9">
        <v>44733</v>
      </c>
      <c r="I6539" t="s">
        <v>8634</v>
      </c>
      <c r="J6539" t="s">
        <v>0</v>
      </c>
      <c r="K6539" s="9">
        <v>44862</v>
      </c>
      <c r="L6539" t="s">
        <v>29</v>
      </c>
      <c r="M6539"/>
      <c r="N6539" s="9">
        <v>44778</v>
      </c>
      <c r="O6539"/>
      <c r="P6539"/>
      <c r="Q6539" s="9">
        <v>44862</v>
      </c>
      <c r="R6539"/>
      <c r="S6539"/>
      <c r="T6539"/>
      <c r="U6539"/>
    </row>
    <row r="6540" spans="1:21" hidden="1">
      <c r="A6540" s="7" t="s">
        <v>8758</v>
      </c>
      <c r="B6540" s="7" t="s">
        <v>5405</v>
      </c>
      <c r="C6540" s="8" t="s">
        <v>5319</v>
      </c>
      <c r="D6540" t="s">
        <v>266</v>
      </c>
      <c r="E6540" t="s">
        <v>25</v>
      </c>
      <c r="F6540" t="s">
        <v>493</v>
      </c>
      <c r="G6540" t="s">
        <v>2909</v>
      </c>
      <c r="H6540" s="9">
        <v>44733</v>
      </c>
      <c r="I6540" t="s">
        <v>8634</v>
      </c>
      <c r="J6540" t="s">
        <v>0</v>
      </c>
      <c r="K6540" s="9">
        <v>44862</v>
      </c>
      <c r="L6540" t="s">
        <v>29</v>
      </c>
      <c r="M6540"/>
      <c r="N6540" s="9">
        <v>44778</v>
      </c>
      <c r="O6540"/>
      <c r="P6540"/>
      <c r="Q6540" s="9">
        <v>44862</v>
      </c>
      <c r="R6540"/>
      <c r="S6540"/>
      <c r="T6540"/>
      <c r="U6540"/>
    </row>
    <row r="6541" spans="1:21" hidden="1">
      <c r="A6541" s="7" t="s">
        <v>8758</v>
      </c>
      <c r="B6541" s="7" t="s">
        <v>5405</v>
      </c>
      <c r="C6541" s="8" t="s">
        <v>5319</v>
      </c>
      <c r="D6541" t="s">
        <v>266</v>
      </c>
      <c r="E6541" t="s">
        <v>25</v>
      </c>
      <c r="F6541" t="s">
        <v>493</v>
      </c>
      <c r="G6541" t="s">
        <v>3856</v>
      </c>
      <c r="H6541" s="9">
        <v>44733</v>
      </c>
      <c r="I6541" t="s">
        <v>8634</v>
      </c>
      <c r="J6541" t="s">
        <v>0</v>
      </c>
      <c r="K6541" s="9">
        <v>44862</v>
      </c>
      <c r="L6541" t="s">
        <v>29</v>
      </c>
      <c r="M6541"/>
      <c r="N6541" s="9">
        <v>44778</v>
      </c>
      <c r="O6541"/>
      <c r="P6541"/>
      <c r="Q6541" s="9">
        <v>44862</v>
      </c>
      <c r="R6541"/>
      <c r="S6541"/>
      <c r="T6541"/>
      <c r="U6541"/>
    </row>
    <row r="6542" spans="1:21" hidden="1">
      <c r="A6542" s="7" t="s">
        <v>8758</v>
      </c>
      <c r="B6542" s="7" t="s">
        <v>5405</v>
      </c>
      <c r="C6542" s="8" t="s">
        <v>5319</v>
      </c>
      <c r="D6542" t="s">
        <v>266</v>
      </c>
      <c r="E6542" t="s">
        <v>25</v>
      </c>
      <c r="F6542" t="s">
        <v>493</v>
      </c>
      <c r="G6542" t="s">
        <v>2910</v>
      </c>
      <c r="H6542" s="9">
        <v>44733</v>
      </c>
      <c r="I6542" t="s">
        <v>8634</v>
      </c>
      <c r="J6542" t="s">
        <v>0</v>
      </c>
      <c r="K6542" s="9">
        <v>44862</v>
      </c>
      <c r="L6542" t="s">
        <v>29</v>
      </c>
      <c r="M6542"/>
      <c r="N6542" s="9">
        <v>44778</v>
      </c>
      <c r="O6542"/>
      <c r="P6542"/>
      <c r="Q6542" s="9">
        <v>44862</v>
      </c>
      <c r="R6542"/>
      <c r="S6542"/>
      <c r="T6542"/>
      <c r="U6542"/>
    </row>
    <row r="6543" spans="1:21" hidden="1">
      <c r="A6543" s="7" t="s">
        <v>8758</v>
      </c>
      <c r="B6543" s="7" t="s">
        <v>5405</v>
      </c>
      <c r="C6543" s="8" t="s">
        <v>5319</v>
      </c>
      <c r="D6543" t="s">
        <v>266</v>
      </c>
      <c r="E6543" t="s">
        <v>25</v>
      </c>
      <c r="F6543" t="s">
        <v>493</v>
      </c>
      <c r="G6543" t="s">
        <v>3857</v>
      </c>
      <c r="H6543" s="9">
        <v>44733</v>
      </c>
      <c r="I6543" t="s">
        <v>8634</v>
      </c>
      <c r="J6543" t="s">
        <v>0</v>
      </c>
      <c r="K6543" s="9">
        <v>44862</v>
      </c>
      <c r="L6543" t="s">
        <v>29</v>
      </c>
      <c r="M6543"/>
      <c r="N6543" s="9">
        <v>44778</v>
      </c>
      <c r="O6543"/>
      <c r="P6543"/>
      <c r="Q6543" s="9">
        <v>44862</v>
      </c>
      <c r="R6543"/>
      <c r="S6543"/>
      <c r="T6543"/>
      <c r="U6543"/>
    </row>
    <row r="6544" spans="1:21" hidden="1">
      <c r="A6544" s="7" t="s">
        <v>8758</v>
      </c>
      <c r="B6544" s="7" t="s">
        <v>5405</v>
      </c>
      <c r="C6544" s="8" t="s">
        <v>5319</v>
      </c>
      <c r="D6544" t="s">
        <v>266</v>
      </c>
      <c r="E6544" t="s">
        <v>25</v>
      </c>
      <c r="F6544" t="s">
        <v>493</v>
      </c>
      <c r="G6544" t="s">
        <v>3858</v>
      </c>
      <c r="H6544" s="9">
        <v>44733</v>
      </c>
      <c r="I6544" t="s">
        <v>8634</v>
      </c>
      <c r="J6544" t="s">
        <v>0</v>
      </c>
      <c r="K6544" s="9">
        <v>44862</v>
      </c>
      <c r="L6544" t="s">
        <v>29</v>
      </c>
      <c r="M6544"/>
      <c r="N6544" s="9">
        <v>44778</v>
      </c>
      <c r="O6544"/>
      <c r="P6544"/>
      <c r="Q6544" s="9">
        <v>44862</v>
      </c>
      <c r="R6544"/>
      <c r="S6544"/>
      <c r="T6544"/>
      <c r="U6544"/>
    </row>
    <row r="6545" spans="1:21" hidden="1">
      <c r="A6545" s="7" t="s">
        <v>8758</v>
      </c>
      <c r="B6545" s="7" t="s">
        <v>5405</v>
      </c>
      <c r="C6545" s="8" t="s">
        <v>5319</v>
      </c>
      <c r="D6545" t="s">
        <v>266</v>
      </c>
      <c r="E6545" t="s">
        <v>25</v>
      </c>
      <c r="F6545" t="s">
        <v>493</v>
      </c>
      <c r="G6545" t="s">
        <v>3859</v>
      </c>
      <c r="H6545" s="9">
        <v>44733</v>
      </c>
      <c r="I6545" t="s">
        <v>8634</v>
      </c>
      <c r="J6545" t="s">
        <v>0</v>
      </c>
      <c r="K6545" s="9">
        <v>44862</v>
      </c>
      <c r="L6545" t="s">
        <v>29</v>
      </c>
      <c r="M6545"/>
      <c r="N6545" s="9">
        <v>44778</v>
      </c>
      <c r="O6545"/>
      <c r="P6545"/>
      <c r="Q6545" s="9">
        <v>44862</v>
      </c>
      <c r="R6545"/>
      <c r="S6545"/>
      <c r="T6545"/>
      <c r="U6545"/>
    </row>
    <row r="6546" spans="1:21" hidden="1">
      <c r="A6546" s="7" t="s">
        <v>8758</v>
      </c>
      <c r="B6546" s="7" t="s">
        <v>5405</v>
      </c>
      <c r="C6546" s="8" t="s">
        <v>5319</v>
      </c>
      <c r="D6546" t="s">
        <v>266</v>
      </c>
      <c r="E6546" t="s">
        <v>25</v>
      </c>
      <c r="F6546" t="s">
        <v>493</v>
      </c>
      <c r="G6546" t="s">
        <v>3860</v>
      </c>
      <c r="H6546" s="9">
        <v>44733</v>
      </c>
      <c r="I6546" t="s">
        <v>8634</v>
      </c>
      <c r="J6546" t="s">
        <v>0</v>
      </c>
      <c r="K6546" s="9">
        <v>44862</v>
      </c>
      <c r="L6546" t="s">
        <v>29</v>
      </c>
      <c r="M6546"/>
      <c r="N6546" s="9">
        <v>44778</v>
      </c>
      <c r="O6546"/>
      <c r="P6546"/>
      <c r="Q6546" s="9">
        <v>44862</v>
      </c>
      <c r="R6546"/>
      <c r="S6546"/>
      <c r="T6546"/>
      <c r="U6546"/>
    </row>
    <row r="6547" spans="1:21" hidden="1">
      <c r="A6547" s="7" t="s">
        <v>8758</v>
      </c>
      <c r="B6547" s="7" t="s">
        <v>5405</v>
      </c>
      <c r="C6547" s="8" t="s">
        <v>5319</v>
      </c>
      <c r="D6547" t="s">
        <v>266</v>
      </c>
      <c r="E6547" t="s">
        <v>25</v>
      </c>
      <c r="F6547" t="s">
        <v>493</v>
      </c>
      <c r="G6547" t="s">
        <v>3861</v>
      </c>
      <c r="H6547" s="9">
        <v>44733</v>
      </c>
      <c r="I6547" t="s">
        <v>8634</v>
      </c>
      <c r="J6547" t="s">
        <v>0</v>
      </c>
      <c r="K6547" s="9">
        <v>44862</v>
      </c>
      <c r="L6547" t="s">
        <v>29</v>
      </c>
      <c r="M6547"/>
      <c r="N6547" s="9">
        <v>44778</v>
      </c>
      <c r="O6547"/>
      <c r="P6547"/>
      <c r="Q6547" s="9">
        <v>44862</v>
      </c>
      <c r="R6547"/>
      <c r="S6547"/>
      <c r="T6547"/>
      <c r="U6547"/>
    </row>
    <row r="6548" spans="1:21" hidden="1">
      <c r="A6548" s="7" t="s">
        <v>8758</v>
      </c>
      <c r="B6548" s="7" t="s">
        <v>5405</v>
      </c>
      <c r="C6548" s="8" t="s">
        <v>5319</v>
      </c>
      <c r="D6548" t="s">
        <v>266</v>
      </c>
      <c r="E6548" t="s">
        <v>25</v>
      </c>
      <c r="F6548" t="s">
        <v>493</v>
      </c>
      <c r="G6548" t="s">
        <v>3862</v>
      </c>
      <c r="H6548" s="9">
        <v>44733</v>
      </c>
      <c r="I6548" t="s">
        <v>8634</v>
      </c>
      <c r="J6548" t="s">
        <v>0</v>
      </c>
      <c r="K6548" s="9">
        <v>44862</v>
      </c>
      <c r="L6548" t="s">
        <v>29</v>
      </c>
      <c r="M6548"/>
      <c r="N6548" s="9">
        <v>44778</v>
      </c>
      <c r="O6548"/>
      <c r="P6548"/>
      <c r="Q6548" s="9">
        <v>44862</v>
      </c>
      <c r="R6548"/>
      <c r="S6548"/>
      <c r="T6548"/>
      <c r="U6548"/>
    </row>
    <row r="6549" spans="1:21" hidden="1">
      <c r="A6549" s="7" t="s">
        <v>8758</v>
      </c>
      <c r="B6549" s="7" t="s">
        <v>5405</v>
      </c>
      <c r="C6549" s="8" t="s">
        <v>5319</v>
      </c>
      <c r="D6549" t="s">
        <v>266</v>
      </c>
      <c r="E6549" t="s">
        <v>25</v>
      </c>
      <c r="F6549" t="s">
        <v>493</v>
      </c>
      <c r="G6549" t="s">
        <v>3863</v>
      </c>
      <c r="H6549" s="9">
        <v>44733</v>
      </c>
      <c r="I6549" t="s">
        <v>8634</v>
      </c>
      <c r="J6549" t="s">
        <v>0</v>
      </c>
      <c r="K6549" s="9">
        <v>44862</v>
      </c>
      <c r="L6549" t="s">
        <v>29</v>
      </c>
      <c r="M6549"/>
      <c r="N6549" s="9">
        <v>44778</v>
      </c>
      <c r="O6549"/>
      <c r="P6549"/>
      <c r="Q6549" s="9">
        <v>44862</v>
      </c>
      <c r="R6549"/>
      <c r="S6549"/>
      <c r="T6549"/>
      <c r="U6549"/>
    </row>
    <row r="6550" spans="1:21" hidden="1">
      <c r="A6550" s="7" t="s">
        <v>8758</v>
      </c>
      <c r="B6550" s="7" t="s">
        <v>5405</v>
      </c>
      <c r="C6550" s="8" t="s">
        <v>5319</v>
      </c>
      <c r="D6550" t="s">
        <v>266</v>
      </c>
      <c r="E6550" t="s">
        <v>25</v>
      </c>
      <c r="F6550" t="s">
        <v>493</v>
      </c>
      <c r="G6550" t="s">
        <v>2917</v>
      </c>
      <c r="H6550" s="9">
        <v>44733</v>
      </c>
      <c r="I6550" t="s">
        <v>8634</v>
      </c>
      <c r="J6550" t="s">
        <v>0</v>
      </c>
      <c r="K6550" s="9">
        <v>44862</v>
      </c>
      <c r="L6550" t="s">
        <v>29</v>
      </c>
      <c r="M6550"/>
      <c r="N6550" s="9">
        <v>44778</v>
      </c>
      <c r="O6550"/>
      <c r="P6550"/>
      <c r="Q6550" s="9">
        <v>44862</v>
      </c>
      <c r="R6550"/>
      <c r="S6550"/>
      <c r="T6550"/>
      <c r="U6550"/>
    </row>
    <row r="6551" spans="1:21" hidden="1">
      <c r="A6551" s="7" t="s">
        <v>8758</v>
      </c>
      <c r="B6551" s="7" t="s">
        <v>5405</v>
      </c>
      <c r="C6551" s="8" t="s">
        <v>5319</v>
      </c>
      <c r="D6551" t="s">
        <v>266</v>
      </c>
      <c r="E6551" t="s">
        <v>25</v>
      </c>
      <c r="F6551" t="s">
        <v>493</v>
      </c>
      <c r="G6551" t="s">
        <v>2922</v>
      </c>
      <c r="H6551" s="9">
        <v>44733</v>
      </c>
      <c r="I6551" t="s">
        <v>8634</v>
      </c>
      <c r="J6551" t="s">
        <v>0</v>
      </c>
      <c r="K6551" s="9">
        <v>44862</v>
      </c>
      <c r="L6551" t="s">
        <v>29</v>
      </c>
      <c r="M6551"/>
      <c r="N6551" s="9">
        <v>44778</v>
      </c>
      <c r="O6551"/>
      <c r="P6551"/>
      <c r="Q6551" s="9">
        <v>44862</v>
      </c>
      <c r="R6551"/>
      <c r="S6551"/>
      <c r="T6551"/>
      <c r="U6551"/>
    </row>
    <row r="6552" spans="1:21" hidden="1">
      <c r="A6552" s="7" t="s">
        <v>8758</v>
      </c>
      <c r="B6552" s="7" t="s">
        <v>5405</v>
      </c>
      <c r="C6552" s="8" t="s">
        <v>5319</v>
      </c>
      <c r="D6552" t="s">
        <v>266</v>
      </c>
      <c r="E6552" t="s">
        <v>25</v>
      </c>
      <c r="F6552" t="s">
        <v>493</v>
      </c>
      <c r="G6552" t="s">
        <v>3864</v>
      </c>
      <c r="H6552" s="9">
        <v>44733</v>
      </c>
      <c r="I6552" t="s">
        <v>8634</v>
      </c>
      <c r="J6552" t="s">
        <v>0</v>
      </c>
      <c r="K6552" s="9">
        <v>44862</v>
      </c>
      <c r="L6552" t="s">
        <v>29</v>
      </c>
      <c r="M6552"/>
      <c r="N6552" s="9">
        <v>44778</v>
      </c>
      <c r="O6552"/>
      <c r="P6552"/>
      <c r="Q6552" s="9">
        <v>44862</v>
      </c>
      <c r="R6552"/>
      <c r="S6552"/>
      <c r="T6552"/>
      <c r="U6552"/>
    </row>
    <row r="6553" spans="1:21" hidden="1">
      <c r="A6553" s="7" t="s">
        <v>8758</v>
      </c>
      <c r="B6553" s="7" t="s">
        <v>5405</v>
      </c>
      <c r="C6553" s="8" t="s">
        <v>5319</v>
      </c>
      <c r="D6553" t="s">
        <v>266</v>
      </c>
      <c r="E6553" t="s">
        <v>25</v>
      </c>
      <c r="F6553" t="s">
        <v>493</v>
      </c>
      <c r="G6553" t="s">
        <v>3865</v>
      </c>
      <c r="H6553" s="9">
        <v>44733</v>
      </c>
      <c r="I6553" t="s">
        <v>8634</v>
      </c>
      <c r="J6553" t="s">
        <v>0</v>
      </c>
      <c r="K6553" s="9">
        <v>44862</v>
      </c>
      <c r="L6553" t="s">
        <v>29</v>
      </c>
      <c r="M6553"/>
      <c r="N6553" s="9">
        <v>44778</v>
      </c>
      <c r="O6553"/>
      <c r="P6553"/>
      <c r="Q6553" s="9">
        <v>44862</v>
      </c>
      <c r="R6553"/>
      <c r="S6553"/>
      <c r="T6553"/>
      <c r="U6553"/>
    </row>
    <row r="6554" spans="1:21" hidden="1">
      <c r="A6554" s="7" t="s">
        <v>8758</v>
      </c>
      <c r="B6554" s="7" t="s">
        <v>5405</v>
      </c>
      <c r="C6554" s="8" t="s">
        <v>5319</v>
      </c>
      <c r="D6554" t="s">
        <v>266</v>
      </c>
      <c r="E6554" t="s">
        <v>25</v>
      </c>
      <c r="F6554" t="s">
        <v>493</v>
      </c>
      <c r="G6554" t="s">
        <v>2923</v>
      </c>
      <c r="H6554" s="9">
        <v>44733</v>
      </c>
      <c r="I6554" t="s">
        <v>8634</v>
      </c>
      <c r="J6554" t="s">
        <v>0</v>
      </c>
      <c r="K6554" s="9">
        <v>44862</v>
      </c>
      <c r="L6554" t="s">
        <v>29</v>
      </c>
      <c r="M6554"/>
      <c r="N6554" s="9">
        <v>44778</v>
      </c>
      <c r="O6554"/>
      <c r="P6554"/>
      <c r="Q6554" s="9">
        <v>44862</v>
      </c>
      <c r="R6554"/>
      <c r="S6554"/>
      <c r="T6554"/>
      <c r="U6554"/>
    </row>
    <row r="6555" spans="1:21" hidden="1">
      <c r="A6555" s="7" t="s">
        <v>8758</v>
      </c>
      <c r="B6555" s="7" t="s">
        <v>5405</v>
      </c>
      <c r="C6555" s="8" t="s">
        <v>5319</v>
      </c>
      <c r="D6555" t="s">
        <v>266</v>
      </c>
      <c r="E6555" t="s">
        <v>25</v>
      </c>
      <c r="F6555" t="s">
        <v>493</v>
      </c>
      <c r="G6555" t="s">
        <v>3866</v>
      </c>
      <c r="H6555" s="9">
        <v>44733</v>
      </c>
      <c r="I6555" t="s">
        <v>8634</v>
      </c>
      <c r="J6555" t="s">
        <v>2</v>
      </c>
      <c r="K6555" s="9">
        <v>44834</v>
      </c>
      <c r="L6555" t="s">
        <v>29</v>
      </c>
      <c r="M6555" t="s">
        <v>5331</v>
      </c>
      <c r="N6555" s="9">
        <v>44778</v>
      </c>
      <c r="O6555" s="9">
        <v>44834</v>
      </c>
      <c r="P6555"/>
      <c r="Q6555"/>
      <c r="R6555"/>
      <c r="S6555"/>
      <c r="T6555"/>
      <c r="U6555"/>
    </row>
    <row r="6556" spans="1:21" hidden="1">
      <c r="A6556" s="7" t="s">
        <v>8758</v>
      </c>
      <c r="B6556" s="7" t="s">
        <v>5405</v>
      </c>
      <c r="C6556" s="8" t="s">
        <v>5319</v>
      </c>
      <c r="D6556" t="s">
        <v>266</v>
      </c>
      <c r="E6556" t="s">
        <v>25</v>
      </c>
      <c r="F6556" t="s">
        <v>493</v>
      </c>
      <c r="G6556" t="s">
        <v>3867</v>
      </c>
      <c r="H6556" s="9">
        <v>44733</v>
      </c>
      <c r="I6556" t="s">
        <v>8634</v>
      </c>
      <c r="J6556" t="s">
        <v>2</v>
      </c>
      <c r="K6556" s="9">
        <v>44834</v>
      </c>
      <c r="L6556" t="s">
        <v>29</v>
      </c>
      <c r="M6556" t="s">
        <v>5331</v>
      </c>
      <c r="N6556" s="9">
        <v>44778</v>
      </c>
      <c r="O6556" s="9">
        <v>44834</v>
      </c>
      <c r="P6556"/>
      <c r="Q6556"/>
      <c r="R6556"/>
      <c r="S6556"/>
      <c r="T6556"/>
      <c r="U6556"/>
    </row>
    <row r="6557" spans="1:21" hidden="1">
      <c r="A6557" s="7" t="s">
        <v>8758</v>
      </c>
      <c r="B6557" s="7" t="s">
        <v>5405</v>
      </c>
      <c r="C6557" s="8" t="s">
        <v>5319</v>
      </c>
      <c r="D6557" t="s">
        <v>266</v>
      </c>
      <c r="E6557" t="s">
        <v>25</v>
      </c>
      <c r="F6557" t="s">
        <v>493</v>
      </c>
      <c r="G6557" t="s">
        <v>3868</v>
      </c>
      <c r="H6557" s="9">
        <v>44733</v>
      </c>
      <c r="I6557" t="s">
        <v>8634</v>
      </c>
      <c r="J6557" t="s">
        <v>0</v>
      </c>
      <c r="K6557" s="9">
        <v>44862</v>
      </c>
      <c r="L6557" t="s">
        <v>29</v>
      </c>
      <c r="M6557"/>
      <c r="N6557" s="9">
        <v>44778</v>
      </c>
      <c r="O6557"/>
      <c r="P6557"/>
      <c r="Q6557" s="9">
        <v>44862</v>
      </c>
      <c r="R6557"/>
      <c r="S6557"/>
      <c r="T6557"/>
      <c r="U6557"/>
    </row>
    <row r="6558" spans="1:21" hidden="1">
      <c r="A6558" s="7" t="s">
        <v>8758</v>
      </c>
      <c r="B6558" s="7" t="s">
        <v>5405</v>
      </c>
      <c r="C6558" s="8" t="s">
        <v>5319</v>
      </c>
      <c r="D6558" t="s">
        <v>266</v>
      </c>
      <c r="E6558" t="s">
        <v>25</v>
      </c>
      <c r="F6558" t="s">
        <v>493</v>
      </c>
      <c r="G6558" t="s">
        <v>3869</v>
      </c>
      <c r="H6558" s="9">
        <v>44733</v>
      </c>
      <c r="I6558" t="s">
        <v>8634</v>
      </c>
      <c r="J6558" t="s">
        <v>0</v>
      </c>
      <c r="K6558" s="9">
        <v>44862</v>
      </c>
      <c r="L6558" t="s">
        <v>29</v>
      </c>
      <c r="M6558"/>
      <c r="N6558" s="9">
        <v>44778</v>
      </c>
      <c r="O6558"/>
      <c r="P6558"/>
      <c r="Q6558" s="9">
        <v>44862</v>
      </c>
      <c r="R6558"/>
      <c r="S6558"/>
      <c r="T6558"/>
      <c r="U6558"/>
    </row>
    <row r="6559" spans="1:21" hidden="1">
      <c r="A6559" s="7" t="s">
        <v>8758</v>
      </c>
      <c r="B6559" s="7" t="s">
        <v>5405</v>
      </c>
      <c r="C6559" s="8" t="s">
        <v>5319</v>
      </c>
      <c r="D6559" t="s">
        <v>266</v>
      </c>
      <c r="E6559" t="s">
        <v>25</v>
      </c>
      <c r="F6559" t="s">
        <v>493</v>
      </c>
      <c r="G6559" t="s">
        <v>3870</v>
      </c>
      <c r="H6559" s="9">
        <v>44733</v>
      </c>
      <c r="I6559" t="s">
        <v>8634</v>
      </c>
      <c r="J6559" t="s">
        <v>2</v>
      </c>
      <c r="K6559" s="9">
        <v>44834</v>
      </c>
      <c r="L6559" t="s">
        <v>29</v>
      </c>
      <c r="M6559" t="s">
        <v>5331</v>
      </c>
      <c r="N6559" s="9">
        <v>44778</v>
      </c>
      <c r="O6559" s="9">
        <v>44834</v>
      </c>
      <c r="P6559"/>
      <c r="Q6559"/>
      <c r="R6559"/>
      <c r="S6559"/>
      <c r="T6559"/>
      <c r="U6559"/>
    </row>
    <row r="6560" spans="1:21" hidden="1">
      <c r="A6560" s="7" t="s">
        <v>8758</v>
      </c>
      <c r="B6560" s="7" t="s">
        <v>5405</v>
      </c>
      <c r="C6560" s="8" t="s">
        <v>5319</v>
      </c>
      <c r="D6560" t="s">
        <v>266</v>
      </c>
      <c r="E6560" t="s">
        <v>25</v>
      </c>
      <c r="F6560" t="s">
        <v>493</v>
      </c>
      <c r="G6560" t="s">
        <v>3871</v>
      </c>
      <c r="H6560" s="9">
        <v>44733</v>
      </c>
      <c r="I6560" t="s">
        <v>8634</v>
      </c>
      <c r="J6560" t="s">
        <v>0</v>
      </c>
      <c r="K6560" s="9">
        <v>44862</v>
      </c>
      <c r="L6560" t="s">
        <v>29</v>
      </c>
      <c r="M6560"/>
      <c r="N6560"/>
      <c r="O6560"/>
      <c r="P6560"/>
      <c r="Q6560" s="9">
        <v>44862</v>
      </c>
      <c r="R6560"/>
      <c r="S6560"/>
      <c r="T6560"/>
      <c r="U6560"/>
    </row>
    <row r="6561" spans="1:21" hidden="1">
      <c r="A6561" s="7" t="s">
        <v>8758</v>
      </c>
      <c r="B6561" s="7" t="s">
        <v>5405</v>
      </c>
      <c r="C6561" s="8" t="s">
        <v>5319</v>
      </c>
      <c r="D6561" t="s">
        <v>266</v>
      </c>
      <c r="E6561" t="s">
        <v>25</v>
      </c>
      <c r="F6561" t="s">
        <v>493</v>
      </c>
      <c r="G6561" t="s">
        <v>2934</v>
      </c>
      <c r="H6561" s="9">
        <v>44733</v>
      </c>
      <c r="I6561" t="s">
        <v>8634</v>
      </c>
      <c r="J6561" t="s">
        <v>0</v>
      </c>
      <c r="K6561" s="9">
        <v>44862</v>
      </c>
      <c r="L6561" t="s">
        <v>29</v>
      </c>
      <c r="M6561"/>
      <c r="N6561"/>
      <c r="O6561"/>
      <c r="P6561"/>
      <c r="Q6561" s="9">
        <v>44862</v>
      </c>
      <c r="R6561"/>
      <c r="S6561"/>
      <c r="T6561"/>
      <c r="U6561"/>
    </row>
    <row r="6562" spans="1:21" hidden="1">
      <c r="A6562" s="7" t="s">
        <v>8758</v>
      </c>
      <c r="B6562" s="7" t="s">
        <v>5405</v>
      </c>
      <c r="C6562" s="8" t="s">
        <v>5319</v>
      </c>
      <c r="D6562" t="s">
        <v>266</v>
      </c>
      <c r="E6562" t="s">
        <v>25</v>
      </c>
      <c r="F6562" t="s">
        <v>493</v>
      </c>
      <c r="G6562" t="s">
        <v>3872</v>
      </c>
      <c r="H6562" s="9">
        <v>44733</v>
      </c>
      <c r="I6562" t="s">
        <v>8634</v>
      </c>
      <c r="J6562" t="s">
        <v>0</v>
      </c>
      <c r="K6562" s="9">
        <v>44862</v>
      </c>
      <c r="L6562" t="s">
        <v>29</v>
      </c>
      <c r="M6562"/>
      <c r="N6562"/>
      <c r="O6562"/>
      <c r="P6562"/>
      <c r="Q6562" s="9">
        <v>44862</v>
      </c>
      <c r="R6562"/>
      <c r="S6562"/>
      <c r="T6562"/>
      <c r="U6562"/>
    </row>
    <row r="6563" spans="1:21" hidden="1">
      <c r="A6563" s="7" t="s">
        <v>8758</v>
      </c>
      <c r="B6563" s="7" t="s">
        <v>5405</v>
      </c>
      <c r="C6563" s="8" t="s">
        <v>5319</v>
      </c>
      <c r="D6563" t="s">
        <v>266</v>
      </c>
      <c r="E6563" t="s">
        <v>25</v>
      </c>
      <c r="F6563" t="s">
        <v>493</v>
      </c>
      <c r="G6563" t="s">
        <v>3873</v>
      </c>
      <c r="H6563" s="9">
        <v>44733</v>
      </c>
      <c r="I6563" t="s">
        <v>8634</v>
      </c>
      <c r="J6563" t="s">
        <v>0</v>
      </c>
      <c r="K6563" s="9">
        <v>44862</v>
      </c>
      <c r="L6563" t="s">
        <v>29</v>
      </c>
      <c r="M6563"/>
      <c r="N6563"/>
      <c r="O6563"/>
      <c r="P6563"/>
      <c r="Q6563" s="9">
        <v>44862</v>
      </c>
      <c r="R6563"/>
      <c r="S6563"/>
      <c r="T6563"/>
      <c r="U6563"/>
    </row>
    <row r="6564" spans="1:21" hidden="1">
      <c r="A6564" s="7" t="s">
        <v>8758</v>
      </c>
      <c r="B6564" s="7" t="s">
        <v>5405</v>
      </c>
      <c r="C6564" s="8" t="s">
        <v>5319</v>
      </c>
      <c r="D6564" t="s">
        <v>266</v>
      </c>
      <c r="E6564" t="s">
        <v>25</v>
      </c>
      <c r="F6564" t="s">
        <v>493</v>
      </c>
      <c r="G6564" t="s">
        <v>3874</v>
      </c>
      <c r="H6564" s="9">
        <v>44733</v>
      </c>
      <c r="I6564" t="s">
        <v>8634</v>
      </c>
      <c r="J6564" t="s">
        <v>0</v>
      </c>
      <c r="K6564" s="9">
        <v>44862</v>
      </c>
      <c r="L6564" t="s">
        <v>29</v>
      </c>
      <c r="M6564"/>
      <c r="N6564"/>
      <c r="O6564"/>
      <c r="P6564"/>
      <c r="Q6564" s="9">
        <v>44862</v>
      </c>
      <c r="R6564"/>
      <c r="S6564"/>
      <c r="T6564"/>
      <c r="U6564"/>
    </row>
    <row r="6565" spans="1:21" hidden="1">
      <c r="A6565" s="7" t="s">
        <v>8758</v>
      </c>
      <c r="B6565" s="7" t="s">
        <v>5405</v>
      </c>
      <c r="C6565" s="8" t="s">
        <v>5319</v>
      </c>
      <c r="D6565" t="s">
        <v>266</v>
      </c>
      <c r="E6565" t="s">
        <v>25</v>
      </c>
      <c r="F6565" t="s">
        <v>493</v>
      </c>
      <c r="G6565" t="s">
        <v>3875</v>
      </c>
      <c r="H6565" s="9">
        <v>44733</v>
      </c>
      <c r="I6565" t="s">
        <v>8634</v>
      </c>
      <c r="J6565" t="s">
        <v>0</v>
      </c>
      <c r="K6565" s="9">
        <v>44862</v>
      </c>
      <c r="L6565" t="s">
        <v>29</v>
      </c>
      <c r="M6565"/>
      <c r="N6565"/>
      <c r="O6565"/>
      <c r="P6565"/>
      <c r="Q6565" s="9">
        <v>44862</v>
      </c>
      <c r="R6565"/>
      <c r="S6565"/>
      <c r="T6565"/>
      <c r="U6565"/>
    </row>
    <row r="6566" spans="1:21" hidden="1">
      <c r="A6566" s="7" t="s">
        <v>8758</v>
      </c>
      <c r="B6566" s="7" t="s">
        <v>5405</v>
      </c>
      <c r="C6566" s="8" t="s">
        <v>5319</v>
      </c>
      <c r="D6566" t="s">
        <v>266</v>
      </c>
      <c r="E6566" t="s">
        <v>25</v>
      </c>
      <c r="F6566" t="s">
        <v>493</v>
      </c>
      <c r="G6566" t="s">
        <v>2936</v>
      </c>
      <c r="H6566" s="9">
        <v>44733</v>
      </c>
      <c r="I6566" t="s">
        <v>8634</v>
      </c>
      <c r="J6566" t="s">
        <v>0</v>
      </c>
      <c r="K6566" s="9">
        <v>44862</v>
      </c>
      <c r="L6566" t="s">
        <v>29</v>
      </c>
      <c r="M6566"/>
      <c r="N6566"/>
      <c r="O6566"/>
      <c r="P6566"/>
      <c r="Q6566" s="9">
        <v>44862</v>
      </c>
      <c r="R6566"/>
      <c r="S6566"/>
      <c r="T6566"/>
      <c r="U6566"/>
    </row>
    <row r="6567" spans="1:21" hidden="1">
      <c r="A6567" s="7" t="s">
        <v>8758</v>
      </c>
      <c r="B6567" s="7" t="s">
        <v>5405</v>
      </c>
      <c r="C6567" s="8" t="s">
        <v>5319</v>
      </c>
      <c r="D6567" t="s">
        <v>266</v>
      </c>
      <c r="E6567" t="s">
        <v>25</v>
      </c>
      <c r="F6567" t="s">
        <v>493</v>
      </c>
      <c r="G6567" t="s">
        <v>2938</v>
      </c>
      <c r="H6567" s="9">
        <v>44733</v>
      </c>
      <c r="I6567" t="s">
        <v>8634</v>
      </c>
      <c r="J6567" t="s">
        <v>0</v>
      </c>
      <c r="K6567" s="9">
        <v>44862</v>
      </c>
      <c r="L6567" t="s">
        <v>29</v>
      </c>
      <c r="M6567"/>
      <c r="N6567"/>
      <c r="O6567"/>
      <c r="P6567"/>
      <c r="Q6567" s="9">
        <v>44862</v>
      </c>
      <c r="R6567"/>
      <c r="S6567"/>
      <c r="T6567"/>
      <c r="U6567"/>
    </row>
    <row r="6568" spans="1:21" hidden="1">
      <c r="A6568" s="7" t="s">
        <v>8758</v>
      </c>
      <c r="B6568" s="7" t="s">
        <v>5405</v>
      </c>
      <c r="C6568" s="8" t="s">
        <v>5319</v>
      </c>
      <c r="D6568" t="s">
        <v>266</v>
      </c>
      <c r="E6568" t="s">
        <v>25</v>
      </c>
      <c r="F6568" t="s">
        <v>493</v>
      </c>
      <c r="G6568" t="s">
        <v>3876</v>
      </c>
      <c r="H6568" s="9">
        <v>44733</v>
      </c>
      <c r="I6568" t="s">
        <v>8634</v>
      </c>
      <c r="J6568" t="s">
        <v>0</v>
      </c>
      <c r="K6568" s="9">
        <v>44862</v>
      </c>
      <c r="L6568" t="s">
        <v>29</v>
      </c>
      <c r="M6568"/>
      <c r="N6568"/>
      <c r="O6568"/>
      <c r="P6568"/>
      <c r="Q6568" s="9">
        <v>44862</v>
      </c>
      <c r="R6568"/>
      <c r="S6568"/>
      <c r="T6568"/>
      <c r="U6568"/>
    </row>
    <row r="6569" spans="1:21" hidden="1">
      <c r="A6569" s="7" t="s">
        <v>8758</v>
      </c>
      <c r="B6569" s="7" t="s">
        <v>5405</v>
      </c>
      <c r="C6569" s="8" t="s">
        <v>5319</v>
      </c>
      <c r="D6569" t="s">
        <v>266</v>
      </c>
      <c r="E6569" t="s">
        <v>25</v>
      </c>
      <c r="F6569" t="s">
        <v>493</v>
      </c>
      <c r="G6569" t="s">
        <v>3877</v>
      </c>
      <c r="H6569" s="9">
        <v>44733</v>
      </c>
      <c r="I6569" t="s">
        <v>8634</v>
      </c>
      <c r="J6569" t="s">
        <v>0</v>
      </c>
      <c r="K6569" s="9">
        <v>44862</v>
      </c>
      <c r="L6569" t="s">
        <v>29</v>
      </c>
      <c r="M6569"/>
      <c r="N6569"/>
      <c r="O6569"/>
      <c r="P6569"/>
      <c r="Q6569" s="9">
        <v>44862</v>
      </c>
      <c r="R6569"/>
      <c r="S6569"/>
      <c r="T6569"/>
      <c r="U6569"/>
    </row>
    <row r="6570" spans="1:21" hidden="1">
      <c r="A6570" s="7" t="s">
        <v>8758</v>
      </c>
      <c r="B6570" s="7" t="s">
        <v>5405</v>
      </c>
      <c r="C6570" s="8" t="s">
        <v>5319</v>
      </c>
      <c r="D6570" t="s">
        <v>266</v>
      </c>
      <c r="E6570" t="s">
        <v>25</v>
      </c>
      <c r="F6570" t="s">
        <v>493</v>
      </c>
      <c r="G6570" t="s">
        <v>3878</v>
      </c>
      <c r="H6570" s="9">
        <v>44733</v>
      </c>
      <c r="I6570" t="s">
        <v>8634</v>
      </c>
      <c r="J6570" t="s">
        <v>0</v>
      </c>
      <c r="K6570" s="9">
        <v>44862</v>
      </c>
      <c r="L6570" t="s">
        <v>29</v>
      </c>
      <c r="M6570"/>
      <c r="N6570"/>
      <c r="O6570"/>
      <c r="P6570"/>
      <c r="Q6570" s="9">
        <v>44862</v>
      </c>
      <c r="R6570"/>
      <c r="S6570"/>
      <c r="T6570"/>
      <c r="U6570"/>
    </row>
    <row r="6571" spans="1:21" hidden="1">
      <c r="A6571" s="7" t="s">
        <v>8758</v>
      </c>
      <c r="B6571" s="7" t="s">
        <v>5405</v>
      </c>
      <c r="C6571" s="8" t="s">
        <v>5319</v>
      </c>
      <c r="D6571" t="s">
        <v>266</v>
      </c>
      <c r="E6571" t="s">
        <v>25</v>
      </c>
      <c r="F6571" t="s">
        <v>493</v>
      </c>
      <c r="G6571" t="s">
        <v>3879</v>
      </c>
      <c r="H6571" s="9">
        <v>44733</v>
      </c>
      <c r="I6571" t="s">
        <v>8634</v>
      </c>
      <c r="J6571" t="s">
        <v>0</v>
      </c>
      <c r="K6571" s="9">
        <v>44862</v>
      </c>
      <c r="L6571" t="s">
        <v>29</v>
      </c>
      <c r="M6571"/>
      <c r="N6571"/>
      <c r="O6571"/>
      <c r="P6571"/>
      <c r="Q6571" s="9">
        <v>44862</v>
      </c>
      <c r="R6571"/>
      <c r="S6571"/>
      <c r="T6571"/>
      <c r="U6571"/>
    </row>
    <row r="6572" spans="1:21" hidden="1">
      <c r="A6572" s="7" t="s">
        <v>8758</v>
      </c>
      <c r="B6572" s="7" t="s">
        <v>5405</v>
      </c>
      <c r="C6572" s="8" t="s">
        <v>5319</v>
      </c>
      <c r="D6572" t="s">
        <v>266</v>
      </c>
      <c r="E6572" t="s">
        <v>25</v>
      </c>
      <c r="F6572" t="s">
        <v>493</v>
      </c>
      <c r="G6572" t="s">
        <v>3880</v>
      </c>
      <c r="H6572" s="9">
        <v>44733</v>
      </c>
      <c r="I6572" t="s">
        <v>8634</v>
      </c>
      <c r="J6572" t="s">
        <v>0</v>
      </c>
      <c r="K6572" s="9">
        <v>44862</v>
      </c>
      <c r="L6572" t="s">
        <v>29</v>
      </c>
      <c r="M6572"/>
      <c r="N6572"/>
      <c r="O6572"/>
      <c r="P6572"/>
      <c r="Q6572" s="9">
        <v>44862</v>
      </c>
      <c r="R6572"/>
      <c r="S6572"/>
      <c r="T6572"/>
      <c r="U6572"/>
    </row>
    <row r="6573" spans="1:21" hidden="1">
      <c r="A6573" s="7" t="s">
        <v>8758</v>
      </c>
      <c r="B6573" s="7" t="s">
        <v>5405</v>
      </c>
      <c r="C6573" s="8" t="s">
        <v>5319</v>
      </c>
      <c r="D6573" t="s">
        <v>266</v>
      </c>
      <c r="E6573" t="s">
        <v>25</v>
      </c>
      <c r="F6573" t="s">
        <v>493</v>
      </c>
      <c r="G6573" t="s">
        <v>3881</v>
      </c>
      <c r="H6573" s="9">
        <v>44733</v>
      </c>
      <c r="I6573" t="s">
        <v>8634</v>
      </c>
      <c r="J6573" t="s">
        <v>0</v>
      </c>
      <c r="K6573" s="9">
        <v>44862</v>
      </c>
      <c r="L6573" t="s">
        <v>29</v>
      </c>
      <c r="M6573"/>
      <c r="N6573"/>
      <c r="O6573"/>
      <c r="P6573"/>
      <c r="Q6573" s="9">
        <v>44862</v>
      </c>
      <c r="R6573"/>
      <c r="S6573"/>
      <c r="T6573"/>
      <c r="U6573"/>
    </row>
    <row r="6574" spans="1:21" hidden="1">
      <c r="A6574" s="7" t="s">
        <v>8758</v>
      </c>
      <c r="B6574" s="7" t="s">
        <v>5405</v>
      </c>
      <c r="C6574" s="8" t="s">
        <v>5319</v>
      </c>
      <c r="D6574" t="s">
        <v>266</v>
      </c>
      <c r="E6574" t="s">
        <v>25</v>
      </c>
      <c r="F6574" t="s">
        <v>493</v>
      </c>
      <c r="G6574" t="s">
        <v>2943</v>
      </c>
      <c r="H6574" s="9">
        <v>44733</v>
      </c>
      <c r="I6574" t="s">
        <v>8634</v>
      </c>
      <c r="J6574" t="s">
        <v>0</v>
      </c>
      <c r="K6574" s="9">
        <v>44862</v>
      </c>
      <c r="L6574" t="s">
        <v>29</v>
      </c>
      <c r="M6574"/>
      <c r="N6574"/>
      <c r="O6574"/>
      <c r="P6574"/>
      <c r="Q6574" s="9">
        <v>44862</v>
      </c>
      <c r="R6574"/>
      <c r="S6574"/>
      <c r="T6574"/>
      <c r="U6574"/>
    </row>
    <row r="6575" spans="1:21" hidden="1">
      <c r="A6575" s="7" t="s">
        <v>8758</v>
      </c>
      <c r="B6575" s="7" t="s">
        <v>5405</v>
      </c>
      <c r="C6575" s="8" t="s">
        <v>5319</v>
      </c>
      <c r="D6575" t="s">
        <v>266</v>
      </c>
      <c r="E6575" t="s">
        <v>25</v>
      </c>
      <c r="F6575" t="s">
        <v>493</v>
      </c>
      <c r="G6575" t="s">
        <v>3882</v>
      </c>
      <c r="H6575" s="9">
        <v>44733</v>
      </c>
      <c r="I6575" t="s">
        <v>8634</v>
      </c>
      <c r="J6575" t="s">
        <v>0</v>
      </c>
      <c r="K6575" s="9">
        <v>44862</v>
      </c>
      <c r="L6575" t="s">
        <v>29</v>
      </c>
      <c r="M6575"/>
      <c r="N6575"/>
      <c r="O6575"/>
      <c r="P6575"/>
      <c r="Q6575" s="9">
        <v>44862</v>
      </c>
      <c r="R6575"/>
      <c r="S6575"/>
      <c r="T6575"/>
      <c r="U6575"/>
    </row>
    <row r="6576" spans="1:21" hidden="1">
      <c r="A6576" s="7" t="s">
        <v>8893</v>
      </c>
      <c r="B6576" s="7" t="s">
        <v>5405</v>
      </c>
      <c r="C6576" s="8" t="s">
        <v>5319</v>
      </c>
      <c r="D6576" t="s">
        <v>266</v>
      </c>
      <c r="E6576" t="s">
        <v>25</v>
      </c>
      <c r="F6576" t="s">
        <v>209</v>
      </c>
      <c r="G6576" t="s">
        <v>2944</v>
      </c>
      <c r="H6576" s="9">
        <v>44733</v>
      </c>
      <c r="I6576" t="s">
        <v>8634</v>
      </c>
      <c r="J6576" t="s">
        <v>2</v>
      </c>
      <c r="K6576" s="9">
        <v>44834</v>
      </c>
      <c r="L6576" t="s">
        <v>29</v>
      </c>
      <c r="M6576" t="s">
        <v>5331</v>
      </c>
      <c r="N6576" s="9">
        <v>44778</v>
      </c>
      <c r="O6576" s="9">
        <v>44834</v>
      </c>
      <c r="P6576"/>
      <c r="Q6576"/>
      <c r="R6576"/>
      <c r="S6576"/>
      <c r="T6576"/>
      <c r="U6576"/>
    </row>
    <row r="6577" spans="1:21" hidden="1">
      <c r="A6577" s="7" t="s">
        <v>8758</v>
      </c>
      <c r="B6577" s="7" t="s">
        <v>5405</v>
      </c>
      <c r="C6577" s="8" t="s">
        <v>5319</v>
      </c>
      <c r="D6577" t="s">
        <v>266</v>
      </c>
      <c r="E6577" t="s">
        <v>25</v>
      </c>
      <c r="F6577" t="s">
        <v>493</v>
      </c>
      <c r="G6577" t="s">
        <v>2944</v>
      </c>
      <c r="H6577" s="9">
        <v>44733</v>
      </c>
      <c r="I6577" t="s">
        <v>8634</v>
      </c>
      <c r="J6577" t="s">
        <v>2</v>
      </c>
      <c r="K6577" s="9">
        <v>44834</v>
      </c>
      <c r="L6577" t="s">
        <v>29</v>
      </c>
      <c r="M6577" t="s">
        <v>5331</v>
      </c>
      <c r="N6577" s="9">
        <v>44778</v>
      </c>
      <c r="O6577" s="9">
        <v>44834</v>
      </c>
      <c r="P6577"/>
      <c r="Q6577"/>
      <c r="R6577"/>
      <c r="S6577"/>
      <c r="T6577"/>
      <c r="U6577"/>
    </row>
    <row r="6578" spans="1:21" hidden="1">
      <c r="A6578" s="7" t="s">
        <v>8758</v>
      </c>
      <c r="B6578" s="7" t="s">
        <v>5405</v>
      </c>
      <c r="C6578" s="8" t="s">
        <v>5319</v>
      </c>
      <c r="D6578" t="s">
        <v>266</v>
      </c>
      <c r="E6578" t="s">
        <v>25</v>
      </c>
      <c r="F6578" t="s">
        <v>493</v>
      </c>
      <c r="G6578" t="s">
        <v>2946</v>
      </c>
      <c r="H6578" s="9">
        <v>44733</v>
      </c>
      <c r="I6578" t="s">
        <v>8634</v>
      </c>
      <c r="J6578" t="s">
        <v>0</v>
      </c>
      <c r="K6578" s="9">
        <v>44862</v>
      </c>
      <c r="L6578" t="s">
        <v>29</v>
      </c>
      <c r="M6578"/>
      <c r="N6578"/>
      <c r="O6578"/>
      <c r="P6578"/>
      <c r="Q6578" s="9">
        <v>44862</v>
      </c>
      <c r="R6578"/>
      <c r="S6578"/>
      <c r="T6578"/>
      <c r="U6578"/>
    </row>
    <row r="6579" spans="1:21" hidden="1">
      <c r="A6579" s="7" t="s">
        <v>8758</v>
      </c>
      <c r="B6579" s="7" t="s">
        <v>5405</v>
      </c>
      <c r="C6579" s="8" t="s">
        <v>5319</v>
      </c>
      <c r="D6579" t="s">
        <v>266</v>
      </c>
      <c r="E6579" t="s">
        <v>25</v>
      </c>
      <c r="F6579" t="s">
        <v>493</v>
      </c>
      <c r="G6579" t="s">
        <v>3883</v>
      </c>
      <c r="H6579" s="9">
        <v>44733</v>
      </c>
      <c r="I6579" t="s">
        <v>8634</v>
      </c>
      <c r="J6579" t="s">
        <v>0</v>
      </c>
      <c r="K6579" s="9">
        <v>44862</v>
      </c>
      <c r="L6579" t="s">
        <v>29</v>
      </c>
      <c r="M6579"/>
      <c r="N6579"/>
      <c r="O6579"/>
      <c r="P6579"/>
      <c r="Q6579" s="9">
        <v>44862</v>
      </c>
      <c r="R6579"/>
      <c r="S6579"/>
      <c r="T6579"/>
      <c r="U6579"/>
    </row>
    <row r="6580" spans="1:21" hidden="1">
      <c r="A6580" s="7" t="s">
        <v>8893</v>
      </c>
      <c r="B6580" s="7" t="s">
        <v>5405</v>
      </c>
      <c r="C6580" s="8" t="s">
        <v>5319</v>
      </c>
      <c r="D6580" t="s">
        <v>266</v>
      </c>
      <c r="E6580" t="s">
        <v>25</v>
      </c>
      <c r="F6580" t="s">
        <v>209</v>
      </c>
      <c r="G6580" t="s">
        <v>3884</v>
      </c>
      <c r="H6580" s="9">
        <v>44733</v>
      </c>
      <c r="I6580" t="s">
        <v>8634</v>
      </c>
      <c r="J6580" t="s">
        <v>2</v>
      </c>
      <c r="K6580" s="9">
        <v>44834</v>
      </c>
      <c r="L6580" t="s">
        <v>29</v>
      </c>
      <c r="M6580" t="s">
        <v>5331</v>
      </c>
      <c r="N6580" s="9">
        <v>44778</v>
      </c>
      <c r="O6580" s="9">
        <v>44834</v>
      </c>
      <c r="P6580"/>
      <c r="Q6580"/>
      <c r="R6580"/>
      <c r="S6580"/>
      <c r="T6580"/>
      <c r="U6580"/>
    </row>
    <row r="6581" spans="1:21" hidden="1">
      <c r="A6581" s="7" t="s">
        <v>8758</v>
      </c>
      <c r="B6581" s="7" t="s">
        <v>5405</v>
      </c>
      <c r="C6581" s="8" t="s">
        <v>5319</v>
      </c>
      <c r="D6581" t="s">
        <v>266</v>
      </c>
      <c r="E6581" t="s">
        <v>25</v>
      </c>
      <c r="F6581" t="s">
        <v>493</v>
      </c>
      <c r="G6581" t="s">
        <v>3885</v>
      </c>
      <c r="H6581" s="9">
        <v>44733</v>
      </c>
      <c r="I6581" t="s">
        <v>8634</v>
      </c>
      <c r="J6581" t="s">
        <v>0</v>
      </c>
      <c r="K6581" s="9">
        <v>44862</v>
      </c>
      <c r="L6581" t="s">
        <v>29</v>
      </c>
      <c r="M6581"/>
      <c r="N6581"/>
      <c r="O6581"/>
      <c r="P6581"/>
      <c r="Q6581" s="9">
        <v>44862</v>
      </c>
      <c r="R6581"/>
      <c r="S6581"/>
      <c r="T6581"/>
      <c r="U6581"/>
    </row>
    <row r="6582" spans="1:21" hidden="1">
      <c r="A6582" s="7" t="s">
        <v>8758</v>
      </c>
      <c r="B6582" s="7" t="s">
        <v>5405</v>
      </c>
      <c r="C6582" s="8" t="s">
        <v>5319</v>
      </c>
      <c r="D6582" t="s">
        <v>266</v>
      </c>
      <c r="E6582" t="s">
        <v>25</v>
      </c>
      <c r="F6582" t="s">
        <v>493</v>
      </c>
      <c r="G6582" t="s">
        <v>3886</v>
      </c>
      <c r="H6582" s="9">
        <v>44733</v>
      </c>
      <c r="I6582" t="s">
        <v>8634</v>
      </c>
      <c r="J6582" t="s">
        <v>2</v>
      </c>
      <c r="K6582" s="9">
        <v>44834</v>
      </c>
      <c r="L6582" t="s">
        <v>29</v>
      </c>
      <c r="M6582" t="s">
        <v>5331</v>
      </c>
      <c r="N6582" s="9">
        <v>44778</v>
      </c>
      <c r="O6582" s="9">
        <v>44834</v>
      </c>
      <c r="P6582"/>
      <c r="Q6582"/>
      <c r="R6582"/>
      <c r="S6582"/>
      <c r="T6582"/>
      <c r="U6582"/>
    </row>
    <row r="6583" spans="1:21" hidden="1">
      <c r="A6583" s="7" t="s">
        <v>8758</v>
      </c>
      <c r="B6583" s="7" t="s">
        <v>5405</v>
      </c>
      <c r="C6583" s="8" t="s">
        <v>5319</v>
      </c>
      <c r="D6583" t="s">
        <v>266</v>
      </c>
      <c r="E6583" t="s">
        <v>25</v>
      </c>
      <c r="F6583" t="s">
        <v>493</v>
      </c>
      <c r="G6583" t="s">
        <v>2983</v>
      </c>
      <c r="H6583" s="9">
        <v>44733</v>
      </c>
      <c r="I6583" t="s">
        <v>8634</v>
      </c>
      <c r="J6583" t="s">
        <v>0</v>
      </c>
      <c r="K6583" s="9">
        <v>44862</v>
      </c>
      <c r="L6583" t="s">
        <v>29</v>
      </c>
      <c r="M6583"/>
      <c r="N6583"/>
      <c r="O6583"/>
      <c r="P6583"/>
      <c r="Q6583" s="9">
        <v>44862</v>
      </c>
      <c r="R6583"/>
      <c r="S6583"/>
      <c r="T6583"/>
      <c r="U6583"/>
    </row>
    <row r="6584" spans="1:21" hidden="1">
      <c r="A6584" s="7" t="s">
        <v>8758</v>
      </c>
      <c r="B6584" s="7" t="s">
        <v>5405</v>
      </c>
      <c r="C6584" s="8" t="s">
        <v>5319</v>
      </c>
      <c r="D6584" t="s">
        <v>266</v>
      </c>
      <c r="E6584" t="s">
        <v>25</v>
      </c>
      <c r="F6584" t="s">
        <v>493</v>
      </c>
      <c r="G6584" t="s">
        <v>3887</v>
      </c>
      <c r="H6584" s="9">
        <v>44733</v>
      </c>
      <c r="I6584" t="s">
        <v>8634</v>
      </c>
      <c r="J6584" t="s">
        <v>0</v>
      </c>
      <c r="K6584" s="9">
        <v>44862</v>
      </c>
      <c r="L6584" t="s">
        <v>29</v>
      </c>
      <c r="M6584"/>
      <c r="N6584"/>
      <c r="O6584"/>
      <c r="P6584"/>
      <c r="Q6584" s="9">
        <v>44862</v>
      </c>
      <c r="R6584"/>
      <c r="S6584"/>
      <c r="T6584"/>
      <c r="U6584"/>
    </row>
    <row r="6585" spans="1:21" hidden="1">
      <c r="A6585" s="7" t="s">
        <v>8893</v>
      </c>
      <c r="B6585" s="7" t="s">
        <v>5405</v>
      </c>
      <c r="C6585" s="8" t="s">
        <v>5319</v>
      </c>
      <c r="D6585" t="s">
        <v>266</v>
      </c>
      <c r="E6585" t="s">
        <v>25</v>
      </c>
      <c r="F6585" t="s">
        <v>209</v>
      </c>
      <c r="G6585" t="s">
        <v>3888</v>
      </c>
      <c r="H6585" s="9">
        <v>44733</v>
      </c>
      <c r="I6585" t="s">
        <v>8634</v>
      </c>
      <c r="J6585" t="s">
        <v>2</v>
      </c>
      <c r="K6585" s="9">
        <v>44834</v>
      </c>
      <c r="L6585" t="s">
        <v>29</v>
      </c>
      <c r="M6585" t="s">
        <v>5331</v>
      </c>
      <c r="N6585" s="9">
        <v>44778</v>
      </c>
      <c r="O6585" s="9">
        <v>44834</v>
      </c>
      <c r="P6585"/>
      <c r="Q6585"/>
      <c r="R6585"/>
      <c r="S6585"/>
      <c r="T6585"/>
      <c r="U6585"/>
    </row>
    <row r="6586" spans="1:21" hidden="1">
      <c r="A6586" s="7" t="s">
        <v>8758</v>
      </c>
      <c r="B6586" s="7" t="s">
        <v>5405</v>
      </c>
      <c r="C6586" s="8" t="s">
        <v>5319</v>
      </c>
      <c r="D6586" t="s">
        <v>266</v>
      </c>
      <c r="E6586" t="s">
        <v>25</v>
      </c>
      <c r="F6586" t="s">
        <v>493</v>
      </c>
      <c r="G6586" t="s">
        <v>3889</v>
      </c>
      <c r="H6586" s="9">
        <v>44733</v>
      </c>
      <c r="I6586" t="s">
        <v>8634</v>
      </c>
      <c r="J6586" t="s">
        <v>0</v>
      </c>
      <c r="K6586" s="9">
        <v>44862</v>
      </c>
      <c r="L6586" t="s">
        <v>29</v>
      </c>
      <c r="M6586"/>
      <c r="N6586" s="9">
        <v>44778</v>
      </c>
      <c r="O6586"/>
      <c r="P6586"/>
      <c r="Q6586" s="9">
        <v>44862</v>
      </c>
      <c r="R6586"/>
      <c r="S6586"/>
      <c r="T6586"/>
      <c r="U6586"/>
    </row>
    <row r="6587" spans="1:21" hidden="1">
      <c r="A6587" s="7" t="s">
        <v>8947</v>
      </c>
      <c r="B6587" s="7" t="s">
        <v>8360</v>
      </c>
      <c r="C6587" s="8" t="s">
        <v>5319</v>
      </c>
      <c r="D6587" t="s">
        <v>266</v>
      </c>
      <c r="E6587" t="s">
        <v>2609</v>
      </c>
      <c r="F6587" t="s">
        <v>83</v>
      </c>
      <c r="G6587" t="s">
        <v>3890</v>
      </c>
      <c r="H6587" s="9">
        <v>44733</v>
      </c>
      <c r="I6587" t="s">
        <v>195</v>
      </c>
      <c r="J6587" t="s">
        <v>2</v>
      </c>
      <c r="K6587" s="9">
        <v>44834</v>
      </c>
      <c r="L6587" t="s">
        <v>29</v>
      </c>
      <c r="M6587" t="s">
        <v>5331</v>
      </c>
      <c r="N6587" s="9">
        <v>44778</v>
      </c>
      <c r="O6587" s="9">
        <v>44834</v>
      </c>
      <c r="P6587"/>
      <c r="Q6587"/>
      <c r="R6587"/>
      <c r="S6587"/>
      <c r="T6587"/>
      <c r="U6587"/>
    </row>
    <row r="6588" spans="1:21" hidden="1">
      <c r="A6588" s="7" t="s">
        <v>8758</v>
      </c>
      <c r="B6588" s="7" t="s">
        <v>5405</v>
      </c>
      <c r="C6588" s="8" t="s">
        <v>5319</v>
      </c>
      <c r="D6588" t="s">
        <v>266</v>
      </c>
      <c r="E6588" t="s">
        <v>25</v>
      </c>
      <c r="F6588" t="s">
        <v>493</v>
      </c>
      <c r="G6588" t="s">
        <v>3891</v>
      </c>
      <c r="H6588" s="9">
        <v>44733</v>
      </c>
      <c r="I6588" t="s">
        <v>8634</v>
      </c>
      <c r="J6588" t="s">
        <v>0</v>
      </c>
      <c r="K6588" s="9">
        <v>44862</v>
      </c>
      <c r="L6588" t="s">
        <v>29</v>
      </c>
      <c r="M6588"/>
      <c r="N6588"/>
      <c r="O6588"/>
      <c r="P6588"/>
      <c r="Q6588" s="9">
        <v>44862</v>
      </c>
      <c r="R6588"/>
      <c r="S6588"/>
      <c r="T6588"/>
      <c r="U6588"/>
    </row>
    <row r="6589" spans="1:21" hidden="1">
      <c r="A6589" s="7" t="s">
        <v>8758</v>
      </c>
      <c r="B6589" s="7" t="s">
        <v>5405</v>
      </c>
      <c r="C6589" s="8" t="s">
        <v>5319</v>
      </c>
      <c r="D6589" t="s">
        <v>266</v>
      </c>
      <c r="E6589" t="s">
        <v>25</v>
      </c>
      <c r="F6589" t="s">
        <v>493</v>
      </c>
      <c r="G6589" t="s">
        <v>614</v>
      </c>
      <c r="H6589" s="9">
        <v>44733</v>
      </c>
      <c r="I6589" t="s">
        <v>8634</v>
      </c>
      <c r="J6589" t="s">
        <v>0</v>
      </c>
      <c r="K6589" s="9">
        <v>44862</v>
      </c>
      <c r="L6589" t="s">
        <v>29</v>
      </c>
      <c r="M6589"/>
      <c r="N6589"/>
      <c r="O6589"/>
      <c r="P6589"/>
      <c r="Q6589" s="9">
        <v>44862</v>
      </c>
      <c r="R6589"/>
      <c r="S6589"/>
      <c r="T6589"/>
      <c r="U6589"/>
    </row>
    <row r="6590" spans="1:21" hidden="1">
      <c r="A6590" s="7" t="s">
        <v>8893</v>
      </c>
      <c r="B6590" s="7" t="s">
        <v>5405</v>
      </c>
      <c r="C6590" s="8" t="s">
        <v>5319</v>
      </c>
      <c r="D6590" t="s">
        <v>266</v>
      </c>
      <c r="E6590" t="s">
        <v>25</v>
      </c>
      <c r="F6590" t="s">
        <v>209</v>
      </c>
      <c r="G6590" t="s">
        <v>3892</v>
      </c>
      <c r="H6590" s="9">
        <v>44733</v>
      </c>
      <c r="I6590" t="s">
        <v>8634</v>
      </c>
      <c r="J6590" t="s">
        <v>0</v>
      </c>
      <c r="K6590" s="9">
        <v>44858</v>
      </c>
      <c r="L6590" t="s">
        <v>29</v>
      </c>
      <c r="M6590"/>
      <c r="N6590"/>
      <c r="O6590"/>
      <c r="P6590"/>
      <c r="Q6590" s="9">
        <v>44858</v>
      </c>
      <c r="R6590"/>
      <c r="S6590"/>
      <c r="T6590"/>
      <c r="U6590"/>
    </row>
    <row r="6591" spans="1:21" hidden="1">
      <c r="A6591" s="7" t="s">
        <v>8758</v>
      </c>
      <c r="B6591" s="7" t="s">
        <v>5405</v>
      </c>
      <c r="C6591" s="8" t="s">
        <v>5319</v>
      </c>
      <c r="D6591" t="s">
        <v>266</v>
      </c>
      <c r="E6591" t="s">
        <v>25</v>
      </c>
      <c r="F6591" t="s">
        <v>493</v>
      </c>
      <c r="G6591" t="s">
        <v>3893</v>
      </c>
      <c r="H6591" s="9">
        <v>44733</v>
      </c>
      <c r="I6591" t="s">
        <v>8634</v>
      </c>
      <c r="J6591" t="s">
        <v>0</v>
      </c>
      <c r="K6591" s="9">
        <v>44862</v>
      </c>
      <c r="L6591" t="s">
        <v>29</v>
      </c>
      <c r="M6591"/>
      <c r="N6591"/>
      <c r="O6591"/>
      <c r="P6591"/>
      <c r="Q6591" s="9">
        <v>44862</v>
      </c>
      <c r="R6591"/>
      <c r="S6591"/>
      <c r="T6591"/>
      <c r="U6591"/>
    </row>
    <row r="6592" spans="1:21" hidden="1">
      <c r="A6592" s="7" t="s">
        <v>8758</v>
      </c>
      <c r="B6592" s="7" t="s">
        <v>5405</v>
      </c>
      <c r="C6592" s="8" t="s">
        <v>5319</v>
      </c>
      <c r="D6592" t="s">
        <v>266</v>
      </c>
      <c r="E6592" t="s">
        <v>25</v>
      </c>
      <c r="F6592" t="s">
        <v>493</v>
      </c>
      <c r="G6592" t="s">
        <v>2990</v>
      </c>
      <c r="H6592" s="9">
        <v>44733</v>
      </c>
      <c r="I6592" t="s">
        <v>8634</v>
      </c>
      <c r="J6592" t="s">
        <v>2</v>
      </c>
      <c r="K6592" s="9">
        <v>44834</v>
      </c>
      <c r="L6592" t="s">
        <v>29</v>
      </c>
      <c r="M6592" t="s">
        <v>5331</v>
      </c>
      <c r="N6592" s="9">
        <v>44778</v>
      </c>
      <c r="O6592" s="9">
        <v>44834</v>
      </c>
      <c r="P6592"/>
      <c r="Q6592"/>
      <c r="R6592"/>
      <c r="S6592"/>
      <c r="T6592"/>
      <c r="U6592"/>
    </row>
    <row r="6593" spans="1:21" hidden="1">
      <c r="A6593" s="7" t="s">
        <v>8758</v>
      </c>
      <c r="B6593" s="7" t="s">
        <v>5405</v>
      </c>
      <c r="C6593" s="8" t="s">
        <v>5319</v>
      </c>
      <c r="D6593" t="s">
        <v>266</v>
      </c>
      <c r="E6593" t="s">
        <v>25</v>
      </c>
      <c r="F6593" t="s">
        <v>493</v>
      </c>
      <c r="G6593" t="s">
        <v>2993</v>
      </c>
      <c r="H6593" s="9">
        <v>44733</v>
      </c>
      <c r="I6593" t="s">
        <v>8634</v>
      </c>
      <c r="J6593" t="s">
        <v>0</v>
      </c>
      <c r="K6593" s="9">
        <v>44862</v>
      </c>
      <c r="L6593" t="s">
        <v>29</v>
      </c>
      <c r="M6593"/>
      <c r="N6593"/>
      <c r="O6593"/>
      <c r="P6593"/>
      <c r="Q6593" s="9">
        <v>44862</v>
      </c>
      <c r="R6593"/>
      <c r="S6593"/>
      <c r="T6593"/>
      <c r="U6593"/>
    </row>
    <row r="6594" spans="1:21" hidden="1">
      <c r="A6594" s="7" t="s">
        <v>8825</v>
      </c>
      <c r="B6594" s="7" t="s">
        <v>5405</v>
      </c>
      <c r="C6594" s="8" t="s">
        <v>5319</v>
      </c>
      <c r="D6594" t="s">
        <v>266</v>
      </c>
      <c r="E6594" t="s">
        <v>25</v>
      </c>
      <c r="F6594" t="s">
        <v>111</v>
      </c>
      <c r="G6594" t="s">
        <v>3894</v>
      </c>
      <c r="H6594" s="9">
        <v>44733</v>
      </c>
      <c r="I6594" t="s">
        <v>8634</v>
      </c>
      <c r="J6594" t="s">
        <v>0</v>
      </c>
      <c r="K6594" s="9">
        <v>44881</v>
      </c>
      <c r="L6594" t="s">
        <v>29</v>
      </c>
      <c r="M6594"/>
      <c r="N6594"/>
      <c r="O6594"/>
      <c r="P6594"/>
      <c r="Q6594" s="9">
        <v>44881</v>
      </c>
      <c r="R6594"/>
      <c r="S6594"/>
      <c r="T6594"/>
      <c r="U6594"/>
    </row>
    <row r="6595" spans="1:21" hidden="1">
      <c r="A6595" s="7" t="s">
        <v>8825</v>
      </c>
      <c r="B6595" s="7" t="s">
        <v>5405</v>
      </c>
      <c r="C6595" s="8" t="s">
        <v>5319</v>
      </c>
      <c r="D6595" t="s">
        <v>266</v>
      </c>
      <c r="E6595" t="s">
        <v>25</v>
      </c>
      <c r="F6595" t="s">
        <v>111</v>
      </c>
      <c r="G6595" t="s">
        <v>3895</v>
      </c>
      <c r="H6595" s="9">
        <v>44733</v>
      </c>
      <c r="I6595" t="s">
        <v>8634</v>
      </c>
      <c r="J6595" t="s">
        <v>0</v>
      </c>
      <c r="K6595" s="9">
        <v>44881</v>
      </c>
      <c r="L6595" t="s">
        <v>29</v>
      </c>
      <c r="M6595"/>
      <c r="N6595"/>
      <c r="O6595"/>
      <c r="P6595"/>
      <c r="Q6595" s="9">
        <v>44881</v>
      </c>
      <c r="R6595"/>
      <c r="S6595"/>
      <c r="T6595"/>
      <c r="U6595"/>
    </row>
    <row r="6596" spans="1:21" hidden="1">
      <c r="A6596" s="7" t="s">
        <v>8758</v>
      </c>
      <c r="B6596" s="7" t="s">
        <v>5405</v>
      </c>
      <c r="C6596" s="8" t="s">
        <v>5319</v>
      </c>
      <c r="D6596" t="s">
        <v>266</v>
      </c>
      <c r="E6596" t="s">
        <v>25</v>
      </c>
      <c r="F6596" t="s">
        <v>493</v>
      </c>
      <c r="G6596" t="s">
        <v>3896</v>
      </c>
      <c r="H6596" s="9">
        <v>44733</v>
      </c>
      <c r="I6596" t="s">
        <v>8634</v>
      </c>
      <c r="J6596" t="s">
        <v>0</v>
      </c>
      <c r="K6596" s="9">
        <v>44862</v>
      </c>
      <c r="L6596" t="s">
        <v>29</v>
      </c>
      <c r="M6596"/>
      <c r="N6596"/>
      <c r="O6596"/>
      <c r="P6596"/>
      <c r="Q6596" s="9">
        <v>44862</v>
      </c>
      <c r="R6596"/>
      <c r="S6596"/>
      <c r="T6596"/>
      <c r="U6596"/>
    </row>
    <row r="6597" spans="1:21" hidden="1">
      <c r="A6597" s="7" t="s">
        <v>8758</v>
      </c>
      <c r="B6597" s="7" t="s">
        <v>5405</v>
      </c>
      <c r="C6597" s="8" t="s">
        <v>5319</v>
      </c>
      <c r="D6597" t="s">
        <v>266</v>
      </c>
      <c r="E6597" t="s">
        <v>25</v>
      </c>
      <c r="F6597" t="s">
        <v>493</v>
      </c>
      <c r="G6597" t="s">
        <v>3897</v>
      </c>
      <c r="H6597" s="9">
        <v>44733</v>
      </c>
      <c r="I6597" t="s">
        <v>8634</v>
      </c>
      <c r="J6597" t="s">
        <v>0</v>
      </c>
      <c r="K6597" s="9">
        <v>44862</v>
      </c>
      <c r="L6597" t="s">
        <v>29</v>
      </c>
      <c r="M6597"/>
      <c r="N6597"/>
      <c r="O6597"/>
      <c r="P6597"/>
      <c r="Q6597" s="9">
        <v>44862</v>
      </c>
      <c r="R6597"/>
      <c r="S6597"/>
      <c r="T6597"/>
      <c r="U6597"/>
    </row>
    <row r="6598" spans="1:21" hidden="1">
      <c r="A6598" s="7" t="s">
        <v>8758</v>
      </c>
      <c r="B6598" s="7" t="s">
        <v>5405</v>
      </c>
      <c r="C6598" s="8" t="s">
        <v>5319</v>
      </c>
      <c r="D6598" t="s">
        <v>266</v>
      </c>
      <c r="E6598" t="s">
        <v>25</v>
      </c>
      <c r="F6598" t="s">
        <v>493</v>
      </c>
      <c r="G6598" t="s">
        <v>3898</v>
      </c>
      <c r="H6598" s="9">
        <v>44733</v>
      </c>
      <c r="I6598" t="s">
        <v>8634</v>
      </c>
      <c r="J6598" t="s">
        <v>0</v>
      </c>
      <c r="K6598" s="9">
        <v>44862</v>
      </c>
      <c r="L6598" t="s">
        <v>29</v>
      </c>
      <c r="M6598"/>
      <c r="N6598"/>
      <c r="O6598"/>
      <c r="P6598"/>
      <c r="Q6598" s="9">
        <v>44862</v>
      </c>
      <c r="R6598"/>
      <c r="S6598"/>
      <c r="T6598"/>
      <c r="U6598"/>
    </row>
    <row r="6599" spans="1:21" hidden="1">
      <c r="A6599" s="7" t="s">
        <v>8758</v>
      </c>
      <c r="B6599" s="7" t="s">
        <v>5405</v>
      </c>
      <c r="C6599" s="8" t="s">
        <v>5319</v>
      </c>
      <c r="D6599" t="s">
        <v>266</v>
      </c>
      <c r="E6599" t="s">
        <v>25</v>
      </c>
      <c r="F6599" t="s">
        <v>493</v>
      </c>
      <c r="G6599" t="s">
        <v>3899</v>
      </c>
      <c r="H6599" s="9">
        <v>44733</v>
      </c>
      <c r="I6599" t="s">
        <v>8634</v>
      </c>
      <c r="J6599" t="s">
        <v>0</v>
      </c>
      <c r="K6599" s="9">
        <v>44862</v>
      </c>
      <c r="L6599" t="s">
        <v>29</v>
      </c>
      <c r="M6599"/>
      <c r="N6599"/>
      <c r="O6599"/>
      <c r="P6599"/>
      <c r="Q6599" s="9">
        <v>44862</v>
      </c>
      <c r="R6599"/>
      <c r="S6599"/>
      <c r="T6599"/>
      <c r="U6599"/>
    </row>
    <row r="6600" spans="1:21" hidden="1">
      <c r="A6600" s="7" t="s">
        <v>8893</v>
      </c>
      <c r="B6600" s="7" t="s">
        <v>5405</v>
      </c>
      <c r="C6600" s="8" t="s">
        <v>5319</v>
      </c>
      <c r="D6600" t="s">
        <v>266</v>
      </c>
      <c r="E6600" t="s">
        <v>25</v>
      </c>
      <c r="F6600" t="s">
        <v>209</v>
      </c>
      <c r="G6600" t="s">
        <v>3900</v>
      </c>
      <c r="H6600" s="9">
        <v>44733</v>
      </c>
      <c r="I6600" t="s">
        <v>8634</v>
      </c>
      <c r="J6600" t="s">
        <v>0</v>
      </c>
      <c r="K6600" s="9">
        <v>44858</v>
      </c>
      <c r="L6600" t="s">
        <v>29</v>
      </c>
      <c r="M6600"/>
      <c r="N6600"/>
      <c r="O6600"/>
      <c r="P6600"/>
      <c r="Q6600" s="9">
        <v>44858</v>
      </c>
      <c r="R6600"/>
      <c r="S6600"/>
      <c r="T6600"/>
      <c r="U6600"/>
    </row>
    <row r="6601" spans="1:21" hidden="1">
      <c r="A6601" s="7" t="s">
        <v>8758</v>
      </c>
      <c r="B6601" s="7" t="s">
        <v>5405</v>
      </c>
      <c r="C6601" s="8" t="s">
        <v>5319</v>
      </c>
      <c r="D6601" t="s">
        <v>266</v>
      </c>
      <c r="E6601" t="s">
        <v>25</v>
      </c>
      <c r="F6601" t="s">
        <v>493</v>
      </c>
      <c r="G6601" t="s">
        <v>3901</v>
      </c>
      <c r="H6601" s="9">
        <v>44733</v>
      </c>
      <c r="I6601" t="s">
        <v>8634</v>
      </c>
      <c r="J6601" t="s">
        <v>2</v>
      </c>
      <c r="K6601" s="9">
        <v>44834</v>
      </c>
      <c r="L6601" t="s">
        <v>29</v>
      </c>
      <c r="M6601" t="s">
        <v>5331</v>
      </c>
      <c r="N6601" s="9">
        <v>44778</v>
      </c>
      <c r="O6601" s="9">
        <v>44834</v>
      </c>
      <c r="P6601"/>
      <c r="Q6601"/>
      <c r="R6601"/>
      <c r="S6601"/>
      <c r="T6601"/>
      <c r="U6601"/>
    </row>
    <row r="6602" spans="1:21" hidden="1">
      <c r="A6602" s="7" t="s">
        <v>8758</v>
      </c>
      <c r="B6602" s="7" t="s">
        <v>5405</v>
      </c>
      <c r="C6602" s="8" t="s">
        <v>5319</v>
      </c>
      <c r="D6602" t="s">
        <v>266</v>
      </c>
      <c r="E6602" t="s">
        <v>25</v>
      </c>
      <c r="F6602" t="s">
        <v>493</v>
      </c>
      <c r="G6602" t="s">
        <v>3902</v>
      </c>
      <c r="H6602" s="9">
        <v>44733</v>
      </c>
      <c r="I6602" t="s">
        <v>8634</v>
      </c>
      <c r="J6602" t="s">
        <v>0</v>
      </c>
      <c r="K6602" s="9">
        <v>44862</v>
      </c>
      <c r="L6602" t="s">
        <v>29</v>
      </c>
      <c r="M6602"/>
      <c r="N6602"/>
      <c r="O6602"/>
      <c r="P6602"/>
      <c r="Q6602" s="9">
        <v>44862</v>
      </c>
      <c r="R6602"/>
      <c r="S6602"/>
      <c r="T6602"/>
      <c r="U6602"/>
    </row>
    <row r="6603" spans="1:21" hidden="1">
      <c r="A6603" s="7" t="s">
        <v>8758</v>
      </c>
      <c r="B6603" s="7" t="s">
        <v>5405</v>
      </c>
      <c r="C6603" s="8" t="s">
        <v>5319</v>
      </c>
      <c r="D6603" t="s">
        <v>266</v>
      </c>
      <c r="E6603" t="s">
        <v>25</v>
      </c>
      <c r="F6603" t="s">
        <v>493</v>
      </c>
      <c r="G6603" t="s">
        <v>3903</v>
      </c>
      <c r="H6603" s="9">
        <v>44733</v>
      </c>
      <c r="I6603" t="s">
        <v>8634</v>
      </c>
      <c r="J6603" t="s">
        <v>2</v>
      </c>
      <c r="K6603" s="9">
        <v>44834</v>
      </c>
      <c r="L6603" t="s">
        <v>29</v>
      </c>
      <c r="M6603" t="s">
        <v>5331</v>
      </c>
      <c r="N6603" s="9">
        <v>44778</v>
      </c>
      <c r="O6603" s="9">
        <v>44834</v>
      </c>
      <c r="P6603"/>
      <c r="Q6603"/>
      <c r="R6603"/>
      <c r="S6603"/>
      <c r="T6603"/>
      <c r="U6603"/>
    </row>
    <row r="6604" spans="1:21" hidden="1">
      <c r="A6604" s="7" t="s">
        <v>8758</v>
      </c>
      <c r="B6604" s="7" t="s">
        <v>5405</v>
      </c>
      <c r="C6604" s="8" t="s">
        <v>5319</v>
      </c>
      <c r="D6604" t="s">
        <v>266</v>
      </c>
      <c r="E6604" t="s">
        <v>25</v>
      </c>
      <c r="F6604" t="s">
        <v>493</v>
      </c>
      <c r="G6604" t="s">
        <v>3904</v>
      </c>
      <c r="H6604" s="9">
        <v>44733</v>
      </c>
      <c r="I6604" t="s">
        <v>8634</v>
      </c>
      <c r="J6604" t="s">
        <v>0</v>
      </c>
      <c r="K6604" s="9">
        <v>44862</v>
      </c>
      <c r="L6604" t="s">
        <v>29</v>
      </c>
      <c r="M6604"/>
      <c r="N6604"/>
      <c r="O6604"/>
      <c r="P6604"/>
      <c r="Q6604" s="9">
        <v>44862</v>
      </c>
      <c r="R6604"/>
      <c r="S6604"/>
      <c r="T6604"/>
      <c r="U6604"/>
    </row>
    <row r="6605" spans="1:21" hidden="1">
      <c r="A6605" s="7" t="s">
        <v>8758</v>
      </c>
      <c r="B6605" s="7" t="s">
        <v>5405</v>
      </c>
      <c r="C6605" s="8" t="s">
        <v>5319</v>
      </c>
      <c r="D6605" t="s">
        <v>266</v>
      </c>
      <c r="E6605" t="s">
        <v>25</v>
      </c>
      <c r="F6605" t="s">
        <v>493</v>
      </c>
      <c r="G6605" t="s">
        <v>3905</v>
      </c>
      <c r="H6605" s="9">
        <v>44733</v>
      </c>
      <c r="I6605" t="s">
        <v>8634</v>
      </c>
      <c r="J6605" t="s">
        <v>0</v>
      </c>
      <c r="K6605" s="9">
        <v>44862</v>
      </c>
      <c r="L6605" t="s">
        <v>29</v>
      </c>
      <c r="M6605"/>
      <c r="N6605"/>
      <c r="O6605"/>
      <c r="P6605"/>
      <c r="Q6605" s="9">
        <v>44862</v>
      </c>
      <c r="R6605"/>
      <c r="S6605"/>
      <c r="T6605"/>
      <c r="U6605"/>
    </row>
    <row r="6606" spans="1:21" hidden="1">
      <c r="A6606" s="7" t="s">
        <v>8758</v>
      </c>
      <c r="B6606" s="7" t="s">
        <v>5405</v>
      </c>
      <c r="C6606" s="8" t="s">
        <v>5319</v>
      </c>
      <c r="D6606" t="s">
        <v>266</v>
      </c>
      <c r="E6606" t="s">
        <v>25</v>
      </c>
      <c r="F6606" t="s">
        <v>493</v>
      </c>
      <c r="G6606" t="s">
        <v>3906</v>
      </c>
      <c r="H6606" s="9">
        <v>44733</v>
      </c>
      <c r="I6606" t="s">
        <v>8634</v>
      </c>
      <c r="J6606" t="s">
        <v>0</v>
      </c>
      <c r="K6606" s="9">
        <v>44862</v>
      </c>
      <c r="L6606" t="s">
        <v>29</v>
      </c>
      <c r="M6606"/>
      <c r="N6606"/>
      <c r="O6606"/>
      <c r="P6606"/>
      <c r="Q6606" s="9">
        <v>44862</v>
      </c>
      <c r="R6606"/>
      <c r="S6606"/>
      <c r="T6606"/>
      <c r="U6606"/>
    </row>
    <row r="6607" spans="1:21" hidden="1">
      <c r="A6607" s="7" t="s">
        <v>8758</v>
      </c>
      <c r="B6607" s="7" t="s">
        <v>5405</v>
      </c>
      <c r="C6607" s="8" t="s">
        <v>5319</v>
      </c>
      <c r="D6607" t="s">
        <v>266</v>
      </c>
      <c r="E6607" t="s">
        <v>25</v>
      </c>
      <c r="F6607" t="s">
        <v>493</v>
      </c>
      <c r="G6607" t="s">
        <v>3907</v>
      </c>
      <c r="H6607" s="9">
        <v>44733</v>
      </c>
      <c r="I6607" t="s">
        <v>8634</v>
      </c>
      <c r="J6607" t="s">
        <v>2</v>
      </c>
      <c r="K6607" s="9">
        <v>44834</v>
      </c>
      <c r="L6607" t="s">
        <v>29</v>
      </c>
      <c r="M6607" t="s">
        <v>5331</v>
      </c>
      <c r="N6607" s="9">
        <v>44778</v>
      </c>
      <c r="O6607" s="9">
        <v>44834</v>
      </c>
      <c r="P6607"/>
      <c r="Q6607"/>
      <c r="R6607"/>
      <c r="S6607"/>
      <c r="T6607"/>
      <c r="U6607"/>
    </row>
    <row r="6608" spans="1:21" hidden="1">
      <c r="A6608" s="7" t="s">
        <v>8758</v>
      </c>
      <c r="B6608" s="7" t="s">
        <v>5405</v>
      </c>
      <c r="C6608" s="8" t="s">
        <v>5319</v>
      </c>
      <c r="D6608" t="s">
        <v>266</v>
      </c>
      <c r="E6608" t="s">
        <v>25</v>
      </c>
      <c r="F6608" t="s">
        <v>493</v>
      </c>
      <c r="G6608" t="s">
        <v>3908</v>
      </c>
      <c r="H6608" s="9">
        <v>44733</v>
      </c>
      <c r="I6608" t="s">
        <v>8634</v>
      </c>
      <c r="J6608" t="s">
        <v>0</v>
      </c>
      <c r="K6608" s="9">
        <v>44862</v>
      </c>
      <c r="L6608" t="s">
        <v>29</v>
      </c>
      <c r="M6608"/>
      <c r="N6608"/>
      <c r="O6608"/>
      <c r="P6608"/>
      <c r="Q6608" s="9">
        <v>44862</v>
      </c>
      <c r="R6608"/>
      <c r="S6608"/>
      <c r="T6608"/>
      <c r="U6608"/>
    </row>
    <row r="6609" spans="1:21" hidden="1">
      <c r="A6609" s="7" t="s">
        <v>8758</v>
      </c>
      <c r="B6609" s="7" t="s">
        <v>5405</v>
      </c>
      <c r="C6609" s="8" t="s">
        <v>5319</v>
      </c>
      <c r="D6609" t="s">
        <v>266</v>
      </c>
      <c r="E6609" t="s">
        <v>25</v>
      </c>
      <c r="F6609" t="s">
        <v>493</v>
      </c>
      <c r="G6609" t="s">
        <v>3909</v>
      </c>
      <c r="H6609" s="9">
        <v>44733</v>
      </c>
      <c r="I6609" t="s">
        <v>8634</v>
      </c>
      <c r="J6609" t="s">
        <v>0</v>
      </c>
      <c r="K6609" s="9">
        <v>44862</v>
      </c>
      <c r="L6609" t="s">
        <v>29</v>
      </c>
      <c r="M6609"/>
      <c r="N6609"/>
      <c r="O6609"/>
      <c r="P6609"/>
      <c r="Q6609" s="9">
        <v>44862</v>
      </c>
      <c r="R6609"/>
      <c r="S6609"/>
      <c r="T6609"/>
      <c r="U6609"/>
    </row>
    <row r="6610" spans="1:21" hidden="1">
      <c r="A6610" s="7" t="s">
        <v>8758</v>
      </c>
      <c r="B6610" s="7" t="s">
        <v>5405</v>
      </c>
      <c r="C6610" s="8" t="s">
        <v>5319</v>
      </c>
      <c r="D6610" t="s">
        <v>266</v>
      </c>
      <c r="E6610" t="s">
        <v>25</v>
      </c>
      <c r="F6610" t="s">
        <v>493</v>
      </c>
      <c r="G6610" t="s">
        <v>622</v>
      </c>
      <c r="H6610" s="9">
        <v>44733</v>
      </c>
      <c r="I6610" t="s">
        <v>8634</v>
      </c>
      <c r="J6610" t="s">
        <v>0</v>
      </c>
      <c r="K6610" s="9">
        <v>44862</v>
      </c>
      <c r="L6610" t="s">
        <v>29</v>
      </c>
      <c r="M6610"/>
      <c r="N6610"/>
      <c r="O6610"/>
      <c r="P6610"/>
      <c r="Q6610" s="9">
        <v>44862</v>
      </c>
      <c r="R6610"/>
      <c r="S6610"/>
      <c r="T6610"/>
      <c r="U6610"/>
    </row>
    <row r="6611" spans="1:21" hidden="1">
      <c r="A6611" s="7" t="s">
        <v>8758</v>
      </c>
      <c r="B6611" s="7" t="s">
        <v>5405</v>
      </c>
      <c r="C6611" s="8" t="s">
        <v>5319</v>
      </c>
      <c r="D6611" t="s">
        <v>266</v>
      </c>
      <c r="E6611" t="s">
        <v>25</v>
      </c>
      <c r="F6611" t="s">
        <v>493</v>
      </c>
      <c r="G6611" t="s">
        <v>3910</v>
      </c>
      <c r="H6611" s="9">
        <v>44733</v>
      </c>
      <c r="I6611" t="s">
        <v>8634</v>
      </c>
      <c r="J6611" t="s">
        <v>2</v>
      </c>
      <c r="K6611" s="9">
        <v>44834</v>
      </c>
      <c r="L6611" t="s">
        <v>29</v>
      </c>
      <c r="M6611" t="s">
        <v>5331</v>
      </c>
      <c r="N6611" s="9">
        <v>44778</v>
      </c>
      <c r="O6611" s="9">
        <v>44834</v>
      </c>
      <c r="P6611"/>
      <c r="Q6611"/>
      <c r="R6611"/>
      <c r="S6611"/>
      <c r="T6611"/>
      <c r="U6611"/>
    </row>
    <row r="6612" spans="1:21" hidden="1">
      <c r="A6612" s="7" t="s">
        <v>8758</v>
      </c>
      <c r="B6612" s="7" t="s">
        <v>5405</v>
      </c>
      <c r="C6612" s="8" t="s">
        <v>5319</v>
      </c>
      <c r="D6612" t="s">
        <v>266</v>
      </c>
      <c r="E6612" t="s">
        <v>25</v>
      </c>
      <c r="F6612" t="s">
        <v>493</v>
      </c>
      <c r="G6612" t="s">
        <v>3911</v>
      </c>
      <c r="H6612" s="9">
        <v>44733</v>
      </c>
      <c r="I6612" t="s">
        <v>8634</v>
      </c>
      <c r="J6612" t="s">
        <v>0</v>
      </c>
      <c r="K6612" s="9">
        <v>44862</v>
      </c>
      <c r="L6612" t="s">
        <v>29</v>
      </c>
      <c r="M6612"/>
      <c r="N6612"/>
      <c r="O6612"/>
      <c r="P6612"/>
      <c r="Q6612" s="9">
        <v>44862</v>
      </c>
      <c r="R6612"/>
      <c r="S6612"/>
      <c r="T6612"/>
      <c r="U6612"/>
    </row>
    <row r="6613" spans="1:21" hidden="1">
      <c r="A6613" s="7" t="s">
        <v>8758</v>
      </c>
      <c r="B6613" s="7" t="s">
        <v>5405</v>
      </c>
      <c r="C6613" s="8" t="s">
        <v>5319</v>
      </c>
      <c r="D6613" t="s">
        <v>266</v>
      </c>
      <c r="E6613" t="s">
        <v>25</v>
      </c>
      <c r="F6613" t="s">
        <v>493</v>
      </c>
      <c r="G6613" t="s">
        <v>3912</v>
      </c>
      <c r="H6613" s="9">
        <v>44733</v>
      </c>
      <c r="I6613" t="s">
        <v>8634</v>
      </c>
      <c r="J6613" t="s">
        <v>0</v>
      </c>
      <c r="K6613" s="9">
        <v>44862</v>
      </c>
      <c r="L6613" t="s">
        <v>29</v>
      </c>
      <c r="M6613"/>
      <c r="N6613"/>
      <c r="O6613"/>
      <c r="P6613"/>
      <c r="Q6613" s="9">
        <v>44862</v>
      </c>
      <c r="R6613"/>
      <c r="S6613"/>
      <c r="T6613"/>
      <c r="U6613"/>
    </row>
    <row r="6614" spans="1:21" hidden="1">
      <c r="A6614" s="7" t="s">
        <v>8893</v>
      </c>
      <c r="B6614" s="7" t="s">
        <v>5405</v>
      </c>
      <c r="C6614" s="8" t="s">
        <v>5319</v>
      </c>
      <c r="D6614" t="s">
        <v>266</v>
      </c>
      <c r="E6614" t="s">
        <v>25</v>
      </c>
      <c r="F6614" t="s">
        <v>209</v>
      </c>
      <c r="G6614" t="s">
        <v>3913</v>
      </c>
      <c r="H6614" s="9">
        <v>44733</v>
      </c>
      <c r="I6614" t="s">
        <v>8634</v>
      </c>
      <c r="J6614" t="s">
        <v>0</v>
      </c>
      <c r="K6614" s="9">
        <v>44858</v>
      </c>
      <c r="L6614" t="s">
        <v>29</v>
      </c>
      <c r="M6614"/>
      <c r="N6614"/>
      <c r="O6614"/>
      <c r="P6614"/>
      <c r="Q6614" s="9">
        <v>44858</v>
      </c>
      <c r="R6614"/>
      <c r="S6614"/>
      <c r="T6614"/>
      <c r="U6614"/>
    </row>
    <row r="6615" spans="1:21" hidden="1">
      <c r="A6615" s="7" t="s">
        <v>8758</v>
      </c>
      <c r="B6615" s="7" t="s">
        <v>5405</v>
      </c>
      <c r="C6615" s="8" t="s">
        <v>5319</v>
      </c>
      <c r="D6615" t="s">
        <v>266</v>
      </c>
      <c r="E6615" t="s">
        <v>25</v>
      </c>
      <c r="F6615" t="s">
        <v>493</v>
      </c>
      <c r="G6615" t="s">
        <v>3914</v>
      </c>
      <c r="H6615" s="9">
        <v>44733</v>
      </c>
      <c r="I6615" t="s">
        <v>8634</v>
      </c>
      <c r="J6615" t="s">
        <v>0</v>
      </c>
      <c r="K6615" s="9">
        <v>44862</v>
      </c>
      <c r="L6615" t="s">
        <v>29</v>
      </c>
      <c r="M6615"/>
      <c r="N6615"/>
      <c r="O6615"/>
      <c r="P6615"/>
      <c r="Q6615" s="9">
        <v>44862</v>
      </c>
      <c r="R6615"/>
      <c r="S6615"/>
      <c r="T6615"/>
      <c r="U6615"/>
    </row>
    <row r="6616" spans="1:21" hidden="1">
      <c r="A6616" s="7" t="s">
        <v>8758</v>
      </c>
      <c r="B6616" s="7" t="s">
        <v>5405</v>
      </c>
      <c r="C6616" s="8" t="s">
        <v>5319</v>
      </c>
      <c r="D6616" t="s">
        <v>266</v>
      </c>
      <c r="E6616" t="s">
        <v>25</v>
      </c>
      <c r="F6616" t="s">
        <v>493</v>
      </c>
      <c r="G6616" t="s">
        <v>3915</v>
      </c>
      <c r="H6616" s="9">
        <v>44733</v>
      </c>
      <c r="I6616" t="s">
        <v>8634</v>
      </c>
      <c r="J6616" t="s">
        <v>2</v>
      </c>
      <c r="K6616" s="9">
        <v>44834</v>
      </c>
      <c r="L6616" t="s">
        <v>29</v>
      </c>
      <c r="M6616" t="s">
        <v>5331</v>
      </c>
      <c r="N6616" s="9">
        <v>44778</v>
      </c>
      <c r="O6616" s="9">
        <v>44834</v>
      </c>
      <c r="P6616"/>
      <c r="Q6616"/>
      <c r="R6616"/>
      <c r="S6616"/>
      <c r="T6616"/>
      <c r="U6616"/>
    </row>
    <row r="6617" spans="1:21" hidden="1">
      <c r="A6617" s="7" t="s">
        <v>8758</v>
      </c>
      <c r="B6617" s="7" t="s">
        <v>5405</v>
      </c>
      <c r="C6617" s="8" t="s">
        <v>5319</v>
      </c>
      <c r="D6617" t="s">
        <v>266</v>
      </c>
      <c r="E6617" t="s">
        <v>25</v>
      </c>
      <c r="F6617" t="s">
        <v>493</v>
      </c>
      <c r="G6617" t="s">
        <v>3916</v>
      </c>
      <c r="H6617" s="9">
        <v>44733</v>
      </c>
      <c r="I6617" t="s">
        <v>8634</v>
      </c>
      <c r="J6617" t="s">
        <v>2</v>
      </c>
      <c r="K6617" s="9">
        <v>44834</v>
      </c>
      <c r="L6617" t="s">
        <v>29</v>
      </c>
      <c r="M6617" t="s">
        <v>5331</v>
      </c>
      <c r="N6617" s="9">
        <v>44778</v>
      </c>
      <c r="O6617" s="9">
        <v>44834</v>
      </c>
      <c r="P6617"/>
      <c r="Q6617"/>
      <c r="R6617"/>
      <c r="S6617"/>
      <c r="T6617"/>
      <c r="U6617"/>
    </row>
    <row r="6618" spans="1:21" hidden="1">
      <c r="A6618" s="7" t="s">
        <v>8758</v>
      </c>
      <c r="B6618" s="7" t="s">
        <v>5405</v>
      </c>
      <c r="C6618" s="8" t="s">
        <v>5319</v>
      </c>
      <c r="D6618" t="s">
        <v>266</v>
      </c>
      <c r="E6618" t="s">
        <v>25</v>
      </c>
      <c r="F6618" t="s">
        <v>493</v>
      </c>
      <c r="G6618" t="s">
        <v>3917</v>
      </c>
      <c r="H6618" s="9">
        <v>44733</v>
      </c>
      <c r="I6618" t="s">
        <v>8634</v>
      </c>
      <c r="J6618" t="s">
        <v>2</v>
      </c>
      <c r="K6618" s="9">
        <v>44834</v>
      </c>
      <c r="L6618" t="s">
        <v>29</v>
      </c>
      <c r="M6618" t="s">
        <v>5331</v>
      </c>
      <c r="N6618" s="9">
        <v>44778</v>
      </c>
      <c r="O6618" s="9">
        <v>44834</v>
      </c>
      <c r="P6618"/>
      <c r="Q6618"/>
      <c r="R6618"/>
      <c r="S6618"/>
      <c r="T6618"/>
      <c r="U6618"/>
    </row>
    <row r="6619" spans="1:21" hidden="1">
      <c r="A6619" s="7" t="s">
        <v>8758</v>
      </c>
      <c r="B6619" s="7" t="s">
        <v>5405</v>
      </c>
      <c r="C6619" s="8" t="s">
        <v>5319</v>
      </c>
      <c r="D6619" t="s">
        <v>266</v>
      </c>
      <c r="E6619" t="s">
        <v>25</v>
      </c>
      <c r="F6619" t="s">
        <v>493</v>
      </c>
      <c r="G6619" t="s">
        <v>3918</v>
      </c>
      <c r="H6619" s="9">
        <v>44733</v>
      </c>
      <c r="I6619" t="s">
        <v>8634</v>
      </c>
      <c r="J6619" t="s">
        <v>0</v>
      </c>
      <c r="K6619" s="9">
        <v>44862</v>
      </c>
      <c r="L6619" t="s">
        <v>29</v>
      </c>
      <c r="M6619"/>
      <c r="N6619"/>
      <c r="O6619"/>
      <c r="P6619"/>
      <c r="Q6619" s="9">
        <v>44862</v>
      </c>
      <c r="R6619"/>
      <c r="S6619"/>
      <c r="T6619"/>
      <c r="U6619"/>
    </row>
    <row r="6620" spans="1:21" hidden="1">
      <c r="A6620" s="7" t="s">
        <v>8758</v>
      </c>
      <c r="B6620" s="7" t="s">
        <v>5405</v>
      </c>
      <c r="C6620" s="8" t="s">
        <v>5319</v>
      </c>
      <c r="D6620" t="s">
        <v>266</v>
      </c>
      <c r="E6620" t="s">
        <v>25</v>
      </c>
      <c r="F6620" t="s">
        <v>493</v>
      </c>
      <c r="G6620" t="s">
        <v>3919</v>
      </c>
      <c r="H6620" s="9">
        <v>44733</v>
      </c>
      <c r="I6620" t="s">
        <v>8634</v>
      </c>
      <c r="J6620" t="s">
        <v>0</v>
      </c>
      <c r="K6620" s="9">
        <v>44862</v>
      </c>
      <c r="L6620" t="s">
        <v>29</v>
      </c>
      <c r="M6620"/>
      <c r="N6620"/>
      <c r="O6620"/>
      <c r="P6620"/>
      <c r="Q6620" s="9">
        <v>44862</v>
      </c>
      <c r="R6620"/>
      <c r="S6620"/>
      <c r="T6620"/>
      <c r="U6620"/>
    </row>
    <row r="6621" spans="1:21" hidden="1">
      <c r="A6621" s="7" t="s">
        <v>8758</v>
      </c>
      <c r="B6621" s="7" t="s">
        <v>5405</v>
      </c>
      <c r="C6621" s="8" t="s">
        <v>5319</v>
      </c>
      <c r="D6621" t="s">
        <v>266</v>
      </c>
      <c r="E6621" t="s">
        <v>25</v>
      </c>
      <c r="F6621" t="s">
        <v>493</v>
      </c>
      <c r="G6621" t="s">
        <v>3005</v>
      </c>
      <c r="H6621" s="9">
        <v>44733</v>
      </c>
      <c r="I6621" t="s">
        <v>8634</v>
      </c>
      <c r="J6621" t="s">
        <v>0</v>
      </c>
      <c r="K6621" s="9">
        <v>44862</v>
      </c>
      <c r="L6621" t="s">
        <v>29</v>
      </c>
      <c r="M6621"/>
      <c r="N6621"/>
      <c r="O6621"/>
      <c r="P6621"/>
      <c r="Q6621" s="9">
        <v>44862</v>
      </c>
      <c r="R6621"/>
      <c r="S6621"/>
      <c r="T6621"/>
      <c r="U6621"/>
    </row>
    <row r="6622" spans="1:21" hidden="1">
      <c r="A6622" s="7" t="s">
        <v>8758</v>
      </c>
      <c r="B6622" s="7" t="s">
        <v>5405</v>
      </c>
      <c r="C6622" s="8" t="s">
        <v>5319</v>
      </c>
      <c r="D6622" t="s">
        <v>266</v>
      </c>
      <c r="E6622" t="s">
        <v>25</v>
      </c>
      <c r="F6622" t="s">
        <v>493</v>
      </c>
      <c r="G6622" t="s">
        <v>3920</v>
      </c>
      <c r="H6622" s="9">
        <v>44733</v>
      </c>
      <c r="I6622" t="s">
        <v>8634</v>
      </c>
      <c r="J6622" t="s">
        <v>0</v>
      </c>
      <c r="K6622" s="9">
        <v>44862</v>
      </c>
      <c r="L6622" t="s">
        <v>29</v>
      </c>
      <c r="M6622"/>
      <c r="N6622"/>
      <c r="O6622"/>
      <c r="P6622"/>
      <c r="Q6622" s="9">
        <v>44862</v>
      </c>
      <c r="R6622"/>
      <c r="S6622"/>
      <c r="T6622"/>
      <c r="U6622"/>
    </row>
    <row r="6623" spans="1:21" hidden="1">
      <c r="A6623" s="7" t="s">
        <v>8758</v>
      </c>
      <c r="B6623" s="7" t="s">
        <v>5405</v>
      </c>
      <c r="C6623" s="8" t="s">
        <v>5319</v>
      </c>
      <c r="D6623" t="s">
        <v>266</v>
      </c>
      <c r="E6623" t="s">
        <v>25</v>
      </c>
      <c r="F6623" t="s">
        <v>493</v>
      </c>
      <c r="G6623" t="s">
        <v>3921</v>
      </c>
      <c r="H6623" s="9">
        <v>44733</v>
      </c>
      <c r="I6623" t="s">
        <v>8634</v>
      </c>
      <c r="J6623" t="s">
        <v>0</v>
      </c>
      <c r="K6623" s="9">
        <v>44862</v>
      </c>
      <c r="L6623" t="s">
        <v>29</v>
      </c>
      <c r="M6623"/>
      <c r="N6623"/>
      <c r="O6623"/>
      <c r="P6623"/>
      <c r="Q6623" s="9">
        <v>44862</v>
      </c>
      <c r="R6623"/>
      <c r="S6623"/>
      <c r="T6623"/>
      <c r="U6623"/>
    </row>
    <row r="6624" spans="1:21" hidden="1">
      <c r="A6624" s="7" t="s">
        <v>8758</v>
      </c>
      <c r="B6624" s="7" t="s">
        <v>5405</v>
      </c>
      <c r="C6624" s="8" t="s">
        <v>5319</v>
      </c>
      <c r="D6624" t="s">
        <v>266</v>
      </c>
      <c r="E6624" t="s">
        <v>25</v>
      </c>
      <c r="F6624" t="s">
        <v>493</v>
      </c>
      <c r="G6624" t="s">
        <v>3007</v>
      </c>
      <c r="H6624" s="9">
        <v>44733</v>
      </c>
      <c r="I6624" t="s">
        <v>8634</v>
      </c>
      <c r="J6624" t="s">
        <v>0</v>
      </c>
      <c r="K6624" s="9">
        <v>44862</v>
      </c>
      <c r="L6624" t="s">
        <v>29</v>
      </c>
      <c r="M6624"/>
      <c r="N6624"/>
      <c r="O6624"/>
      <c r="P6624"/>
      <c r="Q6624" s="9">
        <v>44862</v>
      </c>
      <c r="R6624"/>
      <c r="S6624"/>
      <c r="T6624"/>
      <c r="U6624"/>
    </row>
    <row r="6625" spans="1:21" hidden="1">
      <c r="A6625" s="7" t="s">
        <v>8758</v>
      </c>
      <c r="B6625" s="7" t="s">
        <v>5405</v>
      </c>
      <c r="C6625" s="8" t="s">
        <v>5319</v>
      </c>
      <c r="D6625" t="s">
        <v>266</v>
      </c>
      <c r="E6625" t="s">
        <v>25</v>
      </c>
      <c r="F6625" t="s">
        <v>493</v>
      </c>
      <c r="G6625" t="s">
        <v>1639</v>
      </c>
      <c r="H6625" s="9">
        <v>44733</v>
      </c>
      <c r="I6625" t="s">
        <v>8634</v>
      </c>
      <c r="J6625" t="s">
        <v>0</v>
      </c>
      <c r="K6625" s="9">
        <v>44862</v>
      </c>
      <c r="L6625" t="s">
        <v>29</v>
      </c>
      <c r="M6625"/>
      <c r="N6625"/>
      <c r="O6625"/>
      <c r="P6625"/>
      <c r="Q6625" s="9">
        <v>44862</v>
      </c>
      <c r="R6625"/>
      <c r="S6625"/>
      <c r="T6625"/>
      <c r="U6625"/>
    </row>
    <row r="6626" spans="1:21" hidden="1">
      <c r="A6626" s="7" t="s">
        <v>8893</v>
      </c>
      <c r="B6626" s="7" t="s">
        <v>5405</v>
      </c>
      <c r="C6626" s="8" t="s">
        <v>5319</v>
      </c>
      <c r="D6626" t="s">
        <v>266</v>
      </c>
      <c r="E6626" t="s">
        <v>25</v>
      </c>
      <c r="F6626" t="s">
        <v>209</v>
      </c>
      <c r="G6626" t="s">
        <v>3922</v>
      </c>
      <c r="H6626" s="9">
        <v>44733</v>
      </c>
      <c r="I6626" t="s">
        <v>8634</v>
      </c>
      <c r="J6626" t="s">
        <v>0</v>
      </c>
      <c r="K6626" s="9">
        <v>44858</v>
      </c>
      <c r="L6626" t="s">
        <v>29</v>
      </c>
      <c r="M6626"/>
      <c r="N6626"/>
      <c r="O6626"/>
      <c r="P6626"/>
      <c r="Q6626" s="9">
        <v>44858</v>
      </c>
      <c r="R6626"/>
      <c r="S6626"/>
      <c r="T6626"/>
      <c r="U6626"/>
    </row>
    <row r="6627" spans="1:21" hidden="1">
      <c r="A6627" s="7" t="s">
        <v>8893</v>
      </c>
      <c r="B6627" s="7" t="s">
        <v>5405</v>
      </c>
      <c r="C6627" s="8" t="s">
        <v>5319</v>
      </c>
      <c r="D6627" t="s">
        <v>266</v>
      </c>
      <c r="E6627" t="s">
        <v>25</v>
      </c>
      <c r="F6627" t="s">
        <v>209</v>
      </c>
      <c r="G6627" t="s">
        <v>3923</v>
      </c>
      <c r="H6627" s="9">
        <v>44733</v>
      </c>
      <c r="I6627" t="s">
        <v>8634</v>
      </c>
      <c r="J6627" t="s">
        <v>2</v>
      </c>
      <c r="K6627" s="9">
        <v>44834</v>
      </c>
      <c r="L6627" t="s">
        <v>29</v>
      </c>
      <c r="M6627" t="s">
        <v>5331</v>
      </c>
      <c r="N6627" s="9">
        <v>44778</v>
      </c>
      <c r="O6627" s="9">
        <v>44834</v>
      </c>
      <c r="P6627"/>
      <c r="Q6627"/>
      <c r="R6627"/>
      <c r="S6627"/>
      <c r="T6627"/>
      <c r="U6627"/>
    </row>
    <row r="6628" spans="1:21" hidden="1">
      <c r="A6628" s="7" t="s">
        <v>8758</v>
      </c>
      <c r="B6628" s="7" t="s">
        <v>5405</v>
      </c>
      <c r="C6628" s="8" t="s">
        <v>5319</v>
      </c>
      <c r="D6628" t="s">
        <v>266</v>
      </c>
      <c r="E6628" t="s">
        <v>25</v>
      </c>
      <c r="F6628" t="s">
        <v>493</v>
      </c>
      <c r="G6628" t="s">
        <v>3923</v>
      </c>
      <c r="H6628" s="9">
        <v>44733</v>
      </c>
      <c r="I6628" t="s">
        <v>8634</v>
      </c>
      <c r="J6628" t="s">
        <v>2</v>
      </c>
      <c r="K6628" s="9">
        <v>44834</v>
      </c>
      <c r="L6628" t="s">
        <v>29</v>
      </c>
      <c r="M6628" t="s">
        <v>5331</v>
      </c>
      <c r="N6628" s="9">
        <v>44778</v>
      </c>
      <c r="O6628" s="9">
        <v>44834</v>
      </c>
      <c r="P6628"/>
      <c r="Q6628"/>
      <c r="R6628"/>
      <c r="S6628"/>
      <c r="T6628"/>
      <c r="U6628"/>
    </row>
    <row r="6629" spans="1:21" hidden="1">
      <c r="A6629" s="7" t="s">
        <v>8893</v>
      </c>
      <c r="B6629" s="7" t="s">
        <v>5405</v>
      </c>
      <c r="C6629" s="8" t="s">
        <v>5319</v>
      </c>
      <c r="D6629" t="s">
        <v>266</v>
      </c>
      <c r="E6629" t="s">
        <v>25</v>
      </c>
      <c r="F6629" t="s">
        <v>209</v>
      </c>
      <c r="G6629" t="s">
        <v>3009</v>
      </c>
      <c r="H6629" s="9">
        <v>44733</v>
      </c>
      <c r="I6629" t="s">
        <v>8634</v>
      </c>
      <c r="J6629" t="s">
        <v>2</v>
      </c>
      <c r="K6629" s="9">
        <v>44834</v>
      </c>
      <c r="L6629" t="s">
        <v>29</v>
      </c>
      <c r="M6629" t="s">
        <v>5331</v>
      </c>
      <c r="N6629" s="9">
        <v>44778</v>
      </c>
      <c r="O6629" s="9">
        <v>44834</v>
      </c>
      <c r="P6629"/>
      <c r="Q6629"/>
      <c r="R6629"/>
      <c r="S6629"/>
      <c r="T6629"/>
      <c r="U6629"/>
    </row>
    <row r="6630" spans="1:21" hidden="1">
      <c r="A6630" s="7" t="s">
        <v>8758</v>
      </c>
      <c r="B6630" s="7" t="s">
        <v>5405</v>
      </c>
      <c r="C6630" s="8" t="s">
        <v>5319</v>
      </c>
      <c r="D6630" t="s">
        <v>266</v>
      </c>
      <c r="E6630" t="s">
        <v>25</v>
      </c>
      <c r="F6630" t="s">
        <v>493</v>
      </c>
      <c r="G6630" t="s">
        <v>3924</v>
      </c>
      <c r="H6630" s="9">
        <v>44733</v>
      </c>
      <c r="I6630" t="s">
        <v>8634</v>
      </c>
      <c r="J6630" t="s">
        <v>2</v>
      </c>
      <c r="K6630" s="9">
        <v>44834</v>
      </c>
      <c r="L6630" t="s">
        <v>29</v>
      </c>
      <c r="M6630" t="s">
        <v>5331</v>
      </c>
      <c r="N6630" s="9">
        <v>44778</v>
      </c>
      <c r="O6630" s="9">
        <v>44834</v>
      </c>
      <c r="P6630"/>
      <c r="Q6630"/>
      <c r="R6630"/>
      <c r="S6630"/>
      <c r="T6630"/>
      <c r="U6630"/>
    </row>
    <row r="6631" spans="1:21" hidden="1">
      <c r="A6631" s="7" t="s">
        <v>8758</v>
      </c>
      <c r="B6631" s="7" t="s">
        <v>5405</v>
      </c>
      <c r="C6631" s="8" t="s">
        <v>5319</v>
      </c>
      <c r="D6631" t="s">
        <v>266</v>
      </c>
      <c r="E6631" t="s">
        <v>25</v>
      </c>
      <c r="F6631" t="s">
        <v>493</v>
      </c>
      <c r="G6631" t="s">
        <v>631</v>
      </c>
      <c r="H6631" s="9">
        <v>44733</v>
      </c>
      <c r="I6631" t="s">
        <v>8634</v>
      </c>
      <c r="J6631" t="s">
        <v>2</v>
      </c>
      <c r="K6631" s="9">
        <v>44862</v>
      </c>
      <c r="L6631" t="s">
        <v>29</v>
      </c>
      <c r="M6631" t="s">
        <v>5331</v>
      </c>
      <c r="N6631"/>
      <c r="O6631"/>
      <c r="P6631"/>
      <c r="Q6631" s="9">
        <v>44862</v>
      </c>
      <c r="R6631"/>
      <c r="S6631"/>
      <c r="T6631"/>
      <c r="U6631"/>
    </row>
    <row r="6632" spans="1:21" hidden="1">
      <c r="A6632" s="7" t="s">
        <v>8758</v>
      </c>
      <c r="B6632" s="7" t="s">
        <v>5405</v>
      </c>
      <c r="C6632" s="8" t="s">
        <v>5319</v>
      </c>
      <c r="D6632" t="s">
        <v>266</v>
      </c>
      <c r="E6632" t="s">
        <v>25</v>
      </c>
      <c r="F6632" t="s">
        <v>493</v>
      </c>
      <c r="G6632" t="s">
        <v>3925</v>
      </c>
      <c r="H6632" s="9">
        <v>44733</v>
      </c>
      <c r="I6632" t="s">
        <v>8634</v>
      </c>
      <c r="J6632" t="s">
        <v>2</v>
      </c>
      <c r="K6632" s="9">
        <v>44862</v>
      </c>
      <c r="L6632" t="s">
        <v>29</v>
      </c>
      <c r="M6632" t="s">
        <v>5331</v>
      </c>
      <c r="N6632"/>
      <c r="O6632"/>
      <c r="P6632"/>
      <c r="Q6632" s="9">
        <v>44862</v>
      </c>
      <c r="R6632"/>
      <c r="S6632"/>
      <c r="T6632"/>
      <c r="U6632"/>
    </row>
    <row r="6633" spans="1:21" hidden="1">
      <c r="A6633" s="7" t="s">
        <v>8758</v>
      </c>
      <c r="B6633" s="7" t="s">
        <v>5405</v>
      </c>
      <c r="C6633" s="8" t="s">
        <v>5319</v>
      </c>
      <c r="D6633" t="s">
        <v>266</v>
      </c>
      <c r="E6633" t="s">
        <v>25</v>
      </c>
      <c r="F6633" t="s">
        <v>493</v>
      </c>
      <c r="G6633" t="s">
        <v>3926</v>
      </c>
      <c r="H6633" s="9">
        <v>44733</v>
      </c>
      <c r="I6633" t="s">
        <v>8634</v>
      </c>
      <c r="J6633" t="s">
        <v>2</v>
      </c>
      <c r="K6633" s="9">
        <v>44862</v>
      </c>
      <c r="L6633" t="s">
        <v>29</v>
      </c>
      <c r="M6633" t="s">
        <v>5331</v>
      </c>
      <c r="N6633"/>
      <c r="O6633"/>
      <c r="P6633"/>
      <c r="Q6633" s="9">
        <v>44862</v>
      </c>
      <c r="R6633"/>
      <c r="S6633"/>
      <c r="T6633"/>
      <c r="U6633"/>
    </row>
    <row r="6634" spans="1:21" hidden="1">
      <c r="A6634" s="7" t="s">
        <v>8758</v>
      </c>
      <c r="B6634" s="7" t="s">
        <v>5405</v>
      </c>
      <c r="C6634" s="8" t="s">
        <v>5319</v>
      </c>
      <c r="D6634" t="s">
        <v>266</v>
      </c>
      <c r="E6634" t="s">
        <v>25</v>
      </c>
      <c r="F6634" t="s">
        <v>493</v>
      </c>
      <c r="G6634" t="s">
        <v>3927</v>
      </c>
      <c r="H6634" s="9">
        <v>44733</v>
      </c>
      <c r="I6634" t="s">
        <v>8634</v>
      </c>
      <c r="J6634" t="s">
        <v>2</v>
      </c>
      <c r="K6634" s="9">
        <v>44862</v>
      </c>
      <c r="L6634" t="s">
        <v>29</v>
      </c>
      <c r="M6634" t="s">
        <v>5331</v>
      </c>
      <c r="N6634"/>
      <c r="O6634"/>
      <c r="P6634"/>
      <c r="Q6634" s="9">
        <v>44862</v>
      </c>
      <c r="R6634"/>
      <c r="S6634"/>
      <c r="T6634"/>
      <c r="U6634"/>
    </row>
    <row r="6635" spans="1:21" hidden="1">
      <c r="A6635" s="7" t="s">
        <v>8758</v>
      </c>
      <c r="B6635" s="7" t="s">
        <v>5405</v>
      </c>
      <c r="C6635" s="8" t="s">
        <v>5319</v>
      </c>
      <c r="D6635" t="s">
        <v>266</v>
      </c>
      <c r="E6635" t="s">
        <v>25</v>
      </c>
      <c r="F6635" t="s">
        <v>493</v>
      </c>
      <c r="G6635" t="s">
        <v>3928</v>
      </c>
      <c r="H6635" s="9">
        <v>44733</v>
      </c>
      <c r="I6635" t="s">
        <v>8634</v>
      </c>
      <c r="J6635" t="s">
        <v>2</v>
      </c>
      <c r="K6635" s="9">
        <v>44862</v>
      </c>
      <c r="L6635" t="s">
        <v>29</v>
      </c>
      <c r="M6635" t="s">
        <v>5331</v>
      </c>
      <c r="N6635"/>
      <c r="O6635"/>
      <c r="P6635"/>
      <c r="Q6635" s="9">
        <v>44862</v>
      </c>
      <c r="R6635"/>
      <c r="S6635"/>
      <c r="T6635"/>
      <c r="U6635"/>
    </row>
    <row r="6636" spans="1:21" hidden="1">
      <c r="A6636" s="7" t="s">
        <v>8758</v>
      </c>
      <c r="B6636" s="7" t="s">
        <v>5405</v>
      </c>
      <c r="C6636" s="8" t="s">
        <v>5319</v>
      </c>
      <c r="D6636" t="s">
        <v>266</v>
      </c>
      <c r="E6636" t="s">
        <v>25</v>
      </c>
      <c r="F6636" t="s">
        <v>493</v>
      </c>
      <c r="G6636" t="s">
        <v>3929</v>
      </c>
      <c r="H6636" s="9">
        <v>44733</v>
      </c>
      <c r="I6636" t="s">
        <v>8634</v>
      </c>
      <c r="J6636" t="s">
        <v>2</v>
      </c>
      <c r="K6636" s="9">
        <v>44862</v>
      </c>
      <c r="L6636" t="s">
        <v>29</v>
      </c>
      <c r="M6636" t="s">
        <v>5331</v>
      </c>
      <c r="N6636"/>
      <c r="O6636"/>
      <c r="P6636"/>
      <c r="Q6636" s="9">
        <v>44862</v>
      </c>
      <c r="R6636"/>
      <c r="S6636"/>
      <c r="T6636"/>
      <c r="U6636"/>
    </row>
    <row r="6637" spans="1:21" hidden="1">
      <c r="A6637" s="7" t="s">
        <v>8758</v>
      </c>
      <c r="B6637" s="7" t="s">
        <v>5405</v>
      </c>
      <c r="C6637" s="8" t="s">
        <v>5319</v>
      </c>
      <c r="D6637" t="s">
        <v>266</v>
      </c>
      <c r="E6637" t="s">
        <v>25</v>
      </c>
      <c r="F6637" t="s">
        <v>493</v>
      </c>
      <c r="G6637" t="s">
        <v>3930</v>
      </c>
      <c r="H6637" s="9">
        <v>44733</v>
      </c>
      <c r="I6637" t="s">
        <v>8634</v>
      </c>
      <c r="J6637" t="s">
        <v>2</v>
      </c>
      <c r="K6637" s="9">
        <v>44834</v>
      </c>
      <c r="L6637" t="s">
        <v>29</v>
      </c>
      <c r="M6637" t="s">
        <v>5331</v>
      </c>
      <c r="N6637" s="9">
        <v>44778</v>
      </c>
      <c r="O6637" s="9">
        <v>44834</v>
      </c>
      <c r="P6637"/>
      <c r="Q6637"/>
      <c r="R6637"/>
      <c r="S6637"/>
      <c r="T6637"/>
      <c r="U6637"/>
    </row>
    <row r="6638" spans="1:21" hidden="1">
      <c r="A6638" s="7" t="s">
        <v>8758</v>
      </c>
      <c r="B6638" s="7" t="s">
        <v>5405</v>
      </c>
      <c r="C6638" s="8" t="s">
        <v>5319</v>
      </c>
      <c r="D6638" t="s">
        <v>266</v>
      </c>
      <c r="E6638" t="s">
        <v>25</v>
      </c>
      <c r="F6638" t="s">
        <v>493</v>
      </c>
      <c r="G6638" t="s">
        <v>3931</v>
      </c>
      <c r="H6638" s="9">
        <v>44733</v>
      </c>
      <c r="I6638" t="s">
        <v>8634</v>
      </c>
      <c r="J6638" t="s">
        <v>2</v>
      </c>
      <c r="K6638" s="9">
        <v>44834</v>
      </c>
      <c r="L6638" t="s">
        <v>29</v>
      </c>
      <c r="M6638" t="s">
        <v>5331</v>
      </c>
      <c r="N6638" s="9">
        <v>44778</v>
      </c>
      <c r="O6638" s="9">
        <v>44834</v>
      </c>
      <c r="P6638"/>
      <c r="Q6638"/>
      <c r="R6638"/>
      <c r="S6638"/>
      <c r="T6638"/>
      <c r="U6638"/>
    </row>
    <row r="6639" spans="1:21" hidden="1">
      <c r="A6639" s="7" t="s">
        <v>8758</v>
      </c>
      <c r="B6639" s="7" t="s">
        <v>5405</v>
      </c>
      <c r="C6639" s="8" t="s">
        <v>5319</v>
      </c>
      <c r="D6639" t="s">
        <v>266</v>
      </c>
      <c r="E6639" t="s">
        <v>25</v>
      </c>
      <c r="F6639" t="s">
        <v>493</v>
      </c>
      <c r="G6639" t="s">
        <v>3011</v>
      </c>
      <c r="H6639" s="9">
        <v>44733</v>
      </c>
      <c r="I6639" t="s">
        <v>8634</v>
      </c>
      <c r="J6639" t="s">
        <v>0</v>
      </c>
      <c r="K6639" s="9">
        <v>44862</v>
      </c>
      <c r="L6639" t="s">
        <v>29</v>
      </c>
      <c r="M6639"/>
      <c r="N6639"/>
      <c r="O6639"/>
      <c r="P6639"/>
      <c r="Q6639" s="9">
        <v>44862</v>
      </c>
      <c r="R6639"/>
      <c r="S6639"/>
      <c r="T6639"/>
      <c r="U6639"/>
    </row>
    <row r="6640" spans="1:21" hidden="1">
      <c r="A6640" s="7" t="s">
        <v>8758</v>
      </c>
      <c r="B6640" s="7" t="s">
        <v>5405</v>
      </c>
      <c r="C6640" s="8" t="s">
        <v>5319</v>
      </c>
      <c r="D6640" t="s">
        <v>266</v>
      </c>
      <c r="E6640" t="s">
        <v>25</v>
      </c>
      <c r="F6640" t="s">
        <v>493</v>
      </c>
      <c r="G6640" t="s">
        <v>3932</v>
      </c>
      <c r="H6640" s="9">
        <v>44733</v>
      </c>
      <c r="I6640" t="s">
        <v>8634</v>
      </c>
      <c r="J6640" t="s">
        <v>2</v>
      </c>
      <c r="K6640" s="9">
        <v>44834</v>
      </c>
      <c r="L6640" t="s">
        <v>29</v>
      </c>
      <c r="M6640" t="s">
        <v>5331</v>
      </c>
      <c r="N6640" s="9">
        <v>44778</v>
      </c>
      <c r="O6640" s="9">
        <v>44834</v>
      </c>
      <c r="P6640"/>
      <c r="Q6640"/>
      <c r="R6640"/>
      <c r="S6640"/>
      <c r="T6640"/>
      <c r="U6640"/>
    </row>
    <row r="6641" spans="1:21" hidden="1">
      <c r="A6641" s="7" t="s">
        <v>8758</v>
      </c>
      <c r="B6641" s="7" t="s">
        <v>5405</v>
      </c>
      <c r="C6641" s="8" t="s">
        <v>5319</v>
      </c>
      <c r="D6641" t="s">
        <v>266</v>
      </c>
      <c r="E6641" t="s">
        <v>25</v>
      </c>
      <c r="F6641" t="s">
        <v>493</v>
      </c>
      <c r="G6641" t="s">
        <v>3933</v>
      </c>
      <c r="H6641" s="9">
        <v>44733</v>
      </c>
      <c r="I6641" t="s">
        <v>8634</v>
      </c>
      <c r="J6641" t="s">
        <v>0</v>
      </c>
      <c r="K6641" s="9">
        <v>44862</v>
      </c>
      <c r="L6641" t="s">
        <v>29</v>
      </c>
      <c r="M6641"/>
      <c r="N6641"/>
      <c r="O6641"/>
      <c r="P6641"/>
      <c r="Q6641" s="9">
        <v>44862</v>
      </c>
      <c r="R6641"/>
      <c r="S6641"/>
      <c r="T6641"/>
      <c r="U6641"/>
    </row>
    <row r="6642" spans="1:21" hidden="1">
      <c r="A6642" s="7" t="s">
        <v>8893</v>
      </c>
      <c r="B6642" s="7" t="s">
        <v>5405</v>
      </c>
      <c r="C6642" s="8" t="s">
        <v>5319</v>
      </c>
      <c r="D6642" t="s">
        <v>266</v>
      </c>
      <c r="E6642" t="s">
        <v>25</v>
      </c>
      <c r="F6642" t="s">
        <v>209</v>
      </c>
      <c r="G6642" t="s">
        <v>3934</v>
      </c>
      <c r="H6642" s="9">
        <v>44733</v>
      </c>
      <c r="I6642" t="s">
        <v>8634</v>
      </c>
      <c r="J6642" t="s">
        <v>0</v>
      </c>
      <c r="K6642" s="9">
        <v>44858</v>
      </c>
      <c r="L6642" t="s">
        <v>29</v>
      </c>
      <c r="M6642"/>
      <c r="N6642"/>
      <c r="O6642"/>
      <c r="P6642"/>
      <c r="Q6642" s="9">
        <v>44858</v>
      </c>
      <c r="R6642"/>
      <c r="S6642"/>
      <c r="T6642"/>
      <c r="U6642"/>
    </row>
    <row r="6643" spans="1:21" hidden="1">
      <c r="A6643" s="7" t="s">
        <v>8758</v>
      </c>
      <c r="B6643" s="7" t="s">
        <v>5405</v>
      </c>
      <c r="C6643" s="8" t="s">
        <v>5319</v>
      </c>
      <c r="D6643" t="s">
        <v>266</v>
      </c>
      <c r="E6643" t="s">
        <v>25</v>
      </c>
      <c r="F6643" t="s">
        <v>493</v>
      </c>
      <c r="G6643" t="s">
        <v>3014</v>
      </c>
      <c r="H6643" s="9">
        <v>44733</v>
      </c>
      <c r="I6643" t="s">
        <v>8634</v>
      </c>
      <c r="J6643" t="s">
        <v>0</v>
      </c>
      <c r="K6643" s="9">
        <v>44862</v>
      </c>
      <c r="L6643" t="s">
        <v>29</v>
      </c>
      <c r="M6643"/>
      <c r="N6643"/>
      <c r="O6643"/>
      <c r="P6643"/>
      <c r="Q6643" s="9">
        <v>44862</v>
      </c>
      <c r="R6643"/>
      <c r="S6643"/>
      <c r="T6643"/>
      <c r="U6643"/>
    </row>
    <row r="6644" spans="1:21" hidden="1">
      <c r="A6644" s="7" t="s">
        <v>8758</v>
      </c>
      <c r="B6644" s="7" t="s">
        <v>5405</v>
      </c>
      <c r="C6644" s="8" t="s">
        <v>5319</v>
      </c>
      <c r="D6644" t="s">
        <v>266</v>
      </c>
      <c r="E6644" t="s">
        <v>25</v>
      </c>
      <c r="F6644" t="s">
        <v>493</v>
      </c>
      <c r="G6644" t="s">
        <v>3935</v>
      </c>
      <c r="H6644" s="9">
        <v>44733</v>
      </c>
      <c r="I6644" t="s">
        <v>8634</v>
      </c>
      <c r="J6644" t="s">
        <v>0</v>
      </c>
      <c r="K6644" s="9">
        <v>44862</v>
      </c>
      <c r="L6644" t="s">
        <v>29</v>
      </c>
      <c r="M6644"/>
      <c r="N6644"/>
      <c r="O6644"/>
      <c r="P6644"/>
      <c r="Q6644" s="9">
        <v>44862</v>
      </c>
      <c r="R6644"/>
      <c r="S6644"/>
      <c r="T6644"/>
      <c r="U6644"/>
    </row>
    <row r="6645" spans="1:21" hidden="1">
      <c r="A6645" s="7" t="s">
        <v>8758</v>
      </c>
      <c r="B6645" s="7" t="s">
        <v>5405</v>
      </c>
      <c r="C6645" s="8" t="s">
        <v>5319</v>
      </c>
      <c r="D6645" t="s">
        <v>266</v>
      </c>
      <c r="E6645" t="s">
        <v>25</v>
      </c>
      <c r="F6645" t="s">
        <v>493</v>
      </c>
      <c r="G6645" t="s">
        <v>3936</v>
      </c>
      <c r="H6645" s="9">
        <v>44733</v>
      </c>
      <c r="I6645" t="s">
        <v>8634</v>
      </c>
      <c r="J6645" t="s">
        <v>0</v>
      </c>
      <c r="K6645" s="9">
        <v>44862</v>
      </c>
      <c r="L6645" t="s">
        <v>29</v>
      </c>
      <c r="M6645"/>
      <c r="N6645"/>
      <c r="O6645"/>
      <c r="P6645"/>
      <c r="Q6645" s="9">
        <v>44862</v>
      </c>
      <c r="R6645"/>
      <c r="S6645"/>
      <c r="T6645"/>
      <c r="U6645"/>
    </row>
    <row r="6646" spans="1:21" hidden="1">
      <c r="A6646" s="7" t="s">
        <v>8758</v>
      </c>
      <c r="B6646" s="7" t="s">
        <v>5405</v>
      </c>
      <c r="C6646" s="8" t="s">
        <v>5319</v>
      </c>
      <c r="D6646" t="s">
        <v>266</v>
      </c>
      <c r="E6646" t="s">
        <v>25</v>
      </c>
      <c r="F6646" t="s">
        <v>493</v>
      </c>
      <c r="G6646" t="s">
        <v>3937</v>
      </c>
      <c r="H6646" s="9">
        <v>44733</v>
      </c>
      <c r="I6646" t="s">
        <v>8634</v>
      </c>
      <c r="J6646" t="s">
        <v>0</v>
      </c>
      <c r="K6646" s="9">
        <v>44862</v>
      </c>
      <c r="L6646" t="s">
        <v>29</v>
      </c>
      <c r="M6646"/>
      <c r="N6646"/>
      <c r="O6646"/>
      <c r="P6646"/>
      <c r="Q6646" s="9">
        <v>44862</v>
      </c>
      <c r="R6646"/>
      <c r="S6646"/>
      <c r="T6646"/>
      <c r="U6646"/>
    </row>
    <row r="6647" spans="1:21" hidden="1">
      <c r="A6647" s="7" t="s">
        <v>8825</v>
      </c>
      <c r="B6647" s="7" t="s">
        <v>5405</v>
      </c>
      <c r="C6647" s="8" t="s">
        <v>5319</v>
      </c>
      <c r="D6647" t="s">
        <v>266</v>
      </c>
      <c r="E6647" t="s">
        <v>25</v>
      </c>
      <c r="F6647" t="s">
        <v>111</v>
      </c>
      <c r="G6647" t="s">
        <v>3938</v>
      </c>
      <c r="H6647" s="9">
        <v>44733</v>
      </c>
      <c r="I6647" t="s">
        <v>8634</v>
      </c>
      <c r="J6647" t="s">
        <v>0</v>
      </c>
      <c r="K6647" s="9">
        <v>44881</v>
      </c>
      <c r="L6647" t="s">
        <v>29</v>
      </c>
      <c r="M6647"/>
      <c r="N6647"/>
      <c r="O6647"/>
      <c r="P6647"/>
      <c r="Q6647" s="9">
        <v>44881</v>
      </c>
      <c r="R6647"/>
      <c r="S6647"/>
      <c r="T6647"/>
      <c r="U6647"/>
    </row>
    <row r="6648" spans="1:21" hidden="1">
      <c r="A6648" s="7" t="s">
        <v>8758</v>
      </c>
      <c r="B6648" s="7" t="s">
        <v>5405</v>
      </c>
      <c r="C6648" s="8" t="s">
        <v>5319</v>
      </c>
      <c r="D6648" t="s">
        <v>266</v>
      </c>
      <c r="E6648" t="s">
        <v>25</v>
      </c>
      <c r="F6648" t="s">
        <v>493</v>
      </c>
      <c r="G6648" t="s">
        <v>3939</v>
      </c>
      <c r="H6648" s="9">
        <v>44733</v>
      </c>
      <c r="I6648" t="s">
        <v>8634</v>
      </c>
      <c r="J6648" t="s">
        <v>2</v>
      </c>
      <c r="K6648" s="9">
        <v>44834</v>
      </c>
      <c r="L6648" t="s">
        <v>29</v>
      </c>
      <c r="M6648" t="s">
        <v>5331</v>
      </c>
      <c r="N6648" s="9">
        <v>44778</v>
      </c>
      <c r="O6648" s="9">
        <v>44834</v>
      </c>
      <c r="P6648"/>
      <c r="Q6648"/>
      <c r="R6648"/>
      <c r="S6648"/>
      <c r="T6648"/>
      <c r="U6648"/>
    </row>
    <row r="6649" spans="1:21" hidden="1">
      <c r="A6649" s="7" t="s">
        <v>8758</v>
      </c>
      <c r="B6649" s="7" t="s">
        <v>5405</v>
      </c>
      <c r="C6649" s="8" t="s">
        <v>5319</v>
      </c>
      <c r="D6649" t="s">
        <v>266</v>
      </c>
      <c r="E6649" t="s">
        <v>25</v>
      </c>
      <c r="F6649" t="s">
        <v>493</v>
      </c>
      <c r="G6649" t="s">
        <v>3016</v>
      </c>
      <c r="H6649" s="9">
        <v>44733</v>
      </c>
      <c r="I6649" t="s">
        <v>8634</v>
      </c>
      <c r="J6649" t="s">
        <v>0</v>
      </c>
      <c r="K6649" s="9">
        <v>44862</v>
      </c>
      <c r="L6649" t="s">
        <v>29</v>
      </c>
      <c r="M6649"/>
      <c r="N6649"/>
      <c r="O6649"/>
      <c r="P6649"/>
      <c r="Q6649" s="9">
        <v>44862</v>
      </c>
      <c r="R6649"/>
      <c r="S6649"/>
      <c r="T6649"/>
      <c r="U6649"/>
    </row>
    <row r="6650" spans="1:21" hidden="1">
      <c r="A6650" s="7" t="s">
        <v>8758</v>
      </c>
      <c r="B6650" s="7" t="s">
        <v>5405</v>
      </c>
      <c r="C6650" s="8" t="s">
        <v>5319</v>
      </c>
      <c r="D6650" t="s">
        <v>266</v>
      </c>
      <c r="E6650" t="s">
        <v>25</v>
      </c>
      <c r="F6650" t="s">
        <v>493</v>
      </c>
      <c r="G6650" t="s">
        <v>3017</v>
      </c>
      <c r="H6650" s="9">
        <v>44733</v>
      </c>
      <c r="I6650" t="s">
        <v>8634</v>
      </c>
      <c r="J6650" t="s">
        <v>0</v>
      </c>
      <c r="K6650" s="9">
        <v>44862</v>
      </c>
      <c r="L6650" t="s">
        <v>29</v>
      </c>
      <c r="M6650"/>
      <c r="N6650"/>
      <c r="O6650"/>
      <c r="P6650"/>
      <c r="Q6650" s="9">
        <v>44862</v>
      </c>
      <c r="R6650"/>
      <c r="S6650"/>
      <c r="T6650"/>
      <c r="U6650"/>
    </row>
    <row r="6651" spans="1:21" hidden="1">
      <c r="A6651" s="7" t="s">
        <v>8825</v>
      </c>
      <c r="B6651" s="7" t="s">
        <v>5405</v>
      </c>
      <c r="C6651" s="8" t="s">
        <v>5319</v>
      </c>
      <c r="D6651" t="s">
        <v>266</v>
      </c>
      <c r="E6651" t="s">
        <v>25</v>
      </c>
      <c r="F6651" t="s">
        <v>111</v>
      </c>
      <c r="G6651" t="s">
        <v>3018</v>
      </c>
      <c r="H6651" s="9">
        <v>44733</v>
      </c>
      <c r="I6651" t="s">
        <v>8634</v>
      </c>
      <c r="J6651" t="s">
        <v>0</v>
      </c>
      <c r="K6651" s="9">
        <v>44881</v>
      </c>
      <c r="L6651" t="s">
        <v>29</v>
      </c>
      <c r="M6651"/>
      <c r="N6651"/>
      <c r="O6651"/>
      <c r="P6651"/>
      <c r="Q6651" s="9">
        <v>44881</v>
      </c>
      <c r="R6651"/>
      <c r="S6651"/>
      <c r="T6651"/>
      <c r="U6651"/>
    </row>
    <row r="6652" spans="1:21" hidden="1">
      <c r="A6652" s="7" t="s">
        <v>8893</v>
      </c>
      <c r="B6652" s="7" t="s">
        <v>5405</v>
      </c>
      <c r="C6652" s="8" t="s">
        <v>5319</v>
      </c>
      <c r="D6652" t="s">
        <v>266</v>
      </c>
      <c r="E6652" t="s">
        <v>25</v>
      </c>
      <c r="F6652" t="s">
        <v>209</v>
      </c>
      <c r="G6652" t="s">
        <v>3940</v>
      </c>
      <c r="H6652" s="9">
        <v>44733</v>
      </c>
      <c r="I6652" t="s">
        <v>8634</v>
      </c>
      <c r="J6652" t="s">
        <v>0</v>
      </c>
      <c r="K6652" s="9">
        <v>44858</v>
      </c>
      <c r="L6652" t="s">
        <v>29</v>
      </c>
      <c r="M6652"/>
      <c r="N6652"/>
      <c r="O6652"/>
      <c r="P6652"/>
      <c r="Q6652" s="9">
        <v>44858</v>
      </c>
      <c r="R6652"/>
      <c r="S6652"/>
      <c r="T6652"/>
      <c r="U6652"/>
    </row>
    <row r="6653" spans="1:21" hidden="1">
      <c r="A6653" s="7" t="s">
        <v>8758</v>
      </c>
      <c r="B6653" s="7" t="s">
        <v>5405</v>
      </c>
      <c r="C6653" s="8" t="s">
        <v>5319</v>
      </c>
      <c r="D6653" t="s">
        <v>266</v>
      </c>
      <c r="E6653" t="s">
        <v>25</v>
      </c>
      <c r="F6653" t="s">
        <v>493</v>
      </c>
      <c r="G6653" t="s">
        <v>3941</v>
      </c>
      <c r="H6653" s="9">
        <v>44733</v>
      </c>
      <c r="I6653" t="s">
        <v>8634</v>
      </c>
      <c r="J6653" t="s">
        <v>0</v>
      </c>
      <c r="K6653" s="9">
        <v>44862</v>
      </c>
      <c r="L6653" t="s">
        <v>29</v>
      </c>
      <c r="M6653"/>
      <c r="N6653"/>
      <c r="O6653"/>
      <c r="P6653"/>
      <c r="Q6653" s="9">
        <v>44862</v>
      </c>
      <c r="R6653"/>
      <c r="S6653"/>
      <c r="T6653"/>
      <c r="U6653"/>
    </row>
    <row r="6654" spans="1:21" hidden="1">
      <c r="A6654" s="7" t="s">
        <v>8754</v>
      </c>
      <c r="B6654" s="7" t="s">
        <v>8066</v>
      </c>
      <c r="C6654" s="8" t="s">
        <v>5319</v>
      </c>
      <c r="D6654" t="s">
        <v>266</v>
      </c>
      <c r="E6654" t="s">
        <v>472</v>
      </c>
      <c r="F6654" t="s">
        <v>117</v>
      </c>
      <c r="G6654" t="s">
        <v>673</v>
      </c>
      <c r="H6654" s="9">
        <v>44733</v>
      </c>
      <c r="I6654" t="s">
        <v>171</v>
      </c>
      <c r="J6654" t="s">
        <v>0</v>
      </c>
      <c r="K6654" s="9">
        <v>44860</v>
      </c>
      <c r="L6654" t="s">
        <v>29</v>
      </c>
      <c r="M6654"/>
      <c r="N6654" s="9">
        <v>44778</v>
      </c>
      <c r="O6654" s="9">
        <v>44834</v>
      </c>
      <c r="P6654"/>
      <c r="Q6654" s="9">
        <v>44860</v>
      </c>
      <c r="R6654"/>
      <c r="S6654"/>
      <c r="T6654"/>
      <c r="U6654"/>
    </row>
    <row r="6655" spans="1:21" hidden="1">
      <c r="A6655" s="7" t="s">
        <v>8754</v>
      </c>
      <c r="B6655" s="7" t="s">
        <v>8066</v>
      </c>
      <c r="C6655" s="8" t="s">
        <v>5319</v>
      </c>
      <c r="D6655" t="s">
        <v>266</v>
      </c>
      <c r="E6655" t="s">
        <v>472</v>
      </c>
      <c r="F6655" t="s">
        <v>117</v>
      </c>
      <c r="G6655" t="s">
        <v>675</v>
      </c>
      <c r="H6655" s="9">
        <v>44733</v>
      </c>
      <c r="I6655" t="s">
        <v>171</v>
      </c>
      <c r="J6655" t="s">
        <v>0</v>
      </c>
      <c r="K6655" s="9">
        <v>44860</v>
      </c>
      <c r="L6655" t="s">
        <v>29</v>
      </c>
      <c r="M6655"/>
      <c r="N6655" s="9">
        <v>44778</v>
      </c>
      <c r="O6655" s="9">
        <v>44834</v>
      </c>
      <c r="P6655"/>
      <c r="Q6655" s="9">
        <v>44860</v>
      </c>
      <c r="R6655"/>
      <c r="S6655"/>
      <c r="T6655"/>
      <c r="U6655"/>
    </row>
    <row r="6656" spans="1:21" hidden="1">
      <c r="A6656" s="7" t="s">
        <v>8754</v>
      </c>
      <c r="B6656" s="7" t="s">
        <v>8066</v>
      </c>
      <c r="C6656" s="8" t="s">
        <v>5319</v>
      </c>
      <c r="D6656" t="s">
        <v>266</v>
      </c>
      <c r="E6656" t="s">
        <v>472</v>
      </c>
      <c r="F6656" t="s">
        <v>117</v>
      </c>
      <c r="G6656" t="s">
        <v>676</v>
      </c>
      <c r="H6656" s="9">
        <v>44733</v>
      </c>
      <c r="I6656" t="s">
        <v>171</v>
      </c>
      <c r="J6656" t="s">
        <v>0</v>
      </c>
      <c r="K6656" s="9">
        <v>44860</v>
      </c>
      <c r="L6656" t="s">
        <v>29</v>
      </c>
      <c r="M6656"/>
      <c r="N6656" s="9">
        <v>44778</v>
      </c>
      <c r="O6656" s="9">
        <v>44834</v>
      </c>
      <c r="P6656"/>
      <c r="Q6656" s="9">
        <v>44860</v>
      </c>
      <c r="R6656"/>
      <c r="S6656"/>
      <c r="T6656"/>
      <c r="U6656"/>
    </row>
    <row r="6657" spans="1:21" hidden="1">
      <c r="A6657" s="7" t="s">
        <v>8754</v>
      </c>
      <c r="B6657" s="7" t="s">
        <v>8066</v>
      </c>
      <c r="C6657" s="8" t="s">
        <v>5319</v>
      </c>
      <c r="D6657" t="s">
        <v>266</v>
      </c>
      <c r="E6657" t="s">
        <v>472</v>
      </c>
      <c r="F6657" t="s">
        <v>117</v>
      </c>
      <c r="G6657" t="s">
        <v>677</v>
      </c>
      <c r="H6657" s="9">
        <v>44733</v>
      </c>
      <c r="I6657" t="s">
        <v>171</v>
      </c>
      <c r="J6657" t="s">
        <v>0</v>
      </c>
      <c r="K6657" s="9">
        <v>44860</v>
      </c>
      <c r="L6657" t="s">
        <v>29</v>
      </c>
      <c r="M6657"/>
      <c r="N6657" s="9">
        <v>44778</v>
      </c>
      <c r="O6657" s="9">
        <v>44834</v>
      </c>
      <c r="P6657"/>
      <c r="Q6657" s="9">
        <v>44860</v>
      </c>
      <c r="R6657"/>
      <c r="S6657"/>
      <c r="T6657"/>
      <c r="U6657"/>
    </row>
    <row r="6658" spans="1:21" hidden="1">
      <c r="A6658" s="7" t="s">
        <v>8758</v>
      </c>
      <c r="B6658" s="7" t="s">
        <v>5405</v>
      </c>
      <c r="C6658" s="8" t="s">
        <v>5319</v>
      </c>
      <c r="D6658" t="s">
        <v>266</v>
      </c>
      <c r="E6658" t="s">
        <v>25</v>
      </c>
      <c r="F6658" t="s">
        <v>493</v>
      </c>
      <c r="G6658" t="s">
        <v>3039</v>
      </c>
      <c r="H6658" s="9">
        <v>44733</v>
      </c>
      <c r="I6658" t="s">
        <v>8634</v>
      </c>
      <c r="J6658" t="s">
        <v>0</v>
      </c>
      <c r="K6658" s="9">
        <v>44862</v>
      </c>
      <c r="L6658" t="s">
        <v>29</v>
      </c>
      <c r="M6658"/>
      <c r="N6658"/>
      <c r="O6658"/>
      <c r="P6658"/>
      <c r="Q6658" s="9">
        <v>44862</v>
      </c>
      <c r="R6658"/>
      <c r="S6658"/>
      <c r="T6658"/>
      <c r="U6658"/>
    </row>
    <row r="6659" spans="1:21" hidden="1">
      <c r="A6659" s="7" t="s">
        <v>8758</v>
      </c>
      <c r="B6659" s="7" t="s">
        <v>5405</v>
      </c>
      <c r="C6659" s="8" t="s">
        <v>5319</v>
      </c>
      <c r="D6659" t="s">
        <v>266</v>
      </c>
      <c r="E6659" t="s">
        <v>25</v>
      </c>
      <c r="F6659" t="s">
        <v>493</v>
      </c>
      <c r="G6659" t="s">
        <v>3043</v>
      </c>
      <c r="H6659" s="9">
        <v>44733</v>
      </c>
      <c r="I6659" t="s">
        <v>8634</v>
      </c>
      <c r="J6659" t="s">
        <v>2</v>
      </c>
      <c r="K6659" s="9">
        <v>44834</v>
      </c>
      <c r="L6659" t="s">
        <v>29</v>
      </c>
      <c r="M6659" t="s">
        <v>5331</v>
      </c>
      <c r="N6659" s="9">
        <v>44778</v>
      </c>
      <c r="O6659" s="9">
        <v>44834</v>
      </c>
      <c r="P6659"/>
      <c r="Q6659"/>
      <c r="R6659"/>
      <c r="S6659"/>
      <c r="T6659"/>
      <c r="U6659"/>
    </row>
    <row r="6660" spans="1:21" hidden="1">
      <c r="A6660" s="7" t="s">
        <v>8758</v>
      </c>
      <c r="B6660" s="7" t="s">
        <v>5405</v>
      </c>
      <c r="C6660" s="8" t="s">
        <v>5319</v>
      </c>
      <c r="D6660" t="s">
        <v>266</v>
      </c>
      <c r="E6660" t="s">
        <v>25</v>
      </c>
      <c r="F6660" t="s">
        <v>493</v>
      </c>
      <c r="G6660" t="s">
        <v>3044</v>
      </c>
      <c r="H6660" s="9">
        <v>44733</v>
      </c>
      <c r="I6660" t="s">
        <v>8634</v>
      </c>
      <c r="J6660" t="s">
        <v>0</v>
      </c>
      <c r="K6660" s="9">
        <v>44862</v>
      </c>
      <c r="L6660" t="s">
        <v>29</v>
      </c>
      <c r="M6660"/>
      <c r="N6660"/>
      <c r="O6660"/>
      <c r="P6660"/>
      <c r="Q6660" s="9">
        <v>44862</v>
      </c>
      <c r="R6660"/>
      <c r="S6660"/>
      <c r="T6660"/>
      <c r="U6660"/>
    </row>
    <row r="6661" spans="1:21" hidden="1">
      <c r="A6661" s="7" t="s">
        <v>8758</v>
      </c>
      <c r="B6661" s="7" t="s">
        <v>5405</v>
      </c>
      <c r="C6661" s="8" t="s">
        <v>5319</v>
      </c>
      <c r="D6661" t="s">
        <v>266</v>
      </c>
      <c r="E6661" t="s">
        <v>25</v>
      </c>
      <c r="F6661" t="s">
        <v>493</v>
      </c>
      <c r="G6661" t="s">
        <v>3045</v>
      </c>
      <c r="H6661" s="9">
        <v>44733</v>
      </c>
      <c r="I6661" t="s">
        <v>8634</v>
      </c>
      <c r="J6661" t="s">
        <v>0</v>
      </c>
      <c r="K6661" s="9">
        <v>44862</v>
      </c>
      <c r="L6661" t="s">
        <v>29</v>
      </c>
      <c r="M6661"/>
      <c r="N6661"/>
      <c r="O6661"/>
      <c r="P6661"/>
      <c r="Q6661" s="9">
        <v>44862</v>
      </c>
      <c r="R6661"/>
      <c r="S6661"/>
      <c r="T6661"/>
      <c r="U6661"/>
    </row>
    <row r="6662" spans="1:21" hidden="1">
      <c r="A6662" s="7" t="s">
        <v>8758</v>
      </c>
      <c r="B6662" s="7" t="s">
        <v>5405</v>
      </c>
      <c r="C6662" s="8" t="s">
        <v>5319</v>
      </c>
      <c r="D6662" t="s">
        <v>266</v>
      </c>
      <c r="E6662" t="s">
        <v>25</v>
      </c>
      <c r="F6662" t="s">
        <v>493</v>
      </c>
      <c r="G6662" t="s">
        <v>3046</v>
      </c>
      <c r="H6662" s="9">
        <v>44733</v>
      </c>
      <c r="I6662" t="s">
        <v>8634</v>
      </c>
      <c r="J6662" t="s">
        <v>0</v>
      </c>
      <c r="K6662" s="9">
        <v>44862</v>
      </c>
      <c r="L6662" t="s">
        <v>29</v>
      </c>
      <c r="M6662"/>
      <c r="N6662"/>
      <c r="O6662"/>
      <c r="P6662"/>
      <c r="Q6662" s="9">
        <v>44862</v>
      </c>
      <c r="R6662"/>
      <c r="S6662"/>
      <c r="T6662"/>
      <c r="U6662"/>
    </row>
    <row r="6663" spans="1:21" hidden="1">
      <c r="A6663" s="7" t="s">
        <v>8758</v>
      </c>
      <c r="B6663" s="7" t="s">
        <v>5405</v>
      </c>
      <c r="C6663" s="8" t="s">
        <v>5319</v>
      </c>
      <c r="D6663" t="s">
        <v>266</v>
      </c>
      <c r="E6663" t="s">
        <v>25</v>
      </c>
      <c r="F6663" t="s">
        <v>493</v>
      </c>
      <c r="G6663" t="s">
        <v>3047</v>
      </c>
      <c r="H6663" s="9">
        <v>44733</v>
      </c>
      <c r="I6663" t="s">
        <v>8634</v>
      </c>
      <c r="J6663" t="s">
        <v>0</v>
      </c>
      <c r="K6663" s="9">
        <v>44862</v>
      </c>
      <c r="L6663" t="s">
        <v>29</v>
      </c>
      <c r="M6663"/>
      <c r="N6663"/>
      <c r="O6663"/>
      <c r="P6663"/>
      <c r="Q6663" s="9">
        <v>44862</v>
      </c>
      <c r="R6663"/>
      <c r="S6663"/>
      <c r="T6663"/>
      <c r="U6663"/>
    </row>
    <row r="6664" spans="1:21" hidden="1">
      <c r="A6664" s="7" t="s">
        <v>8758</v>
      </c>
      <c r="B6664" s="7" t="s">
        <v>5405</v>
      </c>
      <c r="C6664" s="8" t="s">
        <v>5319</v>
      </c>
      <c r="D6664" t="s">
        <v>266</v>
      </c>
      <c r="E6664" t="s">
        <v>25</v>
      </c>
      <c r="F6664" t="s">
        <v>493</v>
      </c>
      <c r="G6664" t="s">
        <v>3942</v>
      </c>
      <c r="H6664" s="9">
        <v>44733</v>
      </c>
      <c r="I6664" t="s">
        <v>8634</v>
      </c>
      <c r="J6664" t="s">
        <v>0</v>
      </c>
      <c r="K6664" s="9">
        <v>44862</v>
      </c>
      <c r="L6664" t="s">
        <v>29</v>
      </c>
      <c r="M6664"/>
      <c r="N6664"/>
      <c r="O6664"/>
      <c r="P6664"/>
      <c r="Q6664" s="9">
        <v>44862</v>
      </c>
      <c r="R6664"/>
      <c r="S6664"/>
      <c r="T6664"/>
      <c r="U6664"/>
    </row>
    <row r="6665" spans="1:21" hidden="1">
      <c r="A6665" s="7" t="s">
        <v>8758</v>
      </c>
      <c r="B6665" s="7" t="s">
        <v>5405</v>
      </c>
      <c r="C6665" s="8" t="s">
        <v>5319</v>
      </c>
      <c r="D6665" t="s">
        <v>266</v>
      </c>
      <c r="E6665" t="s">
        <v>25</v>
      </c>
      <c r="F6665" t="s">
        <v>493</v>
      </c>
      <c r="G6665" t="s">
        <v>3943</v>
      </c>
      <c r="H6665" s="9">
        <v>44733</v>
      </c>
      <c r="I6665" t="s">
        <v>8634</v>
      </c>
      <c r="J6665" t="s">
        <v>0</v>
      </c>
      <c r="K6665" s="9">
        <v>44862</v>
      </c>
      <c r="L6665" t="s">
        <v>29</v>
      </c>
      <c r="M6665"/>
      <c r="N6665"/>
      <c r="O6665"/>
      <c r="P6665"/>
      <c r="Q6665" s="9">
        <v>44862</v>
      </c>
      <c r="R6665"/>
      <c r="S6665"/>
      <c r="T6665"/>
      <c r="U6665"/>
    </row>
    <row r="6666" spans="1:21" hidden="1">
      <c r="A6666" s="7" t="s">
        <v>8758</v>
      </c>
      <c r="B6666" s="7" t="s">
        <v>5405</v>
      </c>
      <c r="C6666" s="8" t="s">
        <v>5319</v>
      </c>
      <c r="D6666" t="s">
        <v>266</v>
      </c>
      <c r="E6666" t="s">
        <v>25</v>
      </c>
      <c r="F6666" t="s">
        <v>493</v>
      </c>
      <c r="G6666" t="s">
        <v>3944</v>
      </c>
      <c r="H6666" s="9">
        <v>44733</v>
      </c>
      <c r="I6666" t="s">
        <v>8634</v>
      </c>
      <c r="J6666" t="s">
        <v>0</v>
      </c>
      <c r="K6666" s="9">
        <v>44862</v>
      </c>
      <c r="L6666" t="s">
        <v>29</v>
      </c>
      <c r="M6666"/>
      <c r="N6666"/>
      <c r="O6666"/>
      <c r="P6666"/>
      <c r="Q6666" s="9">
        <v>44862</v>
      </c>
      <c r="R6666"/>
      <c r="S6666"/>
      <c r="T6666"/>
      <c r="U6666"/>
    </row>
    <row r="6667" spans="1:21" hidden="1">
      <c r="A6667" s="7" t="s">
        <v>8825</v>
      </c>
      <c r="B6667" s="7" t="s">
        <v>5405</v>
      </c>
      <c r="C6667" s="8" t="s">
        <v>5319</v>
      </c>
      <c r="D6667" t="s">
        <v>266</v>
      </c>
      <c r="E6667" t="s">
        <v>25</v>
      </c>
      <c r="F6667" t="s">
        <v>111</v>
      </c>
      <c r="G6667" t="s">
        <v>3945</v>
      </c>
      <c r="H6667" s="9">
        <v>44733</v>
      </c>
      <c r="I6667" t="s">
        <v>8634</v>
      </c>
      <c r="J6667" t="s">
        <v>0</v>
      </c>
      <c r="K6667" s="9">
        <v>44881</v>
      </c>
      <c r="L6667" t="s">
        <v>29</v>
      </c>
      <c r="M6667"/>
      <c r="N6667" s="9">
        <v>44778</v>
      </c>
      <c r="O6667"/>
      <c r="P6667"/>
      <c r="Q6667" s="9">
        <v>44881</v>
      </c>
      <c r="R6667"/>
      <c r="S6667"/>
      <c r="T6667"/>
      <c r="U6667"/>
    </row>
    <row r="6668" spans="1:21" hidden="1">
      <c r="A6668" s="7" t="s">
        <v>8825</v>
      </c>
      <c r="B6668" s="7" t="s">
        <v>5405</v>
      </c>
      <c r="C6668" s="8" t="s">
        <v>5319</v>
      </c>
      <c r="D6668" t="s">
        <v>216</v>
      </c>
      <c r="E6668" t="s">
        <v>25</v>
      </c>
      <c r="F6668" t="s">
        <v>111</v>
      </c>
      <c r="G6668" t="s">
        <v>2340</v>
      </c>
      <c r="H6668" s="9">
        <v>44733</v>
      </c>
      <c r="I6668" t="s">
        <v>8634</v>
      </c>
      <c r="J6668" t="s">
        <v>2</v>
      </c>
      <c r="K6668" s="9">
        <v>44867</v>
      </c>
      <c r="L6668" t="s">
        <v>29</v>
      </c>
      <c r="M6668" t="s">
        <v>5329</v>
      </c>
      <c r="N6668" s="9">
        <v>44778</v>
      </c>
      <c r="O6668" s="9">
        <v>44834</v>
      </c>
      <c r="P6668"/>
      <c r="Q6668"/>
      <c r="R6668"/>
      <c r="S6668"/>
      <c r="T6668"/>
      <c r="U6668"/>
    </row>
    <row r="6669" spans="1:21" hidden="1">
      <c r="A6669" s="7" t="s">
        <v>8948</v>
      </c>
      <c r="B6669" s="7" t="s">
        <v>6775</v>
      </c>
      <c r="C6669" s="8" t="s">
        <v>5319</v>
      </c>
      <c r="D6669" t="s">
        <v>216</v>
      </c>
      <c r="E6669" t="s">
        <v>240</v>
      </c>
      <c r="F6669" t="s">
        <v>231</v>
      </c>
      <c r="G6669" t="s">
        <v>3946</v>
      </c>
      <c r="H6669" s="9">
        <v>44733</v>
      </c>
      <c r="I6669" t="s">
        <v>85</v>
      </c>
      <c r="J6669" t="s">
        <v>0</v>
      </c>
      <c r="K6669" s="9">
        <v>44839</v>
      </c>
      <c r="L6669" t="s">
        <v>29</v>
      </c>
      <c r="M6669"/>
      <c r="N6669" s="9">
        <v>44778</v>
      </c>
      <c r="O6669" s="9">
        <v>44834</v>
      </c>
      <c r="P6669"/>
      <c r="Q6669" s="9">
        <v>44839</v>
      </c>
      <c r="R6669"/>
      <c r="S6669"/>
      <c r="T6669"/>
      <c r="U6669"/>
    </row>
    <row r="6670" spans="1:21" hidden="1">
      <c r="A6670" s="7" t="s">
        <v>8732</v>
      </c>
      <c r="B6670" s="7" t="s">
        <v>6619</v>
      </c>
      <c r="C6670" s="8" t="s">
        <v>5319</v>
      </c>
      <c r="D6670" t="s">
        <v>216</v>
      </c>
      <c r="E6670" t="s">
        <v>226</v>
      </c>
      <c r="F6670" t="s">
        <v>227</v>
      </c>
      <c r="G6670" t="s">
        <v>3947</v>
      </c>
      <c r="H6670" s="9">
        <v>44733</v>
      </c>
      <c r="I6670" t="s">
        <v>229</v>
      </c>
      <c r="J6670" t="s">
        <v>2</v>
      </c>
      <c r="K6670" s="9">
        <v>44748.355254629598</v>
      </c>
      <c r="L6670" t="s">
        <v>29</v>
      </c>
      <c r="M6670" t="s">
        <v>5331</v>
      </c>
      <c r="N6670"/>
      <c r="O6670"/>
      <c r="P6670"/>
      <c r="Q6670"/>
      <c r="R6670" s="9">
        <v>44748.352858796301</v>
      </c>
      <c r="S6670"/>
      <c r="T6670"/>
      <c r="U6670"/>
    </row>
    <row r="6671" spans="1:21" hidden="1">
      <c r="A6671" s="7" t="s">
        <v>8744</v>
      </c>
      <c r="B6671" s="7" t="s">
        <v>7386</v>
      </c>
      <c r="C6671" s="8" t="s">
        <v>5319</v>
      </c>
      <c r="D6671" t="s">
        <v>216</v>
      </c>
      <c r="E6671" t="s">
        <v>352</v>
      </c>
      <c r="F6671" t="s">
        <v>117</v>
      </c>
      <c r="G6671" t="s">
        <v>3948</v>
      </c>
      <c r="H6671" s="9">
        <v>44733</v>
      </c>
      <c r="I6671" t="s">
        <v>282</v>
      </c>
      <c r="J6671" t="s">
        <v>212</v>
      </c>
      <c r="K6671" s="9">
        <v>44873.5402314815</v>
      </c>
      <c r="L6671" t="s">
        <v>29</v>
      </c>
      <c r="M6671" t="s">
        <v>5331</v>
      </c>
      <c r="N6671" s="9">
        <v>44778</v>
      </c>
      <c r="O6671" s="9">
        <v>44834</v>
      </c>
      <c r="P6671"/>
      <c r="Q6671" s="9">
        <v>44874</v>
      </c>
      <c r="R6671" s="9">
        <v>44873.538692129601</v>
      </c>
      <c r="S6671"/>
      <c r="T6671"/>
      <c r="U6671"/>
    </row>
    <row r="6672" spans="1:21" hidden="1">
      <c r="A6672" s="7" t="s">
        <v>8744</v>
      </c>
      <c r="B6672" s="7" t="s">
        <v>7386</v>
      </c>
      <c r="C6672" s="8" t="s">
        <v>5319</v>
      </c>
      <c r="D6672" t="s">
        <v>216</v>
      </c>
      <c r="E6672" t="s">
        <v>352</v>
      </c>
      <c r="F6672" t="s">
        <v>117</v>
      </c>
      <c r="G6672" t="s">
        <v>3949</v>
      </c>
      <c r="H6672" s="9">
        <v>44733</v>
      </c>
      <c r="I6672" t="s">
        <v>282</v>
      </c>
      <c r="J6672" t="s">
        <v>212</v>
      </c>
      <c r="K6672" s="9">
        <v>44873.5402314815</v>
      </c>
      <c r="L6672" t="s">
        <v>29</v>
      </c>
      <c r="M6672" t="s">
        <v>5331</v>
      </c>
      <c r="N6672" s="9">
        <v>44778</v>
      </c>
      <c r="O6672" s="9">
        <v>44834</v>
      </c>
      <c r="P6672"/>
      <c r="Q6672" s="9">
        <v>44874</v>
      </c>
      <c r="R6672" s="9">
        <v>44873.538692129601</v>
      </c>
      <c r="S6672"/>
      <c r="T6672"/>
      <c r="U6672"/>
    </row>
    <row r="6673" spans="1:21" hidden="1">
      <c r="A6673" s="7" t="s">
        <v>8825</v>
      </c>
      <c r="B6673" s="7" t="s">
        <v>5405</v>
      </c>
      <c r="C6673" s="8" t="s">
        <v>5319</v>
      </c>
      <c r="D6673" t="s">
        <v>216</v>
      </c>
      <c r="E6673" t="s">
        <v>25</v>
      </c>
      <c r="F6673" t="s">
        <v>111</v>
      </c>
      <c r="G6673" t="s">
        <v>2883</v>
      </c>
      <c r="H6673" s="9">
        <v>44733</v>
      </c>
      <c r="I6673" t="s">
        <v>8634</v>
      </c>
      <c r="J6673" t="s">
        <v>2</v>
      </c>
      <c r="K6673" s="9">
        <v>44867</v>
      </c>
      <c r="L6673" t="s">
        <v>29</v>
      </c>
      <c r="M6673" t="s">
        <v>5329</v>
      </c>
      <c r="N6673" s="9">
        <v>44778</v>
      </c>
      <c r="O6673" s="9">
        <v>44834</v>
      </c>
      <c r="P6673"/>
      <c r="Q6673"/>
      <c r="R6673"/>
      <c r="S6673"/>
      <c r="T6673"/>
      <c r="U6673"/>
    </row>
    <row r="6674" spans="1:21" hidden="1">
      <c r="A6674" s="7" t="s">
        <v>8825</v>
      </c>
      <c r="B6674" s="7" t="s">
        <v>5405</v>
      </c>
      <c r="C6674" s="8" t="s">
        <v>5319</v>
      </c>
      <c r="D6674" t="s">
        <v>216</v>
      </c>
      <c r="E6674" t="s">
        <v>25</v>
      </c>
      <c r="F6674" t="s">
        <v>111</v>
      </c>
      <c r="G6674" t="s">
        <v>2884</v>
      </c>
      <c r="H6674" s="9">
        <v>44733</v>
      </c>
      <c r="I6674" t="s">
        <v>8634</v>
      </c>
      <c r="J6674" t="s">
        <v>2</v>
      </c>
      <c r="K6674" s="9">
        <v>44867</v>
      </c>
      <c r="L6674" t="s">
        <v>29</v>
      </c>
      <c r="M6674" t="s">
        <v>5329</v>
      </c>
      <c r="N6674" s="9">
        <v>44778</v>
      </c>
      <c r="O6674" s="9">
        <v>44834</v>
      </c>
      <c r="P6674"/>
      <c r="Q6674"/>
      <c r="R6674"/>
      <c r="S6674"/>
      <c r="T6674"/>
      <c r="U6674"/>
    </row>
    <row r="6675" spans="1:21" hidden="1">
      <c r="A6675" s="7" t="s">
        <v>8758</v>
      </c>
      <c r="B6675" s="7" t="s">
        <v>5405</v>
      </c>
      <c r="C6675" s="8" t="s">
        <v>5319</v>
      </c>
      <c r="D6675" t="s">
        <v>216</v>
      </c>
      <c r="E6675" t="s">
        <v>25</v>
      </c>
      <c r="F6675" t="s">
        <v>493</v>
      </c>
      <c r="G6675" t="s">
        <v>3950</v>
      </c>
      <c r="H6675" s="9">
        <v>44733</v>
      </c>
      <c r="I6675" t="s">
        <v>8634</v>
      </c>
      <c r="J6675" t="s">
        <v>0</v>
      </c>
      <c r="K6675" s="9">
        <v>44862</v>
      </c>
      <c r="L6675" t="s">
        <v>29</v>
      </c>
      <c r="M6675"/>
      <c r="N6675"/>
      <c r="O6675"/>
      <c r="P6675"/>
      <c r="Q6675" s="9">
        <v>44862</v>
      </c>
      <c r="R6675" s="9">
        <v>44769.506967592599</v>
      </c>
      <c r="S6675"/>
      <c r="T6675"/>
      <c r="U6675"/>
    </row>
    <row r="6676" spans="1:21" hidden="1">
      <c r="A6676" s="7" t="s">
        <v>8758</v>
      </c>
      <c r="B6676" s="7" t="s">
        <v>5405</v>
      </c>
      <c r="C6676" s="8" t="s">
        <v>5319</v>
      </c>
      <c r="D6676" t="s">
        <v>216</v>
      </c>
      <c r="E6676" t="s">
        <v>25</v>
      </c>
      <c r="F6676" t="s">
        <v>493</v>
      </c>
      <c r="G6676" t="s">
        <v>3049</v>
      </c>
      <c r="H6676" s="9">
        <v>44733</v>
      </c>
      <c r="I6676" t="s">
        <v>8634</v>
      </c>
      <c r="J6676" t="s">
        <v>0</v>
      </c>
      <c r="K6676" s="9">
        <v>44862</v>
      </c>
      <c r="L6676" t="s">
        <v>29</v>
      </c>
      <c r="M6676"/>
      <c r="N6676"/>
      <c r="O6676"/>
      <c r="P6676"/>
      <c r="Q6676" s="9">
        <v>44862</v>
      </c>
      <c r="R6676" s="9">
        <v>44769.506967592599</v>
      </c>
      <c r="S6676"/>
      <c r="T6676"/>
      <c r="U6676"/>
    </row>
    <row r="6677" spans="1:21" hidden="1">
      <c r="A6677" s="7" t="s">
        <v>8751</v>
      </c>
      <c r="B6677" s="7" t="s">
        <v>5405</v>
      </c>
      <c r="C6677" s="8" t="s">
        <v>5319</v>
      </c>
      <c r="D6677" t="s">
        <v>1655</v>
      </c>
      <c r="E6677" t="s">
        <v>25</v>
      </c>
      <c r="F6677" t="s">
        <v>435</v>
      </c>
      <c r="G6677" t="s">
        <v>3951</v>
      </c>
      <c r="H6677" s="9">
        <v>44735</v>
      </c>
      <c r="I6677" t="s">
        <v>8634</v>
      </c>
      <c r="J6677" t="s">
        <v>2</v>
      </c>
      <c r="K6677" s="9">
        <v>44834</v>
      </c>
      <c r="L6677" t="s">
        <v>29</v>
      </c>
      <c r="M6677" t="s">
        <v>5331</v>
      </c>
      <c r="N6677" s="9">
        <v>44778</v>
      </c>
      <c r="O6677" s="9">
        <v>44834</v>
      </c>
      <c r="P6677"/>
      <c r="Q6677"/>
      <c r="R6677"/>
      <c r="S6677"/>
      <c r="T6677"/>
      <c r="U6677"/>
    </row>
    <row r="6678" spans="1:21" hidden="1">
      <c r="A6678" s="7" t="s">
        <v>8751</v>
      </c>
      <c r="B6678" s="7" t="s">
        <v>5405</v>
      </c>
      <c r="C6678" s="8" t="s">
        <v>5319</v>
      </c>
      <c r="D6678" t="s">
        <v>1655</v>
      </c>
      <c r="E6678" t="s">
        <v>25</v>
      </c>
      <c r="F6678" t="s">
        <v>435</v>
      </c>
      <c r="G6678" t="s">
        <v>3952</v>
      </c>
      <c r="H6678" s="9">
        <v>44735</v>
      </c>
      <c r="I6678" t="s">
        <v>8634</v>
      </c>
      <c r="J6678" t="s">
        <v>0</v>
      </c>
      <c r="K6678" s="9">
        <v>44881</v>
      </c>
      <c r="L6678" t="s">
        <v>29</v>
      </c>
      <c r="M6678"/>
      <c r="N6678" s="9">
        <v>44778</v>
      </c>
      <c r="O6678"/>
      <c r="P6678"/>
      <c r="Q6678" s="9">
        <v>44881</v>
      </c>
      <c r="R6678"/>
      <c r="S6678"/>
      <c r="T6678"/>
      <c r="U6678"/>
    </row>
    <row r="6679" spans="1:21" hidden="1">
      <c r="A6679" s="7" t="s">
        <v>8826</v>
      </c>
      <c r="B6679" s="7" t="s">
        <v>5405</v>
      </c>
      <c r="C6679" s="8" t="s">
        <v>5319</v>
      </c>
      <c r="D6679" t="s">
        <v>1655</v>
      </c>
      <c r="E6679" t="s">
        <v>25</v>
      </c>
      <c r="F6679" t="s">
        <v>117</v>
      </c>
      <c r="G6679" t="s">
        <v>3953</v>
      </c>
      <c r="H6679" s="9">
        <v>44733</v>
      </c>
      <c r="I6679" t="s">
        <v>8634</v>
      </c>
      <c r="J6679" t="s">
        <v>2</v>
      </c>
      <c r="K6679" s="9">
        <v>44834</v>
      </c>
      <c r="L6679" t="s">
        <v>29</v>
      </c>
      <c r="M6679" t="s">
        <v>5331</v>
      </c>
      <c r="N6679" s="9">
        <v>44778</v>
      </c>
      <c r="O6679" s="9">
        <v>44834</v>
      </c>
      <c r="P6679"/>
      <c r="Q6679"/>
      <c r="R6679"/>
      <c r="S6679"/>
      <c r="T6679"/>
      <c r="U6679"/>
    </row>
    <row r="6680" spans="1:21" hidden="1">
      <c r="A6680" s="7" t="s">
        <v>8826</v>
      </c>
      <c r="B6680" s="7" t="s">
        <v>5405</v>
      </c>
      <c r="C6680" s="8" t="s">
        <v>5319</v>
      </c>
      <c r="D6680" t="s">
        <v>1655</v>
      </c>
      <c r="E6680" t="s">
        <v>25</v>
      </c>
      <c r="F6680" t="s">
        <v>117</v>
      </c>
      <c r="G6680" t="s">
        <v>3954</v>
      </c>
      <c r="H6680" s="9">
        <v>44733</v>
      </c>
      <c r="I6680" t="s">
        <v>8634</v>
      </c>
      <c r="J6680" t="s">
        <v>2</v>
      </c>
      <c r="K6680" s="9">
        <v>44834</v>
      </c>
      <c r="L6680" t="s">
        <v>29</v>
      </c>
      <c r="M6680" t="s">
        <v>5331</v>
      </c>
      <c r="N6680" s="9">
        <v>44778</v>
      </c>
      <c r="O6680" s="9">
        <v>44834</v>
      </c>
      <c r="P6680"/>
      <c r="Q6680"/>
      <c r="R6680"/>
      <c r="S6680"/>
      <c r="T6680"/>
      <c r="U6680"/>
    </row>
    <row r="6681" spans="1:21" hidden="1">
      <c r="A6681" s="7" t="s">
        <v>8826</v>
      </c>
      <c r="B6681" s="7" t="s">
        <v>5405</v>
      </c>
      <c r="C6681" s="8" t="s">
        <v>5319</v>
      </c>
      <c r="D6681" t="s">
        <v>1655</v>
      </c>
      <c r="E6681" t="s">
        <v>25</v>
      </c>
      <c r="F6681" t="s">
        <v>117</v>
      </c>
      <c r="G6681" t="s">
        <v>3955</v>
      </c>
      <c r="H6681" s="9">
        <v>44733</v>
      </c>
      <c r="I6681" t="s">
        <v>8634</v>
      </c>
      <c r="J6681" t="s">
        <v>2</v>
      </c>
      <c r="K6681" s="9">
        <v>44834</v>
      </c>
      <c r="L6681" t="s">
        <v>29</v>
      </c>
      <c r="M6681" t="s">
        <v>5331</v>
      </c>
      <c r="N6681" s="9">
        <v>44778</v>
      </c>
      <c r="O6681" s="9">
        <v>44834</v>
      </c>
      <c r="P6681"/>
      <c r="Q6681"/>
      <c r="R6681"/>
      <c r="S6681"/>
      <c r="T6681"/>
      <c r="U6681"/>
    </row>
    <row r="6682" spans="1:21" hidden="1">
      <c r="A6682" s="7" t="s">
        <v>8893</v>
      </c>
      <c r="B6682" s="7" t="s">
        <v>5405</v>
      </c>
      <c r="C6682" s="8" t="s">
        <v>5319</v>
      </c>
      <c r="D6682" t="s">
        <v>1655</v>
      </c>
      <c r="E6682" t="s">
        <v>25</v>
      </c>
      <c r="F6682" t="s">
        <v>209</v>
      </c>
      <c r="G6682" t="s">
        <v>3956</v>
      </c>
      <c r="H6682" s="9">
        <v>44733</v>
      </c>
      <c r="I6682" t="s">
        <v>8634</v>
      </c>
      <c r="J6682" t="s">
        <v>2</v>
      </c>
      <c r="K6682" s="9">
        <v>44834</v>
      </c>
      <c r="L6682" t="s">
        <v>29</v>
      </c>
      <c r="M6682" t="s">
        <v>5331</v>
      </c>
      <c r="N6682" s="9">
        <v>44778</v>
      </c>
      <c r="O6682" s="9">
        <v>44834</v>
      </c>
      <c r="P6682"/>
      <c r="Q6682"/>
      <c r="R6682"/>
      <c r="S6682"/>
      <c r="T6682"/>
      <c r="U6682"/>
    </row>
    <row r="6683" spans="1:21" hidden="1">
      <c r="A6683" s="7" t="s">
        <v>8893</v>
      </c>
      <c r="B6683" s="7" t="s">
        <v>5405</v>
      </c>
      <c r="C6683" s="8" t="s">
        <v>5319</v>
      </c>
      <c r="D6683" t="s">
        <v>1655</v>
      </c>
      <c r="E6683" t="s">
        <v>25</v>
      </c>
      <c r="F6683" t="s">
        <v>209</v>
      </c>
      <c r="G6683" t="s">
        <v>3957</v>
      </c>
      <c r="H6683" s="9">
        <v>44733</v>
      </c>
      <c r="I6683" t="s">
        <v>8634</v>
      </c>
      <c r="J6683" t="s">
        <v>2</v>
      </c>
      <c r="K6683" s="9">
        <v>44834</v>
      </c>
      <c r="L6683" t="s">
        <v>29</v>
      </c>
      <c r="M6683" t="s">
        <v>5331</v>
      </c>
      <c r="N6683" s="9">
        <v>44778</v>
      </c>
      <c r="O6683" s="9">
        <v>44834</v>
      </c>
      <c r="P6683"/>
      <c r="Q6683"/>
      <c r="R6683"/>
      <c r="S6683"/>
      <c r="T6683"/>
      <c r="U6683"/>
    </row>
    <row r="6684" spans="1:21" hidden="1">
      <c r="A6684" s="7" t="s">
        <v>8826</v>
      </c>
      <c r="B6684" s="7" t="s">
        <v>5405</v>
      </c>
      <c r="C6684" s="8" t="s">
        <v>5319</v>
      </c>
      <c r="D6684" t="s">
        <v>1655</v>
      </c>
      <c r="E6684" t="s">
        <v>25</v>
      </c>
      <c r="F6684" t="s">
        <v>117</v>
      </c>
      <c r="G6684" t="s">
        <v>3958</v>
      </c>
      <c r="H6684" s="9">
        <v>44733</v>
      </c>
      <c r="I6684" t="s">
        <v>8634</v>
      </c>
      <c r="J6684" t="s">
        <v>2</v>
      </c>
      <c r="K6684" s="9">
        <v>44834</v>
      </c>
      <c r="L6684" t="s">
        <v>29</v>
      </c>
      <c r="M6684" t="s">
        <v>5331</v>
      </c>
      <c r="N6684" s="9">
        <v>44778</v>
      </c>
      <c r="O6684" s="9">
        <v>44834</v>
      </c>
      <c r="P6684"/>
      <c r="Q6684"/>
      <c r="R6684"/>
      <c r="S6684"/>
      <c r="T6684"/>
      <c r="U6684"/>
    </row>
    <row r="6685" spans="1:21" hidden="1">
      <c r="A6685" s="7" t="s">
        <v>8826</v>
      </c>
      <c r="B6685" s="7" t="s">
        <v>5405</v>
      </c>
      <c r="C6685" s="8" t="s">
        <v>5319</v>
      </c>
      <c r="D6685" t="s">
        <v>1655</v>
      </c>
      <c r="E6685" t="s">
        <v>25</v>
      </c>
      <c r="F6685" t="s">
        <v>117</v>
      </c>
      <c r="G6685" t="s">
        <v>3959</v>
      </c>
      <c r="H6685" s="9">
        <v>44733</v>
      </c>
      <c r="I6685" t="s">
        <v>8634</v>
      </c>
      <c r="J6685" t="s">
        <v>2</v>
      </c>
      <c r="K6685" s="9">
        <v>44834</v>
      </c>
      <c r="L6685" t="s">
        <v>29</v>
      </c>
      <c r="M6685" t="s">
        <v>5331</v>
      </c>
      <c r="N6685" s="9">
        <v>44778</v>
      </c>
      <c r="O6685" s="9">
        <v>44834</v>
      </c>
      <c r="P6685"/>
      <c r="Q6685"/>
      <c r="R6685"/>
      <c r="S6685"/>
      <c r="T6685"/>
      <c r="U6685"/>
    </row>
    <row r="6686" spans="1:21" hidden="1">
      <c r="A6686" s="7" t="s">
        <v>8949</v>
      </c>
      <c r="B6686" s="7" t="s">
        <v>8373</v>
      </c>
      <c r="C6686" s="8" t="s">
        <v>5319</v>
      </c>
      <c r="D6686" t="s">
        <v>1655</v>
      </c>
      <c r="E6686" t="s">
        <v>3960</v>
      </c>
      <c r="F6686" t="s">
        <v>117</v>
      </c>
      <c r="G6686" t="s">
        <v>3961</v>
      </c>
      <c r="H6686" s="9">
        <v>44733</v>
      </c>
      <c r="I6686" t="s">
        <v>3962</v>
      </c>
      <c r="J6686" t="s">
        <v>2</v>
      </c>
      <c r="K6686" s="9">
        <v>44834</v>
      </c>
      <c r="L6686" t="s">
        <v>29</v>
      </c>
      <c r="M6686" t="s">
        <v>5331</v>
      </c>
      <c r="N6686" s="9">
        <v>44778</v>
      </c>
      <c r="O6686" s="9">
        <v>44834</v>
      </c>
      <c r="P6686"/>
      <c r="Q6686"/>
      <c r="R6686"/>
      <c r="S6686"/>
      <c r="T6686"/>
      <c r="U6686"/>
    </row>
    <row r="6687" spans="1:21" hidden="1">
      <c r="A6687" s="7" t="s">
        <v>8949</v>
      </c>
      <c r="B6687" s="7" t="s">
        <v>8373</v>
      </c>
      <c r="C6687" s="8" t="s">
        <v>5319</v>
      </c>
      <c r="D6687" t="s">
        <v>1655</v>
      </c>
      <c r="E6687" t="s">
        <v>3960</v>
      </c>
      <c r="F6687" t="s">
        <v>117</v>
      </c>
      <c r="G6687" t="s">
        <v>3963</v>
      </c>
      <c r="H6687" s="9">
        <v>44733</v>
      </c>
      <c r="I6687" t="s">
        <v>3962</v>
      </c>
      <c r="J6687" t="s">
        <v>2</v>
      </c>
      <c r="K6687" s="9">
        <v>44834</v>
      </c>
      <c r="L6687" t="s">
        <v>29</v>
      </c>
      <c r="M6687" t="s">
        <v>5331</v>
      </c>
      <c r="N6687" s="9">
        <v>44778</v>
      </c>
      <c r="O6687" s="9">
        <v>44834</v>
      </c>
      <c r="P6687"/>
      <c r="Q6687"/>
      <c r="R6687"/>
      <c r="S6687"/>
      <c r="T6687"/>
      <c r="U6687"/>
    </row>
    <row r="6688" spans="1:21" hidden="1">
      <c r="A6688" s="7" t="s">
        <v>8949</v>
      </c>
      <c r="B6688" s="7" t="s">
        <v>8373</v>
      </c>
      <c r="C6688" s="8" t="s">
        <v>5319</v>
      </c>
      <c r="D6688" t="s">
        <v>1655</v>
      </c>
      <c r="E6688" t="s">
        <v>3960</v>
      </c>
      <c r="F6688" t="s">
        <v>117</v>
      </c>
      <c r="G6688" t="s">
        <v>3964</v>
      </c>
      <c r="H6688" s="9">
        <v>44733</v>
      </c>
      <c r="I6688" t="s">
        <v>3962</v>
      </c>
      <c r="J6688" t="s">
        <v>2</v>
      </c>
      <c r="K6688" s="9">
        <v>44834</v>
      </c>
      <c r="L6688" t="s">
        <v>29</v>
      </c>
      <c r="M6688" t="s">
        <v>5331</v>
      </c>
      <c r="N6688" s="9">
        <v>44778</v>
      </c>
      <c r="O6688" s="9">
        <v>44834</v>
      </c>
      <c r="P6688"/>
      <c r="Q6688"/>
      <c r="R6688"/>
      <c r="S6688"/>
      <c r="T6688"/>
      <c r="U6688"/>
    </row>
    <row r="6689" spans="1:21" hidden="1">
      <c r="A6689" s="7" t="s">
        <v>8949</v>
      </c>
      <c r="B6689" s="7" t="s">
        <v>8373</v>
      </c>
      <c r="C6689" s="8" t="s">
        <v>5319</v>
      </c>
      <c r="D6689" t="s">
        <v>1655</v>
      </c>
      <c r="E6689" t="s">
        <v>3960</v>
      </c>
      <c r="F6689" t="s">
        <v>117</v>
      </c>
      <c r="G6689" t="s">
        <v>3965</v>
      </c>
      <c r="H6689" s="9">
        <v>44733</v>
      </c>
      <c r="I6689" t="s">
        <v>3962</v>
      </c>
      <c r="J6689" t="s">
        <v>2</v>
      </c>
      <c r="K6689" s="9">
        <v>44834</v>
      </c>
      <c r="L6689" t="s">
        <v>29</v>
      </c>
      <c r="M6689" t="s">
        <v>5331</v>
      </c>
      <c r="N6689" s="9">
        <v>44778</v>
      </c>
      <c r="O6689" s="9">
        <v>44834</v>
      </c>
      <c r="P6689"/>
      <c r="Q6689"/>
      <c r="R6689"/>
      <c r="S6689"/>
      <c r="T6689"/>
      <c r="U6689"/>
    </row>
    <row r="6690" spans="1:21" hidden="1">
      <c r="A6690" s="7" t="s">
        <v>8949</v>
      </c>
      <c r="B6690" s="7" t="s">
        <v>8373</v>
      </c>
      <c r="C6690" s="8" t="s">
        <v>5319</v>
      </c>
      <c r="D6690" t="s">
        <v>1655</v>
      </c>
      <c r="E6690" t="s">
        <v>3960</v>
      </c>
      <c r="F6690" t="s">
        <v>117</v>
      </c>
      <c r="G6690" t="s">
        <v>3966</v>
      </c>
      <c r="H6690" s="9">
        <v>44733</v>
      </c>
      <c r="I6690" t="s">
        <v>3962</v>
      </c>
      <c r="J6690" t="s">
        <v>2</v>
      </c>
      <c r="K6690" s="9">
        <v>44834</v>
      </c>
      <c r="L6690" t="s">
        <v>29</v>
      </c>
      <c r="M6690" t="s">
        <v>5331</v>
      </c>
      <c r="N6690" s="9">
        <v>44778</v>
      </c>
      <c r="O6690" s="9">
        <v>44834</v>
      </c>
      <c r="P6690"/>
      <c r="Q6690"/>
      <c r="R6690"/>
      <c r="S6690"/>
      <c r="T6690"/>
      <c r="U6690"/>
    </row>
    <row r="6691" spans="1:21" hidden="1">
      <c r="A6691" s="7" t="s">
        <v>8949</v>
      </c>
      <c r="B6691" s="7" t="s">
        <v>8373</v>
      </c>
      <c r="C6691" s="8" t="s">
        <v>5319</v>
      </c>
      <c r="D6691" t="s">
        <v>1655</v>
      </c>
      <c r="E6691" t="s">
        <v>3960</v>
      </c>
      <c r="F6691" t="s">
        <v>117</v>
      </c>
      <c r="G6691" t="s">
        <v>3967</v>
      </c>
      <c r="H6691" s="9">
        <v>44733</v>
      </c>
      <c r="I6691" t="s">
        <v>3962</v>
      </c>
      <c r="J6691" t="s">
        <v>2</v>
      </c>
      <c r="K6691" s="9">
        <v>44834</v>
      </c>
      <c r="L6691" t="s">
        <v>29</v>
      </c>
      <c r="M6691" t="s">
        <v>5331</v>
      </c>
      <c r="N6691" s="9">
        <v>44778</v>
      </c>
      <c r="O6691" s="9">
        <v>44834</v>
      </c>
      <c r="P6691"/>
      <c r="Q6691"/>
      <c r="R6691"/>
      <c r="S6691"/>
      <c r="T6691"/>
      <c r="U6691"/>
    </row>
    <row r="6692" spans="1:21" hidden="1">
      <c r="A6692" s="7" t="s">
        <v>8949</v>
      </c>
      <c r="B6692" s="7" t="s">
        <v>8373</v>
      </c>
      <c r="C6692" s="8" t="s">
        <v>5319</v>
      </c>
      <c r="D6692" t="s">
        <v>1655</v>
      </c>
      <c r="E6692" t="s">
        <v>3960</v>
      </c>
      <c r="F6692" t="s">
        <v>117</v>
      </c>
      <c r="G6692" t="s">
        <v>3968</v>
      </c>
      <c r="H6692" s="9">
        <v>44733</v>
      </c>
      <c r="I6692" t="s">
        <v>3962</v>
      </c>
      <c r="J6692" t="s">
        <v>2</v>
      </c>
      <c r="K6692" s="9">
        <v>44834</v>
      </c>
      <c r="L6692" t="s">
        <v>29</v>
      </c>
      <c r="M6692" t="s">
        <v>5331</v>
      </c>
      <c r="N6692" s="9">
        <v>44778</v>
      </c>
      <c r="O6692" s="9">
        <v>44834</v>
      </c>
      <c r="P6692"/>
      <c r="Q6692"/>
      <c r="R6692"/>
      <c r="S6692"/>
      <c r="T6692"/>
      <c r="U6692"/>
    </row>
    <row r="6693" spans="1:21" hidden="1">
      <c r="A6693" s="7" t="s">
        <v>8949</v>
      </c>
      <c r="B6693" s="7" t="s">
        <v>8373</v>
      </c>
      <c r="C6693" s="8" t="s">
        <v>5319</v>
      </c>
      <c r="D6693" t="s">
        <v>1655</v>
      </c>
      <c r="E6693" t="s">
        <v>3960</v>
      </c>
      <c r="F6693" t="s">
        <v>117</v>
      </c>
      <c r="G6693" t="s">
        <v>3969</v>
      </c>
      <c r="H6693" s="9">
        <v>44733</v>
      </c>
      <c r="I6693" t="s">
        <v>3962</v>
      </c>
      <c r="J6693" t="s">
        <v>2</v>
      </c>
      <c r="K6693" s="9">
        <v>44834</v>
      </c>
      <c r="L6693" t="s">
        <v>29</v>
      </c>
      <c r="M6693" t="s">
        <v>5331</v>
      </c>
      <c r="N6693" s="9">
        <v>44778</v>
      </c>
      <c r="O6693" s="9">
        <v>44834</v>
      </c>
      <c r="P6693"/>
      <c r="Q6693"/>
      <c r="R6693"/>
      <c r="S6693"/>
      <c r="T6693"/>
      <c r="U6693"/>
    </row>
    <row r="6694" spans="1:21" hidden="1">
      <c r="A6694" s="7" t="s">
        <v>8949</v>
      </c>
      <c r="B6694" s="7" t="s">
        <v>8373</v>
      </c>
      <c r="C6694" s="8" t="s">
        <v>5319</v>
      </c>
      <c r="D6694" t="s">
        <v>1655</v>
      </c>
      <c r="E6694" t="s">
        <v>3960</v>
      </c>
      <c r="F6694" t="s">
        <v>117</v>
      </c>
      <c r="G6694" t="s">
        <v>3970</v>
      </c>
      <c r="H6694" s="9">
        <v>44733</v>
      </c>
      <c r="I6694" t="s">
        <v>3962</v>
      </c>
      <c r="J6694" t="s">
        <v>2</v>
      </c>
      <c r="K6694" s="9">
        <v>44834</v>
      </c>
      <c r="L6694" t="s">
        <v>29</v>
      </c>
      <c r="M6694" t="s">
        <v>5331</v>
      </c>
      <c r="N6694" s="9">
        <v>44778</v>
      </c>
      <c r="O6694" s="9">
        <v>44834</v>
      </c>
      <c r="P6694"/>
      <c r="Q6694"/>
      <c r="R6694"/>
      <c r="S6694"/>
      <c r="T6694"/>
      <c r="U6694"/>
    </row>
    <row r="6695" spans="1:21" hidden="1">
      <c r="A6695" s="7" t="s">
        <v>8949</v>
      </c>
      <c r="B6695" s="7" t="s">
        <v>8373</v>
      </c>
      <c r="C6695" s="8" t="s">
        <v>5319</v>
      </c>
      <c r="D6695" t="s">
        <v>1655</v>
      </c>
      <c r="E6695" t="s">
        <v>3960</v>
      </c>
      <c r="F6695" t="s">
        <v>117</v>
      </c>
      <c r="G6695" t="s">
        <v>3971</v>
      </c>
      <c r="H6695" s="9">
        <v>44733</v>
      </c>
      <c r="I6695" t="s">
        <v>3962</v>
      </c>
      <c r="J6695" t="s">
        <v>2</v>
      </c>
      <c r="K6695" s="9">
        <v>44834</v>
      </c>
      <c r="L6695" t="s">
        <v>29</v>
      </c>
      <c r="M6695" t="s">
        <v>5331</v>
      </c>
      <c r="N6695" s="9">
        <v>44778</v>
      </c>
      <c r="O6695" s="9">
        <v>44834</v>
      </c>
      <c r="P6695"/>
      <c r="Q6695"/>
      <c r="R6695"/>
      <c r="S6695"/>
      <c r="T6695"/>
      <c r="U6695"/>
    </row>
    <row r="6696" spans="1:21" hidden="1">
      <c r="A6696" s="7" t="s">
        <v>8949</v>
      </c>
      <c r="B6696" s="7" t="s">
        <v>8373</v>
      </c>
      <c r="C6696" s="8" t="s">
        <v>5319</v>
      </c>
      <c r="D6696" t="s">
        <v>1655</v>
      </c>
      <c r="E6696" t="s">
        <v>3960</v>
      </c>
      <c r="F6696" t="s">
        <v>117</v>
      </c>
      <c r="G6696" t="s">
        <v>3972</v>
      </c>
      <c r="H6696" s="9">
        <v>44733</v>
      </c>
      <c r="I6696" t="s">
        <v>3962</v>
      </c>
      <c r="J6696" t="s">
        <v>2</v>
      </c>
      <c r="K6696" s="9">
        <v>44834</v>
      </c>
      <c r="L6696" t="s">
        <v>29</v>
      </c>
      <c r="M6696" t="s">
        <v>5331</v>
      </c>
      <c r="N6696" s="9">
        <v>44778</v>
      </c>
      <c r="O6696" s="9">
        <v>44834</v>
      </c>
      <c r="P6696"/>
      <c r="Q6696"/>
      <c r="R6696"/>
      <c r="S6696"/>
      <c r="T6696"/>
      <c r="U6696"/>
    </row>
    <row r="6697" spans="1:21" hidden="1">
      <c r="A6697" s="7" t="s">
        <v>8949</v>
      </c>
      <c r="B6697" s="7" t="s">
        <v>8373</v>
      </c>
      <c r="C6697" s="8" t="s">
        <v>5319</v>
      </c>
      <c r="D6697" t="s">
        <v>1655</v>
      </c>
      <c r="E6697" t="s">
        <v>3960</v>
      </c>
      <c r="F6697" t="s">
        <v>117</v>
      </c>
      <c r="G6697" t="s">
        <v>3973</v>
      </c>
      <c r="H6697" s="9">
        <v>44733</v>
      </c>
      <c r="I6697" t="s">
        <v>3962</v>
      </c>
      <c r="J6697" t="s">
        <v>2</v>
      </c>
      <c r="K6697" s="9">
        <v>44834</v>
      </c>
      <c r="L6697" t="s">
        <v>29</v>
      </c>
      <c r="M6697" t="s">
        <v>5331</v>
      </c>
      <c r="N6697" s="9">
        <v>44778</v>
      </c>
      <c r="O6697" s="9">
        <v>44834</v>
      </c>
      <c r="P6697"/>
      <c r="Q6697"/>
      <c r="R6697"/>
      <c r="S6697"/>
      <c r="T6697"/>
      <c r="U6697"/>
    </row>
    <row r="6698" spans="1:21" hidden="1">
      <c r="A6698" s="7" t="s">
        <v>8949</v>
      </c>
      <c r="B6698" s="7" t="s">
        <v>8373</v>
      </c>
      <c r="C6698" s="8" t="s">
        <v>5319</v>
      </c>
      <c r="D6698" t="s">
        <v>1655</v>
      </c>
      <c r="E6698" t="s">
        <v>3960</v>
      </c>
      <c r="F6698" t="s">
        <v>117</v>
      </c>
      <c r="G6698" t="s">
        <v>3974</v>
      </c>
      <c r="H6698" s="9">
        <v>44733</v>
      </c>
      <c r="I6698" t="s">
        <v>3962</v>
      </c>
      <c r="J6698" t="s">
        <v>2</v>
      </c>
      <c r="K6698" s="9">
        <v>44834</v>
      </c>
      <c r="L6698" t="s">
        <v>29</v>
      </c>
      <c r="M6698" t="s">
        <v>5331</v>
      </c>
      <c r="N6698" s="9">
        <v>44778</v>
      </c>
      <c r="O6698" s="9">
        <v>44834</v>
      </c>
      <c r="P6698"/>
      <c r="Q6698"/>
      <c r="R6698"/>
      <c r="S6698"/>
      <c r="T6698"/>
      <c r="U6698"/>
    </row>
    <row r="6699" spans="1:21" hidden="1">
      <c r="A6699" s="7" t="s">
        <v>8949</v>
      </c>
      <c r="B6699" s="7" t="s">
        <v>8373</v>
      </c>
      <c r="C6699" s="8" t="s">
        <v>5319</v>
      </c>
      <c r="D6699" t="s">
        <v>1655</v>
      </c>
      <c r="E6699" t="s">
        <v>3960</v>
      </c>
      <c r="F6699" t="s">
        <v>117</v>
      </c>
      <c r="G6699" t="s">
        <v>3975</v>
      </c>
      <c r="H6699" s="9">
        <v>44733</v>
      </c>
      <c r="I6699" t="s">
        <v>3962</v>
      </c>
      <c r="J6699" t="s">
        <v>2</v>
      </c>
      <c r="K6699" s="9">
        <v>44834</v>
      </c>
      <c r="L6699" t="s">
        <v>29</v>
      </c>
      <c r="M6699" t="s">
        <v>5331</v>
      </c>
      <c r="N6699" s="9">
        <v>44778</v>
      </c>
      <c r="O6699" s="9">
        <v>44834</v>
      </c>
      <c r="P6699"/>
      <c r="Q6699"/>
      <c r="R6699"/>
      <c r="S6699"/>
      <c r="T6699"/>
      <c r="U6699"/>
    </row>
    <row r="6700" spans="1:21" hidden="1">
      <c r="A6700" s="7" t="s">
        <v>8950</v>
      </c>
      <c r="B6700" s="7" t="s">
        <v>8374</v>
      </c>
      <c r="C6700" s="8" t="s">
        <v>5319</v>
      </c>
      <c r="D6700" t="s">
        <v>1655</v>
      </c>
      <c r="E6700" t="s">
        <v>3976</v>
      </c>
      <c r="F6700" t="s">
        <v>231</v>
      </c>
      <c r="G6700" t="s">
        <v>3977</v>
      </c>
      <c r="H6700" s="9">
        <v>44733</v>
      </c>
      <c r="I6700" t="s">
        <v>3978</v>
      </c>
      <c r="J6700" t="s">
        <v>0</v>
      </c>
      <c r="K6700" s="9">
        <v>44803</v>
      </c>
      <c r="L6700" t="s">
        <v>29</v>
      </c>
      <c r="M6700"/>
      <c r="N6700"/>
      <c r="O6700"/>
      <c r="P6700"/>
      <c r="Q6700" s="9">
        <v>44803</v>
      </c>
      <c r="R6700" s="9">
        <v>44791.526296296302</v>
      </c>
      <c r="S6700"/>
      <c r="T6700"/>
      <c r="U6700"/>
    </row>
    <row r="6701" spans="1:21" hidden="1">
      <c r="A6701" s="7" t="s">
        <v>8950</v>
      </c>
      <c r="B6701" s="7" t="s">
        <v>8374</v>
      </c>
      <c r="C6701" s="8" t="s">
        <v>5319</v>
      </c>
      <c r="D6701" t="s">
        <v>1655</v>
      </c>
      <c r="E6701" t="s">
        <v>3976</v>
      </c>
      <c r="F6701" t="s">
        <v>231</v>
      </c>
      <c r="G6701" t="s">
        <v>3979</v>
      </c>
      <c r="H6701" s="9">
        <v>44733</v>
      </c>
      <c r="I6701" t="s">
        <v>3978</v>
      </c>
      <c r="J6701" t="s">
        <v>0</v>
      </c>
      <c r="K6701" s="9">
        <v>44803</v>
      </c>
      <c r="L6701" t="s">
        <v>29</v>
      </c>
      <c r="M6701"/>
      <c r="N6701"/>
      <c r="O6701"/>
      <c r="P6701"/>
      <c r="Q6701" s="9">
        <v>44803</v>
      </c>
      <c r="R6701" s="9">
        <v>44776.737060185202</v>
      </c>
      <c r="S6701"/>
      <c r="T6701"/>
      <c r="U6701"/>
    </row>
    <row r="6702" spans="1:21" hidden="1">
      <c r="A6702" s="7" t="s">
        <v>8949</v>
      </c>
      <c r="B6702" s="7" t="s">
        <v>8373</v>
      </c>
      <c r="C6702" s="8" t="s">
        <v>5319</v>
      </c>
      <c r="D6702" t="s">
        <v>1655</v>
      </c>
      <c r="E6702" t="s">
        <v>3960</v>
      </c>
      <c r="F6702" t="s">
        <v>117</v>
      </c>
      <c r="G6702" t="s">
        <v>3980</v>
      </c>
      <c r="H6702" s="9">
        <v>44733</v>
      </c>
      <c r="I6702" t="s">
        <v>3962</v>
      </c>
      <c r="J6702" t="s">
        <v>2</v>
      </c>
      <c r="K6702" s="9">
        <v>44834</v>
      </c>
      <c r="L6702" t="s">
        <v>29</v>
      </c>
      <c r="M6702" t="s">
        <v>5331</v>
      </c>
      <c r="N6702" s="9">
        <v>44778</v>
      </c>
      <c r="O6702" s="9">
        <v>44834</v>
      </c>
      <c r="P6702"/>
      <c r="Q6702"/>
      <c r="R6702"/>
      <c r="S6702"/>
      <c r="T6702"/>
      <c r="U6702"/>
    </row>
    <row r="6703" spans="1:21" hidden="1">
      <c r="A6703" s="7" t="s">
        <v>8949</v>
      </c>
      <c r="B6703" s="7" t="s">
        <v>8373</v>
      </c>
      <c r="C6703" s="8" t="s">
        <v>5319</v>
      </c>
      <c r="D6703" t="s">
        <v>1655</v>
      </c>
      <c r="E6703" t="s">
        <v>3960</v>
      </c>
      <c r="F6703" t="s">
        <v>117</v>
      </c>
      <c r="G6703" t="s">
        <v>3981</v>
      </c>
      <c r="H6703" s="9">
        <v>44733</v>
      </c>
      <c r="I6703" t="s">
        <v>3962</v>
      </c>
      <c r="J6703" t="s">
        <v>2</v>
      </c>
      <c r="K6703" s="9">
        <v>44834</v>
      </c>
      <c r="L6703" t="s">
        <v>29</v>
      </c>
      <c r="M6703" t="s">
        <v>5331</v>
      </c>
      <c r="N6703" s="9">
        <v>44778</v>
      </c>
      <c r="O6703" s="9">
        <v>44834</v>
      </c>
      <c r="P6703"/>
      <c r="Q6703"/>
      <c r="R6703"/>
      <c r="S6703"/>
      <c r="T6703"/>
      <c r="U6703"/>
    </row>
    <row r="6704" spans="1:21" hidden="1">
      <c r="A6704" s="7" t="s">
        <v>8949</v>
      </c>
      <c r="B6704" s="7" t="s">
        <v>8373</v>
      </c>
      <c r="C6704" s="8" t="s">
        <v>5319</v>
      </c>
      <c r="D6704" t="s">
        <v>1655</v>
      </c>
      <c r="E6704" t="s">
        <v>3960</v>
      </c>
      <c r="F6704" t="s">
        <v>117</v>
      </c>
      <c r="G6704" t="s">
        <v>3982</v>
      </c>
      <c r="H6704" s="9">
        <v>44733</v>
      </c>
      <c r="I6704" t="s">
        <v>3962</v>
      </c>
      <c r="J6704" t="s">
        <v>2</v>
      </c>
      <c r="K6704" s="9">
        <v>44834</v>
      </c>
      <c r="L6704" t="s">
        <v>29</v>
      </c>
      <c r="M6704" t="s">
        <v>5331</v>
      </c>
      <c r="N6704" s="9">
        <v>44778</v>
      </c>
      <c r="O6704" s="9">
        <v>44834</v>
      </c>
      <c r="P6704"/>
      <c r="Q6704"/>
      <c r="R6704"/>
      <c r="S6704"/>
      <c r="T6704"/>
      <c r="U6704"/>
    </row>
    <row r="6705" spans="1:21" hidden="1">
      <c r="A6705" s="7" t="s">
        <v>8951</v>
      </c>
      <c r="B6705" s="7" t="s">
        <v>8375</v>
      </c>
      <c r="C6705" s="8" t="s">
        <v>5319</v>
      </c>
      <c r="D6705" t="s">
        <v>1655</v>
      </c>
      <c r="E6705" t="s">
        <v>3983</v>
      </c>
      <c r="F6705" t="s">
        <v>231</v>
      </c>
      <c r="G6705" t="s">
        <v>3984</v>
      </c>
      <c r="H6705" s="9">
        <v>44733</v>
      </c>
      <c r="I6705" t="s">
        <v>1660</v>
      </c>
      <c r="J6705" t="s">
        <v>2</v>
      </c>
      <c r="K6705" s="9">
        <v>44834</v>
      </c>
      <c r="L6705" t="s">
        <v>29</v>
      </c>
      <c r="M6705" t="s">
        <v>5331</v>
      </c>
      <c r="N6705" s="9">
        <v>44778</v>
      </c>
      <c r="O6705" s="9">
        <v>44834</v>
      </c>
      <c r="P6705"/>
      <c r="Q6705"/>
      <c r="R6705"/>
      <c r="S6705"/>
      <c r="T6705"/>
      <c r="U6705"/>
    </row>
    <row r="6706" spans="1:21" hidden="1">
      <c r="A6706" s="7" t="s">
        <v>8951</v>
      </c>
      <c r="B6706" s="7" t="s">
        <v>8375</v>
      </c>
      <c r="C6706" s="8" t="s">
        <v>5319</v>
      </c>
      <c r="D6706" t="s">
        <v>1655</v>
      </c>
      <c r="E6706" t="s">
        <v>3983</v>
      </c>
      <c r="F6706" t="s">
        <v>231</v>
      </c>
      <c r="G6706" t="s">
        <v>3985</v>
      </c>
      <c r="H6706" s="9">
        <v>44733</v>
      </c>
      <c r="I6706" t="s">
        <v>1660</v>
      </c>
      <c r="J6706" t="s">
        <v>2</v>
      </c>
      <c r="K6706" s="9">
        <v>44834</v>
      </c>
      <c r="L6706" t="s">
        <v>29</v>
      </c>
      <c r="M6706" t="s">
        <v>5331</v>
      </c>
      <c r="N6706" s="9">
        <v>44778</v>
      </c>
      <c r="O6706" s="9">
        <v>44834</v>
      </c>
      <c r="P6706"/>
      <c r="Q6706"/>
      <c r="R6706"/>
      <c r="S6706"/>
      <c r="T6706"/>
      <c r="U6706"/>
    </row>
    <row r="6707" spans="1:21" hidden="1">
      <c r="A6707" s="7" t="s">
        <v>8951</v>
      </c>
      <c r="B6707" s="7" t="s">
        <v>8375</v>
      </c>
      <c r="C6707" s="8" t="s">
        <v>5319</v>
      </c>
      <c r="D6707" t="s">
        <v>1655</v>
      </c>
      <c r="E6707" t="s">
        <v>3983</v>
      </c>
      <c r="F6707" t="s">
        <v>231</v>
      </c>
      <c r="G6707" t="s">
        <v>3986</v>
      </c>
      <c r="H6707" s="9">
        <v>44733</v>
      </c>
      <c r="I6707" t="s">
        <v>1660</v>
      </c>
      <c r="J6707" t="s">
        <v>2</v>
      </c>
      <c r="K6707" s="9">
        <v>44834</v>
      </c>
      <c r="L6707" t="s">
        <v>29</v>
      </c>
      <c r="M6707" t="s">
        <v>5331</v>
      </c>
      <c r="N6707" s="9">
        <v>44778</v>
      </c>
      <c r="O6707" s="9">
        <v>44834</v>
      </c>
      <c r="P6707"/>
      <c r="Q6707"/>
      <c r="R6707"/>
      <c r="S6707"/>
      <c r="T6707"/>
      <c r="U6707"/>
    </row>
    <row r="6708" spans="1:21" hidden="1">
      <c r="A6708" s="7" t="s">
        <v>8951</v>
      </c>
      <c r="B6708" s="7" t="s">
        <v>8375</v>
      </c>
      <c r="C6708" s="8" t="s">
        <v>5319</v>
      </c>
      <c r="D6708" t="s">
        <v>1655</v>
      </c>
      <c r="E6708" t="s">
        <v>3983</v>
      </c>
      <c r="F6708" t="s">
        <v>231</v>
      </c>
      <c r="G6708" t="s">
        <v>3987</v>
      </c>
      <c r="H6708" s="9">
        <v>44733</v>
      </c>
      <c r="I6708" t="s">
        <v>1660</v>
      </c>
      <c r="J6708" t="s">
        <v>2</v>
      </c>
      <c r="K6708" s="9">
        <v>44834</v>
      </c>
      <c r="L6708" t="s">
        <v>29</v>
      </c>
      <c r="M6708" t="s">
        <v>5331</v>
      </c>
      <c r="N6708" s="9">
        <v>44778</v>
      </c>
      <c r="O6708" s="9">
        <v>44834</v>
      </c>
      <c r="P6708"/>
      <c r="Q6708"/>
      <c r="R6708"/>
      <c r="S6708"/>
      <c r="T6708"/>
      <c r="U6708"/>
    </row>
    <row r="6709" spans="1:21" hidden="1">
      <c r="A6709" s="7" t="s">
        <v>8951</v>
      </c>
      <c r="B6709" s="7" t="s">
        <v>8375</v>
      </c>
      <c r="C6709" s="8" t="s">
        <v>5319</v>
      </c>
      <c r="D6709" t="s">
        <v>1655</v>
      </c>
      <c r="E6709" t="s">
        <v>3983</v>
      </c>
      <c r="F6709" t="s">
        <v>231</v>
      </c>
      <c r="G6709" t="s">
        <v>3988</v>
      </c>
      <c r="H6709" s="9">
        <v>44733</v>
      </c>
      <c r="I6709" t="s">
        <v>1660</v>
      </c>
      <c r="J6709" t="s">
        <v>2</v>
      </c>
      <c r="K6709" s="9">
        <v>44834</v>
      </c>
      <c r="L6709" t="s">
        <v>29</v>
      </c>
      <c r="M6709" t="s">
        <v>5331</v>
      </c>
      <c r="N6709" s="9">
        <v>44778</v>
      </c>
      <c r="O6709" s="9">
        <v>44834</v>
      </c>
      <c r="P6709"/>
      <c r="Q6709"/>
      <c r="R6709"/>
      <c r="S6709"/>
      <c r="T6709"/>
      <c r="U6709"/>
    </row>
    <row r="6710" spans="1:21" hidden="1">
      <c r="A6710" s="7" t="s">
        <v>8951</v>
      </c>
      <c r="B6710" s="7" t="s">
        <v>8375</v>
      </c>
      <c r="C6710" s="8" t="s">
        <v>5319</v>
      </c>
      <c r="D6710" t="s">
        <v>1655</v>
      </c>
      <c r="E6710" t="s">
        <v>3983</v>
      </c>
      <c r="F6710" t="s">
        <v>231</v>
      </c>
      <c r="G6710" t="s">
        <v>3989</v>
      </c>
      <c r="H6710" s="9">
        <v>44733</v>
      </c>
      <c r="I6710" t="s">
        <v>1660</v>
      </c>
      <c r="J6710" t="s">
        <v>2</v>
      </c>
      <c r="K6710" s="9">
        <v>44834</v>
      </c>
      <c r="L6710" t="s">
        <v>29</v>
      </c>
      <c r="M6710" t="s">
        <v>5331</v>
      </c>
      <c r="N6710" s="9">
        <v>44778</v>
      </c>
      <c r="O6710" s="9">
        <v>44834</v>
      </c>
      <c r="P6710"/>
      <c r="Q6710"/>
      <c r="R6710"/>
      <c r="S6710"/>
      <c r="T6710"/>
      <c r="U6710"/>
    </row>
    <row r="6711" spans="1:21" hidden="1">
      <c r="A6711" s="7" t="s">
        <v>8951</v>
      </c>
      <c r="B6711" s="7" t="s">
        <v>8375</v>
      </c>
      <c r="C6711" s="8" t="s">
        <v>5319</v>
      </c>
      <c r="D6711" t="s">
        <v>1655</v>
      </c>
      <c r="E6711" t="s">
        <v>3983</v>
      </c>
      <c r="F6711" t="s">
        <v>231</v>
      </c>
      <c r="G6711" t="s">
        <v>3990</v>
      </c>
      <c r="H6711" s="9">
        <v>44733</v>
      </c>
      <c r="I6711" t="s">
        <v>1660</v>
      </c>
      <c r="J6711" t="s">
        <v>2</v>
      </c>
      <c r="K6711" s="9">
        <v>44834</v>
      </c>
      <c r="L6711" t="s">
        <v>29</v>
      </c>
      <c r="M6711" t="s">
        <v>5331</v>
      </c>
      <c r="N6711" s="9">
        <v>44778</v>
      </c>
      <c r="O6711" s="9">
        <v>44834</v>
      </c>
      <c r="P6711"/>
      <c r="Q6711"/>
      <c r="R6711"/>
      <c r="S6711"/>
      <c r="T6711"/>
      <c r="U6711"/>
    </row>
    <row r="6712" spans="1:21" hidden="1">
      <c r="A6712" s="7" t="s">
        <v>8951</v>
      </c>
      <c r="B6712" s="7" t="s">
        <v>8375</v>
      </c>
      <c r="C6712" s="8" t="s">
        <v>5319</v>
      </c>
      <c r="D6712" t="s">
        <v>1655</v>
      </c>
      <c r="E6712" t="s">
        <v>3983</v>
      </c>
      <c r="F6712" t="s">
        <v>231</v>
      </c>
      <c r="G6712" t="s">
        <v>3991</v>
      </c>
      <c r="H6712" s="9">
        <v>44733</v>
      </c>
      <c r="I6712" t="s">
        <v>1660</v>
      </c>
      <c r="J6712" t="s">
        <v>2</v>
      </c>
      <c r="K6712" s="9">
        <v>44834</v>
      </c>
      <c r="L6712" t="s">
        <v>29</v>
      </c>
      <c r="M6712" t="s">
        <v>5331</v>
      </c>
      <c r="N6712" s="9">
        <v>44778</v>
      </c>
      <c r="O6712" s="9">
        <v>44834</v>
      </c>
      <c r="P6712"/>
      <c r="Q6712"/>
      <c r="R6712"/>
      <c r="S6712"/>
      <c r="T6712"/>
      <c r="U6712"/>
    </row>
    <row r="6713" spans="1:21" hidden="1">
      <c r="A6713" s="7" t="s">
        <v>8952</v>
      </c>
      <c r="B6713" s="7" t="s">
        <v>7112</v>
      </c>
      <c r="C6713" s="8" t="s">
        <v>5319</v>
      </c>
      <c r="D6713" t="s">
        <v>1655</v>
      </c>
      <c r="E6713" t="s">
        <v>3992</v>
      </c>
      <c r="F6713" t="s">
        <v>117</v>
      </c>
      <c r="G6713" t="s">
        <v>3993</v>
      </c>
      <c r="H6713" s="9">
        <v>44733</v>
      </c>
      <c r="I6713" t="s">
        <v>3962</v>
      </c>
      <c r="J6713" t="s">
        <v>2</v>
      </c>
      <c r="K6713" s="9">
        <v>44834</v>
      </c>
      <c r="L6713" t="s">
        <v>29</v>
      </c>
      <c r="M6713" t="s">
        <v>5331</v>
      </c>
      <c r="N6713" s="9">
        <v>44778</v>
      </c>
      <c r="O6713" s="9">
        <v>44834</v>
      </c>
      <c r="P6713"/>
      <c r="Q6713"/>
      <c r="R6713"/>
      <c r="S6713"/>
      <c r="T6713"/>
      <c r="U6713"/>
    </row>
    <row r="6714" spans="1:21" hidden="1">
      <c r="A6714" s="7" t="s">
        <v>8952</v>
      </c>
      <c r="B6714" s="7" t="s">
        <v>7112</v>
      </c>
      <c r="C6714" s="8" t="s">
        <v>5319</v>
      </c>
      <c r="D6714" t="s">
        <v>1655</v>
      </c>
      <c r="E6714" t="s">
        <v>3992</v>
      </c>
      <c r="F6714" t="s">
        <v>117</v>
      </c>
      <c r="G6714" t="s">
        <v>3994</v>
      </c>
      <c r="H6714" s="9">
        <v>44733</v>
      </c>
      <c r="I6714" t="s">
        <v>3962</v>
      </c>
      <c r="J6714" t="s">
        <v>2</v>
      </c>
      <c r="K6714" s="9">
        <v>44834</v>
      </c>
      <c r="L6714" t="s">
        <v>29</v>
      </c>
      <c r="M6714" t="s">
        <v>5331</v>
      </c>
      <c r="N6714" s="9">
        <v>44778</v>
      </c>
      <c r="O6714" s="9">
        <v>44834</v>
      </c>
      <c r="P6714"/>
      <c r="Q6714"/>
      <c r="R6714"/>
      <c r="S6714"/>
      <c r="T6714"/>
      <c r="U6714"/>
    </row>
    <row r="6715" spans="1:21" hidden="1">
      <c r="A6715" s="7" t="s">
        <v>8952</v>
      </c>
      <c r="B6715" s="7" t="s">
        <v>7112</v>
      </c>
      <c r="C6715" s="8" t="s">
        <v>5319</v>
      </c>
      <c r="D6715" t="s">
        <v>1655</v>
      </c>
      <c r="E6715" t="s">
        <v>3992</v>
      </c>
      <c r="F6715" t="s">
        <v>117</v>
      </c>
      <c r="G6715" t="s">
        <v>3995</v>
      </c>
      <c r="H6715" s="9">
        <v>44733</v>
      </c>
      <c r="I6715" t="s">
        <v>3962</v>
      </c>
      <c r="J6715" t="s">
        <v>2</v>
      </c>
      <c r="K6715" s="9">
        <v>44834</v>
      </c>
      <c r="L6715" t="s">
        <v>29</v>
      </c>
      <c r="M6715" t="s">
        <v>5331</v>
      </c>
      <c r="N6715" s="9">
        <v>44778</v>
      </c>
      <c r="O6715" s="9">
        <v>44834</v>
      </c>
      <c r="P6715"/>
      <c r="Q6715"/>
      <c r="R6715"/>
      <c r="S6715"/>
      <c r="T6715"/>
      <c r="U6715"/>
    </row>
    <row r="6716" spans="1:21" hidden="1">
      <c r="A6716" s="7" t="s">
        <v>8952</v>
      </c>
      <c r="B6716" s="7" t="s">
        <v>7112</v>
      </c>
      <c r="C6716" s="8" t="s">
        <v>5319</v>
      </c>
      <c r="D6716" t="s">
        <v>1655</v>
      </c>
      <c r="E6716" t="s">
        <v>3992</v>
      </c>
      <c r="F6716" t="s">
        <v>117</v>
      </c>
      <c r="G6716" t="s">
        <v>3996</v>
      </c>
      <c r="H6716" s="9">
        <v>44733</v>
      </c>
      <c r="I6716" t="s">
        <v>3962</v>
      </c>
      <c r="J6716" t="s">
        <v>2</v>
      </c>
      <c r="K6716" s="9">
        <v>44834</v>
      </c>
      <c r="L6716" t="s">
        <v>29</v>
      </c>
      <c r="M6716" t="s">
        <v>5331</v>
      </c>
      <c r="N6716" s="9">
        <v>44778</v>
      </c>
      <c r="O6716" s="9">
        <v>44834</v>
      </c>
      <c r="P6716"/>
      <c r="Q6716"/>
      <c r="R6716"/>
      <c r="S6716"/>
      <c r="T6716"/>
      <c r="U6716"/>
    </row>
    <row r="6717" spans="1:21" hidden="1">
      <c r="A6717" s="7" t="s">
        <v>8952</v>
      </c>
      <c r="B6717" s="7" t="s">
        <v>7112</v>
      </c>
      <c r="C6717" s="8" t="s">
        <v>5319</v>
      </c>
      <c r="D6717" t="s">
        <v>1655</v>
      </c>
      <c r="E6717" t="s">
        <v>3992</v>
      </c>
      <c r="F6717" t="s">
        <v>117</v>
      </c>
      <c r="G6717" t="s">
        <v>3997</v>
      </c>
      <c r="H6717" s="9">
        <v>44733</v>
      </c>
      <c r="I6717" t="s">
        <v>3962</v>
      </c>
      <c r="J6717" t="s">
        <v>2</v>
      </c>
      <c r="K6717" s="9">
        <v>44834</v>
      </c>
      <c r="L6717" t="s">
        <v>29</v>
      </c>
      <c r="M6717" t="s">
        <v>5331</v>
      </c>
      <c r="N6717" s="9">
        <v>44778</v>
      </c>
      <c r="O6717" s="9">
        <v>44834</v>
      </c>
      <c r="P6717"/>
      <c r="Q6717"/>
      <c r="R6717"/>
      <c r="S6717"/>
      <c r="T6717"/>
      <c r="U6717"/>
    </row>
    <row r="6718" spans="1:21" hidden="1">
      <c r="A6718" s="7" t="s">
        <v>8952</v>
      </c>
      <c r="B6718" s="7" t="s">
        <v>7112</v>
      </c>
      <c r="C6718" s="8" t="s">
        <v>5319</v>
      </c>
      <c r="D6718" t="s">
        <v>1655</v>
      </c>
      <c r="E6718" t="s">
        <v>3992</v>
      </c>
      <c r="F6718" t="s">
        <v>117</v>
      </c>
      <c r="G6718" t="s">
        <v>3998</v>
      </c>
      <c r="H6718" s="9">
        <v>44733</v>
      </c>
      <c r="I6718" t="s">
        <v>3962</v>
      </c>
      <c r="J6718" t="s">
        <v>2</v>
      </c>
      <c r="K6718" s="9">
        <v>44834</v>
      </c>
      <c r="L6718" t="s">
        <v>29</v>
      </c>
      <c r="M6718" t="s">
        <v>5331</v>
      </c>
      <c r="N6718" s="9">
        <v>44778</v>
      </c>
      <c r="O6718" s="9">
        <v>44834</v>
      </c>
      <c r="P6718"/>
      <c r="Q6718"/>
      <c r="R6718"/>
      <c r="S6718"/>
      <c r="T6718"/>
      <c r="U6718"/>
    </row>
    <row r="6719" spans="1:21" hidden="1">
      <c r="A6719" s="7" t="s">
        <v>8952</v>
      </c>
      <c r="B6719" s="7" t="s">
        <v>7112</v>
      </c>
      <c r="C6719" s="8" t="s">
        <v>5319</v>
      </c>
      <c r="D6719" t="s">
        <v>1655</v>
      </c>
      <c r="E6719" t="s">
        <v>3992</v>
      </c>
      <c r="F6719" t="s">
        <v>117</v>
      </c>
      <c r="G6719" t="s">
        <v>3999</v>
      </c>
      <c r="H6719" s="9">
        <v>44733</v>
      </c>
      <c r="I6719" t="s">
        <v>3962</v>
      </c>
      <c r="J6719" t="s">
        <v>2</v>
      </c>
      <c r="K6719" s="9">
        <v>44834</v>
      </c>
      <c r="L6719" t="s">
        <v>29</v>
      </c>
      <c r="M6719" t="s">
        <v>5331</v>
      </c>
      <c r="N6719" s="9">
        <v>44778</v>
      </c>
      <c r="O6719" s="9">
        <v>44834</v>
      </c>
      <c r="P6719"/>
      <c r="Q6719"/>
      <c r="R6719"/>
      <c r="S6719"/>
      <c r="T6719"/>
      <c r="U6719"/>
    </row>
    <row r="6720" spans="1:21" hidden="1">
      <c r="A6720" s="7" t="s">
        <v>8952</v>
      </c>
      <c r="B6720" s="7" t="s">
        <v>7112</v>
      </c>
      <c r="C6720" s="8" t="s">
        <v>5319</v>
      </c>
      <c r="D6720" t="s">
        <v>1655</v>
      </c>
      <c r="E6720" t="s">
        <v>3992</v>
      </c>
      <c r="F6720" t="s">
        <v>117</v>
      </c>
      <c r="G6720" t="s">
        <v>4000</v>
      </c>
      <c r="H6720" s="9">
        <v>44733</v>
      </c>
      <c r="I6720" t="s">
        <v>3962</v>
      </c>
      <c r="J6720" t="s">
        <v>2</v>
      </c>
      <c r="K6720" s="9">
        <v>44834</v>
      </c>
      <c r="L6720" t="s">
        <v>29</v>
      </c>
      <c r="M6720" t="s">
        <v>5331</v>
      </c>
      <c r="N6720" s="9">
        <v>44778</v>
      </c>
      <c r="O6720" s="9">
        <v>44834</v>
      </c>
      <c r="P6720"/>
      <c r="Q6720"/>
      <c r="R6720"/>
      <c r="S6720"/>
      <c r="T6720"/>
      <c r="U6720"/>
    </row>
    <row r="6721" spans="1:21" hidden="1">
      <c r="A6721" s="7" t="s">
        <v>8952</v>
      </c>
      <c r="B6721" s="7" t="s">
        <v>7112</v>
      </c>
      <c r="C6721" s="8" t="s">
        <v>5319</v>
      </c>
      <c r="D6721" t="s">
        <v>1655</v>
      </c>
      <c r="E6721" t="s">
        <v>3992</v>
      </c>
      <c r="F6721" t="s">
        <v>117</v>
      </c>
      <c r="G6721" t="s">
        <v>4001</v>
      </c>
      <c r="H6721" s="9">
        <v>44733</v>
      </c>
      <c r="I6721" t="s">
        <v>3962</v>
      </c>
      <c r="J6721" t="s">
        <v>2</v>
      </c>
      <c r="K6721" s="9">
        <v>44834</v>
      </c>
      <c r="L6721" t="s">
        <v>29</v>
      </c>
      <c r="M6721" t="s">
        <v>5331</v>
      </c>
      <c r="N6721" s="9">
        <v>44778</v>
      </c>
      <c r="O6721" s="9">
        <v>44834</v>
      </c>
      <c r="P6721"/>
      <c r="Q6721"/>
      <c r="R6721"/>
      <c r="S6721"/>
      <c r="T6721"/>
      <c r="U6721"/>
    </row>
    <row r="6722" spans="1:21" hidden="1">
      <c r="A6722" s="7" t="s">
        <v>8952</v>
      </c>
      <c r="B6722" s="7" t="s">
        <v>7112</v>
      </c>
      <c r="C6722" s="8" t="s">
        <v>5319</v>
      </c>
      <c r="D6722" t="s">
        <v>1655</v>
      </c>
      <c r="E6722" t="s">
        <v>3992</v>
      </c>
      <c r="F6722" t="s">
        <v>117</v>
      </c>
      <c r="G6722" t="s">
        <v>4002</v>
      </c>
      <c r="H6722" s="9">
        <v>44733</v>
      </c>
      <c r="I6722" t="s">
        <v>3962</v>
      </c>
      <c r="J6722" t="s">
        <v>2</v>
      </c>
      <c r="K6722" s="9">
        <v>44834</v>
      </c>
      <c r="L6722" t="s">
        <v>29</v>
      </c>
      <c r="M6722" t="s">
        <v>5331</v>
      </c>
      <c r="N6722" s="9">
        <v>44778</v>
      </c>
      <c r="O6722" s="9">
        <v>44834</v>
      </c>
      <c r="P6722"/>
      <c r="Q6722"/>
      <c r="R6722"/>
      <c r="S6722"/>
      <c r="T6722"/>
      <c r="U6722"/>
    </row>
    <row r="6723" spans="1:21" hidden="1">
      <c r="A6723" s="7" t="s">
        <v>8952</v>
      </c>
      <c r="B6723" s="7" t="s">
        <v>7112</v>
      </c>
      <c r="C6723" s="8" t="s">
        <v>5319</v>
      </c>
      <c r="D6723" t="s">
        <v>1655</v>
      </c>
      <c r="E6723" t="s">
        <v>3992</v>
      </c>
      <c r="F6723" t="s">
        <v>117</v>
      </c>
      <c r="G6723" t="s">
        <v>4003</v>
      </c>
      <c r="H6723" s="9">
        <v>44733</v>
      </c>
      <c r="I6723" t="s">
        <v>3962</v>
      </c>
      <c r="J6723" t="s">
        <v>2</v>
      </c>
      <c r="K6723" s="9">
        <v>44834</v>
      </c>
      <c r="L6723" t="s">
        <v>29</v>
      </c>
      <c r="M6723" t="s">
        <v>5331</v>
      </c>
      <c r="N6723" s="9">
        <v>44778</v>
      </c>
      <c r="O6723" s="9">
        <v>44834</v>
      </c>
      <c r="P6723"/>
      <c r="Q6723"/>
      <c r="R6723"/>
      <c r="S6723"/>
      <c r="T6723"/>
      <c r="U6723"/>
    </row>
    <row r="6724" spans="1:21" hidden="1">
      <c r="A6724" s="7" t="s">
        <v>8952</v>
      </c>
      <c r="B6724" s="7" t="s">
        <v>7112</v>
      </c>
      <c r="C6724" s="8" t="s">
        <v>5319</v>
      </c>
      <c r="D6724" t="s">
        <v>1655</v>
      </c>
      <c r="E6724" t="s">
        <v>3992</v>
      </c>
      <c r="F6724" t="s">
        <v>117</v>
      </c>
      <c r="G6724" t="s">
        <v>4004</v>
      </c>
      <c r="H6724" s="9">
        <v>44733</v>
      </c>
      <c r="I6724" t="s">
        <v>3962</v>
      </c>
      <c r="J6724" t="s">
        <v>2</v>
      </c>
      <c r="K6724" s="9">
        <v>44834</v>
      </c>
      <c r="L6724" t="s">
        <v>29</v>
      </c>
      <c r="M6724" t="s">
        <v>5331</v>
      </c>
      <c r="N6724" s="9">
        <v>44778</v>
      </c>
      <c r="O6724" s="9">
        <v>44834</v>
      </c>
      <c r="P6724"/>
      <c r="Q6724"/>
      <c r="R6724"/>
      <c r="S6724"/>
      <c r="T6724"/>
      <c r="U6724"/>
    </row>
    <row r="6725" spans="1:21" hidden="1">
      <c r="A6725" s="7" t="s">
        <v>8952</v>
      </c>
      <c r="B6725" s="7" t="s">
        <v>7112</v>
      </c>
      <c r="C6725" s="8" t="s">
        <v>5319</v>
      </c>
      <c r="D6725" t="s">
        <v>1655</v>
      </c>
      <c r="E6725" t="s">
        <v>3992</v>
      </c>
      <c r="F6725" t="s">
        <v>117</v>
      </c>
      <c r="G6725" t="s">
        <v>4005</v>
      </c>
      <c r="H6725" s="9">
        <v>44733</v>
      </c>
      <c r="I6725" t="s">
        <v>3962</v>
      </c>
      <c r="J6725" t="s">
        <v>2</v>
      </c>
      <c r="K6725" s="9">
        <v>44834</v>
      </c>
      <c r="L6725" t="s">
        <v>29</v>
      </c>
      <c r="M6725" t="s">
        <v>5331</v>
      </c>
      <c r="N6725" s="9">
        <v>44778</v>
      </c>
      <c r="O6725" s="9">
        <v>44834</v>
      </c>
      <c r="P6725"/>
      <c r="Q6725"/>
      <c r="R6725"/>
      <c r="S6725"/>
      <c r="T6725"/>
      <c r="U6725"/>
    </row>
    <row r="6726" spans="1:21" hidden="1">
      <c r="A6726" s="7" t="s">
        <v>8952</v>
      </c>
      <c r="B6726" s="7" t="s">
        <v>7112</v>
      </c>
      <c r="C6726" s="8" t="s">
        <v>5319</v>
      </c>
      <c r="D6726" t="s">
        <v>1655</v>
      </c>
      <c r="E6726" t="s">
        <v>3992</v>
      </c>
      <c r="F6726" t="s">
        <v>117</v>
      </c>
      <c r="G6726" t="s">
        <v>4006</v>
      </c>
      <c r="H6726" s="9">
        <v>44733</v>
      </c>
      <c r="I6726" t="s">
        <v>3962</v>
      </c>
      <c r="J6726" t="s">
        <v>2</v>
      </c>
      <c r="K6726" s="9">
        <v>44834</v>
      </c>
      <c r="L6726" t="s">
        <v>29</v>
      </c>
      <c r="M6726" t="s">
        <v>5331</v>
      </c>
      <c r="N6726" s="9">
        <v>44778</v>
      </c>
      <c r="O6726" s="9">
        <v>44834</v>
      </c>
      <c r="P6726"/>
      <c r="Q6726"/>
      <c r="R6726"/>
      <c r="S6726"/>
      <c r="T6726"/>
      <c r="U6726"/>
    </row>
    <row r="6727" spans="1:21" hidden="1">
      <c r="A6727" s="7" t="s">
        <v>8952</v>
      </c>
      <c r="B6727" s="7" t="s">
        <v>7112</v>
      </c>
      <c r="C6727" s="8" t="s">
        <v>5319</v>
      </c>
      <c r="D6727" t="s">
        <v>1655</v>
      </c>
      <c r="E6727" t="s">
        <v>3992</v>
      </c>
      <c r="F6727" t="s">
        <v>117</v>
      </c>
      <c r="G6727" t="s">
        <v>4007</v>
      </c>
      <c r="H6727" s="9">
        <v>44733</v>
      </c>
      <c r="I6727" t="s">
        <v>3962</v>
      </c>
      <c r="J6727" t="s">
        <v>2</v>
      </c>
      <c r="K6727" s="9">
        <v>44834</v>
      </c>
      <c r="L6727" t="s">
        <v>29</v>
      </c>
      <c r="M6727" t="s">
        <v>5331</v>
      </c>
      <c r="N6727" s="9">
        <v>44778</v>
      </c>
      <c r="O6727" s="9">
        <v>44834</v>
      </c>
      <c r="P6727"/>
      <c r="Q6727"/>
      <c r="R6727"/>
      <c r="S6727"/>
      <c r="T6727"/>
      <c r="U6727"/>
    </row>
    <row r="6728" spans="1:21" hidden="1">
      <c r="A6728" s="7" t="s">
        <v>8952</v>
      </c>
      <c r="B6728" s="7" t="s">
        <v>7112</v>
      </c>
      <c r="C6728" s="8" t="s">
        <v>5319</v>
      </c>
      <c r="D6728" t="s">
        <v>1655</v>
      </c>
      <c r="E6728" t="s">
        <v>3992</v>
      </c>
      <c r="F6728" t="s">
        <v>117</v>
      </c>
      <c r="G6728" t="s">
        <v>4008</v>
      </c>
      <c r="H6728" s="9">
        <v>44733</v>
      </c>
      <c r="I6728" t="s">
        <v>3962</v>
      </c>
      <c r="J6728" t="s">
        <v>2</v>
      </c>
      <c r="K6728" s="9">
        <v>44834</v>
      </c>
      <c r="L6728" t="s">
        <v>29</v>
      </c>
      <c r="M6728" t="s">
        <v>5331</v>
      </c>
      <c r="N6728" s="9">
        <v>44778</v>
      </c>
      <c r="O6728" s="9">
        <v>44834</v>
      </c>
      <c r="P6728"/>
      <c r="Q6728"/>
      <c r="R6728"/>
      <c r="S6728"/>
      <c r="T6728"/>
      <c r="U6728"/>
    </row>
    <row r="6729" spans="1:21" hidden="1">
      <c r="A6729" s="7" t="s">
        <v>8953</v>
      </c>
      <c r="B6729" s="7" t="s">
        <v>8376</v>
      </c>
      <c r="C6729" s="8" t="s">
        <v>5319</v>
      </c>
      <c r="D6729" t="s">
        <v>1655</v>
      </c>
      <c r="E6729" t="s">
        <v>4009</v>
      </c>
      <c r="F6729" t="s">
        <v>117</v>
      </c>
      <c r="G6729" t="s">
        <v>4010</v>
      </c>
      <c r="H6729" s="9">
        <v>44733</v>
      </c>
      <c r="I6729" t="s">
        <v>4011</v>
      </c>
      <c r="J6729" t="s">
        <v>2</v>
      </c>
      <c r="K6729" s="9">
        <v>44834</v>
      </c>
      <c r="L6729" t="s">
        <v>29</v>
      </c>
      <c r="M6729" t="s">
        <v>5331</v>
      </c>
      <c r="N6729" s="9">
        <v>44778</v>
      </c>
      <c r="O6729" s="9">
        <v>44834</v>
      </c>
      <c r="P6729"/>
      <c r="Q6729"/>
      <c r="R6729"/>
      <c r="S6729"/>
      <c r="T6729"/>
      <c r="U6729"/>
    </row>
    <row r="6730" spans="1:21" hidden="1">
      <c r="A6730" s="7" t="s">
        <v>8953</v>
      </c>
      <c r="B6730" s="7" t="s">
        <v>8376</v>
      </c>
      <c r="C6730" s="8" t="s">
        <v>5319</v>
      </c>
      <c r="D6730" t="s">
        <v>1655</v>
      </c>
      <c r="E6730" t="s">
        <v>4009</v>
      </c>
      <c r="F6730" t="s">
        <v>117</v>
      </c>
      <c r="G6730" t="s">
        <v>4012</v>
      </c>
      <c r="H6730" s="9">
        <v>44733</v>
      </c>
      <c r="I6730" t="s">
        <v>4011</v>
      </c>
      <c r="J6730" t="s">
        <v>2</v>
      </c>
      <c r="K6730" s="9">
        <v>44834</v>
      </c>
      <c r="L6730" t="s">
        <v>29</v>
      </c>
      <c r="M6730" t="s">
        <v>5331</v>
      </c>
      <c r="N6730" s="9">
        <v>44778</v>
      </c>
      <c r="O6730" s="9">
        <v>44834</v>
      </c>
      <c r="P6730"/>
      <c r="Q6730"/>
      <c r="R6730"/>
      <c r="S6730"/>
      <c r="T6730"/>
      <c r="U6730"/>
    </row>
    <row r="6731" spans="1:21" hidden="1">
      <c r="A6731" s="7" t="s">
        <v>8953</v>
      </c>
      <c r="B6731" s="7" t="s">
        <v>8376</v>
      </c>
      <c r="C6731" s="8" t="s">
        <v>5319</v>
      </c>
      <c r="D6731" t="s">
        <v>1655</v>
      </c>
      <c r="E6731" t="s">
        <v>4009</v>
      </c>
      <c r="F6731" t="s">
        <v>117</v>
      </c>
      <c r="G6731" t="s">
        <v>4013</v>
      </c>
      <c r="H6731" s="9">
        <v>44733</v>
      </c>
      <c r="I6731" t="s">
        <v>4011</v>
      </c>
      <c r="J6731" t="s">
        <v>2</v>
      </c>
      <c r="K6731" s="9">
        <v>44834</v>
      </c>
      <c r="L6731" t="s">
        <v>29</v>
      </c>
      <c r="M6731" t="s">
        <v>5331</v>
      </c>
      <c r="N6731" s="9">
        <v>44778</v>
      </c>
      <c r="O6731" s="9">
        <v>44834</v>
      </c>
      <c r="P6731"/>
      <c r="Q6731"/>
      <c r="R6731"/>
      <c r="S6731"/>
      <c r="T6731"/>
      <c r="U6731"/>
    </row>
    <row r="6732" spans="1:21" hidden="1">
      <c r="A6732" s="7" t="s">
        <v>8953</v>
      </c>
      <c r="B6732" s="7" t="s">
        <v>8376</v>
      </c>
      <c r="C6732" s="8" t="s">
        <v>5319</v>
      </c>
      <c r="D6732" t="s">
        <v>1655</v>
      </c>
      <c r="E6732" t="s">
        <v>4009</v>
      </c>
      <c r="F6732" t="s">
        <v>117</v>
      </c>
      <c r="G6732" t="s">
        <v>4014</v>
      </c>
      <c r="H6732" s="9">
        <v>44733</v>
      </c>
      <c r="I6732" t="s">
        <v>4011</v>
      </c>
      <c r="J6732" t="s">
        <v>2</v>
      </c>
      <c r="K6732" s="9">
        <v>44834</v>
      </c>
      <c r="L6732" t="s">
        <v>29</v>
      </c>
      <c r="M6732" t="s">
        <v>5331</v>
      </c>
      <c r="N6732" s="9">
        <v>44778</v>
      </c>
      <c r="O6732" s="9">
        <v>44834</v>
      </c>
      <c r="P6732"/>
      <c r="Q6732"/>
      <c r="R6732"/>
      <c r="S6732"/>
      <c r="T6732"/>
      <c r="U6732"/>
    </row>
    <row r="6733" spans="1:21" hidden="1">
      <c r="A6733" s="7" t="s">
        <v>8826</v>
      </c>
      <c r="B6733" s="7" t="s">
        <v>5405</v>
      </c>
      <c r="C6733" s="8" t="s">
        <v>5319</v>
      </c>
      <c r="D6733" t="s">
        <v>1655</v>
      </c>
      <c r="E6733" t="s">
        <v>25</v>
      </c>
      <c r="F6733" t="s">
        <v>117</v>
      </c>
      <c r="G6733" t="s">
        <v>4015</v>
      </c>
      <c r="H6733" s="9">
        <v>44733</v>
      </c>
      <c r="I6733" t="s">
        <v>8634</v>
      </c>
      <c r="J6733" t="s">
        <v>2</v>
      </c>
      <c r="K6733" s="9">
        <v>44834</v>
      </c>
      <c r="L6733" t="s">
        <v>29</v>
      </c>
      <c r="M6733" t="s">
        <v>5331</v>
      </c>
      <c r="N6733" s="9">
        <v>44778</v>
      </c>
      <c r="O6733" s="9">
        <v>44834</v>
      </c>
      <c r="P6733"/>
      <c r="Q6733"/>
      <c r="R6733"/>
      <c r="S6733"/>
      <c r="T6733"/>
      <c r="U6733"/>
    </row>
    <row r="6734" spans="1:21" hidden="1">
      <c r="A6734" s="7" t="s">
        <v>8826</v>
      </c>
      <c r="B6734" s="7" t="s">
        <v>5405</v>
      </c>
      <c r="C6734" s="8" t="s">
        <v>5319</v>
      </c>
      <c r="D6734" t="s">
        <v>1655</v>
      </c>
      <c r="E6734" t="s">
        <v>25</v>
      </c>
      <c r="F6734" t="s">
        <v>117</v>
      </c>
      <c r="G6734" t="s">
        <v>4016</v>
      </c>
      <c r="H6734" s="9">
        <v>44733</v>
      </c>
      <c r="I6734" t="s">
        <v>8634</v>
      </c>
      <c r="J6734" t="s">
        <v>2</v>
      </c>
      <c r="K6734" s="9">
        <v>44827</v>
      </c>
      <c r="L6734" t="s">
        <v>29</v>
      </c>
      <c r="M6734" t="s">
        <v>5331</v>
      </c>
      <c r="N6734"/>
      <c r="O6734"/>
      <c r="P6734"/>
      <c r="Q6734" s="9">
        <v>44827</v>
      </c>
      <c r="R6734" s="9">
        <v>44810.576874999999</v>
      </c>
      <c r="S6734"/>
      <c r="T6734"/>
      <c r="U6734"/>
    </row>
    <row r="6735" spans="1:21" hidden="1">
      <c r="A6735" s="7" t="s">
        <v>8826</v>
      </c>
      <c r="B6735" s="7" t="s">
        <v>5405</v>
      </c>
      <c r="C6735" s="8" t="s">
        <v>5319</v>
      </c>
      <c r="D6735" t="s">
        <v>1655</v>
      </c>
      <c r="E6735" t="s">
        <v>25</v>
      </c>
      <c r="F6735" t="s">
        <v>117</v>
      </c>
      <c r="G6735" t="s">
        <v>4017</v>
      </c>
      <c r="H6735" s="9">
        <v>44733</v>
      </c>
      <c r="I6735" t="s">
        <v>8634</v>
      </c>
      <c r="J6735" t="s">
        <v>2</v>
      </c>
      <c r="K6735" s="9">
        <v>44834</v>
      </c>
      <c r="L6735" t="s">
        <v>29</v>
      </c>
      <c r="M6735" t="s">
        <v>5331</v>
      </c>
      <c r="N6735" s="9">
        <v>44778</v>
      </c>
      <c r="O6735" s="9">
        <v>44834</v>
      </c>
      <c r="P6735"/>
      <c r="Q6735"/>
      <c r="R6735"/>
      <c r="S6735"/>
      <c r="T6735"/>
      <c r="U6735"/>
    </row>
    <row r="6736" spans="1:21" hidden="1">
      <c r="A6736" s="7" t="s">
        <v>8826</v>
      </c>
      <c r="B6736" s="7" t="s">
        <v>5405</v>
      </c>
      <c r="C6736" s="8" t="s">
        <v>5319</v>
      </c>
      <c r="D6736" t="s">
        <v>1655</v>
      </c>
      <c r="E6736" t="s">
        <v>25</v>
      </c>
      <c r="F6736" t="s">
        <v>117</v>
      </c>
      <c r="G6736" t="s">
        <v>4018</v>
      </c>
      <c r="H6736" s="9">
        <v>44733</v>
      </c>
      <c r="I6736" t="s">
        <v>8634</v>
      </c>
      <c r="J6736" t="s">
        <v>2</v>
      </c>
      <c r="K6736" s="9">
        <v>44834</v>
      </c>
      <c r="L6736" t="s">
        <v>29</v>
      </c>
      <c r="M6736" t="s">
        <v>5331</v>
      </c>
      <c r="N6736" s="9">
        <v>44778</v>
      </c>
      <c r="O6736" s="9">
        <v>44834</v>
      </c>
      <c r="P6736"/>
      <c r="Q6736"/>
      <c r="R6736"/>
      <c r="S6736"/>
      <c r="T6736"/>
      <c r="U6736"/>
    </row>
    <row r="6737" spans="1:21" hidden="1">
      <c r="A6737" s="7" t="s">
        <v>8826</v>
      </c>
      <c r="B6737" s="7" t="s">
        <v>5405</v>
      </c>
      <c r="C6737" s="8" t="s">
        <v>5319</v>
      </c>
      <c r="D6737" t="s">
        <v>1655</v>
      </c>
      <c r="E6737" t="s">
        <v>25</v>
      </c>
      <c r="F6737" t="s">
        <v>117</v>
      </c>
      <c r="G6737" t="s">
        <v>4019</v>
      </c>
      <c r="H6737" s="9">
        <v>44733</v>
      </c>
      <c r="I6737" t="s">
        <v>8634</v>
      </c>
      <c r="J6737" t="s">
        <v>2</v>
      </c>
      <c r="K6737" s="9">
        <v>44834</v>
      </c>
      <c r="L6737" t="s">
        <v>29</v>
      </c>
      <c r="M6737" t="s">
        <v>5331</v>
      </c>
      <c r="N6737" s="9">
        <v>44778</v>
      </c>
      <c r="O6737" s="9">
        <v>44834</v>
      </c>
      <c r="P6737"/>
      <c r="Q6737"/>
      <c r="R6737"/>
      <c r="S6737"/>
      <c r="T6737"/>
      <c r="U6737"/>
    </row>
    <row r="6738" spans="1:21" hidden="1">
      <c r="A6738" s="7" t="s">
        <v>8751</v>
      </c>
      <c r="B6738" s="7" t="s">
        <v>5405</v>
      </c>
      <c r="C6738" s="8" t="s">
        <v>5319</v>
      </c>
      <c r="D6738" t="s">
        <v>1655</v>
      </c>
      <c r="E6738" t="s">
        <v>25</v>
      </c>
      <c r="F6738" t="s">
        <v>435</v>
      </c>
      <c r="G6738" t="s">
        <v>4020</v>
      </c>
      <c r="H6738" s="9">
        <v>44735</v>
      </c>
      <c r="I6738" t="s">
        <v>8634</v>
      </c>
      <c r="J6738" t="s">
        <v>2</v>
      </c>
      <c r="K6738" s="9">
        <v>44834</v>
      </c>
      <c r="L6738" t="s">
        <v>29</v>
      </c>
      <c r="M6738" t="s">
        <v>5331</v>
      </c>
      <c r="N6738" s="9">
        <v>44778</v>
      </c>
      <c r="O6738" s="9">
        <v>44834</v>
      </c>
      <c r="P6738"/>
      <c r="Q6738"/>
      <c r="R6738"/>
      <c r="S6738"/>
      <c r="T6738"/>
      <c r="U6738"/>
    </row>
    <row r="6739" spans="1:21" hidden="1">
      <c r="A6739" s="7" t="s">
        <v>8751</v>
      </c>
      <c r="B6739" s="7" t="s">
        <v>5405</v>
      </c>
      <c r="C6739" s="8" t="s">
        <v>5319</v>
      </c>
      <c r="D6739" t="s">
        <v>1655</v>
      </c>
      <c r="E6739" t="s">
        <v>25</v>
      </c>
      <c r="F6739" t="s">
        <v>435</v>
      </c>
      <c r="G6739" t="s">
        <v>4021</v>
      </c>
      <c r="H6739" s="9">
        <v>44735</v>
      </c>
      <c r="I6739" t="s">
        <v>8634</v>
      </c>
      <c r="J6739" t="s">
        <v>2</v>
      </c>
      <c r="K6739" s="9">
        <v>44834</v>
      </c>
      <c r="L6739" t="s">
        <v>29</v>
      </c>
      <c r="M6739" t="s">
        <v>5331</v>
      </c>
      <c r="N6739" s="9">
        <v>44778</v>
      </c>
      <c r="O6739" s="9">
        <v>44834</v>
      </c>
      <c r="P6739"/>
      <c r="Q6739"/>
      <c r="R6739"/>
      <c r="S6739"/>
      <c r="T6739"/>
      <c r="U6739"/>
    </row>
    <row r="6740" spans="1:21" hidden="1">
      <c r="A6740" s="7" t="s">
        <v>8826</v>
      </c>
      <c r="B6740" s="7" t="s">
        <v>5405</v>
      </c>
      <c r="C6740" s="8" t="s">
        <v>5319</v>
      </c>
      <c r="D6740" t="s">
        <v>1655</v>
      </c>
      <c r="E6740" t="s">
        <v>25</v>
      </c>
      <c r="F6740" t="s">
        <v>117</v>
      </c>
      <c r="G6740" t="s">
        <v>4022</v>
      </c>
      <c r="H6740" s="9">
        <v>44733</v>
      </c>
      <c r="I6740" t="s">
        <v>8634</v>
      </c>
      <c r="J6740" t="s">
        <v>0</v>
      </c>
      <c r="K6740" s="9">
        <v>44827</v>
      </c>
      <c r="L6740" t="s">
        <v>29</v>
      </c>
      <c r="M6740"/>
      <c r="N6740" s="9">
        <v>44778</v>
      </c>
      <c r="O6740"/>
      <c r="P6740"/>
      <c r="Q6740" s="9">
        <v>44827</v>
      </c>
      <c r="R6740" s="9">
        <v>44810.576874999999</v>
      </c>
      <c r="S6740"/>
      <c r="T6740"/>
      <c r="U6740"/>
    </row>
    <row r="6741" spans="1:21" hidden="1">
      <c r="A6741" s="7" t="s">
        <v>8826</v>
      </c>
      <c r="B6741" s="7" t="s">
        <v>5405</v>
      </c>
      <c r="C6741" s="8" t="s">
        <v>5319</v>
      </c>
      <c r="D6741" t="s">
        <v>1655</v>
      </c>
      <c r="E6741" t="s">
        <v>25</v>
      </c>
      <c r="F6741" t="s">
        <v>117</v>
      </c>
      <c r="G6741" t="s">
        <v>4023</v>
      </c>
      <c r="H6741" s="9">
        <v>44733</v>
      </c>
      <c r="I6741" t="s">
        <v>8634</v>
      </c>
      <c r="J6741" t="s">
        <v>0</v>
      </c>
      <c r="K6741" s="9">
        <v>44827</v>
      </c>
      <c r="L6741" t="s">
        <v>29</v>
      </c>
      <c r="M6741"/>
      <c r="N6741" s="9">
        <v>44778</v>
      </c>
      <c r="O6741"/>
      <c r="P6741"/>
      <c r="Q6741" s="9">
        <v>44827</v>
      </c>
      <c r="R6741" s="9">
        <v>44810.576874999999</v>
      </c>
      <c r="S6741"/>
      <c r="T6741"/>
      <c r="U6741"/>
    </row>
    <row r="6742" spans="1:21" hidden="1">
      <c r="A6742" s="7" t="s">
        <v>8826</v>
      </c>
      <c r="B6742" s="7" t="s">
        <v>5405</v>
      </c>
      <c r="C6742" s="8" t="s">
        <v>5319</v>
      </c>
      <c r="D6742" t="s">
        <v>1655</v>
      </c>
      <c r="E6742" t="s">
        <v>25</v>
      </c>
      <c r="F6742" t="s">
        <v>117</v>
      </c>
      <c r="G6742" t="s">
        <v>4024</v>
      </c>
      <c r="H6742" s="9">
        <v>44733</v>
      </c>
      <c r="I6742" t="s">
        <v>8634</v>
      </c>
      <c r="J6742" t="s">
        <v>0</v>
      </c>
      <c r="K6742" s="9">
        <v>44827</v>
      </c>
      <c r="L6742" t="s">
        <v>29</v>
      </c>
      <c r="M6742"/>
      <c r="N6742" s="9">
        <v>44778</v>
      </c>
      <c r="O6742"/>
      <c r="P6742"/>
      <c r="Q6742" s="9">
        <v>44827</v>
      </c>
      <c r="R6742" s="9">
        <v>44810.576874999999</v>
      </c>
      <c r="S6742"/>
      <c r="T6742"/>
      <c r="U6742"/>
    </row>
    <row r="6743" spans="1:21" hidden="1">
      <c r="A6743" s="7" t="s">
        <v>8751</v>
      </c>
      <c r="B6743" s="7" t="s">
        <v>5405</v>
      </c>
      <c r="C6743" s="8" t="s">
        <v>5319</v>
      </c>
      <c r="D6743" t="s">
        <v>1655</v>
      </c>
      <c r="E6743" t="s">
        <v>25</v>
      </c>
      <c r="F6743" t="s">
        <v>435</v>
      </c>
      <c r="G6743" t="s">
        <v>4025</v>
      </c>
      <c r="H6743" s="9">
        <v>44735</v>
      </c>
      <c r="I6743" t="s">
        <v>8634</v>
      </c>
      <c r="J6743" t="s">
        <v>2</v>
      </c>
      <c r="K6743" s="9">
        <v>44834</v>
      </c>
      <c r="L6743" t="s">
        <v>29</v>
      </c>
      <c r="M6743" t="s">
        <v>5331</v>
      </c>
      <c r="N6743" s="9">
        <v>44778</v>
      </c>
      <c r="O6743" s="9">
        <v>44834</v>
      </c>
      <c r="P6743"/>
      <c r="Q6743"/>
      <c r="R6743"/>
      <c r="S6743"/>
      <c r="T6743"/>
      <c r="U6743"/>
    </row>
    <row r="6744" spans="1:21" hidden="1">
      <c r="A6744" s="7" t="s">
        <v>8826</v>
      </c>
      <c r="B6744" s="7" t="s">
        <v>5405</v>
      </c>
      <c r="C6744" s="8" t="s">
        <v>5319</v>
      </c>
      <c r="D6744" t="s">
        <v>1655</v>
      </c>
      <c r="E6744" t="s">
        <v>25</v>
      </c>
      <c r="F6744" t="s">
        <v>117</v>
      </c>
      <c r="G6744" t="s">
        <v>4026</v>
      </c>
      <c r="H6744" s="9">
        <v>44733</v>
      </c>
      <c r="I6744" t="s">
        <v>8634</v>
      </c>
      <c r="J6744" t="s">
        <v>0</v>
      </c>
      <c r="K6744" s="9">
        <v>44827</v>
      </c>
      <c r="L6744" t="s">
        <v>29</v>
      </c>
      <c r="M6744"/>
      <c r="N6744" s="9">
        <v>44778</v>
      </c>
      <c r="O6744"/>
      <c r="P6744"/>
      <c r="Q6744" s="9">
        <v>44827</v>
      </c>
      <c r="R6744" s="9">
        <v>44810.576874999999</v>
      </c>
      <c r="S6744"/>
      <c r="T6744"/>
      <c r="U6744"/>
    </row>
    <row r="6745" spans="1:21" hidden="1">
      <c r="A6745" s="7" t="s">
        <v>8826</v>
      </c>
      <c r="B6745" s="7" t="s">
        <v>5405</v>
      </c>
      <c r="C6745" s="8" t="s">
        <v>5319</v>
      </c>
      <c r="D6745" t="s">
        <v>1655</v>
      </c>
      <c r="E6745" t="s">
        <v>25</v>
      </c>
      <c r="F6745" t="s">
        <v>117</v>
      </c>
      <c r="G6745" t="s">
        <v>4027</v>
      </c>
      <c r="H6745" s="9">
        <v>44733</v>
      </c>
      <c r="I6745" t="s">
        <v>8634</v>
      </c>
      <c r="J6745" t="s">
        <v>2</v>
      </c>
      <c r="K6745" s="9">
        <v>44834</v>
      </c>
      <c r="L6745" t="s">
        <v>29</v>
      </c>
      <c r="M6745" t="s">
        <v>5331</v>
      </c>
      <c r="N6745" s="9">
        <v>44778</v>
      </c>
      <c r="O6745" s="9">
        <v>44834</v>
      </c>
      <c r="P6745"/>
      <c r="Q6745"/>
      <c r="R6745"/>
      <c r="S6745"/>
      <c r="T6745"/>
      <c r="U6745"/>
    </row>
    <row r="6746" spans="1:21" hidden="1">
      <c r="A6746" s="7" t="s">
        <v>8826</v>
      </c>
      <c r="B6746" s="7" t="s">
        <v>5405</v>
      </c>
      <c r="C6746" s="8" t="s">
        <v>5319</v>
      </c>
      <c r="D6746" t="s">
        <v>1655</v>
      </c>
      <c r="E6746" t="s">
        <v>25</v>
      </c>
      <c r="F6746" t="s">
        <v>117</v>
      </c>
      <c r="G6746" t="s">
        <v>4028</v>
      </c>
      <c r="H6746" s="9">
        <v>44733</v>
      </c>
      <c r="I6746" t="s">
        <v>8634</v>
      </c>
      <c r="J6746" t="s">
        <v>2</v>
      </c>
      <c r="K6746" s="9">
        <v>44834</v>
      </c>
      <c r="L6746" t="s">
        <v>29</v>
      </c>
      <c r="M6746" t="s">
        <v>5331</v>
      </c>
      <c r="N6746" s="9">
        <v>44778</v>
      </c>
      <c r="O6746" s="9">
        <v>44834</v>
      </c>
      <c r="P6746"/>
      <c r="Q6746"/>
      <c r="R6746"/>
      <c r="S6746"/>
      <c r="T6746"/>
      <c r="U6746"/>
    </row>
    <row r="6747" spans="1:21" hidden="1">
      <c r="A6747" s="7" t="s">
        <v>8751</v>
      </c>
      <c r="B6747" s="7" t="s">
        <v>5405</v>
      </c>
      <c r="C6747" s="8" t="s">
        <v>5319</v>
      </c>
      <c r="D6747" t="s">
        <v>1655</v>
      </c>
      <c r="E6747" t="s">
        <v>25</v>
      </c>
      <c r="F6747" t="s">
        <v>435</v>
      </c>
      <c r="G6747" t="s">
        <v>4029</v>
      </c>
      <c r="H6747" s="9">
        <v>44735</v>
      </c>
      <c r="I6747" t="s">
        <v>8634</v>
      </c>
      <c r="J6747" t="s">
        <v>0</v>
      </c>
      <c r="K6747" s="9">
        <v>44881</v>
      </c>
      <c r="L6747" t="s">
        <v>29</v>
      </c>
      <c r="M6747"/>
      <c r="N6747" s="9">
        <v>44778</v>
      </c>
      <c r="O6747"/>
      <c r="P6747"/>
      <c r="Q6747" s="9">
        <v>44881</v>
      </c>
      <c r="R6747"/>
      <c r="S6747"/>
      <c r="T6747"/>
      <c r="U6747"/>
    </row>
    <row r="6748" spans="1:21" hidden="1">
      <c r="A6748" s="7" t="s">
        <v>8751</v>
      </c>
      <c r="B6748" s="7" t="s">
        <v>5405</v>
      </c>
      <c r="C6748" s="8" t="s">
        <v>5319</v>
      </c>
      <c r="D6748" t="s">
        <v>1655</v>
      </c>
      <c r="E6748" t="s">
        <v>25</v>
      </c>
      <c r="F6748" t="s">
        <v>435</v>
      </c>
      <c r="G6748" t="s">
        <v>4030</v>
      </c>
      <c r="H6748" s="9">
        <v>44735</v>
      </c>
      <c r="I6748" t="s">
        <v>8634</v>
      </c>
      <c r="J6748" t="s">
        <v>0</v>
      </c>
      <c r="K6748" s="9">
        <v>44881</v>
      </c>
      <c r="L6748" t="s">
        <v>29</v>
      </c>
      <c r="M6748"/>
      <c r="N6748" s="9">
        <v>44778</v>
      </c>
      <c r="O6748"/>
      <c r="P6748"/>
      <c r="Q6748" s="9">
        <v>44881</v>
      </c>
      <c r="R6748"/>
      <c r="S6748"/>
      <c r="T6748"/>
      <c r="U6748"/>
    </row>
    <row r="6749" spans="1:21" hidden="1">
      <c r="A6749" s="7" t="s">
        <v>8826</v>
      </c>
      <c r="B6749" s="7" t="s">
        <v>5405</v>
      </c>
      <c r="C6749" s="8" t="s">
        <v>5319</v>
      </c>
      <c r="D6749" t="s">
        <v>1655</v>
      </c>
      <c r="E6749" t="s">
        <v>25</v>
      </c>
      <c r="F6749" t="s">
        <v>117</v>
      </c>
      <c r="G6749" t="s">
        <v>4031</v>
      </c>
      <c r="H6749" s="9">
        <v>44733</v>
      </c>
      <c r="I6749" t="s">
        <v>8634</v>
      </c>
      <c r="J6749" t="s">
        <v>2</v>
      </c>
      <c r="K6749" s="9">
        <v>44834</v>
      </c>
      <c r="L6749" t="s">
        <v>29</v>
      </c>
      <c r="M6749" t="s">
        <v>5331</v>
      </c>
      <c r="N6749" s="9">
        <v>44778</v>
      </c>
      <c r="O6749" s="9">
        <v>44834</v>
      </c>
      <c r="P6749"/>
      <c r="Q6749"/>
      <c r="R6749"/>
      <c r="S6749"/>
      <c r="T6749"/>
      <c r="U6749"/>
    </row>
    <row r="6750" spans="1:21" hidden="1">
      <c r="A6750" s="7" t="s">
        <v>8751</v>
      </c>
      <c r="B6750" s="7" t="s">
        <v>5405</v>
      </c>
      <c r="C6750" s="8" t="s">
        <v>5319</v>
      </c>
      <c r="D6750" t="s">
        <v>1655</v>
      </c>
      <c r="E6750" t="s">
        <v>25</v>
      </c>
      <c r="F6750" t="s">
        <v>435</v>
      </c>
      <c r="G6750" t="s">
        <v>4032</v>
      </c>
      <c r="H6750" s="9">
        <v>44735</v>
      </c>
      <c r="I6750" t="s">
        <v>8634</v>
      </c>
      <c r="J6750" t="s">
        <v>2</v>
      </c>
      <c r="K6750" s="9">
        <v>44834</v>
      </c>
      <c r="L6750" t="s">
        <v>29</v>
      </c>
      <c r="M6750" t="s">
        <v>5331</v>
      </c>
      <c r="N6750" s="9">
        <v>44778</v>
      </c>
      <c r="O6750" s="9">
        <v>44834</v>
      </c>
      <c r="P6750"/>
      <c r="Q6750"/>
      <c r="R6750"/>
      <c r="S6750"/>
      <c r="T6750"/>
      <c r="U6750"/>
    </row>
    <row r="6751" spans="1:21" hidden="1">
      <c r="A6751" s="7" t="s">
        <v>8751</v>
      </c>
      <c r="B6751" s="7" t="s">
        <v>5405</v>
      </c>
      <c r="C6751" s="8" t="s">
        <v>5319</v>
      </c>
      <c r="D6751" t="s">
        <v>1655</v>
      </c>
      <c r="E6751" t="s">
        <v>25</v>
      </c>
      <c r="F6751" t="s">
        <v>435</v>
      </c>
      <c r="G6751" t="s">
        <v>4033</v>
      </c>
      <c r="H6751" s="9">
        <v>44735</v>
      </c>
      <c r="I6751" t="s">
        <v>8634</v>
      </c>
      <c r="J6751" t="s">
        <v>2</v>
      </c>
      <c r="K6751" s="9">
        <v>44834</v>
      </c>
      <c r="L6751" t="s">
        <v>29</v>
      </c>
      <c r="M6751" t="s">
        <v>5331</v>
      </c>
      <c r="N6751" s="9">
        <v>44778</v>
      </c>
      <c r="O6751" s="9">
        <v>44834</v>
      </c>
      <c r="P6751"/>
      <c r="Q6751"/>
      <c r="R6751"/>
      <c r="S6751"/>
      <c r="T6751"/>
      <c r="U6751"/>
    </row>
    <row r="6752" spans="1:21" hidden="1">
      <c r="A6752" s="7" t="s">
        <v>8751</v>
      </c>
      <c r="B6752" s="7" t="s">
        <v>5405</v>
      </c>
      <c r="C6752" s="8" t="s">
        <v>5319</v>
      </c>
      <c r="D6752" t="s">
        <v>1655</v>
      </c>
      <c r="E6752" t="s">
        <v>25</v>
      </c>
      <c r="F6752" t="s">
        <v>435</v>
      </c>
      <c r="G6752" t="s">
        <v>4034</v>
      </c>
      <c r="H6752" s="9">
        <v>44735</v>
      </c>
      <c r="I6752" t="s">
        <v>8634</v>
      </c>
      <c r="J6752" t="s">
        <v>2</v>
      </c>
      <c r="K6752" s="9">
        <v>44834</v>
      </c>
      <c r="L6752" t="s">
        <v>29</v>
      </c>
      <c r="M6752" t="s">
        <v>5331</v>
      </c>
      <c r="N6752" s="9">
        <v>44778</v>
      </c>
      <c r="O6752" s="9">
        <v>44834</v>
      </c>
      <c r="P6752"/>
      <c r="Q6752"/>
      <c r="R6752"/>
      <c r="S6752"/>
      <c r="T6752"/>
      <c r="U6752"/>
    </row>
    <row r="6753" spans="1:21" hidden="1">
      <c r="A6753" s="7" t="s">
        <v>8751</v>
      </c>
      <c r="B6753" s="7" t="s">
        <v>5405</v>
      </c>
      <c r="C6753" s="8" t="s">
        <v>5319</v>
      </c>
      <c r="D6753" t="s">
        <v>1655</v>
      </c>
      <c r="E6753" t="s">
        <v>25</v>
      </c>
      <c r="F6753" t="s">
        <v>435</v>
      </c>
      <c r="G6753" t="s">
        <v>4035</v>
      </c>
      <c r="H6753" s="9">
        <v>44735</v>
      </c>
      <c r="I6753" t="s">
        <v>8634</v>
      </c>
      <c r="J6753" t="s">
        <v>2</v>
      </c>
      <c r="K6753" s="9">
        <v>44834</v>
      </c>
      <c r="L6753" t="s">
        <v>29</v>
      </c>
      <c r="M6753" t="s">
        <v>5331</v>
      </c>
      <c r="N6753" s="9">
        <v>44778</v>
      </c>
      <c r="O6753" s="9">
        <v>44834</v>
      </c>
      <c r="P6753"/>
      <c r="Q6753"/>
      <c r="R6753"/>
      <c r="S6753"/>
      <c r="T6753"/>
      <c r="U6753"/>
    </row>
    <row r="6754" spans="1:21" hidden="1">
      <c r="A6754" s="7" t="s">
        <v>8751</v>
      </c>
      <c r="B6754" s="7" t="s">
        <v>5405</v>
      </c>
      <c r="C6754" s="8" t="s">
        <v>5319</v>
      </c>
      <c r="D6754" t="s">
        <v>1655</v>
      </c>
      <c r="E6754" t="s">
        <v>25</v>
      </c>
      <c r="F6754" t="s">
        <v>435</v>
      </c>
      <c r="G6754" t="s">
        <v>4036</v>
      </c>
      <c r="H6754" s="9">
        <v>44735</v>
      </c>
      <c r="I6754" t="s">
        <v>8634</v>
      </c>
      <c r="J6754" t="s">
        <v>2</v>
      </c>
      <c r="K6754" s="9">
        <v>44834</v>
      </c>
      <c r="L6754" t="s">
        <v>29</v>
      </c>
      <c r="M6754" t="s">
        <v>5331</v>
      </c>
      <c r="N6754" s="9">
        <v>44778</v>
      </c>
      <c r="O6754" s="9">
        <v>44834</v>
      </c>
      <c r="P6754"/>
      <c r="Q6754"/>
      <c r="R6754"/>
      <c r="S6754"/>
      <c r="T6754"/>
      <c r="U6754"/>
    </row>
    <row r="6755" spans="1:21" hidden="1">
      <c r="A6755" s="7" t="s">
        <v>8751</v>
      </c>
      <c r="B6755" s="7" t="s">
        <v>5405</v>
      </c>
      <c r="C6755" s="8" t="s">
        <v>5319</v>
      </c>
      <c r="D6755" t="s">
        <v>1655</v>
      </c>
      <c r="E6755" t="s">
        <v>25</v>
      </c>
      <c r="F6755" t="s">
        <v>435</v>
      </c>
      <c r="G6755" t="s">
        <v>4037</v>
      </c>
      <c r="H6755" s="9">
        <v>44735</v>
      </c>
      <c r="I6755" t="s">
        <v>8634</v>
      </c>
      <c r="J6755" t="s">
        <v>2</v>
      </c>
      <c r="K6755" s="9">
        <v>44834</v>
      </c>
      <c r="L6755" t="s">
        <v>29</v>
      </c>
      <c r="M6755" t="s">
        <v>5331</v>
      </c>
      <c r="N6755" s="9">
        <v>44778</v>
      </c>
      <c r="O6755" s="9">
        <v>44834</v>
      </c>
      <c r="P6755"/>
      <c r="Q6755"/>
      <c r="R6755"/>
      <c r="S6755"/>
      <c r="T6755"/>
      <c r="U6755"/>
    </row>
    <row r="6756" spans="1:21" hidden="1">
      <c r="A6756" s="7" t="s">
        <v>8751</v>
      </c>
      <c r="B6756" s="7" t="s">
        <v>5405</v>
      </c>
      <c r="C6756" s="8" t="s">
        <v>5319</v>
      </c>
      <c r="D6756" t="s">
        <v>1655</v>
      </c>
      <c r="E6756" t="s">
        <v>25</v>
      </c>
      <c r="F6756" t="s">
        <v>435</v>
      </c>
      <c r="G6756" t="s">
        <v>4038</v>
      </c>
      <c r="H6756" s="9">
        <v>44735</v>
      </c>
      <c r="I6756" t="s">
        <v>8634</v>
      </c>
      <c r="J6756" t="s">
        <v>2</v>
      </c>
      <c r="K6756" s="9">
        <v>44834</v>
      </c>
      <c r="L6756" t="s">
        <v>29</v>
      </c>
      <c r="M6756" t="s">
        <v>5331</v>
      </c>
      <c r="N6756" s="9">
        <v>44778</v>
      </c>
      <c r="O6756" s="9">
        <v>44834</v>
      </c>
      <c r="P6756"/>
      <c r="Q6756"/>
      <c r="R6756"/>
      <c r="S6756"/>
      <c r="T6756"/>
      <c r="U6756"/>
    </row>
    <row r="6757" spans="1:21" hidden="1">
      <c r="A6757" s="7" t="s">
        <v>8763</v>
      </c>
      <c r="B6757" s="7" t="s">
        <v>5405</v>
      </c>
      <c r="C6757" s="8" t="s">
        <v>5319</v>
      </c>
      <c r="D6757" t="s">
        <v>164</v>
      </c>
      <c r="E6757" t="s">
        <v>25</v>
      </c>
      <c r="F6757" t="s">
        <v>280</v>
      </c>
      <c r="G6757" t="s">
        <v>4039</v>
      </c>
      <c r="H6757" s="9">
        <v>44733</v>
      </c>
      <c r="I6757" t="s">
        <v>8634</v>
      </c>
      <c r="J6757" t="s">
        <v>2</v>
      </c>
      <c r="K6757" s="9">
        <v>44834</v>
      </c>
      <c r="L6757" t="s">
        <v>29</v>
      </c>
      <c r="M6757" t="s">
        <v>5331</v>
      </c>
      <c r="N6757" s="9">
        <v>44778</v>
      </c>
      <c r="O6757" s="9">
        <v>44834</v>
      </c>
      <c r="P6757"/>
      <c r="Q6757"/>
      <c r="R6757"/>
      <c r="S6757"/>
      <c r="T6757"/>
      <c r="U6757"/>
    </row>
    <row r="6758" spans="1:21" hidden="1">
      <c r="A6758" s="7" t="s">
        <v>8957</v>
      </c>
      <c r="B6758" s="7" t="s">
        <v>8622</v>
      </c>
      <c r="C6758" s="8" t="s">
        <v>8717</v>
      </c>
      <c r="D6758" t="s">
        <v>272</v>
      </c>
      <c r="E6758" t="s">
        <v>5115</v>
      </c>
      <c r="F6758" t="s">
        <v>5116</v>
      </c>
      <c r="G6758" t="s">
        <v>534</v>
      </c>
      <c r="H6758"/>
      <c r="I6758"/>
      <c r="J6758" t="s">
        <v>2</v>
      </c>
      <c r="K6758" s="9">
        <v>44792</v>
      </c>
      <c r="L6758"/>
      <c r="M6758" t="s">
        <v>5117</v>
      </c>
      <c r="N6758"/>
      <c r="O6758"/>
      <c r="P6758"/>
      <c r="Q6758" s="9">
        <v>44743</v>
      </c>
      <c r="R6758"/>
      <c r="S6758"/>
      <c r="T6758"/>
      <c r="U6758"/>
    </row>
    <row r="6759" spans="1:21" hidden="1">
      <c r="A6759" s="7" t="s">
        <v>8957</v>
      </c>
      <c r="B6759" s="7" t="s">
        <v>8622</v>
      </c>
      <c r="C6759" s="8" t="s">
        <v>8717</v>
      </c>
      <c r="D6759" t="s">
        <v>272</v>
      </c>
      <c r="E6759" t="s">
        <v>5115</v>
      </c>
      <c r="F6759" t="s">
        <v>5116</v>
      </c>
      <c r="G6759" t="s">
        <v>535</v>
      </c>
      <c r="H6759"/>
      <c r="I6759"/>
      <c r="J6759" t="s">
        <v>2</v>
      </c>
      <c r="K6759" s="9">
        <v>44792</v>
      </c>
      <c r="L6759"/>
      <c r="M6759" t="s">
        <v>5117</v>
      </c>
      <c r="N6759"/>
      <c r="O6759"/>
      <c r="P6759"/>
      <c r="Q6759" s="9">
        <v>44743</v>
      </c>
      <c r="R6759"/>
      <c r="S6759"/>
      <c r="T6759"/>
      <c r="U6759"/>
    </row>
    <row r="6760" spans="1:21" hidden="1">
      <c r="A6760" s="7" t="s">
        <v>8957</v>
      </c>
      <c r="B6760" s="7" t="s">
        <v>8622</v>
      </c>
      <c r="C6760" s="8" t="s">
        <v>8717</v>
      </c>
      <c r="D6760" t="s">
        <v>272</v>
      </c>
      <c r="E6760" t="s">
        <v>5115</v>
      </c>
      <c r="F6760" t="s">
        <v>5116</v>
      </c>
      <c r="G6760" t="s">
        <v>536</v>
      </c>
      <c r="H6760"/>
      <c r="I6760"/>
      <c r="J6760" t="s">
        <v>2</v>
      </c>
      <c r="K6760" s="9">
        <v>44792</v>
      </c>
      <c r="L6760"/>
      <c r="M6760" t="s">
        <v>5117</v>
      </c>
      <c r="N6760"/>
      <c r="O6760"/>
      <c r="P6760"/>
      <c r="Q6760" s="9">
        <v>44743</v>
      </c>
      <c r="R6760"/>
      <c r="S6760"/>
      <c r="T6760"/>
      <c r="U6760"/>
    </row>
    <row r="6761" spans="1:21" hidden="1">
      <c r="A6761" s="7" t="s">
        <v>8957</v>
      </c>
      <c r="B6761" s="7" t="s">
        <v>8622</v>
      </c>
      <c r="C6761" s="8" t="s">
        <v>8717</v>
      </c>
      <c r="D6761" t="s">
        <v>272</v>
      </c>
      <c r="E6761" t="s">
        <v>5115</v>
      </c>
      <c r="F6761" t="s">
        <v>5116</v>
      </c>
      <c r="G6761" t="s">
        <v>538</v>
      </c>
      <c r="H6761"/>
      <c r="I6761"/>
      <c r="J6761" t="s">
        <v>2</v>
      </c>
      <c r="K6761" s="9">
        <v>44792</v>
      </c>
      <c r="L6761"/>
      <c r="M6761" t="s">
        <v>5117</v>
      </c>
      <c r="N6761"/>
      <c r="O6761"/>
      <c r="P6761"/>
      <c r="Q6761" s="9">
        <v>44743</v>
      </c>
      <c r="R6761"/>
      <c r="S6761"/>
      <c r="T6761"/>
      <c r="U6761"/>
    </row>
    <row r="6762" spans="1:21" hidden="1">
      <c r="A6762" s="7" t="s">
        <v>8957</v>
      </c>
      <c r="B6762" s="7" t="s">
        <v>8622</v>
      </c>
      <c r="C6762" s="8" t="s">
        <v>8717</v>
      </c>
      <c r="D6762" t="s">
        <v>272</v>
      </c>
      <c r="E6762" t="s">
        <v>5115</v>
      </c>
      <c r="F6762" t="s">
        <v>5116</v>
      </c>
      <c r="G6762" t="s">
        <v>2779</v>
      </c>
      <c r="H6762"/>
      <c r="I6762"/>
      <c r="J6762" t="s">
        <v>2</v>
      </c>
      <c r="K6762" s="9">
        <v>44792</v>
      </c>
      <c r="L6762"/>
      <c r="M6762" t="s">
        <v>5117</v>
      </c>
      <c r="N6762"/>
      <c r="O6762"/>
      <c r="P6762"/>
      <c r="Q6762" s="9">
        <v>44743</v>
      </c>
      <c r="R6762"/>
      <c r="S6762"/>
      <c r="T6762"/>
      <c r="U6762"/>
    </row>
    <row r="6763" spans="1:21" hidden="1">
      <c r="A6763" s="7" t="s">
        <v>8957</v>
      </c>
      <c r="B6763" s="7" t="s">
        <v>8622</v>
      </c>
      <c r="C6763" s="8" t="s">
        <v>8717</v>
      </c>
      <c r="D6763" t="s">
        <v>272</v>
      </c>
      <c r="E6763" t="s">
        <v>5115</v>
      </c>
      <c r="F6763" t="s">
        <v>5116</v>
      </c>
      <c r="G6763" t="s">
        <v>2780</v>
      </c>
      <c r="H6763"/>
      <c r="I6763"/>
      <c r="J6763" t="s">
        <v>2</v>
      </c>
      <c r="K6763" s="9">
        <v>44792</v>
      </c>
      <c r="L6763"/>
      <c r="M6763" t="s">
        <v>5117</v>
      </c>
      <c r="N6763"/>
      <c r="O6763"/>
      <c r="P6763"/>
      <c r="Q6763" s="9">
        <v>44743</v>
      </c>
      <c r="R6763"/>
      <c r="S6763"/>
      <c r="T6763"/>
      <c r="U6763"/>
    </row>
    <row r="6764" spans="1:21" hidden="1">
      <c r="A6764" s="7" t="s">
        <v>8957</v>
      </c>
      <c r="B6764" s="7" t="s">
        <v>8622</v>
      </c>
      <c r="C6764" s="8" t="s">
        <v>8717</v>
      </c>
      <c r="D6764" t="s">
        <v>272</v>
      </c>
      <c r="E6764" t="s">
        <v>5115</v>
      </c>
      <c r="F6764" t="s">
        <v>5116</v>
      </c>
      <c r="G6764" t="s">
        <v>2781</v>
      </c>
      <c r="H6764"/>
      <c r="I6764"/>
      <c r="J6764" t="s">
        <v>2</v>
      </c>
      <c r="K6764" s="9">
        <v>44792</v>
      </c>
      <c r="L6764"/>
      <c r="M6764" t="s">
        <v>5117</v>
      </c>
      <c r="N6764"/>
      <c r="O6764"/>
      <c r="P6764"/>
      <c r="Q6764" s="9">
        <v>44743</v>
      </c>
      <c r="R6764"/>
      <c r="S6764"/>
      <c r="T6764"/>
      <c r="U6764"/>
    </row>
    <row r="6765" spans="1:21" hidden="1">
      <c r="A6765" s="7" t="s">
        <v>8957</v>
      </c>
      <c r="B6765" s="7" t="s">
        <v>8622</v>
      </c>
      <c r="C6765" s="8" t="s">
        <v>8717</v>
      </c>
      <c r="D6765" t="s">
        <v>272</v>
      </c>
      <c r="E6765" t="s">
        <v>5115</v>
      </c>
      <c r="F6765" t="s">
        <v>5116</v>
      </c>
      <c r="G6765" t="s">
        <v>2782</v>
      </c>
      <c r="H6765"/>
      <c r="I6765"/>
      <c r="J6765" t="s">
        <v>2</v>
      </c>
      <c r="K6765" s="9">
        <v>44792</v>
      </c>
      <c r="L6765"/>
      <c r="M6765" t="s">
        <v>5117</v>
      </c>
      <c r="N6765"/>
      <c r="O6765"/>
      <c r="P6765"/>
      <c r="Q6765" s="9">
        <v>44743</v>
      </c>
      <c r="R6765"/>
      <c r="S6765"/>
      <c r="T6765"/>
      <c r="U6765"/>
    </row>
    <row r="6766" spans="1:21" hidden="1">
      <c r="A6766" s="7" t="s">
        <v>8957</v>
      </c>
      <c r="B6766" s="7" t="s">
        <v>8622</v>
      </c>
      <c r="C6766" s="8" t="s">
        <v>8717</v>
      </c>
      <c r="D6766" t="s">
        <v>272</v>
      </c>
      <c r="E6766" t="s">
        <v>5115</v>
      </c>
      <c r="F6766" t="s">
        <v>5116</v>
      </c>
      <c r="G6766" t="s">
        <v>540</v>
      </c>
      <c r="H6766"/>
      <c r="I6766"/>
      <c r="J6766" t="s">
        <v>2</v>
      </c>
      <c r="K6766" s="9">
        <v>44792</v>
      </c>
      <c r="L6766"/>
      <c r="M6766" t="s">
        <v>5117</v>
      </c>
      <c r="N6766"/>
      <c r="O6766"/>
      <c r="P6766"/>
      <c r="Q6766" s="9">
        <v>44743</v>
      </c>
      <c r="R6766"/>
      <c r="S6766"/>
      <c r="T6766"/>
      <c r="U6766"/>
    </row>
    <row r="6767" spans="1:21" hidden="1">
      <c r="A6767" s="7" t="s">
        <v>8957</v>
      </c>
      <c r="B6767" s="7" t="s">
        <v>8622</v>
      </c>
      <c r="C6767" s="8" t="s">
        <v>8717</v>
      </c>
      <c r="D6767" t="s">
        <v>272</v>
      </c>
      <c r="E6767" t="s">
        <v>5115</v>
      </c>
      <c r="F6767" t="s">
        <v>5116</v>
      </c>
      <c r="G6767" t="s">
        <v>2783</v>
      </c>
      <c r="H6767"/>
      <c r="I6767"/>
      <c r="J6767" t="s">
        <v>2</v>
      </c>
      <c r="K6767" s="9">
        <v>44792</v>
      </c>
      <c r="L6767"/>
      <c r="M6767" t="s">
        <v>5117</v>
      </c>
      <c r="N6767"/>
      <c r="O6767"/>
      <c r="P6767"/>
      <c r="Q6767" s="9">
        <v>44743</v>
      </c>
      <c r="R6767"/>
      <c r="S6767"/>
      <c r="T6767"/>
      <c r="U6767"/>
    </row>
    <row r="6768" spans="1:21" hidden="1">
      <c r="A6768" s="7" t="s">
        <v>8957</v>
      </c>
      <c r="B6768" s="7" t="s">
        <v>8622</v>
      </c>
      <c r="C6768" s="8" t="s">
        <v>8717</v>
      </c>
      <c r="D6768" t="s">
        <v>272</v>
      </c>
      <c r="E6768" t="s">
        <v>5115</v>
      </c>
      <c r="F6768" t="s">
        <v>5116</v>
      </c>
      <c r="G6768" t="s">
        <v>2784</v>
      </c>
      <c r="H6768"/>
      <c r="I6768"/>
      <c r="J6768" t="s">
        <v>2</v>
      </c>
      <c r="K6768" s="9">
        <v>44792</v>
      </c>
      <c r="L6768"/>
      <c r="M6768" t="s">
        <v>5117</v>
      </c>
      <c r="N6768"/>
      <c r="O6768"/>
      <c r="P6768"/>
      <c r="Q6768" s="9">
        <v>44743</v>
      </c>
      <c r="R6768"/>
      <c r="S6768"/>
      <c r="T6768"/>
      <c r="U6768"/>
    </row>
    <row r="6769" spans="1:21" hidden="1">
      <c r="A6769" s="7" t="s">
        <v>8957</v>
      </c>
      <c r="B6769" s="7" t="s">
        <v>8622</v>
      </c>
      <c r="C6769" s="8" t="s">
        <v>8717</v>
      </c>
      <c r="D6769" t="s">
        <v>272</v>
      </c>
      <c r="E6769" t="s">
        <v>5115</v>
      </c>
      <c r="F6769" t="s">
        <v>5116</v>
      </c>
      <c r="G6769" t="s">
        <v>2810</v>
      </c>
      <c r="H6769"/>
      <c r="I6769"/>
      <c r="J6769" t="s">
        <v>2</v>
      </c>
      <c r="K6769" s="9">
        <v>44792</v>
      </c>
      <c r="L6769"/>
      <c r="M6769" t="s">
        <v>5117</v>
      </c>
      <c r="N6769"/>
      <c r="O6769"/>
      <c r="P6769"/>
      <c r="Q6769" s="9">
        <v>44743</v>
      </c>
      <c r="R6769"/>
      <c r="S6769"/>
      <c r="T6769"/>
      <c r="U6769"/>
    </row>
    <row r="6770" spans="1:21" hidden="1">
      <c r="A6770" s="7" t="s">
        <v>8957</v>
      </c>
      <c r="B6770" s="7" t="s">
        <v>8622</v>
      </c>
      <c r="C6770" s="8" t="s">
        <v>8717</v>
      </c>
      <c r="D6770" t="s">
        <v>272</v>
      </c>
      <c r="E6770" t="s">
        <v>5115</v>
      </c>
      <c r="F6770" t="s">
        <v>5116</v>
      </c>
      <c r="G6770" t="s">
        <v>2811</v>
      </c>
      <c r="H6770"/>
      <c r="I6770"/>
      <c r="J6770" t="s">
        <v>2</v>
      </c>
      <c r="K6770" s="9">
        <v>44792</v>
      </c>
      <c r="L6770"/>
      <c r="M6770" t="s">
        <v>5117</v>
      </c>
      <c r="N6770"/>
      <c r="O6770"/>
      <c r="P6770"/>
      <c r="Q6770" s="9">
        <v>44743</v>
      </c>
      <c r="R6770"/>
      <c r="S6770"/>
      <c r="T6770"/>
      <c r="U6770"/>
    </row>
    <row r="6771" spans="1:21" hidden="1">
      <c r="A6771" s="7" t="s">
        <v>8957</v>
      </c>
      <c r="B6771" s="7" t="s">
        <v>8622</v>
      </c>
      <c r="C6771" s="8" t="s">
        <v>8717</v>
      </c>
      <c r="D6771" t="s">
        <v>272</v>
      </c>
      <c r="E6771" t="s">
        <v>5115</v>
      </c>
      <c r="F6771" t="s">
        <v>5116</v>
      </c>
      <c r="G6771" t="s">
        <v>2812</v>
      </c>
      <c r="H6771"/>
      <c r="I6771"/>
      <c r="J6771" t="s">
        <v>2</v>
      </c>
      <c r="K6771" s="9">
        <v>44792</v>
      </c>
      <c r="L6771"/>
      <c r="M6771" t="s">
        <v>5117</v>
      </c>
      <c r="N6771"/>
      <c r="O6771"/>
      <c r="P6771"/>
      <c r="Q6771" s="9">
        <v>44743</v>
      </c>
      <c r="R6771"/>
      <c r="S6771"/>
      <c r="T6771"/>
      <c r="U6771"/>
    </row>
    <row r="6772" spans="1:21" hidden="1">
      <c r="A6772" s="7" t="s">
        <v>8957</v>
      </c>
      <c r="B6772" s="7" t="s">
        <v>8622</v>
      </c>
      <c r="C6772" s="8" t="s">
        <v>8717</v>
      </c>
      <c r="D6772" t="s">
        <v>272</v>
      </c>
      <c r="E6772" t="s">
        <v>5115</v>
      </c>
      <c r="F6772" t="s">
        <v>5116</v>
      </c>
      <c r="G6772" t="s">
        <v>2813</v>
      </c>
      <c r="H6772"/>
      <c r="I6772"/>
      <c r="J6772" t="s">
        <v>2</v>
      </c>
      <c r="K6772" s="9">
        <v>44792</v>
      </c>
      <c r="L6772"/>
      <c r="M6772" t="s">
        <v>5117</v>
      </c>
      <c r="N6772"/>
      <c r="O6772"/>
      <c r="P6772"/>
      <c r="Q6772" s="9">
        <v>44743</v>
      </c>
      <c r="R6772"/>
      <c r="S6772"/>
      <c r="T6772"/>
      <c r="U6772"/>
    </row>
    <row r="6773" spans="1:21" hidden="1">
      <c r="A6773" s="7" t="s">
        <v>8957</v>
      </c>
      <c r="B6773" s="7" t="s">
        <v>8622</v>
      </c>
      <c r="C6773" s="8" t="s">
        <v>8717</v>
      </c>
      <c r="D6773" t="s">
        <v>216</v>
      </c>
      <c r="E6773" t="s">
        <v>5115</v>
      </c>
      <c r="F6773" t="s">
        <v>5116</v>
      </c>
      <c r="G6773" t="s">
        <v>3948</v>
      </c>
      <c r="H6773"/>
      <c r="I6773"/>
      <c r="J6773" t="s">
        <v>2</v>
      </c>
      <c r="K6773" s="9">
        <v>44792</v>
      </c>
      <c r="L6773"/>
      <c r="M6773" t="s">
        <v>5117</v>
      </c>
      <c r="N6773"/>
      <c r="O6773"/>
      <c r="P6773"/>
      <c r="Q6773" s="9">
        <v>44743</v>
      </c>
      <c r="R6773"/>
      <c r="S6773"/>
      <c r="T6773"/>
      <c r="U6773"/>
    </row>
    <row r="6774" spans="1:21" hidden="1">
      <c r="A6774" s="7" t="s">
        <v>8957</v>
      </c>
      <c r="B6774" s="7" t="s">
        <v>8622</v>
      </c>
      <c r="C6774" s="8" t="s">
        <v>8717</v>
      </c>
      <c r="D6774" t="s">
        <v>216</v>
      </c>
      <c r="E6774" t="s">
        <v>5115</v>
      </c>
      <c r="F6774" t="s">
        <v>5116</v>
      </c>
      <c r="G6774" t="s">
        <v>3949</v>
      </c>
      <c r="H6774"/>
      <c r="I6774"/>
      <c r="J6774" t="s">
        <v>2</v>
      </c>
      <c r="K6774" s="9">
        <v>44792</v>
      </c>
      <c r="L6774"/>
      <c r="M6774" t="s">
        <v>5117</v>
      </c>
      <c r="N6774"/>
      <c r="O6774"/>
      <c r="P6774"/>
      <c r="Q6774" s="9">
        <v>44743</v>
      </c>
      <c r="R6774"/>
      <c r="S6774"/>
      <c r="T6774"/>
      <c r="U6774"/>
    </row>
    <row r="6775" spans="1:21" hidden="1">
      <c r="A6775" s="7" t="s">
        <v>8732</v>
      </c>
      <c r="B6775" s="7" t="s">
        <v>6619</v>
      </c>
      <c r="C6775" s="8" t="s">
        <v>5320</v>
      </c>
      <c r="D6775" t="s">
        <v>272</v>
      </c>
      <c r="E6775" t="s">
        <v>226</v>
      </c>
      <c r="F6775" t="s">
        <v>227</v>
      </c>
      <c r="G6775" t="s">
        <v>5118</v>
      </c>
      <c r="H6775" s="9">
        <v>44754</v>
      </c>
      <c r="I6775" t="s">
        <v>229</v>
      </c>
      <c r="J6775" t="s">
        <v>0</v>
      </c>
      <c r="K6775" s="9">
        <v>44799</v>
      </c>
      <c r="L6775" t="s">
        <v>29</v>
      </c>
      <c r="M6775"/>
      <c r="N6775" s="9">
        <v>44778</v>
      </c>
      <c r="O6775"/>
      <c r="P6775"/>
      <c r="Q6775" s="9">
        <v>44799</v>
      </c>
      <c r="R6775"/>
      <c r="S6775"/>
      <c r="T6775"/>
      <c r="U6775"/>
    </row>
    <row r="6776" spans="1:21" hidden="1">
      <c r="A6776" s="7" t="s">
        <v>8732</v>
      </c>
      <c r="B6776" s="7" t="s">
        <v>6619</v>
      </c>
      <c r="C6776" s="8" t="s">
        <v>5320</v>
      </c>
      <c r="D6776" t="s">
        <v>272</v>
      </c>
      <c r="E6776" t="s">
        <v>226</v>
      </c>
      <c r="F6776" t="s">
        <v>227</v>
      </c>
      <c r="G6776" t="s">
        <v>5119</v>
      </c>
      <c r="H6776" s="9">
        <v>44754</v>
      </c>
      <c r="I6776" t="s">
        <v>229</v>
      </c>
      <c r="J6776" t="s">
        <v>0</v>
      </c>
      <c r="K6776" s="9">
        <v>44799</v>
      </c>
      <c r="L6776" t="s">
        <v>29</v>
      </c>
      <c r="M6776"/>
      <c r="N6776" s="9">
        <v>44778</v>
      </c>
      <c r="O6776"/>
      <c r="P6776"/>
      <c r="Q6776" s="9">
        <v>44799</v>
      </c>
      <c r="R6776"/>
      <c r="S6776"/>
      <c r="T6776"/>
      <c r="U6776"/>
    </row>
    <row r="6777" spans="1:21" hidden="1">
      <c r="A6777" s="7" t="s">
        <v>8732</v>
      </c>
      <c r="B6777" s="7" t="s">
        <v>6619</v>
      </c>
      <c r="C6777" s="8" t="s">
        <v>5320</v>
      </c>
      <c r="D6777" t="s">
        <v>272</v>
      </c>
      <c r="E6777" t="s">
        <v>226</v>
      </c>
      <c r="F6777" t="s">
        <v>227</v>
      </c>
      <c r="G6777" t="s">
        <v>5120</v>
      </c>
      <c r="H6777" s="9">
        <v>44754</v>
      </c>
      <c r="I6777" t="s">
        <v>229</v>
      </c>
      <c r="J6777" t="s">
        <v>0</v>
      </c>
      <c r="K6777" s="9">
        <v>44799</v>
      </c>
      <c r="L6777" t="s">
        <v>29</v>
      </c>
      <c r="M6777"/>
      <c r="N6777" s="9">
        <v>44778</v>
      </c>
      <c r="O6777"/>
      <c r="P6777"/>
      <c r="Q6777" s="9">
        <v>44799</v>
      </c>
      <c r="R6777"/>
      <c r="S6777"/>
      <c r="T6777"/>
      <c r="U6777"/>
    </row>
    <row r="6778" spans="1:21" hidden="1">
      <c r="A6778" s="7" t="s">
        <v>8732</v>
      </c>
      <c r="B6778" s="7" t="s">
        <v>6619</v>
      </c>
      <c r="C6778" s="8" t="s">
        <v>5320</v>
      </c>
      <c r="D6778" t="s">
        <v>272</v>
      </c>
      <c r="E6778" t="s">
        <v>226</v>
      </c>
      <c r="F6778" t="s">
        <v>227</v>
      </c>
      <c r="G6778" t="s">
        <v>5121</v>
      </c>
      <c r="H6778" s="9">
        <v>44754</v>
      </c>
      <c r="I6778" t="s">
        <v>229</v>
      </c>
      <c r="J6778" t="s">
        <v>0</v>
      </c>
      <c r="K6778" s="9">
        <v>44799</v>
      </c>
      <c r="L6778" t="s">
        <v>29</v>
      </c>
      <c r="M6778"/>
      <c r="N6778" s="9">
        <v>44778</v>
      </c>
      <c r="O6778"/>
      <c r="P6778"/>
      <c r="Q6778" s="9">
        <v>44799</v>
      </c>
      <c r="R6778"/>
      <c r="S6778"/>
      <c r="T6778"/>
      <c r="U6778"/>
    </row>
    <row r="6779" spans="1:21" hidden="1">
      <c r="A6779" s="7" t="s">
        <v>8883</v>
      </c>
      <c r="B6779" s="7" t="s">
        <v>6806</v>
      </c>
      <c r="C6779" s="8" t="s">
        <v>5320</v>
      </c>
      <c r="D6779" t="s">
        <v>272</v>
      </c>
      <c r="E6779" t="s">
        <v>2693</v>
      </c>
      <c r="F6779" t="s">
        <v>117</v>
      </c>
      <c r="G6779" t="s">
        <v>5122</v>
      </c>
      <c r="H6779" s="9">
        <v>44754</v>
      </c>
      <c r="I6779" t="s">
        <v>211</v>
      </c>
      <c r="J6779" t="s">
        <v>5330</v>
      </c>
      <c r="K6779" s="9">
        <v>44834</v>
      </c>
      <c r="L6779" t="s">
        <v>29</v>
      </c>
      <c r="M6779"/>
      <c r="N6779" s="9">
        <v>44778</v>
      </c>
      <c r="O6779" s="9">
        <v>44834</v>
      </c>
      <c r="P6779"/>
      <c r="Q6779"/>
      <c r="R6779"/>
      <c r="S6779"/>
      <c r="T6779"/>
      <c r="U6779"/>
    </row>
    <row r="6780" spans="1:21" hidden="1">
      <c r="A6780" s="7" t="s">
        <v>8883</v>
      </c>
      <c r="B6780" s="7" t="s">
        <v>6806</v>
      </c>
      <c r="C6780" s="8" t="s">
        <v>5320</v>
      </c>
      <c r="D6780" t="s">
        <v>272</v>
      </c>
      <c r="E6780" t="s">
        <v>2693</v>
      </c>
      <c r="F6780" t="s">
        <v>117</v>
      </c>
      <c r="G6780" t="s">
        <v>5123</v>
      </c>
      <c r="H6780" s="9">
        <v>44754</v>
      </c>
      <c r="I6780" t="s">
        <v>211</v>
      </c>
      <c r="J6780" t="s">
        <v>5330</v>
      </c>
      <c r="K6780" s="9">
        <v>44834</v>
      </c>
      <c r="L6780" t="s">
        <v>29</v>
      </c>
      <c r="M6780"/>
      <c r="N6780" s="9">
        <v>44778</v>
      </c>
      <c r="O6780" s="9">
        <v>44834</v>
      </c>
      <c r="P6780"/>
      <c r="Q6780"/>
      <c r="R6780"/>
      <c r="S6780"/>
      <c r="T6780"/>
      <c r="U6780"/>
    </row>
    <row r="6781" spans="1:21" hidden="1">
      <c r="A6781" s="7" t="s">
        <v>8883</v>
      </c>
      <c r="B6781" s="7" t="s">
        <v>6806</v>
      </c>
      <c r="C6781" s="8" t="s">
        <v>5320</v>
      </c>
      <c r="D6781" t="s">
        <v>272</v>
      </c>
      <c r="E6781" t="s">
        <v>2693</v>
      </c>
      <c r="F6781" t="s">
        <v>117</v>
      </c>
      <c r="G6781" t="s">
        <v>5124</v>
      </c>
      <c r="H6781" s="9">
        <v>44754</v>
      </c>
      <c r="I6781" t="s">
        <v>211</v>
      </c>
      <c r="J6781" t="s">
        <v>5330</v>
      </c>
      <c r="K6781" s="9">
        <v>44834</v>
      </c>
      <c r="L6781" t="s">
        <v>29</v>
      </c>
      <c r="M6781"/>
      <c r="N6781" s="9">
        <v>44778</v>
      </c>
      <c r="O6781" s="9">
        <v>44834</v>
      </c>
      <c r="P6781"/>
      <c r="Q6781"/>
      <c r="R6781"/>
      <c r="S6781"/>
      <c r="T6781"/>
      <c r="U6781"/>
    </row>
    <row r="6782" spans="1:21" hidden="1">
      <c r="A6782" s="7" t="s">
        <v>8883</v>
      </c>
      <c r="B6782" s="7" t="s">
        <v>6806</v>
      </c>
      <c r="C6782" s="8" t="s">
        <v>5320</v>
      </c>
      <c r="D6782" t="s">
        <v>272</v>
      </c>
      <c r="E6782" t="s">
        <v>2693</v>
      </c>
      <c r="F6782" t="s">
        <v>117</v>
      </c>
      <c r="G6782" t="s">
        <v>5125</v>
      </c>
      <c r="H6782" s="9">
        <v>44754</v>
      </c>
      <c r="I6782" t="s">
        <v>211</v>
      </c>
      <c r="J6782" t="s">
        <v>5330</v>
      </c>
      <c r="K6782" s="9">
        <v>44834</v>
      </c>
      <c r="L6782" t="s">
        <v>29</v>
      </c>
      <c r="M6782"/>
      <c r="N6782" s="9">
        <v>44778</v>
      </c>
      <c r="O6782" s="9">
        <v>44834</v>
      </c>
      <c r="P6782"/>
      <c r="Q6782"/>
      <c r="R6782"/>
      <c r="S6782"/>
      <c r="T6782"/>
      <c r="U6782"/>
    </row>
    <row r="6783" spans="1:21" hidden="1">
      <c r="A6783" s="7" t="s">
        <v>8758</v>
      </c>
      <c r="B6783" s="7" t="s">
        <v>5405</v>
      </c>
      <c r="C6783" s="8" t="s">
        <v>5320</v>
      </c>
      <c r="D6783" t="s">
        <v>272</v>
      </c>
      <c r="E6783" t="s">
        <v>25</v>
      </c>
      <c r="F6783" t="s">
        <v>493</v>
      </c>
      <c r="G6783" t="s">
        <v>5126</v>
      </c>
      <c r="H6783" s="9">
        <v>44754</v>
      </c>
      <c r="I6783" t="s">
        <v>8634</v>
      </c>
      <c r="J6783" t="s">
        <v>5330</v>
      </c>
      <c r="K6783" s="9">
        <v>44834</v>
      </c>
      <c r="L6783" t="s">
        <v>29</v>
      </c>
      <c r="M6783"/>
      <c r="N6783" s="9">
        <v>44778</v>
      </c>
      <c r="O6783" s="9">
        <v>44834</v>
      </c>
      <c r="P6783"/>
      <c r="Q6783"/>
      <c r="R6783"/>
      <c r="S6783"/>
      <c r="T6783"/>
      <c r="U6783"/>
    </row>
    <row r="6784" spans="1:21" hidden="1">
      <c r="A6784" s="7" t="s">
        <v>8747</v>
      </c>
      <c r="B6784" s="7" t="s">
        <v>7750</v>
      </c>
      <c r="C6784" s="8" t="s">
        <v>5320</v>
      </c>
      <c r="D6784" t="s">
        <v>272</v>
      </c>
      <c r="E6784" t="s">
        <v>409</v>
      </c>
      <c r="F6784" t="s">
        <v>117</v>
      </c>
      <c r="G6784" t="s">
        <v>5127</v>
      </c>
      <c r="H6784" s="9">
        <v>44754</v>
      </c>
      <c r="I6784" t="s">
        <v>411</v>
      </c>
      <c r="J6784" t="s">
        <v>5330</v>
      </c>
      <c r="K6784" s="9">
        <v>44834</v>
      </c>
      <c r="L6784" t="s">
        <v>29</v>
      </c>
      <c r="M6784"/>
      <c r="N6784" s="9">
        <v>44778</v>
      </c>
      <c r="O6784" s="9">
        <v>44834</v>
      </c>
      <c r="P6784"/>
      <c r="Q6784"/>
      <c r="R6784"/>
      <c r="S6784"/>
      <c r="T6784"/>
      <c r="U6784"/>
    </row>
    <row r="6785" spans="1:21" hidden="1">
      <c r="A6785" s="7" t="s">
        <v>8747</v>
      </c>
      <c r="B6785" s="7" t="s">
        <v>7750</v>
      </c>
      <c r="C6785" s="8" t="s">
        <v>5320</v>
      </c>
      <c r="D6785" t="s">
        <v>272</v>
      </c>
      <c r="E6785" t="s">
        <v>409</v>
      </c>
      <c r="F6785" t="s">
        <v>117</v>
      </c>
      <c r="G6785" t="s">
        <v>5128</v>
      </c>
      <c r="H6785" s="9">
        <v>44754</v>
      </c>
      <c r="I6785" t="s">
        <v>411</v>
      </c>
      <c r="J6785" t="s">
        <v>5330</v>
      </c>
      <c r="K6785" s="9">
        <v>44834</v>
      </c>
      <c r="L6785" t="s">
        <v>29</v>
      </c>
      <c r="M6785"/>
      <c r="N6785" s="9">
        <v>44778</v>
      </c>
      <c r="O6785" s="9">
        <v>44834</v>
      </c>
      <c r="P6785"/>
      <c r="Q6785"/>
      <c r="R6785"/>
      <c r="S6785"/>
      <c r="T6785"/>
      <c r="U6785"/>
    </row>
    <row r="6786" spans="1:21" hidden="1">
      <c r="A6786" s="7" t="s">
        <v>8889</v>
      </c>
      <c r="B6786" s="7" t="s">
        <v>6738</v>
      </c>
      <c r="C6786" s="8" t="s">
        <v>5320</v>
      </c>
      <c r="D6786" t="s">
        <v>272</v>
      </c>
      <c r="E6786" t="s">
        <v>2758</v>
      </c>
      <c r="F6786" t="s">
        <v>231</v>
      </c>
      <c r="G6786" t="s">
        <v>5129</v>
      </c>
      <c r="H6786" s="9">
        <v>44754</v>
      </c>
      <c r="I6786" t="s">
        <v>903</v>
      </c>
      <c r="J6786" t="s">
        <v>5330</v>
      </c>
      <c r="K6786" s="9">
        <v>44834</v>
      </c>
      <c r="L6786" t="s">
        <v>29</v>
      </c>
      <c r="M6786"/>
      <c r="N6786" s="9">
        <v>44778</v>
      </c>
      <c r="O6786" s="9">
        <v>44834</v>
      </c>
      <c r="P6786"/>
      <c r="Q6786"/>
      <c r="R6786"/>
      <c r="S6786"/>
      <c r="T6786"/>
      <c r="U6786"/>
    </row>
    <row r="6787" spans="1:21" hidden="1">
      <c r="A6787" s="7" t="s">
        <v>8758</v>
      </c>
      <c r="B6787" s="7" t="s">
        <v>5405</v>
      </c>
      <c r="C6787" s="8" t="s">
        <v>5320</v>
      </c>
      <c r="D6787" t="s">
        <v>272</v>
      </c>
      <c r="E6787" t="s">
        <v>25</v>
      </c>
      <c r="F6787" t="s">
        <v>493</v>
      </c>
      <c r="G6787" t="s">
        <v>5130</v>
      </c>
      <c r="H6787" s="9">
        <v>44754</v>
      </c>
      <c r="I6787" t="s">
        <v>8634</v>
      </c>
      <c r="J6787" t="s">
        <v>5330</v>
      </c>
      <c r="K6787" s="9">
        <v>44834</v>
      </c>
      <c r="L6787" t="s">
        <v>29</v>
      </c>
      <c r="M6787"/>
      <c r="N6787" s="9">
        <v>44778</v>
      </c>
      <c r="O6787" s="9">
        <v>44834</v>
      </c>
      <c r="P6787"/>
      <c r="Q6787"/>
      <c r="R6787"/>
      <c r="S6787"/>
      <c r="T6787"/>
      <c r="U6787"/>
    </row>
    <row r="6788" spans="1:21" hidden="1">
      <c r="A6788" s="7" t="s">
        <v>8895</v>
      </c>
      <c r="B6788" s="7" t="s">
        <v>7970</v>
      </c>
      <c r="C6788" s="8" t="s">
        <v>5320</v>
      </c>
      <c r="D6788" t="s">
        <v>272</v>
      </c>
      <c r="E6788" t="s">
        <v>2954</v>
      </c>
      <c r="F6788" t="s">
        <v>117</v>
      </c>
      <c r="G6788" t="s">
        <v>5131</v>
      </c>
      <c r="H6788" s="9">
        <v>44754</v>
      </c>
      <c r="I6788" t="s">
        <v>509</v>
      </c>
      <c r="J6788" t="s">
        <v>5330</v>
      </c>
      <c r="K6788" s="9">
        <v>44834</v>
      </c>
      <c r="L6788" t="s">
        <v>29</v>
      </c>
      <c r="M6788"/>
      <c r="N6788" s="9">
        <v>44778</v>
      </c>
      <c r="O6788" s="9">
        <v>44834</v>
      </c>
      <c r="P6788"/>
      <c r="Q6788"/>
      <c r="R6788"/>
      <c r="S6788"/>
      <c r="T6788"/>
      <c r="U6788"/>
    </row>
    <row r="6789" spans="1:21" hidden="1">
      <c r="A6789" s="7" t="s">
        <v>8896</v>
      </c>
      <c r="B6789" s="7" t="s">
        <v>6934</v>
      </c>
      <c r="C6789" s="8" t="s">
        <v>5320</v>
      </c>
      <c r="D6789" t="s">
        <v>272</v>
      </c>
      <c r="E6789" t="s">
        <v>2975</v>
      </c>
      <c r="F6789" t="s">
        <v>83</v>
      </c>
      <c r="G6789" t="s">
        <v>5132</v>
      </c>
      <c r="H6789" s="9">
        <v>44754</v>
      </c>
      <c r="I6789" t="s">
        <v>2977</v>
      </c>
      <c r="J6789" t="s">
        <v>5330</v>
      </c>
      <c r="K6789" s="9">
        <v>44834</v>
      </c>
      <c r="L6789" t="s">
        <v>29</v>
      </c>
      <c r="M6789"/>
      <c r="N6789" s="9">
        <v>44778</v>
      </c>
      <c r="O6789" s="9">
        <v>44834</v>
      </c>
      <c r="P6789"/>
      <c r="Q6789"/>
      <c r="R6789"/>
      <c r="S6789"/>
      <c r="T6789"/>
      <c r="U6789"/>
    </row>
    <row r="6790" spans="1:21" hidden="1">
      <c r="A6790" s="7" t="s">
        <v>8758</v>
      </c>
      <c r="B6790" s="7" t="s">
        <v>5405</v>
      </c>
      <c r="C6790" s="8" t="s">
        <v>5320</v>
      </c>
      <c r="D6790" t="s">
        <v>168</v>
      </c>
      <c r="E6790" t="s">
        <v>25</v>
      </c>
      <c r="F6790" t="s">
        <v>493</v>
      </c>
      <c r="G6790" t="s">
        <v>5130</v>
      </c>
      <c r="H6790" s="9">
        <v>44754</v>
      </c>
      <c r="I6790" t="s">
        <v>8634</v>
      </c>
      <c r="J6790" t="s">
        <v>5330</v>
      </c>
      <c r="K6790" s="9">
        <v>44834</v>
      </c>
      <c r="L6790" t="s">
        <v>29</v>
      </c>
      <c r="M6790"/>
      <c r="N6790" s="9">
        <v>44778</v>
      </c>
      <c r="O6790" s="9">
        <v>44834</v>
      </c>
      <c r="P6790"/>
      <c r="Q6790"/>
      <c r="R6790"/>
      <c r="S6790"/>
      <c r="T6790"/>
      <c r="U6790"/>
    </row>
    <row r="6791" spans="1:21" hidden="1">
      <c r="A6791" s="7" t="s">
        <v>8757</v>
      </c>
      <c r="B6791" s="7" t="s">
        <v>5405</v>
      </c>
      <c r="C6791" s="8" t="s">
        <v>5320</v>
      </c>
      <c r="D6791" t="s">
        <v>168</v>
      </c>
      <c r="E6791" t="s">
        <v>25</v>
      </c>
      <c r="F6791" t="s">
        <v>491</v>
      </c>
      <c r="G6791" t="s">
        <v>5133</v>
      </c>
      <c r="H6791" s="9">
        <v>44754</v>
      </c>
      <c r="I6791" t="s">
        <v>8634</v>
      </c>
      <c r="J6791" t="s">
        <v>5330</v>
      </c>
      <c r="K6791" s="9">
        <v>44834</v>
      </c>
      <c r="L6791" t="s">
        <v>29</v>
      </c>
      <c r="M6791"/>
      <c r="N6791" s="9">
        <v>44778</v>
      </c>
      <c r="O6791" s="9">
        <v>44834</v>
      </c>
      <c r="P6791"/>
      <c r="Q6791"/>
      <c r="R6791"/>
      <c r="S6791"/>
      <c r="T6791"/>
      <c r="U6791"/>
    </row>
    <row r="6792" spans="1:21" hidden="1">
      <c r="A6792" s="7" t="s">
        <v>8954</v>
      </c>
      <c r="B6792" s="7" t="s">
        <v>5405</v>
      </c>
      <c r="C6792" s="8" t="s">
        <v>5320</v>
      </c>
      <c r="D6792" t="s">
        <v>24</v>
      </c>
      <c r="E6792" t="s">
        <v>25</v>
      </c>
      <c r="F6792" t="s">
        <v>3070</v>
      </c>
      <c r="G6792" t="s">
        <v>5134</v>
      </c>
      <c r="H6792" s="9">
        <v>44754</v>
      </c>
      <c r="I6792" t="s">
        <v>8634</v>
      </c>
      <c r="J6792" t="s">
        <v>5330</v>
      </c>
      <c r="K6792" s="9">
        <v>44834</v>
      </c>
      <c r="L6792" t="s">
        <v>29</v>
      </c>
      <c r="M6792"/>
      <c r="N6792" s="9">
        <v>44778</v>
      </c>
      <c r="O6792" s="9">
        <v>44834</v>
      </c>
      <c r="P6792"/>
      <c r="Q6792"/>
      <c r="R6792"/>
      <c r="S6792"/>
      <c r="T6792"/>
      <c r="U6792"/>
    </row>
    <row r="6793" spans="1:21" hidden="1">
      <c r="A6793" s="7" t="s">
        <v>8958</v>
      </c>
      <c r="B6793" s="7" t="s">
        <v>6644</v>
      </c>
      <c r="C6793" s="8" t="s">
        <v>5320</v>
      </c>
      <c r="D6793" t="s">
        <v>24</v>
      </c>
      <c r="E6793" t="s">
        <v>96</v>
      </c>
      <c r="F6793" t="s">
        <v>83</v>
      </c>
      <c r="G6793" t="s">
        <v>5135</v>
      </c>
      <c r="H6793" s="9">
        <v>44754</v>
      </c>
      <c r="I6793" t="s">
        <v>99</v>
      </c>
      <c r="J6793" t="s">
        <v>5330</v>
      </c>
      <c r="K6793" s="9">
        <v>44834</v>
      </c>
      <c r="L6793" t="s">
        <v>29</v>
      </c>
      <c r="M6793"/>
      <c r="N6793" s="9">
        <v>44778</v>
      </c>
      <c r="O6793" s="9">
        <v>44834</v>
      </c>
      <c r="P6793"/>
      <c r="Q6793"/>
      <c r="R6793"/>
      <c r="S6793"/>
      <c r="T6793"/>
      <c r="U6793"/>
    </row>
    <row r="6794" spans="1:21" hidden="1">
      <c r="A6794" s="7" t="s">
        <v>8954</v>
      </c>
      <c r="B6794" s="7" t="s">
        <v>5405</v>
      </c>
      <c r="C6794" s="8" t="s">
        <v>5320</v>
      </c>
      <c r="D6794" t="s">
        <v>24</v>
      </c>
      <c r="E6794" t="s">
        <v>25</v>
      </c>
      <c r="F6794" t="s">
        <v>3070</v>
      </c>
      <c r="G6794" t="s">
        <v>5136</v>
      </c>
      <c r="H6794" s="9">
        <v>44754</v>
      </c>
      <c r="I6794" t="s">
        <v>8634</v>
      </c>
      <c r="J6794" t="s">
        <v>5330</v>
      </c>
      <c r="K6794" s="9">
        <v>44834</v>
      </c>
      <c r="L6794" t="s">
        <v>29</v>
      </c>
      <c r="M6794"/>
      <c r="N6794" s="9">
        <v>44778</v>
      </c>
      <c r="O6794" s="9">
        <v>44834</v>
      </c>
      <c r="P6794"/>
      <c r="Q6794"/>
      <c r="R6794"/>
      <c r="S6794"/>
      <c r="T6794"/>
      <c r="U6794"/>
    </row>
    <row r="6795" spans="1:21" hidden="1">
      <c r="A6795" s="7" t="s">
        <v>8758</v>
      </c>
      <c r="B6795" s="7" t="s">
        <v>5405</v>
      </c>
      <c r="C6795" s="8" t="s">
        <v>5320</v>
      </c>
      <c r="D6795" t="s">
        <v>24</v>
      </c>
      <c r="E6795" t="s">
        <v>25</v>
      </c>
      <c r="F6795" t="s">
        <v>493</v>
      </c>
      <c r="G6795" t="s">
        <v>5126</v>
      </c>
      <c r="H6795" s="9">
        <v>44754</v>
      </c>
      <c r="I6795" t="s">
        <v>8634</v>
      </c>
      <c r="J6795" t="s">
        <v>5330</v>
      </c>
      <c r="K6795" s="9">
        <v>44834</v>
      </c>
      <c r="L6795" t="s">
        <v>29</v>
      </c>
      <c r="M6795"/>
      <c r="N6795" s="9">
        <v>44778</v>
      </c>
      <c r="O6795" s="9">
        <v>44834</v>
      </c>
      <c r="P6795"/>
      <c r="Q6795"/>
      <c r="R6795"/>
      <c r="S6795"/>
      <c r="T6795"/>
      <c r="U6795"/>
    </row>
    <row r="6796" spans="1:21" hidden="1">
      <c r="A6796" s="7" t="s">
        <v>8873</v>
      </c>
      <c r="B6796" s="7" t="s">
        <v>7140</v>
      </c>
      <c r="C6796" s="8" t="s">
        <v>5320</v>
      </c>
      <c r="D6796" t="s">
        <v>266</v>
      </c>
      <c r="E6796" t="s">
        <v>2360</v>
      </c>
      <c r="F6796" t="s">
        <v>209</v>
      </c>
      <c r="G6796" t="s">
        <v>5137</v>
      </c>
      <c r="H6796" s="9">
        <v>44754</v>
      </c>
      <c r="I6796" t="s">
        <v>2362</v>
      </c>
      <c r="J6796" t="s">
        <v>5330</v>
      </c>
      <c r="K6796" s="9">
        <v>44834</v>
      </c>
      <c r="L6796" t="s">
        <v>29</v>
      </c>
      <c r="M6796"/>
      <c r="N6796" s="9">
        <v>44778</v>
      </c>
      <c r="O6796" s="9">
        <v>44834</v>
      </c>
      <c r="P6796"/>
      <c r="Q6796"/>
      <c r="R6796"/>
      <c r="S6796"/>
      <c r="T6796"/>
      <c r="U6796"/>
    </row>
    <row r="6797" spans="1:21" hidden="1">
      <c r="A6797" s="7" t="s">
        <v>8873</v>
      </c>
      <c r="B6797" s="7" t="s">
        <v>7140</v>
      </c>
      <c r="C6797" s="8" t="s">
        <v>5320</v>
      </c>
      <c r="D6797" t="s">
        <v>266</v>
      </c>
      <c r="E6797" t="s">
        <v>2360</v>
      </c>
      <c r="F6797" t="s">
        <v>209</v>
      </c>
      <c r="G6797" t="s">
        <v>5138</v>
      </c>
      <c r="H6797" s="9">
        <v>44754</v>
      </c>
      <c r="I6797" t="s">
        <v>2362</v>
      </c>
      <c r="J6797" t="s">
        <v>5330</v>
      </c>
      <c r="K6797" s="9">
        <v>44834</v>
      </c>
      <c r="L6797" t="s">
        <v>29</v>
      </c>
      <c r="M6797"/>
      <c r="N6797" s="9">
        <v>44778</v>
      </c>
      <c r="O6797" s="9">
        <v>44834</v>
      </c>
      <c r="P6797"/>
      <c r="Q6797"/>
      <c r="R6797"/>
      <c r="S6797"/>
      <c r="T6797"/>
      <c r="U6797"/>
    </row>
    <row r="6798" spans="1:21" hidden="1">
      <c r="A6798" s="7" t="s">
        <v>8873</v>
      </c>
      <c r="B6798" s="7" t="s">
        <v>7140</v>
      </c>
      <c r="C6798" s="8" t="s">
        <v>5320</v>
      </c>
      <c r="D6798" t="s">
        <v>266</v>
      </c>
      <c r="E6798" t="s">
        <v>2360</v>
      </c>
      <c r="F6798" t="s">
        <v>209</v>
      </c>
      <c r="G6798" t="s">
        <v>5139</v>
      </c>
      <c r="H6798" s="9">
        <v>44754</v>
      </c>
      <c r="I6798" t="s">
        <v>2362</v>
      </c>
      <c r="J6798" t="s">
        <v>5330</v>
      </c>
      <c r="K6798" s="9">
        <v>44834</v>
      </c>
      <c r="L6798" t="s">
        <v>29</v>
      </c>
      <c r="M6798"/>
      <c r="N6798" s="9">
        <v>44778</v>
      </c>
      <c r="O6798" s="9">
        <v>44834</v>
      </c>
      <c r="P6798"/>
      <c r="Q6798"/>
      <c r="R6798"/>
      <c r="S6798"/>
      <c r="T6798"/>
      <c r="U6798"/>
    </row>
    <row r="6799" spans="1:21" hidden="1">
      <c r="A6799" s="7" t="s">
        <v>8873</v>
      </c>
      <c r="B6799" s="7" t="s">
        <v>7140</v>
      </c>
      <c r="C6799" s="8" t="s">
        <v>5320</v>
      </c>
      <c r="D6799" t="s">
        <v>266</v>
      </c>
      <c r="E6799" t="s">
        <v>2360</v>
      </c>
      <c r="F6799" t="s">
        <v>209</v>
      </c>
      <c r="G6799" t="s">
        <v>5140</v>
      </c>
      <c r="H6799" s="9">
        <v>44754</v>
      </c>
      <c r="I6799" t="s">
        <v>2362</v>
      </c>
      <c r="J6799" t="s">
        <v>5330</v>
      </c>
      <c r="K6799" s="9">
        <v>44834</v>
      </c>
      <c r="L6799" t="s">
        <v>29</v>
      </c>
      <c r="M6799"/>
      <c r="N6799" s="9">
        <v>44778</v>
      </c>
      <c r="O6799" s="9">
        <v>44834</v>
      </c>
      <c r="P6799"/>
      <c r="Q6799"/>
      <c r="R6799"/>
      <c r="S6799"/>
      <c r="T6799"/>
      <c r="U6799"/>
    </row>
    <row r="6800" spans="1:21" hidden="1">
      <c r="A6800" s="7" t="s">
        <v>8873</v>
      </c>
      <c r="B6800" s="7" t="s">
        <v>7140</v>
      </c>
      <c r="C6800" s="8" t="s">
        <v>5320</v>
      </c>
      <c r="D6800" t="s">
        <v>266</v>
      </c>
      <c r="E6800" t="s">
        <v>2360</v>
      </c>
      <c r="F6800" t="s">
        <v>209</v>
      </c>
      <c r="G6800" t="s">
        <v>5141</v>
      </c>
      <c r="H6800" s="9">
        <v>44754</v>
      </c>
      <c r="I6800" t="s">
        <v>2362</v>
      </c>
      <c r="J6800" t="s">
        <v>5330</v>
      </c>
      <c r="K6800" s="9">
        <v>44834</v>
      </c>
      <c r="L6800" t="s">
        <v>29</v>
      </c>
      <c r="M6800"/>
      <c r="N6800" s="9">
        <v>44778</v>
      </c>
      <c r="O6800" s="9">
        <v>44834</v>
      </c>
      <c r="P6800"/>
      <c r="Q6800"/>
      <c r="R6800"/>
      <c r="S6800"/>
      <c r="T6800"/>
      <c r="U6800"/>
    </row>
    <row r="6801" spans="1:21" hidden="1">
      <c r="A6801" s="7" t="s">
        <v>8873</v>
      </c>
      <c r="B6801" s="7" t="s">
        <v>7140</v>
      </c>
      <c r="C6801" s="8" t="s">
        <v>5320</v>
      </c>
      <c r="D6801" t="s">
        <v>266</v>
      </c>
      <c r="E6801" t="s">
        <v>2360</v>
      </c>
      <c r="F6801" t="s">
        <v>209</v>
      </c>
      <c r="G6801" t="s">
        <v>5142</v>
      </c>
      <c r="H6801" s="9">
        <v>44754</v>
      </c>
      <c r="I6801" t="s">
        <v>2362</v>
      </c>
      <c r="J6801" t="s">
        <v>5330</v>
      </c>
      <c r="K6801" s="9">
        <v>44834</v>
      </c>
      <c r="L6801" t="s">
        <v>29</v>
      </c>
      <c r="M6801"/>
      <c r="N6801" s="9">
        <v>44778</v>
      </c>
      <c r="O6801" s="9">
        <v>44834</v>
      </c>
      <c r="P6801"/>
      <c r="Q6801"/>
      <c r="R6801"/>
      <c r="S6801"/>
      <c r="T6801"/>
      <c r="U6801"/>
    </row>
    <row r="6802" spans="1:21" hidden="1">
      <c r="A6802" s="7" t="s">
        <v>8959</v>
      </c>
      <c r="B6802" s="7" t="s">
        <v>6096</v>
      </c>
      <c r="C6802" s="8" t="s">
        <v>5320</v>
      </c>
      <c r="D6802" t="s">
        <v>266</v>
      </c>
      <c r="E6802" t="s">
        <v>2125</v>
      </c>
      <c r="F6802" t="s">
        <v>4254</v>
      </c>
      <c r="G6802" t="s">
        <v>5143</v>
      </c>
      <c r="H6802" s="9">
        <v>44754</v>
      </c>
      <c r="I6802" t="s">
        <v>77</v>
      </c>
      <c r="J6802" t="s">
        <v>0</v>
      </c>
      <c r="K6802" s="9">
        <v>44799</v>
      </c>
      <c r="L6802" t="s">
        <v>29</v>
      </c>
      <c r="M6802"/>
      <c r="N6802" s="9">
        <v>44778</v>
      </c>
      <c r="O6802"/>
      <c r="P6802"/>
      <c r="Q6802" s="9">
        <v>44799</v>
      </c>
      <c r="R6802"/>
      <c r="S6802"/>
      <c r="T6802"/>
      <c r="U6802"/>
    </row>
    <row r="6803" spans="1:21" hidden="1">
      <c r="A6803" s="7" t="s">
        <v>8873</v>
      </c>
      <c r="B6803" s="7" t="s">
        <v>7140</v>
      </c>
      <c r="C6803" s="8" t="s">
        <v>5320</v>
      </c>
      <c r="D6803" t="s">
        <v>266</v>
      </c>
      <c r="E6803" t="s">
        <v>2360</v>
      </c>
      <c r="F6803" t="s">
        <v>209</v>
      </c>
      <c r="G6803" t="s">
        <v>5144</v>
      </c>
      <c r="H6803" s="9">
        <v>44754</v>
      </c>
      <c r="I6803" t="s">
        <v>2362</v>
      </c>
      <c r="J6803" t="s">
        <v>5330</v>
      </c>
      <c r="K6803" s="9">
        <v>44834</v>
      </c>
      <c r="L6803" t="s">
        <v>29</v>
      </c>
      <c r="M6803"/>
      <c r="N6803" s="9">
        <v>44778</v>
      </c>
      <c r="O6803" s="9">
        <v>44834</v>
      </c>
      <c r="P6803"/>
      <c r="Q6803"/>
      <c r="R6803"/>
      <c r="S6803"/>
      <c r="T6803"/>
      <c r="U6803"/>
    </row>
    <row r="6804" spans="1:21" hidden="1">
      <c r="A6804" s="7" t="s">
        <v>8873</v>
      </c>
      <c r="B6804" s="7" t="s">
        <v>7140</v>
      </c>
      <c r="C6804" s="8" t="s">
        <v>5320</v>
      </c>
      <c r="D6804" t="s">
        <v>266</v>
      </c>
      <c r="E6804" t="s">
        <v>2360</v>
      </c>
      <c r="F6804" t="s">
        <v>209</v>
      </c>
      <c r="G6804" t="s">
        <v>5145</v>
      </c>
      <c r="H6804" s="9">
        <v>44754</v>
      </c>
      <c r="I6804" t="s">
        <v>2362</v>
      </c>
      <c r="J6804" t="s">
        <v>5330</v>
      </c>
      <c r="K6804" s="9">
        <v>44834</v>
      </c>
      <c r="L6804" t="s">
        <v>29</v>
      </c>
      <c r="M6804"/>
      <c r="N6804" s="9">
        <v>44778</v>
      </c>
      <c r="O6804" s="9">
        <v>44834</v>
      </c>
      <c r="P6804"/>
      <c r="Q6804"/>
      <c r="R6804"/>
      <c r="S6804"/>
      <c r="T6804"/>
      <c r="U6804"/>
    </row>
    <row r="6805" spans="1:21" hidden="1">
      <c r="A6805" s="7" t="s">
        <v>8873</v>
      </c>
      <c r="B6805" s="7" t="s">
        <v>7140</v>
      </c>
      <c r="C6805" s="8" t="s">
        <v>5320</v>
      </c>
      <c r="D6805" t="s">
        <v>266</v>
      </c>
      <c r="E6805" t="s">
        <v>2360</v>
      </c>
      <c r="F6805" t="s">
        <v>209</v>
      </c>
      <c r="G6805" t="s">
        <v>5146</v>
      </c>
      <c r="H6805" s="9">
        <v>44754</v>
      </c>
      <c r="I6805" t="s">
        <v>2362</v>
      </c>
      <c r="J6805" t="s">
        <v>5330</v>
      </c>
      <c r="K6805" s="9">
        <v>44834</v>
      </c>
      <c r="L6805" t="s">
        <v>29</v>
      </c>
      <c r="M6805"/>
      <c r="N6805" s="9">
        <v>44778</v>
      </c>
      <c r="O6805" s="9">
        <v>44834</v>
      </c>
      <c r="P6805"/>
      <c r="Q6805"/>
      <c r="R6805"/>
      <c r="S6805"/>
      <c r="T6805"/>
      <c r="U6805"/>
    </row>
    <row r="6806" spans="1:21" hidden="1">
      <c r="A6806" s="7" t="s">
        <v>8916</v>
      </c>
      <c r="B6806" s="7" t="s">
        <v>6766</v>
      </c>
      <c r="C6806" s="8" t="s">
        <v>5320</v>
      </c>
      <c r="D6806" t="s">
        <v>266</v>
      </c>
      <c r="E6806" t="s">
        <v>3257</v>
      </c>
      <c r="F6806" t="s">
        <v>117</v>
      </c>
      <c r="G6806" t="s">
        <v>5147</v>
      </c>
      <c r="H6806" s="9">
        <v>44754</v>
      </c>
      <c r="I6806" t="s">
        <v>408</v>
      </c>
      <c r="J6806" t="s">
        <v>0</v>
      </c>
      <c r="K6806" s="9">
        <v>44761</v>
      </c>
      <c r="L6806" t="s">
        <v>29</v>
      </c>
      <c r="M6806"/>
      <c r="N6806"/>
      <c r="O6806"/>
      <c r="P6806"/>
      <c r="Q6806" s="9">
        <v>44761</v>
      </c>
      <c r="R6806"/>
      <c r="S6806"/>
      <c r="T6806"/>
      <c r="U6806"/>
    </row>
    <row r="6807" spans="1:21" hidden="1">
      <c r="A6807" s="7" t="s">
        <v>8916</v>
      </c>
      <c r="B6807" s="7" t="s">
        <v>6766</v>
      </c>
      <c r="C6807" s="8" t="s">
        <v>5320</v>
      </c>
      <c r="D6807" t="s">
        <v>266</v>
      </c>
      <c r="E6807" t="s">
        <v>3257</v>
      </c>
      <c r="F6807" t="s">
        <v>117</v>
      </c>
      <c r="G6807" t="s">
        <v>5148</v>
      </c>
      <c r="H6807" s="9">
        <v>44754</v>
      </c>
      <c r="I6807" t="s">
        <v>408</v>
      </c>
      <c r="J6807" t="s">
        <v>0</v>
      </c>
      <c r="K6807" s="9">
        <v>44761</v>
      </c>
      <c r="L6807" t="s">
        <v>29</v>
      </c>
      <c r="M6807"/>
      <c r="N6807"/>
      <c r="O6807"/>
      <c r="P6807"/>
      <c r="Q6807" s="9">
        <v>44761</v>
      </c>
      <c r="R6807"/>
      <c r="S6807"/>
      <c r="T6807"/>
      <c r="U6807"/>
    </row>
    <row r="6808" spans="1:21" hidden="1">
      <c r="A6808" s="7" t="s">
        <v>8916</v>
      </c>
      <c r="B6808" s="7" t="s">
        <v>6766</v>
      </c>
      <c r="C6808" s="8" t="s">
        <v>5320</v>
      </c>
      <c r="D6808" t="s">
        <v>266</v>
      </c>
      <c r="E6808" t="s">
        <v>3257</v>
      </c>
      <c r="F6808" t="s">
        <v>117</v>
      </c>
      <c r="G6808" t="s">
        <v>5149</v>
      </c>
      <c r="H6808" s="9">
        <v>44754</v>
      </c>
      <c r="I6808" t="s">
        <v>408</v>
      </c>
      <c r="J6808" t="s">
        <v>0</v>
      </c>
      <c r="K6808" s="9">
        <v>44761</v>
      </c>
      <c r="L6808" t="s">
        <v>29</v>
      </c>
      <c r="M6808"/>
      <c r="N6808"/>
      <c r="O6808"/>
      <c r="P6808"/>
      <c r="Q6808" s="9">
        <v>44761</v>
      </c>
      <c r="R6808"/>
      <c r="S6808"/>
      <c r="T6808"/>
      <c r="U6808"/>
    </row>
    <row r="6809" spans="1:21" hidden="1">
      <c r="A6809" s="7" t="s">
        <v>8916</v>
      </c>
      <c r="B6809" s="7" t="s">
        <v>6766</v>
      </c>
      <c r="C6809" s="8" t="s">
        <v>5320</v>
      </c>
      <c r="D6809" t="s">
        <v>266</v>
      </c>
      <c r="E6809" t="s">
        <v>3257</v>
      </c>
      <c r="F6809" t="s">
        <v>117</v>
      </c>
      <c r="G6809" t="s">
        <v>5150</v>
      </c>
      <c r="H6809" s="9">
        <v>44754</v>
      </c>
      <c r="I6809" t="s">
        <v>408</v>
      </c>
      <c r="J6809" t="s">
        <v>0</v>
      </c>
      <c r="K6809" s="9">
        <v>44761</v>
      </c>
      <c r="L6809" t="s">
        <v>29</v>
      </c>
      <c r="M6809"/>
      <c r="N6809"/>
      <c r="O6809"/>
      <c r="P6809"/>
      <c r="Q6809" s="9">
        <v>44761</v>
      </c>
      <c r="R6809"/>
      <c r="S6809"/>
      <c r="T6809"/>
      <c r="U6809"/>
    </row>
    <row r="6810" spans="1:21" hidden="1">
      <c r="A6810" s="7" t="s">
        <v>8782</v>
      </c>
      <c r="B6810" s="7" t="s">
        <v>5530</v>
      </c>
      <c r="C6810" s="8" t="s">
        <v>5320</v>
      </c>
      <c r="D6810" t="s">
        <v>266</v>
      </c>
      <c r="E6810" t="s">
        <v>885</v>
      </c>
      <c r="F6810" t="s">
        <v>75</v>
      </c>
      <c r="G6810" t="s">
        <v>5151</v>
      </c>
      <c r="H6810" s="9">
        <v>44754</v>
      </c>
      <c r="I6810" t="s">
        <v>408</v>
      </c>
      <c r="J6810" t="s">
        <v>2</v>
      </c>
      <c r="K6810" s="9">
        <v>44845</v>
      </c>
      <c r="L6810" t="s">
        <v>29</v>
      </c>
      <c r="M6810" t="s">
        <v>5332</v>
      </c>
      <c r="N6810" s="9">
        <v>44778</v>
      </c>
      <c r="O6810" s="9">
        <v>44834</v>
      </c>
      <c r="P6810"/>
      <c r="Q6810"/>
      <c r="R6810"/>
      <c r="S6810"/>
      <c r="T6810"/>
      <c r="U6810"/>
    </row>
    <row r="6811" spans="1:21" hidden="1">
      <c r="A6811" s="7" t="s">
        <v>8758</v>
      </c>
      <c r="B6811" s="7" t="s">
        <v>5405</v>
      </c>
      <c r="C6811" s="8" t="s">
        <v>5320</v>
      </c>
      <c r="D6811" t="s">
        <v>266</v>
      </c>
      <c r="E6811" t="s">
        <v>25</v>
      </c>
      <c r="F6811" t="s">
        <v>493</v>
      </c>
      <c r="G6811" t="s">
        <v>5126</v>
      </c>
      <c r="H6811" s="9">
        <v>44754</v>
      </c>
      <c r="I6811" t="s">
        <v>8634</v>
      </c>
      <c r="J6811" t="s">
        <v>5330</v>
      </c>
      <c r="K6811" s="9">
        <v>44834</v>
      </c>
      <c r="L6811" t="s">
        <v>29</v>
      </c>
      <c r="M6811"/>
      <c r="N6811" s="9">
        <v>44778</v>
      </c>
      <c r="O6811" s="9">
        <v>44834</v>
      </c>
      <c r="P6811"/>
      <c r="Q6811"/>
      <c r="R6811"/>
      <c r="S6811"/>
      <c r="T6811"/>
      <c r="U6811"/>
    </row>
    <row r="6812" spans="1:21" hidden="1">
      <c r="A6812" s="7" t="s">
        <v>8808</v>
      </c>
      <c r="B6812" s="7" t="s">
        <v>7973</v>
      </c>
      <c r="C6812" s="8" t="s">
        <v>5320</v>
      </c>
      <c r="D6812" t="s">
        <v>266</v>
      </c>
      <c r="E6812" t="s">
        <v>1040</v>
      </c>
      <c r="F6812" t="s">
        <v>117</v>
      </c>
      <c r="G6812" t="s">
        <v>5152</v>
      </c>
      <c r="H6812" s="9">
        <v>44754</v>
      </c>
      <c r="I6812" t="s">
        <v>984</v>
      </c>
      <c r="J6812" t="s">
        <v>276</v>
      </c>
      <c r="K6812" s="9">
        <v>44827.551423611098</v>
      </c>
      <c r="L6812" t="s">
        <v>29</v>
      </c>
      <c r="M6812"/>
      <c r="N6812" s="9">
        <v>44778</v>
      </c>
      <c r="O6812"/>
      <c r="P6812"/>
      <c r="Q6812" s="9">
        <v>44827</v>
      </c>
      <c r="R6812" s="9">
        <v>44827.547002314801</v>
      </c>
      <c r="S6812"/>
      <c r="T6812"/>
      <c r="U6812"/>
    </row>
    <row r="6813" spans="1:21" hidden="1">
      <c r="A6813" s="7" t="s">
        <v>8808</v>
      </c>
      <c r="B6813" s="7" t="s">
        <v>7973</v>
      </c>
      <c r="C6813" s="8" t="s">
        <v>5320</v>
      </c>
      <c r="D6813" t="s">
        <v>266</v>
      </c>
      <c r="E6813" t="s">
        <v>1040</v>
      </c>
      <c r="F6813" t="s">
        <v>117</v>
      </c>
      <c r="G6813" t="s">
        <v>5153</v>
      </c>
      <c r="H6813" s="9">
        <v>44754</v>
      </c>
      <c r="I6813" t="s">
        <v>984</v>
      </c>
      <c r="J6813" t="s">
        <v>276</v>
      </c>
      <c r="K6813" s="9">
        <v>44827.551423611098</v>
      </c>
      <c r="L6813" t="s">
        <v>29</v>
      </c>
      <c r="M6813"/>
      <c r="N6813" s="9">
        <v>44778</v>
      </c>
      <c r="O6813"/>
      <c r="P6813"/>
      <c r="Q6813" s="9">
        <v>44827</v>
      </c>
      <c r="R6813" s="9">
        <v>44827.547002314801</v>
      </c>
      <c r="S6813"/>
      <c r="T6813"/>
      <c r="U6813"/>
    </row>
    <row r="6814" spans="1:21" hidden="1">
      <c r="A6814" s="7" t="s">
        <v>8808</v>
      </c>
      <c r="B6814" s="7" t="s">
        <v>7973</v>
      </c>
      <c r="C6814" s="8" t="s">
        <v>5320</v>
      </c>
      <c r="D6814" t="s">
        <v>266</v>
      </c>
      <c r="E6814" t="s">
        <v>1040</v>
      </c>
      <c r="F6814" t="s">
        <v>117</v>
      </c>
      <c r="G6814" t="s">
        <v>5154</v>
      </c>
      <c r="H6814" s="9">
        <v>44754</v>
      </c>
      <c r="I6814" t="s">
        <v>984</v>
      </c>
      <c r="J6814" t="s">
        <v>276</v>
      </c>
      <c r="K6814" s="9">
        <v>44827.551423611098</v>
      </c>
      <c r="L6814" t="s">
        <v>29</v>
      </c>
      <c r="M6814"/>
      <c r="N6814" s="9">
        <v>44778</v>
      </c>
      <c r="O6814"/>
      <c r="P6814"/>
      <c r="Q6814" s="9">
        <v>44827</v>
      </c>
      <c r="R6814" s="9">
        <v>44827.547002314801</v>
      </c>
      <c r="S6814"/>
      <c r="T6814"/>
      <c r="U6814"/>
    </row>
    <row r="6815" spans="1:21" hidden="1">
      <c r="A6815" s="7" t="s">
        <v>8808</v>
      </c>
      <c r="B6815" s="7" t="s">
        <v>7973</v>
      </c>
      <c r="C6815" s="8" t="s">
        <v>5320</v>
      </c>
      <c r="D6815" t="s">
        <v>266</v>
      </c>
      <c r="E6815" t="s">
        <v>1040</v>
      </c>
      <c r="F6815" t="s">
        <v>117</v>
      </c>
      <c r="G6815" t="s">
        <v>5155</v>
      </c>
      <c r="H6815" s="9">
        <v>44754</v>
      </c>
      <c r="I6815" t="s">
        <v>984</v>
      </c>
      <c r="J6815" t="s">
        <v>276</v>
      </c>
      <c r="K6815" s="9">
        <v>44827.551423611098</v>
      </c>
      <c r="L6815" t="s">
        <v>29</v>
      </c>
      <c r="M6815"/>
      <c r="N6815" s="9">
        <v>44778</v>
      </c>
      <c r="O6815"/>
      <c r="P6815"/>
      <c r="Q6815" s="9">
        <v>44827</v>
      </c>
      <c r="R6815" s="9">
        <v>44827.547002314801</v>
      </c>
      <c r="S6815"/>
      <c r="T6815"/>
      <c r="U6815"/>
    </row>
    <row r="6816" spans="1:21" hidden="1">
      <c r="A6816" s="7" t="s">
        <v>8808</v>
      </c>
      <c r="B6816" s="7" t="s">
        <v>7973</v>
      </c>
      <c r="C6816" s="8" t="s">
        <v>5320</v>
      </c>
      <c r="D6816" t="s">
        <v>266</v>
      </c>
      <c r="E6816" t="s">
        <v>1040</v>
      </c>
      <c r="F6816" t="s">
        <v>117</v>
      </c>
      <c r="G6816" t="s">
        <v>5156</v>
      </c>
      <c r="H6816" s="9">
        <v>44754</v>
      </c>
      <c r="I6816" t="s">
        <v>984</v>
      </c>
      <c r="J6816" t="s">
        <v>276</v>
      </c>
      <c r="K6816" s="9">
        <v>44827.551423611098</v>
      </c>
      <c r="L6816" t="s">
        <v>29</v>
      </c>
      <c r="M6816"/>
      <c r="N6816" s="9">
        <v>44778</v>
      </c>
      <c r="O6816"/>
      <c r="P6816"/>
      <c r="Q6816" s="9">
        <v>44827</v>
      </c>
      <c r="R6816" s="9">
        <v>44827.547002314801</v>
      </c>
      <c r="S6816"/>
      <c r="T6816"/>
      <c r="U6816"/>
    </row>
    <row r="6817" spans="1:21" hidden="1">
      <c r="A6817" s="7" t="s">
        <v>8808</v>
      </c>
      <c r="B6817" s="7" t="s">
        <v>7973</v>
      </c>
      <c r="C6817" s="8" t="s">
        <v>5320</v>
      </c>
      <c r="D6817" t="s">
        <v>266</v>
      </c>
      <c r="E6817" t="s">
        <v>1040</v>
      </c>
      <c r="F6817" t="s">
        <v>117</v>
      </c>
      <c r="G6817" t="s">
        <v>5157</v>
      </c>
      <c r="H6817" s="9">
        <v>44754</v>
      </c>
      <c r="I6817" t="s">
        <v>984</v>
      </c>
      <c r="J6817" t="s">
        <v>276</v>
      </c>
      <c r="K6817" s="9">
        <v>44827.551423611098</v>
      </c>
      <c r="L6817" t="s">
        <v>29</v>
      </c>
      <c r="M6817"/>
      <c r="N6817" s="9">
        <v>44778</v>
      </c>
      <c r="O6817"/>
      <c r="P6817"/>
      <c r="Q6817" s="9">
        <v>44827</v>
      </c>
      <c r="R6817" s="9">
        <v>44827.547002314801</v>
      </c>
      <c r="S6817"/>
      <c r="T6817"/>
      <c r="U6817"/>
    </row>
    <row r="6818" spans="1:21" hidden="1">
      <c r="A6818" s="7" t="s">
        <v>8810</v>
      </c>
      <c r="B6818" s="7" t="s">
        <v>6752</v>
      </c>
      <c r="C6818" s="8" t="s">
        <v>5320</v>
      </c>
      <c r="D6818" t="s">
        <v>266</v>
      </c>
      <c r="E6818" t="s">
        <v>1050</v>
      </c>
      <c r="F6818" t="s">
        <v>117</v>
      </c>
      <c r="G6818" t="s">
        <v>5158</v>
      </c>
      <c r="H6818" s="9">
        <v>44754</v>
      </c>
      <c r="I6818" t="s">
        <v>984</v>
      </c>
      <c r="J6818" t="s">
        <v>5330</v>
      </c>
      <c r="K6818" s="9">
        <v>44834</v>
      </c>
      <c r="L6818" t="s">
        <v>29</v>
      </c>
      <c r="M6818"/>
      <c r="N6818" s="9">
        <v>44778</v>
      </c>
      <c r="O6818" s="9">
        <v>44834</v>
      </c>
      <c r="P6818"/>
      <c r="Q6818"/>
      <c r="R6818"/>
      <c r="S6818"/>
      <c r="T6818"/>
      <c r="U6818"/>
    </row>
    <row r="6819" spans="1:21" hidden="1">
      <c r="A6819" s="7" t="s">
        <v>8810</v>
      </c>
      <c r="B6819" s="7" t="s">
        <v>6752</v>
      </c>
      <c r="C6819" s="8" t="s">
        <v>5320</v>
      </c>
      <c r="D6819" t="s">
        <v>266</v>
      </c>
      <c r="E6819" t="s">
        <v>1050</v>
      </c>
      <c r="F6819" t="s">
        <v>117</v>
      </c>
      <c r="G6819" t="s">
        <v>5159</v>
      </c>
      <c r="H6819" s="9">
        <v>44754</v>
      </c>
      <c r="I6819" t="s">
        <v>984</v>
      </c>
      <c r="J6819" t="s">
        <v>5330</v>
      </c>
      <c r="K6819" s="9">
        <v>44834</v>
      </c>
      <c r="L6819" t="s">
        <v>29</v>
      </c>
      <c r="M6819"/>
      <c r="N6819" s="9">
        <v>44778</v>
      </c>
      <c r="O6819" s="9">
        <v>44834</v>
      </c>
      <c r="P6819"/>
      <c r="Q6819"/>
      <c r="R6819"/>
      <c r="S6819"/>
      <c r="T6819"/>
      <c r="U6819"/>
    </row>
    <row r="6820" spans="1:21" hidden="1">
      <c r="A6820" s="7" t="s">
        <v>8732</v>
      </c>
      <c r="B6820" s="7" t="s">
        <v>6619</v>
      </c>
      <c r="C6820" s="8" t="s">
        <v>5320</v>
      </c>
      <c r="D6820" t="s">
        <v>216</v>
      </c>
      <c r="E6820" t="s">
        <v>226</v>
      </c>
      <c r="F6820" t="s">
        <v>227</v>
      </c>
      <c r="G6820" t="s">
        <v>5121</v>
      </c>
      <c r="H6820" s="9">
        <v>44754</v>
      </c>
      <c r="I6820" t="s">
        <v>229</v>
      </c>
      <c r="J6820" t="s">
        <v>0</v>
      </c>
      <c r="K6820" s="9">
        <v>44858</v>
      </c>
      <c r="L6820" t="s">
        <v>29</v>
      </c>
      <c r="M6820"/>
      <c r="N6820" s="9">
        <v>44778</v>
      </c>
      <c r="O6820"/>
      <c r="P6820"/>
      <c r="Q6820" s="9">
        <v>44858</v>
      </c>
      <c r="R6820" s="9">
        <v>44799.595000000001</v>
      </c>
      <c r="S6820"/>
      <c r="T6820"/>
      <c r="U6820"/>
    </row>
    <row r="6821" spans="1:21" hidden="1">
      <c r="A6821" s="7" t="s">
        <v>8751</v>
      </c>
      <c r="B6821" s="7" t="s">
        <v>5405</v>
      </c>
      <c r="C6821" s="8" t="s">
        <v>5320</v>
      </c>
      <c r="D6821" t="s">
        <v>1655</v>
      </c>
      <c r="E6821" t="s">
        <v>25</v>
      </c>
      <c r="F6821" t="s">
        <v>435</v>
      </c>
      <c r="G6821" t="s">
        <v>5160</v>
      </c>
      <c r="H6821" s="9">
        <v>44754</v>
      </c>
      <c r="I6821" t="s">
        <v>8634</v>
      </c>
      <c r="J6821" t="s">
        <v>5330</v>
      </c>
      <c r="K6821" s="9">
        <v>44834</v>
      </c>
      <c r="L6821" t="s">
        <v>29</v>
      </c>
      <c r="M6821"/>
      <c r="N6821" s="9">
        <v>44778</v>
      </c>
      <c r="O6821" s="9">
        <v>44834</v>
      </c>
      <c r="P6821"/>
      <c r="Q6821"/>
      <c r="R6821"/>
      <c r="S6821"/>
      <c r="T6821"/>
      <c r="U6821"/>
    </row>
    <row r="6822" spans="1:21" hidden="1">
      <c r="A6822" s="7" t="s">
        <v>8826</v>
      </c>
      <c r="B6822" s="7" t="s">
        <v>5405</v>
      </c>
      <c r="C6822" s="8" t="s">
        <v>5320</v>
      </c>
      <c r="D6822" t="s">
        <v>1655</v>
      </c>
      <c r="E6822" t="s">
        <v>25</v>
      </c>
      <c r="F6822" t="s">
        <v>117</v>
      </c>
      <c r="G6822" t="s">
        <v>5161</v>
      </c>
      <c r="H6822" s="9">
        <v>44754</v>
      </c>
      <c r="I6822" t="s">
        <v>8634</v>
      </c>
      <c r="J6822" t="s">
        <v>5330</v>
      </c>
      <c r="K6822" s="9">
        <v>44834</v>
      </c>
      <c r="L6822" t="s">
        <v>29</v>
      </c>
      <c r="M6822"/>
      <c r="N6822" s="9">
        <v>44778</v>
      </c>
      <c r="O6822" s="9">
        <v>44834</v>
      </c>
      <c r="P6822"/>
      <c r="Q6822"/>
      <c r="R6822"/>
      <c r="S6822"/>
      <c r="T6822"/>
      <c r="U6822"/>
    </row>
    <row r="6823" spans="1:21" hidden="1">
      <c r="A6823" s="7" t="s">
        <v>8751</v>
      </c>
      <c r="B6823" s="7" t="s">
        <v>5405</v>
      </c>
      <c r="C6823" s="8" t="s">
        <v>5320</v>
      </c>
      <c r="D6823" t="s">
        <v>1655</v>
      </c>
      <c r="E6823" t="s">
        <v>25</v>
      </c>
      <c r="F6823" t="s">
        <v>435</v>
      </c>
      <c r="G6823" t="s">
        <v>5162</v>
      </c>
      <c r="H6823" s="9">
        <v>44754</v>
      </c>
      <c r="I6823" t="s">
        <v>8634</v>
      </c>
      <c r="J6823" t="s">
        <v>5330</v>
      </c>
      <c r="K6823" s="9">
        <v>44834</v>
      </c>
      <c r="L6823" t="s">
        <v>29</v>
      </c>
      <c r="M6823"/>
      <c r="N6823" s="9">
        <v>44778</v>
      </c>
      <c r="O6823" s="9">
        <v>44834</v>
      </c>
      <c r="P6823"/>
      <c r="Q6823"/>
      <c r="R6823"/>
      <c r="S6823"/>
      <c r="T6823"/>
      <c r="U6823"/>
    </row>
    <row r="6824" spans="1:21" hidden="1">
      <c r="A6824" s="7" t="s">
        <v>8751</v>
      </c>
      <c r="B6824" s="7" t="s">
        <v>5405</v>
      </c>
      <c r="C6824" s="8" t="s">
        <v>5320</v>
      </c>
      <c r="D6824" t="s">
        <v>1655</v>
      </c>
      <c r="E6824" t="s">
        <v>25</v>
      </c>
      <c r="F6824" t="s">
        <v>435</v>
      </c>
      <c r="G6824" t="s">
        <v>5163</v>
      </c>
      <c r="H6824" s="9">
        <v>44754</v>
      </c>
      <c r="I6824" t="s">
        <v>8634</v>
      </c>
      <c r="J6824" t="s">
        <v>5330</v>
      </c>
      <c r="K6824" s="9">
        <v>44834</v>
      </c>
      <c r="L6824" t="s">
        <v>29</v>
      </c>
      <c r="M6824"/>
      <c r="N6824" s="9">
        <v>44778</v>
      </c>
      <c r="O6824" s="9">
        <v>44834</v>
      </c>
      <c r="P6824"/>
      <c r="Q6824"/>
      <c r="R6824"/>
      <c r="S6824"/>
      <c r="T6824"/>
      <c r="U6824"/>
    </row>
    <row r="6825" spans="1:21" hidden="1">
      <c r="A6825" s="7" t="s">
        <v>8751</v>
      </c>
      <c r="B6825" s="7" t="s">
        <v>5405</v>
      </c>
      <c r="C6825" s="8" t="s">
        <v>5320</v>
      </c>
      <c r="D6825" t="s">
        <v>1655</v>
      </c>
      <c r="E6825" t="s">
        <v>25</v>
      </c>
      <c r="F6825" t="s">
        <v>435</v>
      </c>
      <c r="G6825" t="s">
        <v>5164</v>
      </c>
      <c r="H6825" s="9">
        <v>44754</v>
      </c>
      <c r="I6825" t="s">
        <v>8634</v>
      </c>
      <c r="J6825" t="s">
        <v>5330</v>
      </c>
      <c r="K6825" s="9">
        <v>44834</v>
      </c>
      <c r="L6825" t="s">
        <v>29</v>
      </c>
      <c r="M6825"/>
      <c r="N6825" s="9">
        <v>44778</v>
      </c>
      <c r="O6825" s="9">
        <v>44834</v>
      </c>
      <c r="P6825"/>
      <c r="Q6825"/>
      <c r="R6825"/>
      <c r="S6825"/>
      <c r="T6825"/>
      <c r="U6825"/>
    </row>
    <row r="6826" spans="1:21" hidden="1">
      <c r="A6826" s="7" t="s">
        <v>8751</v>
      </c>
      <c r="B6826" s="7" t="s">
        <v>5405</v>
      </c>
      <c r="C6826" s="8" t="s">
        <v>5320</v>
      </c>
      <c r="D6826" t="s">
        <v>1655</v>
      </c>
      <c r="E6826" t="s">
        <v>25</v>
      </c>
      <c r="F6826" t="s">
        <v>435</v>
      </c>
      <c r="G6826" t="s">
        <v>5165</v>
      </c>
      <c r="H6826" s="9">
        <v>44754</v>
      </c>
      <c r="I6826" t="s">
        <v>8634</v>
      </c>
      <c r="J6826" t="s">
        <v>5330</v>
      </c>
      <c r="K6826" s="9">
        <v>44834</v>
      </c>
      <c r="L6826" t="s">
        <v>29</v>
      </c>
      <c r="M6826"/>
      <c r="N6826" s="9">
        <v>44778</v>
      </c>
      <c r="O6826" s="9">
        <v>44834</v>
      </c>
      <c r="P6826"/>
      <c r="Q6826"/>
      <c r="R6826"/>
      <c r="S6826"/>
      <c r="T6826"/>
      <c r="U6826"/>
    </row>
    <row r="6827" spans="1:21" hidden="1">
      <c r="A6827" s="7" t="s">
        <v>8751</v>
      </c>
      <c r="B6827" s="7" t="s">
        <v>5405</v>
      </c>
      <c r="C6827" s="8" t="s">
        <v>5320</v>
      </c>
      <c r="D6827" t="s">
        <v>1655</v>
      </c>
      <c r="E6827" t="s">
        <v>25</v>
      </c>
      <c r="F6827" t="s">
        <v>435</v>
      </c>
      <c r="G6827" t="s">
        <v>5166</v>
      </c>
      <c r="H6827" s="9">
        <v>44754</v>
      </c>
      <c r="I6827" t="s">
        <v>8634</v>
      </c>
      <c r="J6827" t="s">
        <v>5330</v>
      </c>
      <c r="K6827" s="9">
        <v>44834</v>
      </c>
      <c r="L6827" t="s">
        <v>29</v>
      </c>
      <c r="M6827"/>
      <c r="N6827" s="9">
        <v>44778</v>
      </c>
      <c r="O6827" s="9">
        <v>44834</v>
      </c>
      <c r="P6827"/>
      <c r="Q6827"/>
      <c r="R6827"/>
      <c r="S6827"/>
      <c r="T6827"/>
      <c r="U6827"/>
    </row>
    <row r="6828" spans="1:21" hidden="1">
      <c r="A6828" s="7" t="s">
        <v>8751</v>
      </c>
      <c r="B6828" s="7" t="s">
        <v>5405</v>
      </c>
      <c r="C6828" s="8" t="s">
        <v>5320</v>
      </c>
      <c r="D6828" t="s">
        <v>1655</v>
      </c>
      <c r="E6828" t="s">
        <v>25</v>
      </c>
      <c r="F6828" t="s">
        <v>435</v>
      </c>
      <c r="G6828" t="s">
        <v>5167</v>
      </c>
      <c r="H6828" s="9">
        <v>44754</v>
      </c>
      <c r="I6828" t="s">
        <v>8634</v>
      </c>
      <c r="J6828" t="s">
        <v>5330</v>
      </c>
      <c r="K6828" s="9">
        <v>44834</v>
      </c>
      <c r="L6828" t="s">
        <v>29</v>
      </c>
      <c r="M6828"/>
      <c r="N6828" s="9">
        <v>44778</v>
      </c>
      <c r="O6828" s="9">
        <v>44834</v>
      </c>
      <c r="P6828"/>
      <c r="Q6828"/>
      <c r="R6828"/>
      <c r="S6828"/>
      <c r="T6828"/>
      <c r="U6828"/>
    </row>
    <row r="6829" spans="1:21" hidden="1">
      <c r="A6829" s="7" t="s">
        <v>8751</v>
      </c>
      <c r="B6829" s="7" t="s">
        <v>5405</v>
      </c>
      <c r="C6829" s="8" t="s">
        <v>8717</v>
      </c>
      <c r="D6829" t="s">
        <v>24</v>
      </c>
      <c r="E6829" t="s">
        <v>25</v>
      </c>
      <c r="F6829" t="s">
        <v>435</v>
      </c>
      <c r="G6829" t="s">
        <v>4978</v>
      </c>
      <c r="H6829"/>
      <c r="I6829"/>
      <c r="J6829" t="s">
        <v>276</v>
      </c>
      <c r="K6829" s="9">
        <v>44762.582662036999</v>
      </c>
      <c r="L6829"/>
      <c r="M6829"/>
      <c r="N6829"/>
      <c r="O6829"/>
      <c r="P6829"/>
      <c r="Q6829"/>
      <c r="R6829" s="9">
        <v>44762</v>
      </c>
      <c r="S6829"/>
      <c r="T6829"/>
      <c r="U6829"/>
    </row>
    <row r="6830" spans="1:21" hidden="1">
      <c r="A6830" s="7" t="s">
        <v>8751</v>
      </c>
      <c r="B6830" s="7" t="s">
        <v>5405</v>
      </c>
      <c r="C6830" s="8" t="s">
        <v>8717</v>
      </c>
      <c r="D6830" t="s">
        <v>24</v>
      </c>
      <c r="E6830" t="s">
        <v>25</v>
      </c>
      <c r="F6830" t="s">
        <v>435</v>
      </c>
      <c r="G6830" t="s">
        <v>4979</v>
      </c>
      <c r="H6830"/>
      <c r="I6830"/>
      <c r="J6830" t="s">
        <v>276</v>
      </c>
      <c r="K6830" s="9">
        <v>44762.582662036999</v>
      </c>
      <c r="L6830"/>
      <c r="M6830"/>
      <c r="N6830"/>
      <c r="O6830"/>
      <c r="P6830"/>
      <c r="Q6830"/>
      <c r="R6830" s="9">
        <v>44762</v>
      </c>
      <c r="S6830"/>
      <c r="T6830"/>
      <c r="U6830"/>
    </row>
    <row r="6831" spans="1:21" hidden="1">
      <c r="A6831" s="7" t="s">
        <v>8751</v>
      </c>
      <c r="B6831" s="7" t="s">
        <v>5405</v>
      </c>
      <c r="C6831" s="8" t="s">
        <v>8717</v>
      </c>
      <c r="D6831" t="s">
        <v>24</v>
      </c>
      <c r="E6831" t="s">
        <v>25</v>
      </c>
      <c r="F6831" t="s">
        <v>435</v>
      </c>
      <c r="G6831" t="s">
        <v>4980</v>
      </c>
      <c r="H6831"/>
      <c r="I6831"/>
      <c r="J6831" t="s">
        <v>276</v>
      </c>
      <c r="K6831" s="9">
        <v>44762.582662036999</v>
      </c>
      <c r="L6831"/>
      <c r="M6831"/>
      <c r="N6831"/>
      <c r="O6831"/>
      <c r="P6831"/>
      <c r="Q6831"/>
      <c r="R6831" s="9">
        <v>44762</v>
      </c>
      <c r="S6831"/>
      <c r="T6831"/>
      <c r="U6831"/>
    </row>
    <row r="6832" spans="1:21" hidden="1">
      <c r="A6832" s="7" t="s">
        <v>8751</v>
      </c>
      <c r="B6832" s="7" t="s">
        <v>5405</v>
      </c>
      <c r="C6832" s="8" t="s">
        <v>8717</v>
      </c>
      <c r="D6832" t="s">
        <v>24</v>
      </c>
      <c r="E6832" t="s">
        <v>25</v>
      </c>
      <c r="F6832" t="s">
        <v>435</v>
      </c>
      <c r="G6832" t="s">
        <v>4981</v>
      </c>
      <c r="H6832"/>
      <c r="I6832"/>
      <c r="J6832" t="s">
        <v>276</v>
      </c>
      <c r="K6832" s="9">
        <v>44762.582662036999</v>
      </c>
      <c r="L6832"/>
      <c r="M6832"/>
      <c r="N6832"/>
      <c r="O6832"/>
      <c r="P6832"/>
      <c r="Q6832"/>
      <c r="R6832" s="9">
        <v>44762</v>
      </c>
      <c r="S6832"/>
      <c r="T6832"/>
      <c r="U6832"/>
    </row>
    <row r="6833" spans="1:21" hidden="1">
      <c r="A6833" s="7" t="s">
        <v>8751</v>
      </c>
      <c r="B6833" s="7" t="s">
        <v>5405</v>
      </c>
      <c r="C6833" s="8" t="s">
        <v>8717</v>
      </c>
      <c r="D6833" t="s">
        <v>24</v>
      </c>
      <c r="E6833" t="s">
        <v>25</v>
      </c>
      <c r="F6833" t="s">
        <v>435</v>
      </c>
      <c r="G6833" t="s">
        <v>4982</v>
      </c>
      <c r="H6833"/>
      <c r="I6833"/>
      <c r="J6833" t="s">
        <v>276</v>
      </c>
      <c r="K6833" s="9">
        <v>44762.582662036999</v>
      </c>
      <c r="L6833"/>
      <c r="M6833"/>
      <c r="N6833"/>
      <c r="O6833"/>
      <c r="P6833"/>
      <c r="Q6833"/>
      <c r="R6833" s="9">
        <v>44762</v>
      </c>
      <c r="S6833"/>
      <c r="T6833"/>
      <c r="U6833"/>
    </row>
    <row r="6834" spans="1:21" hidden="1">
      <c r="A6834" s="7" t="s">
        <v>8751</v>
      </c>
      <c r="B6834" s="7" t="s">
        <v>5405</v>
      </c>
      <c r="C6834" s="8" t="s">
        <v>8717</v>
      </c>
      <c r="D6834" t="s">
        <v>24</v>
      </c>
      <c r="E6834" t="s">
        <v>25</v>
      </c>
      <c r="F6834" t="s">
        <v>435</v>
      </c>
      <c r="G6834" t="s">
        <v>4983</v>
      </c>
      <c r="H6834"/>
      <c r="I6834"/>
      <c r="J6834" t="s">
        <v>276</v>
      </c>
      <c r="K6834" s="9">
        <v>44762.582662036999</v>
      </c>
      <c r="L6834"/>
      <c r="M6834"/>
      <c r="N6834"/>
      <c r="O6834"/>
      <c r="P6834"/>
      <c r="Q6834"/>
      <c r="R6834" s="9">
        <v>44762</v>
      </c>
      <c r="S6834"/>
      <c r="T6834"/>
      <c r="U6834"/>
    </row>
    <row r="6835" spans="1:21" hidden="1">
      <c r="A6835" s="7" t="s">
        <v>8751</v>
      </c>
      <c r="B6835" s="7" t="s">
        <v>5405</v>
      </c>
      <c r="C6835" s="8" t="s">
        <v>8717</v>
      </c>
      <c r="D6835" t="s">
        <v>24</v>
      </c>
      <c r="E6835" t="s">
        <v>25</v>
      </c>
      <c r="F6835" t="s">
        <v>435</v>
      </c>
      <c r="G6835" t="s">
        <v>4984</v>
      </c>
      <c r="H6835"/>
      <c r="I6835"/>
      <c r="J6835" t="s">
        <v>276</v>
      </c>
      <c r="K6835" s="9">
        <v>44762.582662036999</v>
      </c>
      <c r="L6835"/>
      <c r="M6835"/>
      <c r="N6835"/>
      <c r="O6835"/>
      <c r="P6835"/>
      <c r="Q6835"/>
      <c r="R6835" s="9">
        <v>44762</v>
      </c>
      <c r="S6835"/>
      <c r="T6835"/>
      <c r="U6835"/>
    </row>
    <row r="6836" spans="1:21" hidden="1">
      <c r="A6836" s="7" t="s">
        <v>8751</v>
      </c>
      <c r="B6836" s="7" t="s">
        <v>5405</v>
      </c>
      <c r="C6836" s="8" t="s">
        <v>8717</v>
      </c>
      <c r="D6836" t="s">
        <v>24</v>
      </c>
      <c r="E6836" t="s">
        <v>25</v>
      </c>
      <c r="F6836" t="s">
        <v>435</v>
      </c>
      <c r="G6836" t="s">
        <v>4985</v>
      </c>
      <c r="H6836"/>
      <c r="I6836"/>
      <c r="J6836" t="s">
        <v>276</v>
      </c>
      <c r="K6836" s="9">
        <v>44762.582662036999</v>
      </c>
      <c r="L6836"/>
      <c r="M6836"/>
      <c r="N6836"/>
      <c r="O6836"/>
      <c r="P6836"/>
      <c r="Q6836"/>
      <c r="R6836" s="9">
        <v>44762</v>
      </c>
      <c r="S6836"/>
      <c r="T6836"/>
      <c r="U6836"/>
    </row>
    <row r="6837" spans="1:21" hidden="1">
      <c r="A6837" s="7" t="s">
        <v>8751</v>
      </c>
      <c r="B6837" s="7" t="s">
        <v>5405</v>
      </c>
      <c r="C6837" s="8" t="s">
        <v>8717</v>
      </c>
      <c r="D6837" t="s">
        <v>24</v>
      </c>
      <c r="E6837" t="s">
        <v>25</v>
      </c>
      <c r="F6837" t="s">
        <v>435</v>
      </c>
      <c r="G6837" t="s">
        <v>4986</v>
      </c>
      <c r="H6837"/>
      <c r="I6837"/>
      <c r="J6837" t="s">
        <v>276</v>
      </c>
      <c r="K6837" s="9">
        <v>44762.582662036999</v>
      </c>
      <c r="L6837"/>
      <c r="M6837"/>
      <c r="N6837"/>
      <c r="O6837"/>
      <c r="P6837"/>
      <c r="Q6837"/>
      <c r="R6837" s="9">
        <v>44762</v>
      </c>
      <c r="S6837"/>
      <c r="T6837"/>
      <c r="U6837"/>
    </row>
    <row r="6838" spans="1:21" hidden="1">
      <c r="A6838" s="7" t="s">
        <v>8751</v>
      </c>
      <c r="B6838" s="7" t="s">
        <v>5405</v>
      </c>
      <c r="C6838" s="8" t="s">
        <v>8717</v>
      </c>
      <c r="D6838" t="s">
        <v>24</v>
      </c>
      <c r="E6838" t="s">
        <v>25</v>
      </c>
      <c r="F6838" t="s">
        <v>435</v>
      </c>
      <c r="G6838" t="s">
        <v>4987</v>
      </c>
      <c r="H6838"/>
      <c r="I6838"/>
      <c r="J6838" t="s">
        <v>276</v>
      </c>
      <c r="K6838" s="9">
        <v>44762.582662036999</v>
      </c>
      <c r="L6838"/>
      <c r="M6838"/>
      <c r="N6838"/>
      <c r="O6838"/>
      <c r="P6838"/>
      <c r="Q6838"/>
      <c r="R6838" s="9">
        <v>44762</v>
      </c>
      <c r="S6838"/>
      <c r="T6838"/>
      <c r="U6838"/>
    </row>
    <row r="6839" spans="1:21" hidden="1">
      <c r="A6839" s="7" t="s">
        <v>8751</v>
      </c>
      <c r="B6839" s="7" t="s">
        <v>5405</v>
      </c>
      <c r="C6839" s="8" t="s">
        <v>8717</v>
      </c>
      <c r="D6839" t="s">
        <v>24</v>
      </c>
      <c r="E6839" t="s">
        <v>25</v>
      </c>
      <c r="F6839" t="s">
        <v>435</v>
      </c>
      <c r="G6839" t="s">
        <v>4988</v>
      </c>
      <c r="H6839"/>
      <c r="I6839"/>
      <c r="J6839" t="s">
        <v>276</v>
      </c>
      <c r="K6839" s="9">
        <v>44762.582662036999</v>
      </c>
      <c r="L6839"/>
      <c r="M6839"/>
      <c r="N6839"/>
      <c r="O6839"/>
      <c r="P6839"/>
      <c r="Q6839"/>
      <c r="R6839" s="9">
        <v>44762</v>
      </c>
      <c r="S6839"/>
      <c r="T6839"/>
      <c r="U6839"/>
    </row>
    <row r="6840" spans="1:21" hidden="1">
      <c r="A6840" s="7" t="s">
        <v>8751</v>
      </c>
      <c r="B6840" s="7" t="s">
        <v>5405</v>
      </c>
      <c r="C6840" s="8" t="s">
        <v>8717</v>
      </c>
      <c r="D6840" t="s">
        <v>24</v>
      </c>
      <c r="E6840" t="s">
        <v>25</v>
      </c>
      <c r="F6840" t="s">
        <v>435</v>
      </c>
      <c r="G6840" t="s">
        <v>4989</v>
      </c>
      <c r="H6840"/>
      <c r="I6840"/>
      <c r="J6840" t="s">
        <v>276</v>
      </c>
      <c r="K6840" s="9">
        <v>44762.582662036999</v>
      </c>
      <c r="L6840"/>
      <c r="M6840"/>
      <c r="N6840"/>
      <c r="O6840"/>
      <c r="P6840"/>
      <c r="Q6840"/>
      <c r="R6840" s="9">
        <v>44762</v>
      </c>
      <c r="S6840"/>
      <c r="T6840"/>
      <c r="U6840"/>
    </row>
    <row r="6841" spans="1:21" hidden="1">
      <c r="A6841" s="7" t="s">
        <v>8751</v>
      </c>
      <c r="B6841" s="7" t="s">
        <v>5405</v>
      </c>
      <c r="C6841" s="8" t="s">
        <v>8717</v>
      </c>
      <c r="D6841" t="s">
        <v>24</v>
      </c>
      <c r="E6841" t="s">
        <v>25</v>
      </c>
      <c r="F6841" t="s">
        <v>435</v>
      </c>
      <c r="G6841" t="s">
        <v>4990</v>
      </c>
      <c r="H6841"/>
      <c r="I6841"/>
      <c r="J6841" t="s">
        <v>276</v>
      </c>
      <c r="K6841" s="9">
        <v>44762.582662036999</v>
      </c>
      <c r="L6841"/>
      <c r="M6841"/>
      <c r="N6841"/>
      <c r="O6841"/>
      <c r="P6841"/>
      <c r="Q6841"/>
      <c r="R6841" s="9">
        <v>44762</v>
      </c>
      <c r="S6841"/>
      <c r="T6841"/>
      <c r="U6841"/>
    </row>
    <row r="6842" spans="1:21" hidden="1">
      <c r="A6842" s="7" t="s">
        <v>8751</v>
      </c>
      <c r="B6842" s="7" t="s">
        <v>5405</v>
      </c>
      <c r="C6842" s="8" t="s">
        <v>8717</v>
      </c>
      <c r="D6842" t="s">
        <v>24</v>
      </c>
      <c r="E6842" t="s">
        <v>25</v>
      </c>
      <c r="F6842" t="s">
        <v>435</v>
      </c>
      <c r="G6842" t="s">
        <v>611</v>
      </c>
      <c r="H6842"/>
      <c r="I6842"/>
      <c r="J6842" t="s">
        <v>276</v>
      </c>
      <c r="K6842" s="9">
        <v>44762.582662036999</v>
      </c>
      <c r="L6842"/>
      <c r="M6842"/>
      <c r="N6842"/>
      <c r="O6842"/>
      <c r="P6842"/>
      <c r="Q6842"/>
      <c r="R6842" s="9">
        <v>44762</v>
      </c>
      <c r="S6842"/>
      <c r="T6842"/>
      <c r="U6842"/>
    </row>
    <row r="6843" spans="1:21" hidden="1">
      <c r="A6843" s="7" t="s">
        <v>8751</v>
      </c>
      <c r="B6843" s="7" t="s">
        <v>5405</v>
      </c>
      <c r="C6843" s="8" t="s">
        <v>8717</v>
      </c>
      <c r="D6843" t="s">
        <v>24</v>
      </c>
      <c r="E6843" t="s">
        <v>25</v>
      </c>
      <c r="F6843" t="s">
        <v>435</v>
      </c>
      <c r="G6843" t="s">
        <v>4991</v>
      </c>
      <c r="H6843"/>
      <c r="I6843"/>
      <c r="J6843" t="s">
        <v>276</v>
      </c>
      <c r="K6843" s="9">
        <v>44762.582662036999</v>
      </c>
      <c r="L6843"/>
      <c r="M6843"/>
      <c r="N6843"/>
      <c r="O6843"/>
      <c r="P6843"/>
      <c r="Q6843"/>
      <c r="R6843" s="9">
        <v>44762</v>
      </c>
      <c r="S6843"/>
      <c r="T6843"/>
      <c r="U6843"/>
    </row>
    <row r="6844" spans="1:21" hidden="1">
      <c r="A6844" s="7" t="s">
        <v>8751</v>
      </c>
      <c r="B6844" s="7" t="s">
        <v>5405</v>
      </c>
      <c r="C6844" s="8" t="s">
        <v>8717</v>
      </c>
      <c r="D6844" t="s">
        <v>24</v>
      </c>
      <c r="E6844" t="s">
        <v>25</v>
      </c>
      <c r="F6844" t="s">
        <v>435</v>
      </c>
      <c r="G6844" t="s">
        <v>4992</v>
      </c>
      <c r="H6844"/>
      <c r="I6844"/>
      <c r="J6844" t="s">
        <v>276</v>
      </c>
      <c r="K6844" s="9">
        <v>44762.582662036999</v>
      </c>
      <c r="L6844"/>
      <c r="M6844"/>
      <c r="N6844"/>
      <c r="O6844"/>
      <c r="P6844"/>
      <c r="Q6844"/>
      <c r="R6844" s="9">
        <v>44762</v>
      </c>
      <c r="S6844"/>
      <c r="T6844"/>
      <c r="U6844"/>
    </row>
    <row r="6845" spans="1:21" hidden="1">
      <c r="A6845" s="7" t="s">
        <v>8751</v>
      </c>
      <c r="B6845" s="7" t="s">
        <v>5405</v>
      </c>
      <c r="C6845" s="8" t="s">
        <v>8717</v>
      </c>
      <c r="D6845" t="s">
        <v>24</v>
      </c>
      <c r="E6845" t="s">
        <v>25</v>
      </c>
      <c r="F6845" t="s">
        <v>435</v>
      </c>
      <c r="G6845" t="s">
        <v>4993</v>
      </c>
      <c r="H6845"/>
      <c r="I6845"/>
      <c r="J6845" t="s">
        <v>276</v>
      </c>
      <c r="K6845" s="9">
        <v>44762.582662036999</v>
      </c>
      <c r="L6845"/>
      <c r="M6845"/>
      <c r="N6845"/>
      <c r="O6845"/>
      <c r="P6845"/>
      <c r="Q6845"/>
      <c r="R6845" s="9">
        <v>44762</v>
      </c>
      <c r="S6845"/>
      <c r="T6845"/>
      <c r="U6845"/>
    </row>
    <row r="6846" spans="1:21" hidden="1">
      <c r="A6846" s="7" t="s">
        <v>8751</v>
      </c>
      <c r="B6846" s="7" t="s">
        <v>5405</v>
      </c>
      <c r="C6846" s="8" t="s">
        <v>8717</v>
      </c>
      <c r="D6846" t="s">
        <v>24</v>
      </c>
      <c r="E6846" t="s">
        <v>25</v>
      </c>
      <c r="F6846" t="s">
        <v>435</v>
      </c>
      <c r="G6846" t="s">
        <v>4994</v>
      </c>
      <c r="H6846"/>
      <c r="I6846"/>
      <c r="J6846" t="s">
        <v>276</v>
      </c>
      <c r="K6846" s="9">
        <v>44762.582662036999</v>
      </c>
      <c r="L6846"/>
      <c r="M6846"/>
      <c r="N6846"/>
      <c r="O6846"/>
      <c r="P6846"/>
      <c r="Q6846"/>
      <c r="R6846" s="9">
        <v>44762</v>
      </c>
      <c r="S6846"/>
      <c r="T6846"/>
      <c r="U6846"/>
    </row>
    <row r="6847" spans="1:21" hidden="1">
      <c r="A6847" s="7" t="s">
        <v>8751</v>
      </c>
      <c r="B6847" s="7" t="s">
        <v>5405</v>
      </c>
      <c r="C6847" s="8" t="s">
        <v>8717</v>
      </c>
      <c r="D6847" t="s">
        <v>24</v>
      </c>
      <c r="E6847" t="s">
        <v>25</v>
      </c>
      <c r="F6847" t="s">
        <v>435</v>
      </c>
      <c r="G6847" t="s">
        <v>4995</v>
      </c>
      <c r="H6847"/>
      <c r="I6847"/>
      <c r="J6847" t="s">
        <v>276</v>
      </c>
      <c r="K6847" s="9">
        <v>44762.582662036999</v>
      </c>
      <c r="L6847"/>
      <c r="M6847"/>
      <c r="N6847"/>
      <c r="O6847"/>
      <c r="P6847"/>
      <c r="Q6847"/>
      <c r="R6847" s="9">
        <v>44762</v>
      </c>
      <c r="S6847"/>
      <c r="T6847"/>
      <c r="U6847"/>
    </row>
    <row r="6848" spans="1:21" hidden="1">
      <c r="A6848" s="7" t="s">
        <v>8751</v>
      </c>
      <c r="B6848" s="7" t="s">
        <v>5405</v>
      </c>
      <c r="C6848" s="8" t="s">
        <v>8717</v>
      </c>
      <c r="D6848" t="s">
        <v>24</v>
      </c>
      <c r="E6848" t="s">
        <v>25</v>
      </c>
      <c r="F6848" t="s">
        <v>435</v>
      </c>
      <c r="G6848" t="s">
        <v>4996</v>
      </c>
      <c r="H6848"/>
      <c r="I6848"/>
      <c r="J6848" t="s">
        <v>276</v>
      </c>
      <c r="K6848" s="9">
        <v>44762.582662036999</v>
      </c>
      <c r="L6848"/>
      <c r="M6848"/>
      <c r="N6848"/>
      <c r="O6848"/>
      <c r="P6848"/>
      <c r="Q6848"/>
      <c r="R6848" s="9">
        <v>44762</v>
      </c>
      <c r="S6848"/>
      <c r="T6848"/>
      <c r="U6848"/>
    </row>
    <row r="6849" spans="1:21" hidden="1">
      <c r="A6849" s="7" t="s">
        <v>8751</v>
      </c>
      <c r="B6849" s="7" t="s">
        <v>5405</v>
      </c>
      <c r="C6849" s="8" t="s">
        <v>8717</v>
      </c>
      <c r="D6849" t="s">
        <v>24</v>
      </c>
      <c r="E6849" t="s">
        <v>25</v>
      </c>
      <c r="F6849" t="s">
        <v>435</v>
      </c>
      <c r="G6849" t="s">
        <v>4997</v>
      </c>
      <c r="H6849"/>
      <c r="I6849"/>
      <c r="J6849" t="s">
        <v>276</v>
      </c>
      <c r="K6849" s="9">
        <v>44762.582662036999</v>
      </c>
      <c r="L6849"/>
      <c r="M6849"/>
      <c r="N6849"/>
      <c r="O6849"/>
      <c r="P6849"/>
      <c r="Q6849"/>
      <c r="R6849" s="9">
        <v>44762</v>
      </c>
      <c r="S6849"/>
      <c r="T6849"/>
      <c r="U6849"/>
    </row>
    <row r="6850" spans="1:21" hidden="1">
      <c r="A6850" s="7" t="s">
        <v>8751</v>
      </c>
      <c r="B6850" s="7" t="s">
        <v>5405</v>
      </c>
      <c r="C6850" s="8" t="s">
        <v>8717</v>
      </c>
      <c r="D6850" t="s">
        <v>24</v>
      </c>
      <c r="E6850" t="s">
        <v>25</v>
      </c>
      <c r="F6850" t="s">
        <v>435</v>
      </c>
      <c r="G6850" t="s">
        <v>4998</v>
      </c>
      <c r="H6850"/>
      <c r="I6850"/>
      <c r="J6850" t="s">
        <v>276</v>
      </c>
      <c r="K6850" s="9">
        <v>44762.582662036999</v>
      </c>
      <c r="L6850"/>
      <c r="M6850"/>
      <c r="N6850"/>
      <c r="O6850"/>
      <c r="P6850"/>
      <c r="Q6850"/>
      <c r="R6850" s="9">
        <v>44762</v>
      </c>
      <c r="S6850"/>
      <c r="T6850"/>
      <c r="U6850"/>
    </row>
    <row r="6851" spans="1:21" hidden="1">
      <c r="A6851" s="7" t="s">
        <v>8751</v>
      </c>
      <c r="B6851" s="7" t="s">
        <v>5405</v>
      </c>
      <c r="C6851" s="8" t="s">
        <v>8717</v>
      </c>
      <c r="D6851" t="s">
        <v>24</v>
      </c>
      <c r="E6851" t="s">
        <v>25</v>
      </c>
      <c r="F6851" t="s">
        <v>435</v>
      </c>
      <c r="G6851" t="s">
        <v>4999</v>
      </c>
      <c r="H6851"/>
      <c r="I6851"/>
      <c r="J6851" t="s">
        <v>276</v>
      </c>
      <c r="K6851" s="9">
        <v>44762.582662036999</v>
      </c>
      <c r="L6851"/>
      <c r="M6851"/>
      <c r="N6851"/>
      <c r="O6851"/>
      <c r="P6851"/>
      <c r="Q6851"/>
      <c r="R6851" s="9">
        <v>44762</v>
      </c>
      <c r="S6851"/>
      <c r="T6851"/>
      <c r="U6851"/>
    </row>
    <row r="6852" spans="1:21" hidden="1">
      <c r="A6852" s="7" t="s">
        <v>8751</v>
      </c>
      <c r="B6852" s="7" t="s">
        <v>5405</v>
      </c>
      <c r="C6852" s="8" t="s">
        <v>8717</v>
      </c>
      <c r="D6852" t="s">
        <v>24</v>
      </c>
      <c r="E6852" t="s">
        <v>25</v>
      </c>
      <c r="F6852" t="s">
        <v>435</v>
      </c>
      <c r="G6852" t="s">
        <v>5000</v>
      </c>
      <c r="H6852"/>
      <c r="I6852"/>
      <c r="J6852" t="s">
        <v>276</v>
      </c>
      <c r="K6852" s="9">
        <v>44762.582662036999</v>
      </c>
      <c r="L6852"/>
      <c r="M6852"/>
      <c r="N6852"/>
      <c r="O6852"/>
      <c r="P6852"/>
      <c r="Q6852"/>
      <c r="R6852" s="9">
        <v>44762</v>
      </c>
      <c r="S6852"/>
      <c r="T6852"/>
      <c r="U6852"/>
    </row>
    <row r="6853" spans="1:21" hidden="1">
      <c r="A6853" s="7" t="s">
        <v>8751</v>
      </c>
      <c r="B6853" s="7" t="s">
        <v>5405</v>
      </c>
      <c r="C6853" s="8" t="s">
        <v>8717</v>
      </c>
      <c r="D6853" t="s">
        <v>24</v>
      </c>
      <c r="E6853" t="s">
        <v>25</v>
      </c>
      <c r="F6853" t="s">
        <v>435</v>
      </c>
      <c r="G6853" t="s">
        <v>5001</v>
      </c>
      <c r="H6853"/>
      <c r="I6853"/>
      <c r="J6853" t="s">
        <v>276</v>
      </c>
      <c r="K6853" s="9">
        <v>44762.582662036999</v>
      </c>
      <c r="L6853"/>
      <c r="M6853"/>
      <c r="N6853"/>
      <c r="O6853"/>
      <c r="P6853"/>
      <c r="Q6853"/>
      <c r="R6853" s="9">
        <v>44762</v>
      </c>
      <c r="S6853"/>
      <c r="T6853"/>
      <c r="U6853"/>
    </row>
    <row r="6854" spans="1:21" hidden="1">
      <c r="A6854" s="7" t="s">
        <v>8751</v>
      </c>
      <c r="B6854" s="7" t="s">
        <v>5405</v>
      </c>
      <c r="C6854" s="8" t="s">
        <v>8717</v>
      </c>
      <c r="D6854" t="s">
        <v>24</v>
      </c>
      <c r="E6854" t="s">
        <v>25</v>
      </c>
      <c r="F6854" t="s">
        <v>435</v>
      </c>
      <c r="G6854" t="s">
        <v>5002</v>
      </c>
      <c r="H6854"/>
      <c r="I6854"/>
      <c r="J6854" t="s">
        <v>276</v>
      </c>
      <c r="K6854" s="9">
        <v>44762.582662036999</v>
      </c>
      <c r="L6854"/>
      <c r="M6854"/>
      <c r="N6854"/>
      <c r="O6854"/>
      <c r="P6854"/>
      <c r="Q6854"/>
      <c r="R6854" s="9">
        <v>44762</v>
      </c>
      <c r="S6854"/>
      <c r="T6854"/>
      <c r="U6854"/>
    </row>
    <row r="6855" spans="1:21" hidden="1">
      <c r="A6855" s="7" t="s">
        <v>8751</v>
      </c>
      <c r="B6855" s="7" t="s">
        <v>5405</v>
      </c>
      <c r="C6855" s="8" t="s">
        <v>8717</v>
      </c>
      <c r="D6855" t="s">
        <v>24</v>
      </c>
      <c r="E6855" t="s">
        <v>25</v>
      </c>
      <c r="F6855" t="s">
        <v>435</v>
      </c>
      <c r="G6855" t="s">
        <v>5003</v>
      </c>
      <c r="H6855"/>
      <c r="I6855"/>
      <c r="J6855" t="s">
        <v>276</v>
      </c>
      <c r="K6855" s="9">
        <v>44762.582662036999</v>
      </c>
      <c r="L6855"/>
      <c r="M6855"/>
      <c r="N6855"/>
      <c r="O6855"/>
      <c r="P6855"/>
      <c r="Q6855"/>
      <c r="R6855" s="9">
        <v>44762</v>
      </c>
      <c r="S6855"/>
      <c r="T6855"/>
      <c r="U6855"/>
    </row>
    <row r="6856" spans="1:21" hidden="1">
      <c r="A6856" s="7" t="s">
        <v>8751</v>
      </c>
      <c r="B6856" s="7" t="s">
        <v>5405</v>
      </c>
      <c r="C6856" s="8" t="s">
        <v>8717</v>
      </c>
      <c r="D6856" t="s">
        <v>24</v>
      </c>
      <c r="E6856" t="s">
        <v>25</v>
      </c>
      <c r="F6856" t="s">
        <v>435</v>
      </c>
      <c r="G6856" t="s">
        <v>5004</v>
      </c>
      <c r="H6856"/>
      <c r="I6856"/>
      <c r="J6856" t="s">
        <v>276</v>
      </c>
      <c r="K6856" s="9">
        <v>44762.582662036999</v>
      </c>
      <c r="L6856"/>
      <c r="M6856"/>
      <c r="N6856"/>
      <c r="O6856"/>
      <c r="P6856"/>
      <c r="Q6856"/>
      <c r="R6856" s="9">
        <v>44762</v>
      </c>
      <c r="S6856"/>
      <c r="T6856"/>
      <c r="U6856"/>
    </row>
    <row r="6857" spans="1:21" hidden="1">
      <c r="A6857" s="7" t="s">
        <v>8751</v>
      </c>
      <c r="B6857" s="7" t="s">
        <v>5405</v>
      </c>
      <c r="C6857" s="8" t="s">
        <v>8717</v>
      </c>
      <c r="D6857" t="s">
        <v>24</v>
      </c>
      <c r="E6857" t="s">
        <v>25</v>
      </c>
      <c r="F6857" t="s">
        <v>435</v>
      </c>
      <c r="G6857" t="s">
        <v>5005</v>
      </c>
      <c r="H6857"/>
      <c r="I6857"/>
      <c r="J6857" t="s">
        <v>276</v>
      </c>
      <c r="K6857" s="9">
        <v>44762.582662036999</v>
      </c>
      <c r="L6857"/>
      <c r="M6857"/>
      <c r="N6857"/>
      <c r="O6857"/>
      <c r="P6857"/>
      <c r="Q6857"/>
      <c r="R6857" s="9">
        <v>44762</v>
      </c>
      <c r="S6857"/>
      <c r="T6857"/>
      <c r="U6857"/>
    </row>
    <row r="6858" spans="1:21" hidden="1">
      <c r="A6858" s="7" t="s">
        <v>8751</v>
      </c>
      <c r="B6858" s="7" t="s">
        <v>5405</v>
      </c>
      <c r="C6858" s="8" t="s">
        <v>8717</v>
      </c>
      <c r="D6858" t="s">
        <v>24</v>
      </c>
      <c r="E6858" t="s">
        <v>25</v>
      </c>
      <c r="F6858" t="s">
        <v>435</v>
      </c>
      <c r="G6858" t="s">
        <v>5006</v>
      </c>
      <c r="H6858"/>
      <c r="I6858"/>
      <c r="J6858" t="s">
        <v>276</v>
      </c>
      <c r="K6858" s="9">
        <v>44762.582662036999</v>
      </c>
      <c r="L6858"/>
      <c r="M6858"/>
      <c r="N6858"/>
      <c r="O6858"/>
      <c r="P6858"/>
      <c r="Q6858"/>
      <c r="R6858" s="9">
        <v>44762</v>
      </c>
      <c r="S6858"/>
      <c r="T6858"/>
      <c r="U6858"/>
    </row>
    <row r="6859" spans="1:21" hidden="1">
      <c r="A6859" s="7" t="s">
        <v>8751</v>
      </c>
      <c r="B6859" s="7" t="s">
        <v>5405</v>
      </c>
      <c r="C6859" s="8" t="s">
        <v>8717</v>
      </c>
      <c r="D6859" t="s">
        <v>24</v>
      </c>
      <c r="E6859" t="s">
        <v>25</v>
      </c>
      <c r="F6859" t="s">
        <v>435</v>
      </c>
      <c r="G6859" t="s">
        <v>5007</v>
      </c>
      <c r="H6859"/>
      <c r="I6859"/>
      <c r="J6859" t="s">
        <v>276</v>
      </c>
      <c r="K6859" s="9">
        <v>44762.582662036999</v>
      </c>
      <c r="L6859"/>
      <c r="M6859"/>
      <c r="N6859"/>
      <c r="O6859"/>
      <c r="P6859"/>
      <c r="Q6859"/>
      <c r="R6859" s="9">
        <v>44762</v>
      </c>
      <c r="S6859"/>
      <c r="T6859"/>
      <c r="U6859"/>
    </row>
    <row r="6860" spans="1:21" hidden="1">
      <c r="A6860" s="7" t="s">
        <v>8751</v>
      </c>
      <c r="B6860" s="7" t="s">
        <v>5405</v>
      </c>
      <c r="C6860" s="8" t="s">
        <v>8717</v>
      </c>
      <c r="D6860" t="s">
        <v>24</v>
      </c>
      <c r="E6860" t="s">
        <v>25</v>
      </c>
      <c r="F6860" t="s">
        <v>435</v>
      </c>
      <c r="G6860" t="s">
        <v>5008</v>
      </c>
      <c r="H6860"/>
      <c r="I6860"/>
      <c r="J6860" t="s">
        <v>276</v>
      </c>
      <c r="K6860" s="9">
        <v>44762.582662036999</v>
      </c>
      <c r="L6860"/>
      <c r="M6860"/>
      <c r="N6860"/>
      <c r="O6860"/>
      <c r="P6860"/>
      <c r="Q6860"/>
      <c r="R6860" s="9">
        <v>44762</v>
      </c>
      <c r="S6860"/>
      <c r="T6860"/>
      <c r="U6860"/>
    </row>
    <row r="6861" spans="1:21" hidden="1">
      <c r="A6861" s="7" t="s">
        <v>8751</v>
      </c>
      <c r="B6861" s="7" t="s">
        <v>5405</v>
      </c>
      <c r="C6861" s="8" t="s">
        <v>8717</v>
      </c>
      <c r="D6861" t="s">
        <v>24</v>
      </c>
      <c r="E6861" t="s">
        <v>25</v>
      </c>
      <c r="F6861" t="s">
        <v>435</v>
      </c>
      <c r="G6861" t="s">
        <v>5009</v>
      </c>
      <c r="H6861"/>
      <c r="I6861"/>
      <c r="J6861" t="s">
        <v>276</v>
      </c>
      <c r="K6861" s="9">
        <v>44762.582662036999</v>
      </c>
      <c r="L6861"/>
      <c r="M6861"/>
      <c r="N6861"/>
      <c r="O6861"/>
      <c r="P6861"/>
      <c r="Q6861"/>
      <c r="R6861" s="9">
        <v>44762</v>
      </c>
      <c r="S6861"/>
      <c r="T6861"/>
      <c r="U6861"/>
    </row>
    <row r="6862" spans="1:21" hidden="1">
      <c r="A6862" s="7" t="s">
        <v>8751</v>
      </c>
      <c r="B6862" s="7" t="s">
        <v>5405</v>
      </c>
      <c r="C6862" s="8" t="s">
        <v>8717</v>
      </c>
      <c r="D6862" t="s">
        <v>24</v>
      </c>
      <c r="E6862" t="s">
        <v>25</v>
      </c>
      <c r="F6862" t="s">
        <v>435</v>
      </c>
      <c r="G6862" t="s">
        <v>5010</v>
      </c>
      <c r="H6862"/>
      <c r="I6862"/>
      <c r="J6862" t="s">
        <v>276</v>
      </c>
      <c r="K6862" s="9">
        <v>44762.582662036999</v>
      </c>
      <c r="L6862"/>
      <c r="M6862"/>
      <c r="N6862"/>
      <c r="O6862"/>
      <c r="P6862"/>
      <c r="Q6862"/>
      <c r="R6862" s="9">
        <v>44762</v>
      </c>
      <c r="S6862"/>
      <c r="T6862"/>
      <c r="U6862"/>
    </row>
    <row r="6863" spans="1:21" hidden="1">
      <c r="A6863" s="7" t="s">
        <v>8751</v>
      </c>
      <c r="B6863" s="7" t="s">
        <v>5405</v>
      </c>
      <c r="C6863" s="8" t="s">
        <v>8717</v>
      </c>
      <c r="D6863" t="s">
        <v>24</v>
      </c>
      <c r="E6863" t="s">
        <v>25</v>
      </c>
      <c r="F6863" t="s">
        <v>435</v>
      </c>
      <c r="G6863" t="s">
        <v>5011</v>
      </c>
      <c r="H6863"/>
      <c r="I6863"/>
      <c r="J6863" t="s">
        <v>276</v>
      </c>
      <c r="K6863" s="9">
        <v>44762.582662036999</v>
      </c>
      <c r="L6863"/>
      <c r="M6863"/>
      <c r="N6863"/>
      <c r="O6863"/>
      <c r="P6863"/>
      <c r="Q6863"/>
      <c r="R6863" s="9">
        <v>44762</v>
      </c>
      <c r="S6863"/>
      <c r="T6863"/>
      <c r="U6863"/>
    </row>
    <row r="6864" spans="1:21" hidden="1">
      <c r="A6864" s="7" t="s">
        <v>8751</v>
      </c>
      <c r="B6864" s="7" t="s">
        <v>5405</v>
      </c>
      <c r="C6864" s="8" t="s">
        <v>8717</v>
      </c>
      <c r="D6864" t="s">
        <v>24</v>
      </c>
      <c r="E6864" t="s">
        <v>25</v>
      </c>
      <c r="F6864" t="s">
        <v>435</v>
      </c>
      <c r="G6864" t="s">
        <v>5012</v>
      </c>
      <c r="H6864"/>
      <c r="I6864"/>
      <c r="J6864" t="s">
        <v>276</v>
      </c>
      <c r="K6864" s="9">
        <v>44762.582662036999</v>
      </c>
      <c r="L6864"/>
      <c r="M6864"/>
      <c r="N6864"/>
      <c r="O6864"/>
      <c r="P6864"/>
      <c r="Q6864"/>
      <c r="R6864" s="9">
        <v>44762</v>
      </c>
      <c r="S6864"/>
      <c r="T6864"/>
      <c r="U6864"/>
    </row>
    <row r="6865" spans="1:21" hidden="1">
      <c r="A6865" s="7" t="s">
        <v>8751</v>
      </c>
      <c r="B6865" s="7" t="s">
        <v>5405</v>
      </c>
      <c r="C6865" s="8" t="s">
        <v>8717</v>
      </c>
      <c r="D6865" t="s">
        <v>24</v>
      </c>
      <c r="E6865" t="s">
        <v>25</v>
      </c>
      <c r="F6865" t="s">
        <v>435</v>
      </c>
      <c r="G6865" t="s">
        <v>5013</v>
      </c>
      <c r="H6865"/>
      <c r="I6865"/>
      <c r="J6865" t="s">
        <v>276</v>
      </c>
      <c r="K6865" s="9">
        <v>44762.582662036999</v>
      </c>
      <c r="L6865"/>
      <c r="M6865"/>
      <c r="N6865"/>
      <c r="O6865"/>
      <c r="P6865"/>
      <c r="Q6865"/>
      <c r="R6865" s="9">
        <v>44762</v>
      </c>
      <c r="S6865"/>
      <c r="T6865"/>
      <c r="U6865"/>
    </row>
    <row r="6866" spans="1:21" hidden="1">
      <c r="A6866" s="7" t="s">
        <v>8751</v>
      </c>
      <c r="B6866" s="7" t="s">
        <v>5405</v>
      </c>
      <c r="C6866" s="8" t="s">
        <v>8717</v>
      </c>
      <c r="D6866" t="s">
        <v>24</v>
      </c>
      <c r="E6866" t="s">
        <v>25</v>
      </c>
      <c r="F6866" t="s">
        <v>435</v>
      </c>
      <c r="G6866" t="s">
        <v>5014</v>
      </c>
      <c r="H6866"/>
      <c r="I6866"/>
      <c r="J6866" t="s">
        <v>276</v>
      </c>
      <c r="K6866" s="9">
        <v>44762.582662036999</v>
      </c>
      <c r="L6866"/>
      <c r="M6866"/>
      <c r="N6866"/>
      <c r="O6866"/>
      <c r="P6866"/>
      <c r="Q6866"/>
      <c r="R6866" s="9">
        <v>44762</v>
      </c>
      <c r="S6866"/>
      <c r="T6866"/>
      <c r="U6866"/>
    </row>
    <row r="6867" spans="1:21" hidden="1">
      <c r="A6867" s="7" t="s">
        <v>8751</v>
      </c>
      <c r="B6867" s="7" t="s">
        <v>5405</v>
      </c>
      <c r="C6867" s="8" t="s">
        <v>8717</v>
      </c>
      <c r="D6867" t="s">
        <v>24</v>
      </c>
      <c r="E6867" t="s">
        <v>25</v>
      </c>
      <c r="F6867" t="s">
        <v>435</v>
      </c>
      <c r="G6867" t="s">
        <v>5015</v>
      </c>
      <c r="H6867"/>
      <c r="I6867"/>
      <c r="J6867" t="s">
        <v>276</v>
      </c>
      <c r="K6867" s="9">
        <v>44762.582662036999</v>
      </c>
      <c r="L6867"/>
      <c r="M6867"/>
      <c r="N6867"/>
      <c r="O6867"/>
      <c r="P6867"/>
      <c r="Q6867"/>
      <c r="R6867" s="9">
        <v>44762</v>
      </c>
      <c r="S6867"/>
      <c r="T6867"/>
      <c r="U6867"/>
    </row>
    <row r="6868" spans="1:21" hidden="1">
      <c r="A6868" s="7" t="s">
        <v>8751</v>
      </c>
      <c r="B6868" s="7" t="s">
        <v>5405</v>
      </c>
      <c r="C6868" s="8" t="s">
        <v>8717</v>
      </c>
      <c r="D6868" t="s">
        <v>24</v>
      </c>
      <c r="E6868" t="s">
        <v>25</v>
      </c>
      <c r="F6868" t="s">
        <v>435</v>
      </c>
      <c r="G6868" t="s">
        <v>5016</v>
      </c>
      <c r="H6868"/>
      <c r="I6868"/>
      <c r="J6868" t="s">
        <v>276</v>
      </c>
      <c r="K6868" s="9">
        <v>44762.582662036999</v>
      </c>
      <c r="L6868"/>
      <c r="M6868"/>
      <c r="N6868"/>
      <c r="O6868"/>
      <c r="P6868"/>
      <c r="Q6868"/>
      <c r="R6868" s="9">
        <v>44762</v>
      </c>
      <c r="S6868"/>
      <c r="T6868"/>
      <c r="U6868"/>
    </row>
    <row r="6869" spans="1:21" hidden="1">
      <c r="A6869" s="7" t="s">
        <v>8751</v>
      </c>
      <c r="B6869" s="7" t="s">
        <v>5405</v>
      </c>
      <c r="C6869" s="8" t="s">
        <v>8717</v>
      </c>
      <c r="D6869" t="s">
        <v>24</v>
      </c>
      <c r="E6869" t="s">
        <v>25</v>
      </c>
      <c r="F6869" t="s">
        <v>435</v>
      </c>
      <c r="G6869" t="s">
        <v>5017</v>
      </c>
      <c r="H6869"/>
      <c r="I6869"/>
      <c r="J6869" t="s">
        <v>276</v>
      </c>
      <c r="K6869" s="9">
        <v>44762.582662036999</v>
      </c>
      <c r="L6869"/>
      <c r="M6869"/>
      <c r="N6869"/>
      <c r="O6869"/>
      <c r="P6869"/>
      <c r="Q6869"/>
      <c r="R6869" s="9">
        <v>44762</v>
      </c>
      <c r="S6869"/>
      <c r="T6869"/>
      <c r="U6869"/>
    </row>
    <row r="6870" spans="1:21" hidden="1">
      <c r="A6870" s="7" t="s">
        <v>8751</v>
      </c>
      <c r="B6870" s="7" t="s">
        <v>5405</v>
      </c>
      <c r="C6870" s="8" t="s">
        <v>8717</v>
      </c>
      <c r="D6870" t="s">
        <v>24</v>
      </c>
      <c r="E6870" t="s">
        <v>25</v>
      </c>
      <c r="F6870" t="s">
        <v>435</v>
      </c>
      <c r="G6870" t="s">
        <v>5018</v>
      </c>
      <c r="H6870"/>
      <c r="I6870"/>
      <c r="J6870" t="s">
        <v>276</v>
      </c>
      <c r="K6870" s="9">
        <v>44762.582662036999</v>
      </c>
      <c r="L6870"/>
      <c r="M6870"/>
      <c r="N6870"/>
      <c r="O6870"/>
      <c r="P6870"/>
      <c r="Q6870"/>
      <c r="R6870" s="9">
        <v>44762</v>
      </c>
      <c r="S6870"/>
      <c r="T6870"/>
      <c r="U6870"/>
    </row>
    <row r="6871" spans="1:21" hidden="1">
      <c r="A6871" s="7" t="s">
        <v>8751</v>
      </c>
      <c r="B6871" s="7" t="s">
        <v>5405</v>
      </c>
      <c r="C6871" s="8" t="s">
        <v>8717</v>
      </c>
      <c r="D6871" t="s">
        <v>24</v>
      </c>
      <c r="E6871" t="s">
        <v>25</v>
      </c>
      <c r="F6871" t="s">
        <v>435</v>
      </c>
      <c r="G6871" t="s">
        <v>5019</v>
      </c>
      <c r="H6871"/>
      <c r="I6871"/>
      <c r="J6871" t="s">
        <v>276</v>
      </c>
      <c r="K6871" s="9">
        <v>44762.582662036999</v>
      </c>
      <c r="L6871"/>
      <c r="M6871"/>
      <c r="N6871"/>
      <c r="O6871"/>
      <c r="P6871"/>
      <c r="Q6871"/>
      <c r="R6871" s="9">
        <v>44762</v>
      </c>
      <c r="S6871"/>
      <c r="T6871"/>
      <c r="U6871"/>
    </row>
    <row r="6872" spans="1:21" hidden="1">
      <c r="A6872" s="7" t="s">
        <v>8751</v>
      </c>
      <c r="B6872" s="7" t="s">
        <v>5405</v>
      </c>
      <c r="C6872" s="8" t="s">
        <v>8717</v>
      </c>
      <c r="D6872" t="s">
        <v>24</v>
      </c>
      <c r="E6872" t="s">
        <v>25</v>
      </c>
      <c r="F6872" t="s">
        <v>435</v>
      </c>
      <c r="G6872" t="s">
        <v>619</v>
      </c>
      <c r="H6872"/>
      <c r="I6872"/>
      <c r="J6872" t="s">
        <v>276</v>
      </c>
      <c r="K6872" s="9">
        <v>44762.582662036999</v>
      </c>
      <c r="L6872"/>
      <c r="M6872"/>
      <c r="N6872"/>
      <c r="O6872"/>
      <c r="P6872"/>
      <c r="Q6872"/>
      <c r="R6872" s="9">
        <v>44762</v>
      </c>
      <c r="S6872"/>
      <c r="T6872"/>
      <c r="U6872"/>
    </row>
    <row r="6873" spans="1:21" hidden="1">
      <c r="A6873" s="7" t="s">
        <v>8751</v>
      </c>
      <c r="B6873" s="7" t="s">
        <v>5405</v>
      </c>
      <c r="C6873" s="8" t="s">
        <v>8717</v>
      </c>
      <c r="D6873" t="s">
        <v>24</v>
      </c>
      <c r="E6873" t="s">
        <v>25</v>
      </c>
      <c r="F6873" t="s">
        <v>435</v>
      </c>
      <c r="G6873" t="s">
        <v>5020</v>
      </c>
      <c r="H6873"/>
      <c r="I6873"/>
      <c r="J6873" t="s">
        <v>276</v>
      </c>
      <c r="K6873" s="9">
        <v>44762.582662036999</v>
      </c>
      <c r="L6873"/>
      <c r="M6873"/>
      <c r="N6873"/>
      <c r="O6873"/>
      <c r="P6873"/>
      <c r="Q6873"/>
      <c r="R6873" s="9">
        <v>44762</v>
      </c>
      <c r="S6873"/>
      <c r="T6873"/>
      <c r="U6873"/>
    </row>
    <row r="6874" spans="1:21" hidden="1">
      <c r="A6874" s="7" t="s">
        <v>8751</v>
      </c>
      <c r="B6874" s="7" t="s">
        <v>5405</v>
      </c>
      <c r="C6874" s="8" t="s">
        <v>8717</v>
      </c>
      <c r="D6874" t="s">
        <v>24</v>
      </c>
      <c r="E6874" t="s">
        <v>25</v>
      </c>
      <c r="F6874" t="s">
        <v>435</v>
      </c>
      <c r="G6874" t="s">
        <v>5021</v>
      </c>
      <c r="H6874"/>
      <c r="I6874"/>
      <c r="J6874" t="s">
        <v>276</v>
      </c>
      <c r="K6874" s="9">
        <v>44762.582662036999</v>
      </c>
      <c r="L6874"/>
      <c r="M6874"/>
      <c r="N6874"/>
      <c r="O6874"/>
      <c r="P6874"/>
      <c r="Q6874"/>
      <c r="R6874" s="9">
        <v>44762</v>
      </c>
      <c r="S6874"/>
      <c r="T6874"/>
      <c r="U6874"/>
    </row>
    <row r="6875" spans="1:21" hidden="1">
      <c r="A6875" s="7" t="s">
        <v>8751</v>
      </c>
      <c r="B6875" s="7" t="s">
        <v>5405</v>
      </c>
      <c r="C6875" s="8" t="s">
        <v>8717</v>
      </c>
      <c r="D6875" t="s">
        <v>24</v>
      </c>
      <c r="E6875" t="s">
        <v>25</v>
      </c>
      <c r="F6875" t="s">
        <v>435</v>
      </c>
      <c r="G6875" t="s">
        <v>5022</v>
      </c>
      <c r="H6875"/>
      <c r="I6875"/>
      <c r="J6875" t="s">
        <v>276</v>
      </c>
      <c r="K6875" s="9">
        <v>44762.582662036999</v>
      </c>
      <c r="L6875"/>
      <c r="M6875"/>
      <c r="N6875"/>
      <c r="O6875"/>
      <c r="P6875"/>
      <c r="Q6875"/>
      <c r="R6875" s="9">
        <v>44762</v>
      </c>
      <c r="S6875"/>
      <c r="T6875"/>
      <c r="U6875"/>
    </row>
    <row r="6876" spans="1:21" hidden="1">
      <c r="A6876" s="7" t="s">
        <v>8751</v>
      </c>
      <c r="B6876" s="7" t="s">
        <v>5405</v>
      </c>
      <c r="C6876" s="8" t="s">
        <v>8717</v>
      </c>
      <c r="D6876" t="s">
        <v>24</v>
      </c>
      <c r="E6876" t="s">
        <v>25</v>
      </c>
      <c r="F6876" t="s">
        <v>435</v>
      </c>
      <c r="G6876" t="s">
        <v>5024</v>
      </c>
      <c r="H6876"/>
      <c r="I6876"/>
      <c r="J6876" t="s">
        <v>276</v>
      </c>
      <c r="K6876" s="9">
        <v>44762.582662036999</v>
      </c>
      <c r="L6876"/>
      <c r="M6876"/>
      <c r="N6876"/>
      <c r="O6876"/>
      <c r="P6876"/>
      <c r="Q6876"/>
      <c r="R6876" s="9">
        <v>44762</v>
      </c>
      <c r="S6876"/>
      <c r="T6876"/>
      <c r="U6876"/>
    </row>
    <row r="6877" spans="1:21" hidden="1">
      <c r="A6877" s="7" t="s">
        <v>8751</v>
      </c>
      <c r="B6877" s="7" t="s">
        <v>5405</v>
      </c>
      <c r="C6877" s="8" t="s">
        <v>8717</v>
      </c>
      <c r="D6877" t="s">
        <v>24</v>
      </c>
      <c r="E6877" t="s">
        <v>25</v>
      </c>
      <c r="F6877" t="s">
        <v>435</v>
      </c>
      <c r="G6877" t="s">
        <v>5025</v>
      </c>
      <c r="H6877"/>
      <c r="I6877"/>
      <c r="J6877" t="s">
        <v>276</v>
      </c>
      <c r="K6877" s="9">
        <v>44762.582662036999</v>
      </c>
      <c r="L6877"/>
      <c r="M6877"/>
      <c r="N6877"/>
      <c r="O6877"/>
      <c r="P6877"/>
      <c r="Q6877"/>
      <c r="R6877" s="9">
        <v>44762</v>
      </c>
      <c r="S6877"/>
      <c r="T6877"/>
      <c r="U6877"/>
    </row>
    <row r="6878" spans="1:21" hidden="1">
      <c r="A6878" s="7" t="s">
        <v>8751</v>
      </c>
      <c r="B6878" s="7" t="s">
        <v>5405</v>
      </c>
      <c r="C6878" s="8" t="s">
        <v>8717</v>
      </c>
      <c r="D6878" t="s">
        <v>24</v>
      </c>
      <c r="E6878" t="s">
        <v>25</v>
      </c>
      <c r="F6878" t="s">
        <v>435</v>
      </c>
      <c r="G6878" t="s">
        <v>5026</v>
      </c>
      <c r="H6878"/>
      <c r="I6878"/>
      <c r="J6878" t="s">
        <v>276</v>
      </c>
      <c r="K6878" s="9">
        <v>44762.582662036999</v>
      </c>
      <c r="L6878"/>
      <c r="M6878"/>
      <c r="N6878"/>
      <c r="O6878"/>
      <c r="P6878"/>
      <c r="Q6878"/>
      <c r="R6878" s="9">
        <v>44762</v>
      </c>
      <c r="S6878"/>
      <c r="T6878"/>
      <c r="U6878"/>
    </row>
    <row r="6879" spans="1:21" hidden="1">
      <c r="A6879" s="7" t="s">
        <v>8751</v>
      </c>
      <c r="B6879" s="7" t="s">
        <v>5405</v>
      </c>
      <c r="C6879" s="8" t="s">
        <v>8717</v>
      </c>
      <c r="D6879" t="s">
        <v>24</v>
      </c>
      <c r="E6879" t="s">
        <v>25</v>
      </c>
      <c r="F6879" t="s">
        <v>435</v>
      </c>
      <c r="G6879" t="s">
        <v>5027</v>
      </c>
      <c r="H6879"/>
      <c r="I6879"/>
      <c r="J6879" t="s">
        <v>276</v>
      </c>
      <c r="K6879" s="9">
        <v>44762.582662036999</v>
      </c>
      <c r="L6879"/>
      <c r="M6879"/>
      <c r="N6879"/>
      <c r="O6879"/>
      <c r="P6879"/>
      <c r="Q6879"/>
      <c r="R6879" s="9">
        <v>44762</v>
      </c>
      <c r="S6879"/>
      <c r="T6879"/>
      <c r="U6879"/>
    </row>
    <row r="6880" spans="1:21" hidden="1">
      <c r="A6880" s="7" t="s">
        <v>8751</v>
      </c>
      <c r="B6880" s="7" t="s">
        <v>5405</v>
      </c>
      <c r="C6880" s="8" t="s">
        <v>8717</v>
      </c>
      <c r="D6880" t="s">
        <v>24</v>
      </c>
      <c r="E6880" t="s">
        <v>25</v>
      </c>
      <c r="F6880" t="s">
        <v>435</v>
      </c>
      <c r="G6880" t="s">
        <v>5028</v>
      </c>
      <c r="H6880"/>
      <c r="I6880"/>
      <c r="J6880" t="s">
        <v>276</v>
      </c>
      <c r="K6880" s="9">
        <v>44762.582662036999</v>
      </c>
      <c r="L6880"/>
      <c r="M6880"/>
      <c r="N6880"/>
      <c r="O6880"/>
      <c r="P6880"/>
      <c r="Q6880"/>
      <c r="R6880" s="9">
        <v>44762</v>
      </c>
      <c r="S6880"/>
      <c r="T6880"/>
      <c r="U6880"/>
    </row>
    <row r="6881" spans="1:21" hidden="1">
      <c r="A6881" s="7" t="s">
        <v>8751</v>
      </c>
      <c r="B6881" s="7" t="s">
        <v>5405</v>
      </c>
      <c r="C6881" s="8" t="s">
        <v>8717</v>
      </c>
      <c r="D6881" t="s">
        <v>24</v>
      </c>
      <c r="E6881" t="s">
        <v>25</v>
      </c>
      <c r="F6881" t="s">
        <v>435</v>
      </c>
      <c r="G6881" t="s">
        <v>5029</v>
      </c>
      <c r="H6881"/>
      <c r="I6881"/>
      <c r="J6881" t="s">
        <v>276</v>
      </c>
      <c r="K6881" s="9">
        <v>44762.582662036999</v>
      </c>
      <c r="L6881"/>
      <c r="M6881"/>
      <c r="N6881"/>
      <c r="O6881"/>
      <c r="P6881"/>
      <c r="Q6881"/>
      <c r="R6881" s="9">
        <v>44762</v>
      </c>
      <c r="S6881"/>
      <c r="T6881"/>
      <c r="U6881"/>
    </row>
    <row r="6882" spans="1:21" hidden="1">
      <c r="A6882" s="7" t="s">
        <v>8751</v>
      </c>
      <c r="B6882" s="7" t="s">
        <v>5405</v>
      </c>
      <c r="C6882" s="8" t="s">
        <v>8717</v>
      </c>
      <c r="D6882" t="s">
        <v>24</v>
      </c>
      <c r="E6882" t="s">
        <v>25</v>
      </c>
      <c r="F6882" t="s">
        <v>435</v>
      </c>
      <c r="G6882" t="s">
        <v>5030</v>
      </c>
      <c r="H6882"/>
      <c r="I6882"/>
      <c r="J6882" t="s">
        <v>276</v>
      </c>
      <c r="K6882" s="9">
        <v>44762.582662036999</v>
      </c>
      <c r="L6882"/>
      <c r="M6882"/>
      <c r="N6882"/>
      <c r="O6882"/>
      <c r="P6882"/>
      <c r="Q6882"/>
      <c r="R6882" s="9">
        <v>44762</v>
      </c>
      <c r="S6882"/>
      <c r="T6882"/>
      <c r="U6882"/>
    </row>
    <row r="6883" spans="1:21" hidden="1">
      <c r="A6883" s="7" t="s">
        <v>8751</v>
      </c>
      <c r="B6883" s="7" t="s">
        <v>5405</v>
      </c>
      <c r="C6883" s="8" t="s">
        <v>8717</v>
      </c>
      <c r="D6883" t="s">
        <v>24</v>
      </c>
      <c r="E6883" t="s">
        <v>25</v>
      </c>
      <c r="F6883" t="s">
        <v>435</v>
      </c>
      <c r="G6883" t="s">
        <v>5031</v>
      </c>
      <c r="H6883"/>
      <c r="I6883"/>
      <c r="J6883" t="s">
        <v>276</v>
      </c>
      <c r="K6883" s="9">
        <v>44762.582662036999</v>
      </c>
      <c r="L6883"/>
      <c r="M6883"/>
      <c r="N6883"/>
      <c r="O6883"/>
      <c r="P6883"/>
      <c r="Q6883"/>
      <c r="R6883" s="9">
        <v>44762</v>
      </c>
      <c r="S6883"/>
      <c r="T6883"/>
      <c r="U6883"/>
    </row>
    <row r="6884" spans="1:21" hidden="1">
      <c r="A6884" s="7" t="s">
        <v>8751</v>
      </c>
      <c r="B6884" s="7" t="s">
        <v>5405</v>
      </c>
      <c r="C6884" s="8" t="s">
        <v>8717</v>
      </c>
      <c r="D6884" t="s">
        <v>24</v>
      </c>
      <c r="E6884" t="s">
        <v>25</v>
      </c>
      <c r="F6884" t="s">
        <v>435</v>
      </c>
      <c r="G6884" t="s">
        <v>5032</v>
      </c>
      <c r="H6884"/>
      <c r="I6884"/>
      <c r="J6884" t="s">
        <v>276</v>
      </c>
      <c r="K6884" s="9">
        <v>44762.582662036999</v>
      </c>
      <c r="L6884"/>
      <c r="M6884"/>
      <c r="N6884"/>
      <c r="O6884"/>
      <c r="P6884"/>
      <c r="Q6884"/>
      <c r="R6884" s="9">
        <v>44762</v>
      </c>
      <c r="S6884"/>
      <c r="T6884"/>
      <c r="U6884"/>
    </row>
    <row r="6885" spans="1:21" hidden="1">
      <c r="A6885" s="7" t="s">
        <v>8751</v>
      </c>
      <c r="B6885" s="7" t="s">
        <v>5405</v>
      </c>
      <c r="C6885" s="8" t="s">
        <v>8717</v>
      </c>
      <c r="D6885" t="s">
        <v>24</v>
      </c>
      <c r="E6885" t="s">
        <v>25</v>
      </c>
      <c r="F6885" t="s">
        <v>435</v>
      </c>
      <c r="G6885" t="s">
        <v>5033</v>
      </c>
      <c r="H6885"/>
      <c r="I6885"/>
      <c r="J6885" t="s">
        <v>276</v>
      </c>
      <c r="K6885" s="9">
        <v>44762.582662036999</v>
      </c>
      <c r="L6885"/>
      <c r="M6885"/>
      <c r="N6885"/>
      <c r="O6885"/>
      <c r="P6885"/>
      <c r="Q6885"/>
      <c r="R6885" s="9">
        <v>44762</v>
      </c>
      <c r="S6885"/>
      <c r="T6885"/>
      <c r="U6885"/>
    </row>
    <row r="6886" spans="1:21" hidden="1">
      <c r="A6886" s="7" t="s">
        <v>8751</v>
      </c>
      <c r="B6886" s="7" t="s">
        <v>5405</v>
      </c>
      <c r="C6886" s="8" t="s">
        <v>8717</v>
      </c>
      <c r="D6886" t="s">
        <v>24</v>
      </c>
      <c r="E6886" t="s">
        <v>25</v>
      </c>
      <c r="F6886" t="s">
        <v>435</v>
      </c>
      <c r="G6886" t="s">
        <v>5034</v>
      </c>
      <c r="H6886"/>
      <c r="I6886"/>
      <c r="J6886" t="s">
        <v>276</v>
      </c>
      <c r="K6886" s="9">
        <v>44762.582662036999</v>
      </c>
      <c r="L6886"/>
      <c r="M6886"/>
      <c r="N6886"/>
      <c r="O6886"/>
      <c r="P6886"/>
      <c r="Q6886"/>
      <c r="R6886" s="9">
        <v>44762</v>
      </c>
      <c r="S6886"/>
      <c r="T6886"/>
      <c r="U6886"/>
    </row>
    <row r="6887" spans="1:21" hidden="1">
      <c r="A6887" s="7" t="s">
        <v>8751</v>
      </c>
      <c r="B6887" s="7" t="s">
        <v>5405</v>
      </c>
      <c r="C6887" s="8" t="s">
        <v>8717</v>
      </c>
      <c r="D6887" t="s">
        <v>24</v>
      </c>
      <c r="E6887" t="s">
        <v>25</v>
      </c>
      <c r="F6887" t="s">
        <v>435</v>
      </c>
      <c r="G6887" t="s">
        <v>5035</v>
      </c>
      <c r="H6887"/>
      <c r="I6887"/>
      <c r="J6887" t="s">
        <v>276</v>
      </c>
      <c r="K6887" s="9">
        <v>44762.582662036999</v>
      </c>
      <c r="L6887"/>
      <c r="M6887"/>
      <c r="N6887"/>
      <c r="O6887"/>
      <c r="P6887"/>
      <c r="Q6887"/>
      <c r="R6887" s="9">
        <v>44762</v>
      </c>
      <c r="S6887"/>
      <c r="T6887"/>
      <c r="U6887"/>
    </row>
    <row r="6888" spans="1:21" hidden="1">
      <c r="A6888" s="7" t="s">
        <v>8751</v>
      </c>
      <c r="B6888" s="7" t="s">
        <v>5405</v>
      </c>
      <c r="C6888" s="8" t="s">
        <v>8717</v>
      </c>
      <c r="D6888" t="s">
        <v>24</v>
      </c>
      <c r="E6888" t="s">
        <v>25</v>
      </c>
      <c r="F6888" t="s">
        <v>435</v>
      </c>
      <c r="G6888" t="s">
        <v>5036</v>
      </c>
      <c r="H6888"/>
      <c r="I6888"/>
      <c r="J6888" t="s">
        <v>276</v>
      </c>
      <c r="K6888" s="9">
        <v>44762.582662036999</v>
      </c>
      <c r="L6888"/>
      <c r="M6888"/>
      <c r="N6888"/>
      <c r="O6888"/>
      <c r="P6888"/>
      <c r="Q6888"/>
      <c r="R6888" s="9">
        <v>44762</v>
      </c>
      <c r="S6888"/>
      <c r="T6888"/>
      <c r="U6888"/>
    </row>
    <row r="6889" spans="1:21" hidden="1">
      <c r="A6889" s="7" t="s">
        <v>8751</v>
      </c>
      <c r="B6889" s="7" t="s">
        <v>5405</v>
      </c>
      <c r="C6889" s="8" t="s">
        <v>8717</v>
      </c>
      <c r="D6889" t="s">
        <v>24</v>
      </c>
      <c r="E6889" t="s">
        <v>25</v>
      </c>
      <c r="F6889" t="s">
        <v>435</v>
      </c>
      <c r="G6889" t="s">
        <v>5037</v>
      </c>
      <c r="H6889"/>
      <c r="I6889"/>
      <c r="J6889" t="s">
        <v>276</v>
      </c>
      <c r="K6889" s="9">
        <v>44762.582662036999</v>
      </c>
      <c r="L6889"/>
      <c r="M6889"/>
      <c r="N6889"/>
      <c r="O6889"/>
      <c r="P6889"/>
      <c r="Q6889"/>
      <c r="R6889" s="9">
        <v>44762</v>
      </c>
      <c r="S6889"/>
      <c r="T6889"/>
      <c r="U6889"/>
    </row>
    <row r="6890" spans="1:21" hidden="1">
      <c r="A6890" s="7" t="s">
        <v>8751</v>
      </c>
      <c r="B6890" s="7" t="s">
        <v>5405</v>
      </c>
      <c r="C6890" s="8" t="s">
        <v>8717</v>
      </c>
      <c r="D6890" t="s">
        <v>24</v>
      </c>
      <c r="E6890" t="s">
        <v>25</v>
      </c>
      <c r="F6890" t="s">
        <v>435</v>
      </c>
      <c r="G6890" t="s">
        <v>5038</v>
      </c>
      <c r="H6890"/>
      <c r="I6890"/>
      <c r="J6890" t="s">
        <v>276</v>
      </c>
      <c r="K6890" s="9">
        <v>44762.582662036999</v>
      </c>
      <c r="L6890"/>
      <c r="M6890"/>
      <c r="N6890"/>
      <c r="O6890"/>
      <c r="P6890"/>
      <c r="Q6890"/>
      <c r="R6890" s="9">
        <v>44762</v>
      </c>
      <c r="S6890"/>
      <c r="T6890"/>
      <c r="U6890"/>
    </row>
    <row r="6891" spans="1:21" hidden="1">
      <c r="A6891" s="7" t="s">
        <v>8751</v>
      </c>
      <c r="B6891" s="7" t="s">
        <v>5405</v>
      </c>
      <c r="C6891" s="8" t="s">
        <v>8717</v>
      </c>
      <c r="D6891" t="s">
        <v>24</v>
      </c>
      <c r="E6891" t="s">
        <v>25</v>
      </c>
      <c r="F6891" t="s">
        <v>435</v>
      </c>
      <c r="G6891" t="s">
        <v>5039</v>
      </c>
      <c r="H6891"/>
      <c r="I6891"/>
      <c r="J6891" t="s">
        <v>276</v>
      </c>
      <c r="K6891" s="9">
        <v>44762.582662036999</v>
      </c>
      <c r="L6891"/>
      <c r="M6891"/>
      <c r="N6891"/>
      <c r="O6891"/>
      <c r="P6891"/>
      <c r="Q6891"/>
      <c r="R6891" s="9">
        <v>44762</v>
      </c>
      <c r="S6891"/>
      <c r="T6891"/>
      <c r="U6891"/>
    </row>
    <row r="6892" spans="1:21" hidden="1">
      <c r="A6892" s="7" t="s">
        <v>8751</v>
      </c>
      <c r="B6892" s="7" t="s">
        <v>5405</v>
      </c>
      <c r="C6892" s="8" t="s">
        <v>8717</v>
      </c>
      <c r="D6892" t="s">
        <v>24</v>
      </c>
      <c r="E6892" t="s">
        <v>25</v>
      </c>
      <c r="F6892" t="s">
        <v>435</v>
      </c>
      <c r="G6892" t="s">
        <v>5040</v>
      </c>
      <c r="H6892"/>
      <c r="I6892"/>
      <c r="J6892" t="s">
        <v>276</v>
      </c>
      <c r="K6892" s="9">
        <v>44762.582662036999</v>
      </c>
      <c r="L6892"/>
      <c r="M6892"/>
      <c r="N6892"/>
      <c r="O6892"/>
      <c r="P6892"/>
      <c r="Q6892"/>
      <c r="R6892" s="9">
        <v>44762</v>
      </c>
      <c r="S6892"/>
      <c r="T6892"/>
      <c r="U6892"/>
    </row>
    <row r="6893" spans="1:21" hidden="1">
      <c r="A6893" s="7" t="s">
        <v>8751</v>
      </c>
      <c r="B6893" s="7" t="s">
        <v>5405</v>
      </c>
      <c r="C6893" s="8" t="s">
        <v>8717</v>
      </c>
      <c r="D6893" t="s">
        <v>24</v>
      </c>
      <c r="E6893" t="s">
        <v>25</v>
      </c>
      <c r="F6893" t="s">
        <v>435</v>
      </c>
      <c r="G6893" t="s">
        <v>5041</v>
      </c>
      <c r="H6893"/>
      <c r="I6893"/>
      <c r="J6893" t="s">
        <v>276</v>
      </c>
      <c r="K6893" s="9">
        <v>44762.582662036999</v>
      </c>
      <c r="L6893"/>
      <c r="M6893"/>
      <c r="N6893"/>
      <c r="O6893"/>
      <c r="P6893"/>
      <c r="Q6893"/>
      <c r="R6893" s="9">
        <v>44762</v>
      </c>
      <c r="S6893"/>
      <c r="T6893"/>
      <c r="U6893"/>
    </row>
    <row r="6894" spans="1:21" hidden="1">
      <c r="A6894" s="7" t="s">
        <v>8751</v>
      </c>
      <c r="B6894" s="7" t="s">
        <v>5405</v>
      </c>
      <c r="C6894" s="8" t="s">
        <v>8717</v>
      </c>
      <c r="D6894" t="s">
        <v>24</v>
      </c>
      <c r="E6894" t="s">
        <v>25</v>
      </c>
      <c r="F6894" t="s">
        <v>435</v>
      </c>
      <c r="G6894" t="s">
        <v>5042</v>
      </c>
      <c r="H6894"/>
      <c r="I6894"/>
      <c r="J6894" t="s">
        <v>276</v>
      </c>
      <c r="K6894" s="9">
        <v>44762.582662036999</v>
      </c>
      <c r="L6894"/>
      <c r="M6894"/>
      <c r="N6894"/>
      <c r="O6894"/>
      <c r="P6894"/>
      <c r="Q6894"/>
      <c r="R6894" s="9">
        <v>44762</v>
      </c>
      <c r="S6894"/>
      <c r="T6894"/>
      <c r="U6894"/>
    </row>
    <row r="6895" spans="1:21" hidden="1">
      <c r="A6895" s="7" t="s">
        <v>8751</v>
      </c>
      <c r="B6895" s="7" t="s">
        <v>5405</v>
      </c>
      <c r="C6895" s="8" t="s">
        <v>8717</v>
      </c>
      <c r="D6895" t="s">
        <v>24</v>
      </c>
      <c r="E6895" t="s">
        <v>25</v>
      </c>
      <c r="F6895" t="s">
        <v>435</v>
      </c>
      <c r="G6895" t="s">
        <v>632</v>
      </c>
      <c r="H6895"/>
      <c r="I6895"/>
      <c r="J6895" t="s">
        <v>276</v>
      </c>
      <c r="K6895" s="9">
        <v>44762.582662036999</v>
      </c>
      <c r="L6895"/>
      <c r="M6895"/>
      <c r="N6895"/>
      <c r="O6895"/>
      <c r="P6895"/>
      <c r="Q6895"/>
      <c r="R6895" s="9">
        <v>44762</v>
      </c>
      <c r="S6895"/>
      <c r="T6895"/>
      <c r="U6895"/>
    </row>
    <row r="6896" spans="1:21" hidden="1">
      <c r="A6896" s="7" t="s">
        <v>8751</v>
      </c>
      <c r="B6896" s="7" t="s">
        <v>5405</v>
      </c>
      <c r="C6896" s="8" t="s">
        <v>8717</v>
      </c>
      <c r="D6896" t="s">
        <v>24</v>
      </c>
      <c r="E6896" t="s">
        <v>25</v>
      </c>
      <c r="F6896" t="s">
        <v>435</v>
      </c>
      <c r="G6896" t="s">
        <v>5043</v>
      </c>
      <c r="H6896"/>
      <c r="I6896"/>
      <c r="J6896" t="s">
        <v>276</v>
      </c>
      <c r="K6896" s="9">
        <v>44762.582662036999</v>
      </c>
      <c r="L6896"/>
      <c r="M6896"/>
      <c r="N6896"/>
      <c r="O6896"/>
      <c r="P6896"/>
      <c r="Q6896"/>
      <c r="R6896" s="9">
        <v>44762</v>
      </c>
      <c r="S6896"/>
      <c r="T6896"/>
      <c r="U6896"/>
    </row>
    <row r="6897" spans="1:21" hidden="1">
      <c r="A6897" s="7" t="s">
        <v>8751</v>
      </c>
      <c r="B6897" s="7" t="s">
        <v>5405</v>
      </c>
      <c r="C6897" s="8" t="s">
        <v>8717</v>
      </c>
      <c r="D6897" t="s">
        <v>24</v>
      </c>
      <c r="E6897" t="s">
        <v>25</v>
      </c>
      <c r="F6897" t="s">
        <v>435</v>
      </c>
      <c r="G6897" t="s">
        <v>636</v>
      </c>
      <c r="H6897"/>
      <c r="I6897"/>
      <c r="J6897" t="s">
        <v>276</v>
      </c>
      <c r="K6897" s="9">
        <v>44762.582662036999</v>
      </c>
      <c r="L6897"/>
      <c r="M6897"/>
      <c r="N6897"/>
      <c r="O6897"/>
      <c r="P6897"/>
      <c r="Q6897"/>
      <c r="R6897" s="9">
        <v>44762</v>
      </c>
      <c r="S6897"/>
      <c r="T6897"/>
      <c r="U6897"/>
    </row>
    <row r="6898" spans="1:21" hidden="1">
      <c r="A6898" s="7" t="s">
        <v>8751</v>
      </c>
      <c r="B6898" s="7" t="s">
        <v>5405</v>
      </c>
      <c r="C6898" s="8" t="s">
        <v>8717</v>
      </c>
      <c r="D6898" t="s">
        <v>24</v>
      </c>
      <c r="E6898" t="s">
        <v>25</v>
      </c>
      <c r="F6898" t="s">
        <v>435</v>
      </c>
      <c r="G6898" t="s">
        <v>5044</v>
      </c>
      <c r="H6898"/>
      <c r="I6898"/>
      <c r="J6898" t="s">
        <v>276</v>
      </c>
      <c r="K6898" s="9">
        <v>44762.582662036999</v>
      </c>
      <c r="L6898"/>
      <c r="M6898"/>
      <c r="N6898"/>
      <c r="O6898"/>
      <c r="P6898"/>
      <c r="Q6898"/>
      <c r="R6898" s="9">
        <v>44762</v>
      </c>
      <c r="S6898"/>
      <c r="T6898"/>
      <c r="U6898"/>
    </row>
    <row r="6899" spans="1:21" hidden="1">
      <c r="A6899" s="7" t="s">
        <v>8751</v>
      </c>
      <c r="B6899" s="7" t="s">
        <v>5405</v>
      </c>
      <c r="C6899" s="8" t="s">
        <v>8717</v>
      </c>
      <c r="D6899" t="s">
        <v>24</v>
      </c>
      <c r="E6899" t="s">
        <v>25</v>
      </c>
      <c r="F6899" t="s">
        <v>435</v>
      </c>
      <c r="G6899" t="s">
        <v>5045</v>
      </c>
      <c r="H6899"/>
      <c r="I6899"/>
      <c r="J6899" t="s">
        <v>276</v>
      </c>
      <c r="K6899" s="9">
        <v>44762.582662036999</v>
      </c>
      <c r="L6899"/>
      <c r="M6899"/>
      <c r="N6899"/>
      <c r="O6899"/>
      <c r="P6899"/>
      <c r="Q6899"/>
      <c r="R6899" s="9">
        <v>44762</v>
      </c>
      <c r="S6899"/>
      <c r="T6899"/>
      <c r="U6899"/>
    </row>
    <row r="6900" spans="1:21" hidden="1">
      <c r="A6900" s="7" t="s">
        <v>8751</v>
      </c>
      <c r="B6900" s="7" t="s">
        <v>5405</v>
      </c>
      <c r="C6900" s="8" t="s">
        <v>8717</v>
      </c>
      <c r="D6900" t="s">
        <v>24</v>
      </c>
      <c r="E6900" t="s">
        <v>25</v>
      </c>
      <c r="F6900" t="s">
        <v>435</v>
      </c>
      <c r="G6900" t="s">
        <v>637</v>
      </c>
      <c r="H6900"/>
      <c r="I6900"/>
      <c r="J6900" t="s">
        <v>276</v>
      </c>
      <c r="K6900" s="9">
        <v>44762.582662036999</v>
      </c>
      <c r="L6900"/>
      <c r="M6900"/>
      <c r="N6900"/>
      <c r="O6900"/>
      <c r="P6900"/>
      <c r="Q6900"/>
      <c r="R6900" s="9">
        <v>44762</v>
      </c>
      <c r="S6900"/>
      <c r="T6900"/>
      <c r="U6900"/>
    </row>
    <row r="6901" spans="1:21" hidden="1">
      <c r="A6901" s="7" t="s">
        <v>8751</v>
      </c>
      <c r="B6901" s="7" t="s">
        <v>5405</v>
      </c>
      <c r="C6901" s="8" t="s">
        <v>8717</v>
      </c>
      <c r="D6901" t="s">
        <v>24</v>
      </c>
      <c r="E6901" t="s">
        <v>25</v>
      </c>
      <c r="F6901" t="s">
        <v>435</v>
      </c>
      <c r="G6901" t="s">
        <v>5046</v>
      </c>
      <c r="H6901"/>
      <c r="I6901"/>
      <c r="J6901" t="s">
        <v>276</v>
      </c>
      <c r="K6901" s="9">
        <v>44762.582662036999</v>
      </c>
      <c r="L6901"/>
      <c r="M6901"/>
      <c r="N6901"/>
      <c r="O6901"/>
      <c r="P6901"/>
      <c r="Q6901"/>
      <c r="R6901" s="9">
        <v>44762</v>
      </c>
      <c r="S6901"/>
      <c r="T6901"/>
      <c r="U6901"/>
    </row>
    <row r="6902" spans="1:21" hidden="1">
      <c r="A6902" s="7" t="s">
        <v>8751</v>
      </c>
      <c r="B6902" s="7" t="s">
        <v>5405</v>
      </c>
      <c r="C6902" s="8" t="s">
        <v>8717</v>
      </c>
      <c r="D6902" t="s">
        <v>24</v>
      </c>
      <c r="E6902" t="s">
        <v>25</v>
      </c>
      <c r="F6902" t="s">
        <v>435</v>
      </c>
      <c r="G6902" t="s">
        <v>5047</v>
      </c>
      <c r="H6902"/>
      <c r="I6902"/>
      <c r="J6902" t="s">
        <v>276</v>
      </c>
      <c r="K6902" s="9">
        <v>44762.582662036999</v>
      </c>
      <c r="L6902"/>
      <c r="M6902"/>
      <c r="N6902"/>
      <c r="O6902"/>
      <c r="P6902"/>
      <c r="Q6902"/>
      <c r="R6902" s="9">
        <v>44762</v>
      </c>
      <c r="S6902"/>
      <c r="T6902"/>
      <c r="U6902"/>
    </row>
    <row r="6903" spans="1:21" hidden="1">
      <c r="A6903" s="7" t="s">
        <v>8751</v>
      </c>
      <c r="B6903" s="7" t="s">
        <v>5405</v>
      </c>
      <c r="C6903" s="8" t="s">
        <v>8717</v>
      </c>
      <c r="D6903" t="s">
        <v>24</v>
      </c>
      <c r="E6903" t="s">
        <v>25</v>
      </c>
      <c r="F6903" t="s">
        <v>435</v>
      </c>
      <c r="G6903" t="s">
        <v>5048</v>
      </c>
      <c r="H6903"/>
      <c r="I6903"/>
      <c r="J6903" t="s">
        <v>276</v>
      </c>
      <c r="K6903" s="9">
        <v>44762.582662036999</v>
      </c>
      <c r="L6903"/>
      <c r="M6903"/>
      <c r="N6903"/>
      <c r="O6903"/>
      <c r="P6903"/>
      <c r="Q6903"/>
      <c r="R6903" s="9">
        <v>44762</v>
      </c>
      <c r="S6903"/>
      <c r="T6903"/>
      <c r="U6903"/>
    </row>
    <row r="6904" spans="1:21" hidden="1">
      <c r="A6904" s="7" t="s">
        <v>8751</v>
      </c>
      <c r="B6904" s="7" t="s">
        <v>5405</v>
      </c>
      <c r="C6904" s="8" t="s">
        <v>8717</v>
      </c>
      <c r="D6904" t="s">
        <v>24</v>
      </c>
      <c r="E6904" t="s">
        <v>25</v>
      </c>
      <c r="F6904" t="s">
        <v>435</v>
      </c>
      <c r="G6904" t="s">
        <v>5049</v>
      </c>
      <c r="H6904"/>
      <c r="I6904"/>
      <c r="J6904" t="s">
        <v>276</v>
      </c>
      <c r="K6904" s="9">
        <v>44762.582662036999</v>
      </c>
      <c r="L6904"/>
      <c r="M6904"/>
      <c r="N6904"/>
      <c r="O6904"/>
      <c r="P6904"/>
      <c r="Q6904"/>
      <c r="R6904" s="9">
        <v>44762</v>
      </c>
      <c r="S6904"/>
      <c r="T6904"/>
      <c r="U6904"/>
    </row>
    <row r="6905" spans="1:21" hidden="1">
      <c r="A6905" s="7" t="s">
        <v>8751</v>
      </c>
      <c r="B6905" s="7" t="s">
        <v>5405</v>
      </c>
      <c r="C6905" s="8" t="s">
        <v>8717</v>
      </c>
      <c r="D6905" t="s">
        <v>24</v>
      </c>
      <c r="E6905" t="s">
        <v>25</v>
      </c>
      <c r="F6905" t="s">
        <v>435</v>
      </c>
      <c r="G6905" t="s">
        <v>5050</v>
      </c>
      <c r="H6905"/>
      <c r="I6905"/>
      <c r="J6905" t="s">
        <v>276</v>
      </c>
      <c r="K6905" s="9">
        <v>44762.582662036999</v>
      </c>
      <c r="L6905"/>
      <c r="M6905"/>
      <c r="N6905"/>
      <c r="O6905"/>
      <c r="P6905"/>
      <c r="Q6905"/>
      <c r="R6905" s="9">
        <v>44762</v>
      </c>
      <c r="S6905"/>
      <c r="T6905"/>
      <c r="U6905"/>
    </row>
    <row r="6906" spans="1:21" hidden="1">
      <c r="A6906" s="7" t="s">
        <v>8751</v>
      </c>
      <c r="B6906" s="7" t="s">
        <v>5405</v>
      </c>
      <c r="C6906" s="8" t="s">
        <v>8717</v>
      </c>
      <c r="D6906" t="s">
        <v>24</v>
      </c>
      <c r="E6906" t="s">
        <v>25</v>
      </c>
      <c r="F6906" t="s">
        <v>435</v>
      </c>
      <c r="G6906" t="s">
        <v>5051</v>
      </c>
      <c r="H6906"/>
      <c r="I6906"/>
      <c r="J6906" t="s">
        <v>276</v>
      </c>
      <c r="K6906" s="9">
        <v>44762.582662036999</v>
      </c>
      <c r="L6906"/>
      <c r="M6906"/>
      <c r="N6906"/>
      <c r="O6906"/>
      <c r="P6906"/>
      <c r="Q6906"/>
      <c r="R6906" s="9">
        <v>44762</v>
      </c>
      <c r="S6906"/>
      <c r="T6906"/>
      <c r="U6906"/>
    </row>
    <row r="6907" spans="1:21" hidden="1">
      <c r="A6907" s="7" t="s">
        <v>8751</v>
      </c>
      <c r="B6907" s="7" t="s">
        <v>5405</v>
      </c>
      <c r="C6907" s="8" t="s">
        <v>8717</v>
      </c>
      <c r="D6907" t="s">
        <v>24</v>
      </c>
      <c r="E6907" t="s">
        <v>25</v>
      </c>
      <c r="F6907" t="s">
        <v>435</v>
      </c>
      <c r="G6907" t="s">
        <v>5052</v>
      </c>
      <c r="H6907"/>
      <c r="I6907"/>
      <c r="J6907" t="s">
        <v>276</v>
      </c>
      <c r="K6907" s="9">
        <v>44762.582662036999</v>
      </c>
      <c r="L6907"/>
      <c r="M6907"/>
      <c r="N6907"/>
      <c r="O6907"/>
      <c r="P6907"/>
      <c r="Q6907"/>
      <c r="R6907" s="9">
        <v>44762</v>
      </c>
      <c r="S6907"/>
      <c r="T6907"/>
      <c r="U6907"/>
    </row>
    <row r="6908" spans="1:21" hidden="1">
      <c r="A6908" s="7" t="s">
        <v>8751</v>
      </c>
      <c r="B6908" s="7" t="s">
        <v>5405</v>
      </c>
      <c r="C6908" s="8" t="s">
        <v>8717</v>
      </c>
      <c r="D6908" t="s">
        <v>24</v>
      </c>
      <c r="E6908" t="s">
        <v>25</v>
      </c>
      <c r="F6908" t="s">
        <v>435</v>
      </c>
      <c r="G6908" t="s">
        <v>5053</v>
      </c>
      <c r="H6908"/>
      <c r="I6908"/>
      <c r="J6908" t="s">
        <v>276</v>
      </c>
      <c r="K6908" s="9">
        <v>44762.582662036999</v>
      </c>
      <c r="L6908"/>
      <c r="M6908"/>
      <c r="N6908"/>
      <c r="O6908"/>
      <c r="P6908"/>
      <c r="Q6908"/>
      <c r="R6908" s="9">
        <v>44762</v>
      </c>
      <c r="S6908"/>
      <c r="T6908"/>
      <c r="U6908"/>
    </row>
    <row r="6909" spans="1:21" hidden="1">
      <c r="A6909" s="7" t="s">
        <v>8751</v>
      </c>
      <c r="B6909" s="7" t="s">
        <v>5405</v>
      </c>
      <c r="C6909" s="8" t="s">
        <v>8717</v>
      </c>
      <c r="D6909" t="s">
        <v>24</v>
      </c>
      <c r="E6909" t="s">
        <v>25</v>
      </c>
      <c r="F6909" t="s">
        <v>435</v>
      </c>
      <c r="G6909" t="s">
        <v>5054</v>
      </c>
      <c r="H6909"/>
      <c r="I6909"/>
      <c r="J6909" t="s">
        <v>276</v>
      </c>
      <c r="K6909" s="9">
        <v>44762.582662036999</v>
      </c>
      <c r="L6909"/>
      <c r="M6909"/>
      <c r="N6909"/>
      <c r="O6909"/>
      <c r="P6909"/>
      <c r="Q6909"/>
      <c r="R6909" s="9">
        <v>44762</v>
      </c>
      <c r="S6909"/>
      <c r="T6909"/>
      <c r="U6909"/>
    </row>
    <row r="6910" spans="1:21" hidden="1">
      <c r="A6910" s="7" t="s">
        <v>8751</v>
      </c>
      <c r="B6910" s="7" t="s">
        <v>5405</v>
      </c>
      <c r="C6910" s="8" t="s">
        <v>8717</v>
      </c>
      <c r="D6910" t="s">
        <v>24</v>
      </c>
      <c r="E6910" t="s">
        <v>25</v>
      </c>
      <c r="F6910" t="s">
        <v>435</v>
      </c>
      <c r="G6910" t="s">
        <v>5055</v>
      </c>
      <c r="H6910"/>
      <c r="I6910"/>
      <c r="J6910" t="s">
        <v>276</v>
      </c>
      <c r="K6910" s="9">
        <v>44762.582662036999</v>
      </c>
      <c r="L6910"/>
      <c r="M6910"/>
      <c r="N6910"/>
      <c r="O6910"/>
      <c r="P6910"/>
      <c r="Q6910"/>
      <c r="R6910" s="9">
        <v>44762</v>
      </c>
      <c r="S6910"/>
      <c r="T6910"/>
      <c r="U6910"/>
    </row>
    <row r="6911" spans="1:21" hidden="1">
      <c r="A6911" s="7" t="s">
        <v>8751</v>
      </c>
      <c r="B6911" s="7" t="s">
        <v>5405</v>
      </c>
      <c r="C6911" s="8" t="s">
        <v>8717</v>
      </c>
      <c r="D6911" t="s">
        <v>24</v>
      </c>
      <c r="E6911" t="s">
        <v>25</v>
      </c>
      <c r="F6911" t="s">
        <v>435</v>
      </c>
      <c r="G6911" t="s">
        <v>5056</v>
      </c>
      <c r="H6911"/>
      <c r="I6911"/>
      <c r="J6911" t="s">
        <v>276</v>
      </c>
      <c r="K6911" s="9">
        <v>44762.582662036999</v>
      </c>
      <c r="L6911"/>
      <c r="M6911"/>
      <c r="N6911"/>
      <c r="O6911"/>
      <c r="P6911"/>
      <c r="Q6911"/>
      <c r="R6911" s="9">
        <v>44762</v>
      </c>
      <c r="S6911"/>
      <c r="T6911"/>
      <c r="U6911"/>
    </row>
    <row r="6912" spans="1:21" hidden="1">
      <c r="A6912" s="7" t="s">
        <v>8751</v>
      </c>
      <c r="B6912" s="7" t="s">
        <v>5405</v>
      </c>
      <c r="C6912" s="8" t="s">
        <v>8717</v>
      </c>
      <c r="D6912" t="s">
        <v>24</v>
      </c>
      <c r="E6912" t="s">
        <v>25</v>
      </c>
      <c r="F6912" t="s">
        <v>435</v>
      </c>
      <c r="G6912" t="s">
        <v>5057</v>
      </c>
      <c r="H6912"/>
      <c r="I6912"/>
      <c r="J6912" t="s">
        <v>276</v>
      </c>
      <c r="K6912" s="9">
        <v>44762.582662036999</v>
      </c>
      <c r="L6912"/>
      <c r="M6912"/>
      <c r="N6912"/>
      <c r="O6912"/>
      <c r="P6912"/>
      <c r="Q6912"/>
      <c r="R6912" s="9">
        <v>44762</v>
      </c>
      <c r="S6912"/>
      <c r="T6912"/>
      <c r="U6912"/>
    </row>
    <row r="6913" spans="1:21" hidden="1">
      <c r="A6913" s="7" t="s">
        <v>8751</v>
      </c>
      <c r="B6913" s="7" t="s">
        <v>5405</v>
      </c>
      <c r="C6913" s="8" t="s">
        <v>8717</v>
      </c>
      <c r="D6913" t="s">
        <v>24</v>
      </c>
      <c r="E6913" t="s">
        <v>25</v>
      </c>
      <c r="F6913" t="s">
        <v>435</v>
      </c>
      <c r="G6913" t="s">
        <v>5058</v>
      </c>
      <c r="H6913"/>
      <c r="I6913"/>
      <c r="J6913" t="s">
        <v>276</v>
      </c>
      <c r="K6913" s="9">
        <v>44762.582662036999</v>
      </c>
      <c r="L6913"/>
      <c r="M6913"/>
      <c r="N6913"/>
      <c r="O6913"/>
      <c r="P6913"/>
      <c r="Q6913"/>
      <c r="R6913" s="9">
        <v>44762</v>
      </c>
      <c r="S6913"/>
      <c r="T6913"/>
      <c r="U6913"/>
    </row>
    <row r="6914" spans="1:21" hidden="1">
      <c r="A6914" s="7" t="s">
        <v>8751</v>
      </c>
      <c r="B6914" s="7" t="s">
        <v>5405</v>
      </c>
      <c r="C6914" s="8" t="s">
        <v>8717</v>
      </c>
      <c r="D6914" t="s">
        <v>24</v>
      </c>
      <c r="E6914" t="s">
        <v>25</v>
      </c>
      <c r="F6914" t="s">
        <v>435</v>
      </c>
      <c r="G6914" t="s">
        <v>5059</v>
      </c>
      <c r="H6914"/>
      <c r="I6914"/>
      <c r="J6914" t="s">
        <v>276</v>
      </c>
      <c r="K6914" s="9">
        <v>44762.582662036999</v>
      </c>
      <c r="L6914"/>
      <c r="M6914"/>
      <c r="N6914"/>
      <c r="O6914"/>
      <c r="P6914"/>
      <c r="Q6914"/>
      <c r="R6914" s="9">
        <v>44762</v>
      </c>
      <c r="S6914"/>
      <c r="T6914"/>
      <c r="U6914"/>
    </row>
    <row r="6915" spans="1:21" hidden="1">
      <c r="A6915" s="7" t="s">
        <v>8751</v>
      </c>
      <c r="B6915" s="7" t="s">
        <v>5405</v>
      </c>
      <c r="C6915" s="8" t="s">
        <v>8717</v>
      </c>
      <c r="D6915" t="s">
        <v>24</v>
      </c>
      <c r="E6915" t="s">
        <v>25</v>
      </c>
      <c r="F6915" t="s">
        <v>435</v>
      </c>
      <c r="G6915" t="s">
        <v>5060</v>
      </c>
      <c r="H6915"/>
      <c r="I6915"/>
      <c r="J6915" t="s">
        <v>276</v>
      </c>
      <c r="K6915" s="9">
        <v>44762.582662036999</v>
      </c>
      <c r="L6915"/>
      <c r="M6915"/>
      <c r="N6915"/>
      <c r="O6915"/>
      <c r="P6915"/>
      <c r="Q6915"/>
      <c r="R6915" s="9">
        <v>44762</v>
      </c>
      <c r="S6915"/>
      <c r="T6915"/>
      <c r="U6915"/>
    </row>
    <row r="6916" spans="1:21" hidden="1">
      <c r="A6916" s="7" t="s">
        <v>8751</v>
      </c>
      <c r="B6916" s="7" t="s">
        <v>5405</v>
      </c>
      <c r="C6916" s="8" t="s">
        <v>8717</v>
      </c>
      <c r="D6916" t="s">
        <v>24</v>
      </c>
      <c r="E6916" t="s">
        <v>25</v>
      </c>
      <c r="F6916" t="s">
        <v>435</v>
      </c>
      <c r="G6916" t="s">
        <v>5061</v>
      </c>
      <c r="H6916"/>
      <c r="I6916"/>
      <c r="J6916" t="s">
        <v>276</v>
      </c>
      <c r="K6916" s="9">
        <v>44762.582662036999</v>
      </c>
      <c r="L6916"/>
      <c r="M6916"/>
      <c r="N6916"/>
      <c r="O6916"/>
      <c r="P6916"/>
      <c r="Q6916"/>
      <c r="R6916" s="9">
        <v>44762</v>
      </c>
      <c r="S6916"/>
      <c r="T6916"/>
      <c r="U6916"/>
    </row>
    <row r="6917" spans="1:21" hidden="1">
      <c r="A6917" s="7" t="s">
        <v>8751</v>
      </c>
      <c r="B6917" s="7" t="s">
        <v>5405</v>
      </c>
      <c r="C6917" s="8" t="s">
        <v>8717</v>
      </c>
      <c r="D6917" t="s">
        <v>24</v>
      </c>
      <c r="E6917" t="s">
        <v>25</v>
      </c>
      <c r="F6917" t="s">
        <v>435</v>
      </c>
      <c r="G6917" t="s">
        <v>5062</v>
      </c>
      <c r="H6917"/>
      <c r="I6917"/>
      <c r="J6917" t="s">
        <v>276</v>
      </c>
      <c r="K6917" s="9">
        <v>44762.582662036999</v>
      </c>
      <c r="L6917"/>
      <c r="M6917"/>
      <c r="N6917"/>
      <c r="O6917"/>
      <c r="P6917"/>
      <c r="Q6917"/>
      <c r="R6917" s="9">
        <v>44762</v>
      </c>
      <c r="S6917"/>
      <c r="T6917"/>
      <c r="U6917"/>
    </row>
    <row r="6918" spans="1:21" hidden="1">
      <c r="A6918" s="7" t="s">
        <v>8751</v>
      </c>
      <c r="B6918" s="7" t="s">
        <v>5405</v>
      </c>
      <c r="C6918" s="8" t="s">
        <v>8717</v>
      </c>
      <c r="D6918" t="s">
        <v>24</v>
      </c>
      <c r="E6918" t="s">
        <v>25</v>
      </c>
      <c r="F6918" t="s">
        <v>435</v>
      </c>
      <c r="G6918" t="s">
        <v>5063</v>
      </c>
      <c r="H6918"/>
      <c r="I6918"/>
      <c r="J6918" t="s">
        <v>276</v>
      </c>
      <c r="K6918" s="9">
        <v>44762.582662036999</v>
      </c>
      <c r="L6918"/>
      <c r="M6918"/>
      <c r="N6918"/>
      <c r="O6918"/>
      <c r="P6918"/>
      <c r="Q6918"/>
      <c r="R6918" s="9">
        <v>44762</v>
      </c>
      <c r="S6918"/>
      <c r="T6918"/>
      <c r="U6918"/>
    </row>
    <row r="6919" spans="1:21" hidden="1">
      <c r="A6919" s="7" t="s">
        <v>8751</v>
      </c>
      <c r="B6919" s="7" t="s">
        <v>5405</v>
      </c>
      <c r="C6919" s="8" t="s">
        <v>8717</v>
      </c>
      <c r="D6919" t="s">
        <v>24</v>
      </c>
      <c r="E6919" t="s">
        <v>25</v>
      </c>
      <c r="F6919" t="s">
        <v>435</v>
      </c>
      <c r="G6919" t="s">
        <v>643</v>
      </c>
      <c r="H6919"/>
      <c r="I6919"/>
      <c r="J6919" t="s">
        <v>276</v>
      </c>
      <c r="K6919" s="9">
        <v>44762.582662036999</v>
      </c>
      <c r="L6919"/>
      <c r="M6919"/>
      <c r="N6919"/>
      <c r="O6919"/>
      <c r="P6919"/>
      <c r="Q6919"/>
      <c r="R6919" s="9">
        <v>44762</v>
      </c>
      <c r="S6919"/>
      <c r="T6919"/>
      <c r="U6919"/>
    </row>
    <row r="6920" spans="1:21" hidden="1">
      <c r="A6920" s="7" t="s">
        <v>8751</v>
      </c>
      <c r="B6920" s="7" t="s">
        <v>5405</v>
      </c>
      <c r="C6920" s="8" t="s">
        <v>8717</v>
      </c>
      <c r="D6920" t="s">
        <v>24</v>
      </c>
      <c r="E6920" t="s">
        <v>25</v>
      </c>
      <c r="F6920" t="s">
        <v>435</v>
      </c>
      <c r="G6920" t="s">
        <v>5064</v>
      </c>
      <c r="H6920"/>
      <c r="I6920"/>
      <c r="J6920" t="s">
        <v>276</v>
      </c>
      <c r="K6920" s="9">
        <v>44762.582662036999</v>
      </c>
      <c r="L6920"/>
      <c r="M6920"/>
      <c r="N6920"/>
      <c r="O6920"/>
      <c r="P6920"/>
      <c r="Q6920"/>
      <c r="R6920" s="9">
        <v>44762</v>
      </c>
      <c r="S6920"/>
      <c r="T6920"/>
      <c r="U6920"/>
    </row>
    <row r="6921" spans="1:21" hidden="1">
      <c r="A6921" s="7" t="s">
        <v>8751</v>
      </c>
      <c r="B6921" s="7" t="s">
        <v>5405</v>
      </c>
      <c r="C6921" s="8" t="s">
        <v>8717</v>
      </c>
      <c r="D6921" t="s">
        <v>24</v>
      </c>
      <c r="E6921" t="s">
        <v>25</v>
      </c>
      <c r="F6921" t="s">
        <v>435</v>
      </c>
      <c r="G6921" t="s">
        <v>5065</v>
      </c>
      <c r="H6921"/>
      <c r="I6921"/>
      <c r="J6921" t="s">
        <v>276</v>
      </c>
      <c r="K6921" s="9">
        <v>44762.582662036999</v>
      </c>
      <c r="L6921"/>
      <c r="M6921"/>
      <c r="N6921"/>
      <c r="O6921"/>
      <c r="P6921"/>
      <c r="Q6921"/>
      <c r="R6921" s="9">
        <v>44762</v>
      </c>
      <c r="S6921"/>
      <c r="T6921"/>
      <c r="U6921"/>
    </row>
    <row r="6922" spans="1:21" hidden="1">
      <c r="A6922" s="7" t="s">
        <v>8751</v>
      </c>
      <c r="B6922" s="7" t="s">
        <v>5405</v>
      </c>
      <c r="C6922" s="8" t="s">
        <v>8717</v>
      </c>
      <c r="D6922" t="s">
        <v>24</v>
      </c>
      <c r="E6922" t="s">
        <v>25</v>
      </c>
      <c r="F6922" t="s">
        <v>435</v>
      </c>
      <c r="G6922" t="s">
        <v>5066</v>
      </c>
      <c r="H6922"/>
      <c r="I6922"/>
      <c r="J6922" t="s">
        <v>276</v>
      </c>
      <c r="K6922" s="9">
        <v>44762.582662036999</v>
      </c>
      <c r="L6922"/>
      <c r="M6922"/>
      <c r="N6922"/>
      <c r="O6922"/>
      <c r="P6922"/>
      <c r="Q6922"/>
      <c r="R6922" s="9">
        <v>44762</v>
      </c>
      <c r="S6922"/>
      <c r="T6922"/>
      <c r="U6922"/>
    </row>
    <row r="6923" spans="1:21" hidden="1">
      <c r="A6923" s="7" t="s">
        <v>8751</v>
      </c>
      <c r="B6923" s="7" t="s">
        <v>5405</v>
      </c>
      <c r="C6923" s="8" t="s">
        <v>8717</v>
      </c>
      <c r="D6923" t="s">
        <v>24</v>
      </c>
      <c r="E6923" t="s">
        <v>25</v>
      </c>
      <c r="F6923" t="s">
        <v>435</v>
      </c>
      <c r="G6923" t="s">
        <v>5067</v>
      </c>
      <c r="H6923"/>
      <c r="I6923"/>
      <c r="J6923" t="s">
        <v>276</v>
      </c>
      <c r="K6923" s="9">
        <v>44762.582662036999</v>
      </c>
      <c r="L6923"/>
      <c r="M6923"/>
      <c r="N6923"/>
      <c r="O6923"/>
      <c r="P6923"/>
      <c r="Q6923"/>
      <c r="R6923" s="9">
        <v>44762</v>
      </c>
      <c r="S6923"/>
      <c r="T6923"/>
      <c r="U6923"/>
    </row>
    <row r="6924" spans="1:21" hidden="1">
      <c r="A6924" s="7" t="s">
        <v>8751</v>
      </c>
      <c r="B6924" s="7" t="s">
        <v>5405</v>
      </c>
      <c r="C6924" s="8" t="s">
        <v>8717</v>
      </c>
      <c r="D6924" t="s">
        <v>24</v>
      </c>
      <c r="E6924" t="s">
        <v>25</v>
      </c>
      <c r="F6924" t="s">
        <v>435</v>
      </c>
      <c r="G6924" t="s">
        <v>5068</v>
      </c>
      <c r="H6924"/>
      <c r="I6924"/>
      <c r="J6924" t="s">
        <v>276</v>
      </c>
      <c r="K6924" s="9">
        <v>44762.582662036999</v>
      </c>
      <c r="L6924"/>
      <c r="M6924"/>
      <c r="N6924"/>
      <c r="O6924"/>
      <c r="P6924"/>
      <c r="Q6924"/>
      <c r="R6924" s="9">
        <v>44762</v>
      </c>
      <c r="S6924"/>
      <c r="T6924"/>
      <c r="U6924"/>
    </row>
    <row r="6925" spans="1:21" hidden="1">
      <c r="A6925" s="7" t="s">
        <v>8751</v>
      </c>
      <c r="B6925" s="7" t="s">
        <v>5405</v>
      </c>
      <c r="C6925" s="8" t="s">
        <v>8717</v>
      </c>
      <c r="D6925" t="s">
        <v>24</v>
      </c>
      <c r="E6925" t="s">
        <v>25</v>
      </c>
      <c r="F6925" t="s">
        <v>435</v>
      </c>
      <c r="G6925" t="s">
        <v>5069</v>
      </c>
      <c r="H6925"/>
      <c r="I6925"/>
      <c r="J6925" t="s">
        <v>276</v>
      </c>
      <c r="K6925" s="9">
        <v>44762.582662036999</v>
      </c>
      <c r="L6925"/>
      <c r="M6925"/>
      <c r="N6925"/>
      <c r="O6925"/>
      <c r="P6925"/>
      <c r="Q6925"/>
      <c r="R6925" s="9">
        <v>44762</v>
      </c>
      <c r="S6925"/>
      <c r="T6925"/>
      <c r="U6925"/>
    </row>
    <row r="6926" spans="1:21" hidden="1">
      <c r="A6926" s="7" t="s">
        <v>8751</v>
      </c>
      <c r="B6926" s="7" t="s">
        <v>5405</v>
      </c>
      <c r="C6926" s="8" t="s">
        <v>8717</v>
      </c>
      <c r="D6926" t="s">
        <v>24</v>
      </c>
      <c r="E6926" t="s">
        <v>25</v>
      </c>
      <c r="F6926" t="s">
        <v>435</v>
      </c>
      <c r="G6926" t="s">
        <v>5070</v>
      </c>
      <c r="H6926"/>
      <c r="I6926"/>
      <c r="J6926" t="s">
        <v>276</v>
      </c>
      <c r="K6926" s="9">
        <v>44762.582662036999</v>
      </c>
      <c r="L6926"/>
      <c r="M6926"/>
      <c r="N6926"/>
      <c r="O6926"/>
      <c r="P6926"/>
      <c r="Q6926"/>
      <c r="R6926" s="9">
        <v>44762</v>
      </c>
      <c r="S6926"/>
      <c r="T6926"/>
      <c r="U6926"/>
    </row>
    <row r="6927" spans="1:21" hidden="1">
      <c r="A6927" s="7" t="s">
        <v>8751</v>
      </c>
      <c r="B6927" s="7" t="s">
        <v>5405</v>
      </c>
      <c r="C6927" s="8" t="s">
        <v>8717</v>
      </c>
      <c r="D6927" t="s">
        <v>24</v>
      </c>
      <c r="E6927" t="s">
        <v>25</v>
      </c>
      <c r="F6927" t="s">
        <v>435</v>
      </c>
      <c r="G6927" t="s">
        <v>5071</v>
      </c>
      <c r="H6927"/>
      <c r="I6927"/>
      <c r="J6927" t="s">
        <v>276</v>
      </c>
      <c r="K6927" s="9">
        <v>44762.582662036999</v>
      </c>
      <c r="L6927"/>
      <c r="M6927"/>
      <c r="N6927"/>
      <c r="O6927"/>
      <c r="P6927"/>
      <c r="Q6927"/>
      <c r="R6927" s="9">
        <v>44762</v>
      </c>
      <c r="S6927"/>
      <c r="T6927"/>
      <c r="U6927"/>
    </row>
    <row r="6928" spans="1:21" hidden="1">
      <c r="A6928" s="7" t="s">
        <v>8751</v>
      </c>
      <c r="B6928" s="7" t="s">
        <v>5405</v>
      </c>
      <c r="C6928" s="8" t="s">
        <v>8717</v>
      </c>
      <c r="D6928" t="s">
        <v>24</v>
      </c>
      <c r="E6928" t="s">
        <v>25</v>
      </c>
      <c r="F6928" t="s">
        <v>435</v>
      </c>
      <c r="G6928" t="s">
        <v>5072</v>
      </c>
      <c r="H6928"/>
      <c r="I6928"/>
      <c r="J6928" t="s">
        <v>276</v>
      </c>
      <c r="K6928" s="9">
        <v>44762.582662036999</v>
      </c>
      <c r="L6928"/>
      <c r="M6928"/>
      <c r="N6928"/>
      <c r="O6928"/>
      <c r="P6928"/>
      <c r="Q6928"/>
      <c r="R6928" s="9">
        <v>44762</v>
      </c>
      <c r="S6928"/>
      <c r="T6928"/>
      <c r="U6928"/>
    </row>
    <row r="6929" spans="1:21" hidden="1">
      <c r="A6929" s="7" t="s">
        <v>8751</v>
      </c>
      <c r="B6929" s="7" t="s">
        <v>5405</v>
      </c>
      <c r="C6929" s="8" t="s">
        <v>8717</v>
      </c>
      <c r="D6929" t="s">
        <v>24</v>
      </c>
      <c r="E6929" t="s">
        <v>25</v>
      </c>
      <c r="F6929" t="s">
        <v>435</v>
      </c>
      <c r="G6929" t="s">
        <v>5073</v>
      </c>
      <c r="H6929"/>
      <c r="I6929"/>
      <c r="J6929" t="s">
        <v>276</v>
      </c>
      <c r="K6929" s="9">
        <v>44762.582662036999</v>
      </c>
      <c r="L6929"/>
      <c r="M6929"/>
      <c r="N6929"/>
      <c r="O6929"/>
      <c r="P6929"/>
      <c r="Q6929"/>
      <c r="R6929" s="9">
        <v>44762</v>
      </c>
      <c r="S6929"/>
      <c r="T6929"/>
      <c r="U6929"/>
    </row>
    <row r="6930" spans="1:21" hidden="1">
      <c r="A6930" s="7" t="s">
        <v>8751</v>
      </c>
      <c r="B6930" s="7" t="s">
        <v>5405</v>
      </c>
      <c r="C6930" s="8" t="s">
        <v>8717</v>
      </c>
      <c r="D6930" t="s">
        <v>24</v>
      </c>
      <c r="E6930" t="s">
        <v>25</v>
      </c>
      <c r="F6930" t="s">
        <v>435</v>
      </c>
      <c r="G6930" t="s">
        <v>5074</v>
      </c>
      <c r="H6930"/>
      <c r="I6930"/>
      <c r="J6930" t="s">
        <v>276</v>
      </c>
      <c r="K6930" s="9">
        <v>44762.582662036999</v>
      </c>
      <c r="L6930"/>
      <c r="M6930"/>
      <c r="N6930"/>
      <c r="O6930"/>
      <c r="P6930"/>
      <c r="Q6930"/>
      <c r="R6930" s="9">
        <v>44762</v>
      </c>
      <c r="S6930"/>
      <c r="T6930"/>
      <c r="U6930"/>
    </row>
    <row r="6931" spans="1:21" hidden="1">
      <c r="A6931" s="7" t="s">
        <v>8751</v>
      </c>
      <c r="B6931" s="7" t="s">
        <v>5405</v>
      </c>
      <c r="C6931" s="8" t="s">
        <v>8717</v>
      </c>
      <c r="D6931" t="s">
        <v>24</v>
      </c>
      <c r="E6931" t="s">
        <v>25</v>
      </c>
      <c r="F6931" t="s">
        <v>435</v>
      </c>
      <c r="G6931" t="s">
        <v>5075</v>
      </c>
      <c r="H6931"/>
      <c r="I6931"/>
      <c r="J6931" t="s">
        <v>276</v>
      </c>
      <c r="K6931" s="9">
        <v>44762.582662036999</v>
      </c>
      <c r="L6931"/>
      <c r="M6931"/>
      <c r="N6931"/>
      <c r="O6931"/>
      <c r="P6931"/>
      <c r="Q6931"/>
      <c r="R6931" s="9">
        <v>44762</v>
      </c>
      <c r="S6931"/>
      <c r="T6931"/>
      <c r="U6931"/>
    </row>
    <row r="6932" spans="1:21" hidden="1">
      <c r="A6932" s="7" t="s">
        <v>8751</v>
      </c>
      <c r="B6932" s="7" t="s">
        <v>5405</v>
      </c>
      <c r="C6932" s="8" t="s">
        <v>8717</v>
      </c>
      <c r="D6932" t="s">
        <v>24</v>
      </c>
      <c r="E6932" t="s">
        <v>25</v>
      </c>
      <c r="F6932" t="s">
        <v>435</v>
      </c>
      <c r="G6932" t="s">
        <v>645</v>
      </c>
      <c r="H6932"/>
      <c r="I6932"/>
      <c r="J6932" t="s">
        <v>276</v>
      </c>
      <c r="K6932" s="9">
        <v>44762.582662036999</v>
      </c>
      <c r="L6932"/>
      <c r="M6932"/>
      <c r="N6932"/>
      <c r="O6932"/>
      <c r="P6932"/>
      <c r="Q6932"/>
      <c r="R6932" s="9">
        <v>44762</v>
      </c>
      <c r="S6932"/>
      <c r="T6932"/>
      <c r="U6932"/>
    </row>
    <row r="6933" spans="1:21" hidden="1">
      <c r="A6933" s="7" t="s">
        <v>8751</v>
      </c>
      <c r="B6933" s="7" t="s">
        <v>5405</v>
      </c>
      <c r="C6933" s="8" t="s">
        <v>8717</v>
      </c>
      <c r="D6933" t="s">
        <v>24</v>
      </c>
      <c r="E6933" t="s">
        <v>25</v>
      </c>
      <c r="F6933" t="s">
        <v>435</v>
      </c>
      <c r="G6933" t="s">
        <v>5076</v>
      </c>
      <c r="H6933"/>
      <c r="I6933"/>
      <c r="J6933" t="s">
        <v>276</v>
      </c>
      <c r="K6933" s="9">
        <v>44762.582662036999</v>
      </c>
      <c r="L6933"/>
      <c r="M6933"/>
      <c r="N6933"/>
      <c r="O6933"/>
      <c r="P6933"/>
      <c r="Q6933"/>
      <c r="R6933" s="9">
        <v>44762</v>
      </c>
      <c r="S6933"/>
      <c r="T6933"/>
      <c r="U6933"/>
    </row>
    <row r="6934" spans="1:21" hidden="1">
      <c r="A6934" s="7" t="s">
        <v>8751</v>
      </c>
      <c r="B6934" s="7" t="s">
        <v>5405</v>
      </c>
      <c r="C6934" s="8" t="s">
        <v>8717</v>
      </c>
      <c r="D6934" t="s">
        <v>24</v>
      </c>
      <c r="E6934" t="s">
        <v>25</v>
      </c>
      <c r="F6934" t="s">
        <v>435</v>
      </c>
      <c r="G6934" t="s">
        <v>5077</v>
      </c>
      <c r="H6934"/>
      <c r="I6934"/>
      <c r="J6934" t="s">
        <v>276</v>
      </c>
      <c r="K6934" s="9">
        <v>44762.582662036999</v>
      </c>
      <c r="L6934"/>
      <c r="M6934"/>
      <c r="N6934"/>
      <c r="O6934"/>
      <c r="P6934"/>
      <c r="Q6934"/>
      <c r="R6934" s="9">
        <v>44762</v>
      </c>
      <c r="S6934"/>
      <c r="T6934"/>
      <c r="U6934"/>
    </row>
    <row r="6935" spans="1:21" hidden="1">
      <c r="A6935" s="7" t="s">
        <v>8751</v>
      </c>
      <c r="B6935" s="7" t="s">
        <v>5405</v>
      </c>
      <c r="C6935" s="8" t="s">
        <v>8717</v>
      </c>
      <c r="D6935" t="s">
        <v>24</v>
      </c>
      <c r="E6935" t="s">
        <v>25</v>
      </c>
      <c r="F6935" t="s">
        <v>435</v>
      </c>
      <c r="G6935" t="s">
        <v>5078</v>
      </c>
      <c r="H6935"/>
      <c r="I6935"/>
      <c r="J6935" t="s">
        <v>276</v>
      </c>
      <c r="K6935" s="9">
        <v>44762.582662036999</v>
      </c>
      <c r="L6935"/>
      <c r="M6935"/>
      <c r="N6935"/>
      <c r="O6935"/>
      <c r="P6935"/>
      <c r="Q6935"/>
      <c r="R6935" s="9">
        <v>44762</v>
      </c>
      <c r="S6935"/>
      <c r="T6935"/>
      <c r="U6935"/>
    </row>
    <row r="6936" spans="1:21" hidden="1">
      <c r="A6936" s="7" t="s">
        <v>8751</v>
      </c>
      <c r="B6936" s="7" t="s">
        <v>5405</v>
      </c>
      <c r="C6936" s="8" t="s">
        <v>8717</v>
      </c>
      <c r="D6936" t="s">
        <v>24</v>
      </c>
      <c r="E6936" t="s">
        <v>25</v>
      </c>
      <c r="F6936" t="s">
        <v>435</v>
      </c>
      <c r="G6936" t="s">
        <v>5079</v>
      </c>
      <c r="H6936"/>
      <c r="I6936"/>
      <c r="J6936" t="s">
        <v>276</v>
      </c>
      <c r="K6936" s="9">
        <v>44762.582662036999</v>
      </c>
      <c r="L6936"/>
      <c r="M6936"/>
      <c r="N6936"/>
      <c r="O6936"/>
      <c r="P6936"/>
      <c r="Q6936"/>
      <c r="R6936" s="9">
        <v>44762</v>
      </c>
      <c r="S6936"/>
      <c r="T6936"/>
      <c r="U6936"/>
    </row>
    <row r="6937" spans="1:21" hidden="1">
      <c r="A6937" s="7" t="s">
        <v>8751</v>
      </c>
      <c r="B6937" s="7" t="s">
        <v>5405</v>
      </c>
      <c r="C6937" s="8" t="s">
        <v>8717</v>
      </c>
      <c r="D6937" t="s">
        <v>24</v>
      </c>
      <c r="E6937" t="s">
        <v>25</v>
      </c>
      <c r="F6937" t="s">
        <v>435</v>
      </c>
      <c r="G6937" t="s">
        <v>648</v>
      </c>
      <c r="H6937"/>
      <c r="I6937"/>
      <c r="J6937" t="s">
        <v>276</v>
      </c>
      <c r="K6937" s="9">
        <v>44762.582662036999</v>
      </c>
      <c r="L6937"/>
      <c r="M6937"/>
      <c r="N6937"/>
      <c r="O6937"/>
      <c r="P6937"/>
      <c r="Q6937"/>
      <c r="R6937" s="9">
        <v>44762</v>
      </c>
      <c r="S6937"/>
      <c r="T6937"/>
      <c r="U6937"/>
    </row>
    <row r="6938" spans="1:21" hidden="1">
      <c r="A6938" s="7" t="s">
        <v>8751</v>
      </c>
      <c r="B6938" s="7" t="s">
        <v>5405</v>
      </c>
      <c r="C6938" s="8" t="s">
        <v>8717</v>
      </c>
      <c r="D6938" t="s">
        <v>24</v>
      </c>
      <c r="E6938" t="s">
        <v>25</v>
      </c>
      <c r="F6938" t="s">
        <v>435</v>
      </c>
      <c r="G6938" t="s">
        <v>5080</v>
      </c>
      <c r="H6938"/>
      <c r="I6938"/>
      <c r="J6938" t="s">
        <v>276</v>
      </c>
      <c r="K6938" s="9">
        <v>44762.582662036999</v>
      </c>
      <c r="L6938"/>
      <c r="M6938"/>
      <c r="N6938"/>
      <c r="O6938"/>
      <c r="P6938"/>
      <c r="Q6938"/>
      <c r="R6938" s="9">
        <v>44762</v>
      </c>
      <c r="S6938"/>
      <c r="T6938"/>
      <c r="U6938"/>
    </row>
    <row r="6939" spans="1:21" hidden="1">
      <c r="A6939" s="7" t="s">
        <v>8751</v>
      </c>
      <c r="B6939" s="7" t="s">
        <v>5405</v>
      </c>
      <c r="C6939" s="8" t="s">
        <v>8717</v>
      </c>
      <c r="D6939" t="s">
        <v>24</v>
      </c>
      <c r="E6939" t="s">
        <v>25</v>
      </c>
      <c r="F6939" t="s">
        <v>435</v>
      </c>
      <c r="G6939" t="s">
        <v>5081</v>
      </c>
      <c r="H6939"/>
      <c r="I6939"/>
      <c r="J6939" t="s">
        <v>276</v>
      </c>
      <c r="K6939" s="9">
        <v>44762.582662036999</v>
      </c>
      <c r="L6939"/>
      <c r="M6939"/>
      <c r="N6939"/>
      <c r="O6939"/>
      <c r="P6939"/>
      <c r="Q6939"/>
      <c r="R6939" s="9">
        <v>44762</v>
      </c>
      <c r="S6939"/>
      <c r="T6939"/>
      <c r="U6939"/>
    </row>
    <row r="6940" spans="1:21" hidden="1">
      <c r="A6940" s="7" t="s">
        <v>8751</v>
      </c>
      <c r="B6940" s="7" t="s">
        <v>5405</v>
      </c>
      <c r="C6940" s="8" t="s">
        <v>8717</v>
      </c>
      <c r="D6940" t="s">
        <v>24</v>
      </c>
      <c r="E6940" t="s">
        <v>25</v>
      </c>
      <c r="F6940" t="s">
        <v>435</v>
      </c>
      <c r="G6940" t="s">
        <v>5082</v>
      </c>
      <c r="H6940"/>
      <c r="I6940"/>
      <c r="J6940" t="s">
        <v>276</v>
      </c>
      <c r="K6940" s="9">
        <v>44762.582662036999</v>
      </c>
      <c r="L6940"/>
      <c r="M6940"/>
      <c r="N6940"/>
      <c r="O6940"/>
      <c r="P6940"/>
      <c r="Q6940"/>
      <c r="R6940" s="9">
        <v>44762</v>
      </c>
      <c r="S6940"/>
      <c r="T6940"/>
      <c r="U6940"/>
    </row>
    <row r="6941" spans="1:21" hidden="1">
      <c r="A6941" s="7" t="s">
        <v>8751</v>
      </c>
      <c r="B6941" s="7" t="s">
        <v>5405</v>
      </c>
      <c r="C6941" s="8" t="s">
        <v>8717</v>
      </c>
      <c r="D6941" t="s">
        <v>24</v>
      </c>
      <c r="E6941" t="s">
        <v>25</v>
      </c>
      <c r="F6941" t="s">
        <v>435</v>
      </c>
      <c r="G6941" t="s">
        <v>5083</v>
      </c>
      <c r="H6941"/>
      <c r="I6941"/>
      <c r="J6941" t="s">
        <v>276</v>
      </c>
      <c r="K6941" s="9">
        <v>44762.582662036999</v>
      </c>
      <c r="L6941"/>
      <c r="M6941"/>
      <c r="N6941"/>
      <c r="O6941"/>
      <c r="P6941"/>
      <c r="Q6941"/>
      <c r="R6941" s="9">
        <v>44762</v>
      </c>
      <c r="S6941"/>
      <c r="T6941"/>
      <c r="U6941"/>
    </row>
    <row r="6942" spans="1:21" hidden="1">
      <c r="A6942" s="7" t="s">
        <v>8751</v>
      </c>
      <c r="B6942" s="7" t="s">
        <v>5405</v>
      </c>
      <c r="C6942" s="8" t="s">
        <v>8717</v>
      </c>
      <c r="D6942" t="s">
        <v>24</v>
      </c>
      <c r="E6942" t="s">
        <v>25</v>
      </c>
      <c r="F6942" t="s">
        <v>435</v>
      </c>
      <c r="G6942" t="s">
        <v>5084</v>
      </c>
      <c r="H6942"/>
      <c r="I6942"/>
      <c r="J6942" t="s">
        <v>276</v>
      </c>
      <c r="K6942" s="9">
        <v>44762.582662036999</v>
      </c>
      <c r="L6942"/>
      <c r="M6942"/>
      <c r="N6942"/>
      <c r="O6942"/>
      <c r="P6942"/>
      <c r="Q6942"/>
      <c r="R6942" s="9">
        <v>44762</v>
      </c>
      <c r="S6942"/>
      <c r="T6942"/>
      <c r="U6942"/>
    </row>
    <row r="6943" spans="1:21" hidden="1">
      <c r="A6943" s="7" t="s">
        <v>8751</v>
      </c>
      <c r="B6943" s="7" t="s">
        <v>5405</v>
      </c>
      <c r="C6943" s="8" t="s">
        <v>8717</v>
      </c>
      <c r="D6943" t="s">
        <v>24</v>
      </c>
      <c r="E6943" t="s">
        <v>25</v>
      </c>
      <c r="F6943" t="s">
        <v>435</v>
      </c>
      <c r="G6943" t="s">
        <v>5085</v>
      </c>
      <c r="H6943"/>
      <c r="I6943"/>
      <c r="J6943" t="s">
        <v>276</v>
      </c>
      <c r="K6943" s="9">
        <v>44762.582662036999</v>
      </c>
      <c r="L6943"/>
      <c r="M6943"/>
      <c r="N6943"/>
      <c r="O6943"/>
      <c r="P6943"/>
      <c r="Q6943"/>
      <c r="R6943" s="9">
        <v>44762</v>
      </c>
      <c r="S6943"/>
      <c r="T6943"/>
      <c r="U6943"/>
    </row>
    <row r="6944" spans="1:21" hidden="1">
      <c r="A6944" s="7" t="s">
        <v>8751</v>
      </c>
      <c r="B6944" s="7" t="s">
        <v>5405</v>
      </c>
      <c r="C6944" s="8" t="s">
        <v>8717</v>
      </c>
      <c r="D6944" t="s">
        <v>24</v>
      </c>
      <c r="E6944" t="s">
        <v>25</v>
      </c>
      <c r="F6944" t="s">
        <v>435</v>
      </c>
      <c r="G6944" t="s">
        <v>5086</v>
      </c>
      <c r="H6944"/>
      <c r="I6944"/>
      <c r="J6944" t="s">
        <v>276</v>
      </c>
      <c r="K6944" s="9">
        <v>44762.582662036999</v>
      </c>
      <c r="L6944"/>
      <c r="M6944"/>
      <c r="N6944"/>
      <c r="O6944"/>
      <c r="P6944"/>
      <c r="Q6944"/>
      <c r="R6944" s="9">
        <v>44762</v>
      </c>
      <c r="S6944"/>
      <c r="T6944"/>
      <c r="U6944"/>
    </row>
    <row r="6945" spans="1:21" hidden="1">
      <c r="A6945" s="7" t="s">
        <v>8751</v>
      </c>
      <c r="B6945" s="7" t="s">
        <v>5405</v>
      </c>
      <c r="C6945" s="8" t="s">
        <v>8717</v>
      </c>
      <c r="D6945" t="s">
        <v>24</v>
      </c>
      <c r="E6945" t="s">
        <v>25</v>
      </c>
      <c r="F6945" t="s">
        <v>435</v>
      </c>
      <c r="G6945" t="s">
        <v>5087</v>
      </c>
      <c r="H6945"/>
      <c r="I6945"/>
      <c r="J6945" t="s">
        <v>276</v>
      </c>
      <c r="K6945" s="9">
        <v>44762.582662036999</v>
      </c>
      <c r="L6945"/>
      <c r="M6945"/>
      <c r="N6945"/>
      <c r="O6945"/>
      <c r="P6945"/>
      <c r="Q6945"/>
      <c r="R6945" s="9">
        <v>44762</v>
      </c>
      <c r="S6945"/>
      <c r="T6945"/>
      <c r="U6945"/>
    </row>
    <row r="6946" spans="1:21" hidden="1">
      <c r="A6946" s="7" t="s">
        <v>8751</v>
      </c>
      <c r="B6946" s="7" t="s">
        <v>5405</v>
      </c>
      <c r="C6946" s="8" t="s">
        <v>8717</v>
      </c>
      <c r="D6946" t="s">
        <v>24</v>
      </c>
      <c r="E6946" t="s">
        <v>25</v>
      </c>
      <c r="F6946" t="s">
        <v>435</v>
      </c>
      <c r="G6946" t="s">
        <v>5088</v>
      </c>
      <c r="H6946"/>
      <c r="I6946"/>
      <c r="J6946" t="s">
        <v>276</v>
      </c>
      <c r="K6946" s="9">
        <v>44762.582662036999</v>
      </c>
      <c r="L6946"/>
      <c r="M6946"/>
      <c r="N6946"/>
      <c r="O6946"/>
      <c r="P6946"/>
      <c r="Q6946"/>
      <c r="R6946" s="9">
        <v>44762</v>
      </c>
      <c r="S6946"/>
      <c r="T6946"/>
      <c r="U6946"/>
    </row>
    <row r="6947" spans="1:21" hidden="1">
      <c r="A6947" s="7" t="s">
        <v>8751</v>
      </c>
      <c r="B6947" s="7" t="s">
        <v>5405</v>
      </c>
      <c r="C6947" s="8" t="s">
        <v>8717</v>
      </c>
      <c r="D6947" t="s">
        <v>24</v>
      </c>
      <c r="E6947" t="s">
        <v>25</v>
      </c>
      <c r="F6947" t="s">
        <v>435</v>
      </c>
      <c r="G6947" t="s">
        <v>5089</v>
      </c>
      <c r="H6947"/>
      <c r="I6947"/>
      <c r="J6947" t="s">
        <v>276</v>
      </c>
      <c r="K6947" s="9">
        <v>44762.582662036999</v>
      </c>
      <c r="L6947"/>
      <c r="M6947"/>
      <c r="N6947"/>
      <c r="O6947"/>
      <c r="P6947"/>
      <c r="Q6947"/>
      <c r="R6947" s="9">
        <v>44762</v>
      </c>
      <c r="S6947"/>
      <c r="T6947"/>
      <c r="U6947"/>
    </row>
    <row r="6948" spans="1:21" hidden="1">
      <c r="A6948" s="7" t="s">
        <v>8751</v>
      </c>
      <c r="B6948" s="7" t="s">
        <v>5405</v>
      </c>
      <c r="C6948" s="8" t="s">
        <v>8717</v>
      </c>
      <c r="D6948" t="s">
        <v>24</v>
      </c>
      <c r="E6948" t="s">
        <v>25</v>
      </c>
      <c r="F6948" t="s">
        <v>435</v>
      </c>
      <c r="G6948" t="s">
        <v>5090</v>
      </c>
      <c r="H6948"/>
      <c r="I6948"/>
      <c r="J6948" t="s">
        <v>276</v>
      </c>
      <c r="K6948" s="9">
        <v>44762.582662036999</v>
      </c>
      <c r="L6948"/>
      <c r="M6948"/>
      <c r="N6948"/>
      <c r="O6948"/>
      <c r="P6948"/>
      <c r="Q6948"/>
      <c r="R6948" s="9">
        <v>44762</v>
      </c>
      <c r="S6948"/>
      <c r="T6948"/>
      <c r="U6948"/>
    </row>
    <row r="6949" spans="1:21" hidden="1">
      <c r="A6949" s="7" t="s">
        <v>8751</v>
      </c>
      <c r="B6949" s="7" t="s">
        <v>5405</v>
      </c>
      <c r="C6949" s="8" t="s">
        <v>8717</v>
      </c>
      <c r="D6949" t="s">
        <v>24</v>
      </c>
      <c r="E6949" t="s">
        <v>25</v>
      </c>
      <c r="F6949" t="s">
        <v>435</v>
      </c>
      <c r="G6949" t="s">
        <v>5091</v>
      </c>
      <c r="H6949"/>
      <c r="I6949"/>
      <c r="J6949" t="s">
        <v>276</v>
      </c>
      <c r="K6949" s="9">
        <v>44762.582662036999</v>
      </c>
      <c r="L6949"/>
      <c r="M6949"/>
      <c r="N6949"/>
      <c r="O6949"/>
      <c r="P6949"/>
      <c r="Q6949"/>
      <c r="R6949" s="9">
        <v>44762</v>
      </c>
      <c r="S6949"/>
      <c r="T6949"/>
      <c r="U6949"/>
    </row>
    <row r="6950" spans="1:21" hidden="1">
      <c r="A6950" s="7" t="s">
        <v>8751</v>
      </c>
      <c r="B6950" s="7" t="s">
        <v>5405</v>
      </c>
      <c r="C6950" s="8" t="s">
        <v>8717</v>
      </c>
      <c r="D6950" t="s">
        <v>24</v>
      </c>
      <c r="E6950" t="s">
        <v>25</v>
      </c>
      <c r="F6950" t="s">
        <v>435</v>
      </c>
      <c r="G6950" t="s">
        <v>5092</v>
      </c>
      <c r="H6950"/>
      <c r="I6950"/>
      <c r="J6950" t="s">
        <v>276</v>
      </c>
      <c r="K6950" s="9">
        <v>44762.582662036999</v>
      </c>
      <c r="L6950"/>
      <c r="M6950"/>
      <c r="N6950"/>
      <c r="O6950"/>
      <c r="P6950"/>
      <c r="Q6950"/>
      <c r="R6950" s="9">
        <v>44762</v>
      </c>
      <c r="S6950"/>
      <c r="T6950"/>
      <c r="U6950"/>
    </row>
    <row r="6951" spans="1:21" hidden="1">
      <c r="A6951" s="7" t="s">
        <v>8751</v>
      </c>
      <c r="B6951" s="7" t="s">
        <v>5405</v>
      </c>
      <c r="C6951" s="8" t="s">
        <v>8717</v>
      </c>
      <c r="D6951" t="s">
        <v>24</v>
      </c>
      <c r="E6951" t="s">
        <v>25</v>
      </c>
      <c r="F6951" t="s">
        <v>435</v>
      </c>
      <c r="G6951" t="s">
        <v>5093</v>
      </c>
      <c r="H6951"/>
      <c r="I6951"/>
      <c r="J6951" t="s">
        <v>276</v>
      </c>
      <c r="K6951" s="9">
        <v>44762.582662036999</v>
      </c>
      <c r="L6951"/>
      <c r="M6951"/>
      <c r="N6951"/>
      <c r="O6951"/>
      <c r="P6951"/>
      <c r="Q6951"/>
      <c r="R6951" s="9">
        <v>44762</v>
      </c>
      <c r="S6951"/>
      <c r="T6951"/>
      <c r="U6951"/>
    </row>
    <row r="6952" spans="1:21" hidden="1">
      <c r="A6952" s="7" t="s">
        <v>8751</v>
      </c>
      <c r="B6952" s="7" t="s">
        <v>5405</v>
      </c>
      <c r="C6952" s="8" t="s">
        <v>8717</v>
      </c>
      <c r="D6952" t="s">
        <v>24</v>
      </c>
      <c r="E6952" t="s">
        <v>25</v>
      </c>
      <c r="F6952" t="s">
        <v>435</v>
      </c>
      <c r="G6952" t="s">
        <v>5094</v>
      </c>
      <c r="H6952"/>
      <c r="I6952"/>
      <c r="J6952" t="s">
        <v>276</v>
      </c>
      <c r="K6952" s="9">
        <v>44762.582662036999</v>
      </c>
      <c r="L6952"/>
      <c r="M6952"/>
      <c r="N6952"/>
      <c r="O6952"/>
      <c r="P6952"/>
      <c r="Q6952"/>
      <c r="R6952" s="9">
        <v>44762</v>
      </c>
      <c r="S6952"/>
      <c r="T6952"/>
      <c r="U6952"/>
    </row>
    <row r="6953" spans="1:21" hidden="1">
      <c r="A6953" s="7" t="s">
        <v>8751</v>
      </c>
      <c r="B6953" s="7" t="s">
        <v>5405</v>
      </c>
      <c r="C6953" s="8" t="s">
        <v>8717</v>
      </c>
      <c r="D6953" t="s">
        <v>24</v>
      </c>
      <c r="E6953" t="s">
        <v>25</v>
      </c>
      <c r="F6953" t="s">
        <v>435</v>
      </c>
      <c r="G6953" t="s">
        <v>5095</v>
      </c>
      <c r="H6953"/>
      <c r="I6953"/>
      <c r="J6953" t="s">
        <v>276</v>
      </c>
      <c r="K6953" s="9">
        <v>44762.582662036999</v>
      </c>
      <c r="L6953"/>
      <c r="M6953"/>
      <c r="N6953"/>
      <c r="O6953"/>
      <c r="P6953"/>
      <c r="Q6953"/>
      <c r="R6953" s="9">
        <v>44762</v>
      </c>
      <c r="S6953"/>
      <c r="T6953"/>
      <c r="U6953"/>
    </row>
    <row r="6954" spans="1:21" hidden="1">
      <c r="A6954" s="7" t="s">
        <v>8751</v>
      </c>
      <c r="B6954" s="7" t="s">
        <v>5405</v>
      </c>
      <c r="C6954" s="8" t="s">
        <v>8717</v>
      </c>
      <c r="D6954" t="s">
        <v>24</v>
      </c>
      <c r="E6954" t="s">
        <v>25</v>
      </c>
      <c r="F6954" t="s">
        <v>435</v>
      </c>
      <c r="G6954" t="s">
        <v>5096</v>
      </c>
      <c r="H6954"/>
      <c r="I6954"/>
      <c r="J6954" t="s">
        <v>276</v>
      </c>
      <c r="K6954" s="9">
        <v>44762.582662036999</v>
      </c>
      <c r="L6954"/>
      <c r="M6954"/>
      <c r="N6954"/>
      <c r="O6954"/>
      <c r="P6954"/>
      <c r="Q6954"/>
      <c r="R6954" s="9">
        <v>44762</v>
      </c>
      <c r="S6954"/>
      <c r="T6954"/>
      <c r="U6954"/>
    </row>
    <row r="6955" spans="1:21" hidden="1">
      <c r="A6955" s="7" t="s">
        <v>8751</v>
      </c>
      <c r="B6955" s="7" t="s">
        <v>5405</v>
      </c>
      <c r="C6955" s="8" t="s">
        <v>8717</v>
      </c>
      <c r="D6955" t="s">
        <v>24</v>
      </c>
      <c r="E6955" t="s">
        <v>25</v>
      </c>
      <c r="F6955" t="s">
        <v>435</v>
      </c>
      <c r="G6955" t="s">
        <v>5097</v>
      </c>
      <c r="H6955"/>
      <c r="I6955"/>
      <c r="J6955" t="s">
        <v>276</v>
      </c>
      <c r="K6955" s="9">
        <v>44762.582662036999</v>
      </c>
      <c r="L6955"/>
      <c r="M6955"/>
      <c r="N6955"/>
      <c r="O6955"/>
      <c r="P6955"/>
      <c r="Q6955"/>
      <c r="R6955" s="9">
        <v>44762</v>
      </c>
      <c r="S6955"/>
      <c r="T6955"/>
      <c r="U6955"/>
    </row>
    <row r="6956" spans="1:21" hidden="1">
      <c r="A6956" s="7" t="s">
        <v>8751</v>
      </c>
      <c r="B6956" s="7" t="s">
        <v>5405</v>
      </c>
      <c r="C6956" s="8" t="s">
        <v>8717</v>
      </c>
      <c r="D6956" t="s">
        <v>24</v>
      </c>
      <c r="E6956" t="s">
        <v>25</v>
      </c>
      <c r="F6956" t="s">
        <v>435</v>
      </c>
      <c r="G6956" t="s">
        <v>5098</v>
      </c>
      <c r="H6956"/>
      <c r="I6956"/>
      <c r="J6956" t="s">
        <v>276</v>
      </c>
      <c r="K6956" s="9">
        <v>44762.582662036999</v>
      </c>
      <c r="L6956"/>
      <c r="M6956"/>
      <c r="N6956"/>
      <c r="O6956"/>
      <c r="P6956"/>
      <c r="Q6956"/>
      <c r="R6956" s="9">
        <v>44762</v>
      </c>
      <c r="S6956"/>
      <c r="T6956"/>
      <c r="U6956"/>
    </row>
    <row r="6957" spans="1:21" hidden="1">
      <c r="A6957" s="7" t="s">
        <v>8751</v>
      </c>
      <c r="B6957" s="7" t="s">
        <v>5405</v>
      </c>
      <c r="C6957" s="8" t="s">
        <v>8717</v>
      </c>
      <c r="D6957" t="s">
        <v>24</v>
      </c>
      <c r="E6957" t="s">
        <v>25</v>
      </c>
      <c r="F6957" t="s">
        <v>435</v>
      </c>
      <c r="G6957" t="s">
        <v>5099</v>
      </c>
      <c r="H6957"/>
      <c r="I6957"/>
      <c r="J6957" t="s">
        <v>276</v>
      </c>
      <c r="K6957" s="9">
        <v>44762.582662036999</v>
      </c>
      <c r="L6957"/>
      <c r="M6957"/>
      <c r="N6957"/>
      <c r="O6957"/>
      <c r="P6957"/>
      <c r="Q6957"/>
      <c r="R6957" s="9">
        <v>44762</v>
      </c>
      <c r="S6957"/>
      <c r="T6957"/>
      <c r="U6957"/>
    </row>
    <row r="6958" spans="1:21" hidden="1">
      <c r="A6958" s="7" t="s">
        <v>8751</v>
      </c>
      <c r="B6958" s="7" t="s">
        <v>5405</v>
      </c>
      <c r="C6958" s="8" t="s">
        <v>8717</v>
      </c>
      <c r="D6958" t="s">
        <v>24</v>
      </c>
      <c r="E6958" t="s">
        <v>25</v>
      </c>
      <c r="F6958" t="s">
        <v>435</v>
      </c>
      <c r="G6958" t="s">
        <v>5100</v>
      </c>
      <c r="H6958"/>
      <c r="I6958"/>
      <c r="J6958" t="s">
        <v>276</v>
      </c>
      <c r="K6958" s="9">
        <v>44762.582662036999</v>
      </c>
      <c r="L6958"/>
      <c r="M6958"/>
      <c r="N6958"/>
      <c r="O6958"/>
      <c r="P6958"/>
      <c r="Q6958"/>
      <c r="R6958" s="9">
        <v>44762</v>
      </c>
      <c r="S6958"/>
      <c r="T6958"/>
      <c r="U6958"/>
    </row>
    <row r="6959" spans="1:21" hidden="1">
      <c r="A6959" s="7" t="s">
        <v>8751</v>
      </c>
      <c r="B6959" s="7" t="s">
        <v>5405</v>
      </c>
      <c r="C6959" s="8" t="s">
        <v>8717</v>
      </c>
      <c r="D6959" t="s">
        <v>24</v>
      </c>
      <c r="E6959" t="s">
        <v>25</v>
      </c>
      <c r="F6959" t="s">
        <v>435</v>
      </c>
      <c r="G6959" t="s">
        <v>5101</v>
      </c>
      <c r="H6959"/>
      <c r="I6959"/>
      <c r="J6959" t="s">
        <v>276</v>
      </c>
      <c r="K6959" s="9">
        <v>44762.582662036999</v>
      </c>
      <c r="L6959"/>
      <c r="M6959"/>
      <c r="N6959"/>
      <c r="O6959"/>
      <c r="P6959"/>
      <c r="Q6959"/>
      <c r="R6959" s="9">
        <v>44762</v>
      </c>
      <c r="S6959"/>
      <c r="T6959"/>
      <c r="U6959"/>
    </row>
    <row r="6960" spans="1:21" hidden="1">
      <c r="A6960" s="7" t="s">
        <v>8751</v>
      </c>
      <c r="B6960" s="7" t="s">
        <v>5405</v>
      </c>
      <c r="C6960" s="8" t="s">
        <v>8717</v>
      </c>
      <c r="D6960" t="s">
        <v>24</v>
      </c>
      <c r="E6960" t="s">
        <v>25</v>
      </c>
      <c r="F6960" t="s">
        <v>435</v>
      </c>
      <c r="G6960" t="s">
        <v>5102</v>
      </c>
      <c r="H6960"/>
      <c r="I6960"/>
      <c r="J6960" t="s">
        <v>276</v>
      </c>
      <c r="K6960" s="9">
        <v>44762.582662036999</v>
      </c>
      <c r="L6960"/>
      <c r="M6960"/>
      <c r="N6960"/>
      <c r="O6960"/>
      <c r="P6960"/>
      <c r="Q6960"/>
      <c r="R6960" s="9">
        <v>44762</v>
      </c>
      <c r="S6960"/>
      <c r="T6960"/>
      <c r="U6960"/>
    </row>
    <row r="6961" spans="1:21" hidden="1">
      <c r="A6961" s="7" t="s">
        <v>8751</v>
      </c>
      <c r="B6961" s="7" t="s">
        <v>5405</v>
      </c>
      <c r="C6961" s="8" t="s">
        <v>8717</v>
      </c>
      <c r="D6961" t="s">
        <v>24</v>
      </c>
      <c r="E6961" t="s">
        <v>25</v>
      </c>
      <c r="F6961" t="s">
        <v>435</v>
      </c>
      <c r="G6961" t="s">
        <v>5103</v>
      </c>
      <c r="H6961"/>
      <c r="I6961"/>
      <c r="J6961" t="s">
        <v>276</v>
      </c>
      <c r="K6961" s="9">
        <v>44762.582662036999</v>
      </c>
      <c r="L6961"/>
      <c r="M6961"/>
      <c r="N6961"/>
      <c r="O6961"/>
      <c r="P6961"/>
      <c r="Q6961"/>
      <c r="R6961" s="9">
        <v>44762</v>
      </c>
      <c r="S6961"/>
      <c r="T6961"/>
      <c r="U6961"/>
    </row>
    <row r="6962" spans="1:21" hidden="1">
      <c r="A6962" s="7" t="s">
        <v>8751</v>
      </c>
      <c r="B6962" s="7" t="s">
        <v>5405</v>
      </c>
      <c r="C6962" s="8" t="s">
        <v>8717</v>
      </c>
      <c r="D6962" t="s">
        <v>24</v>
      </c>
      <c r="E6962" t="s">
        <v>25</v>
      </c>
      <c r="F6962" t="s">
        <v>435</v>
      </c>
      <c r="G6962" t="s">
        <v>5104</v>
      </c>
      <c r="H6962"/>
      <c r="I6962"/>
      <c r="J6962" t="s">
        <v>276</v>
      </c>
      <c r="K6962" s="9">
        <v>44762.582662036999</v>
      </c>
      <c r="L6962"/>
      <c r="M6962"/>
      <c r="N6962"/>
      <c r="O6962"/>
      <c r="P6962"/>
      <c r="Q6962"/>
      <c r="R6962" s="9">
        <v>44762</v>
      </c>
      <c r="S6962"/>
      <c r="T6962"/>
      <c r="U6962"/>
    </row>
    <row r="6963" spans="1:21" hidden="1">
      <c r="A6963" s="7" t="s">
        <v>8751</v>
      </c>
      <c r="B6963" s="7" t="s">
        <v>5405</v>
      </c>
      <c r="C6963" s="8" t="s">
        <v>8717</v>
      </c>
      <c r="D6963" t="s">
        <v>24</v>
      </c>
      <c r="E6963" t="s">
        <v>25</v>
      </c>
      <c r="F6963" t="s">
        <v>435</v>
      </c>
      <c r="G6963" t="s">
        <v>5105</v>
      </c>
      <c r="H6963"/>
      <c r="I6963"/>
      <c r="J6963" t="s">
        <v>276</v>
      </c>
      <c r="K6963" s="9">
        <v>44762.582662036999</v>
      </c>
      <c r="L6963"/>
      <c r="M6963"/>
      <c r="N6963"/>
      <c r="O6963"/>
      <c r="P6963"/>
      <c r="Q6963"/>
      <c r="R6963" s="9">
        <v>44762</v>
      </c>
      <c r="S6963"/>
      <c r="T6963"/>
      <c r="U6963"/>
    </row>
    <row r="6964" spans="1:21" hidden="1">
      <c r="A6964" s="7" t="s">
        <v>8751</v>
      </c>
      <c r="B6964" s="7" t="s">
        <v>5405</v>
      </c>
      <c r="C6964" s="8" t="s">
        <v>8717</v>
      </c>
      <c r="D6964" t="s">
        <v>24</v>
      </c>
      <c r="E6964" t="s">
        <v>25</v>
      </c>
      <c r="F6964" t="s">
        <v>435</v>
      </c>
      <c r="G6964" t="s">
        <v>5106</v>
      </c>
      <c r="H6964"/>
      <c r="I6964"/>
      <c r="J6964" t="s">
        <v>276</v>
      </c>
      <c r="K6964" s="9">
        <v>44762.582662036999</v>
      </c>
      <c r="L6964"/>
      <c r="M6964"/>
      <c r="N6964"/>
      <c r="O6964"/>
      <c r="P6964"/>
      <c r="Q6964"/>
      <c r="R6964" s="9">
        <v>44762</v>
      </c>
      <c r="S6964"/>
      <c r="T6964"/>
      <c r="U6964"/>
    </row>
    <row r="6965" spans="1:21" hidden="1">
      <c r="A6965" s="7" t="s">
        <v>8751</v>
      </c>
      <c r="B6965" s="7" t="s">
        <v>5405</v>
      </c>
      <c r="C6965" s="8" t="s">
        <v>8717</v>
      </c>
      <c r="D6965" t="s">
        <v>24</v>
      </c>
      <c r="E6965" t="s">
        <v>25</v>
      </c>
      <c r="F6965" t="s">
        <v>435</v>
      </c>
      <c r="G6965" t="s">
        <v>5107</v>
      </c>
      <c r="H6965"/>
      <c r="I6965"/>
      <c r="J6965" t="s">
        <v>276</v>
      </c>
      <c r="K6965" s="9">
        <v>44762.582662036999</v>
      </c>
      <c r="L6965"/>
      <c r="M6965"/>
      <c r="N6965"/>
      <c r="O6965"/>
      <c r="P6965"/>
      <c r="Q6965"/>
      <c r="R6965" s="9">
        <v>44762</v>
      </c>
      <c r="S6965"/>
      <c r="T6965"/>
      <c r="U6965"/>
    </row>
    <row r="6966" spans="1:21" hidden="1">
      <c r="A6966" s="7" t="s">
        <v>8751</v>
      </c>
      <c r="B6966" s="7" t="s">
        <v>5405</v>
      </c>
      <c r="C6966" s="8" t="s">
        <v>8717</v>
      </c>
      <c r="D6966" t="s">
        <v>24</v>
      </c>
      <c r="E6966" t="s">
        <v>25</v>
      </c>
      <c r="F6966" t="s">
        <v>435</v>
      </c>
      <c r="G6966" t="s">
        <v>5108</v>
      </c>
      <c r="H6966"/>
      <c r="I6966"/>
      <c r="J6966" t="s">
        <v>276</v>
      </c>
      <c r="K6966" s="9">
        <v>44762.582662036999</v>
      </c>
      <c r="L6966"/>
      <c r="M6966"/>
      <c r="N6966"/>
      <c r="O6966"/>
      <c r="P6966"/>
      <c r="Q6966"/>
      <c r="R6966" s="9">
        <v>44762</v>
      </c>
      <c r="S6966"/>
      <c r="T6966"/>
      <c r="U6966"/>
    </row>
    <row r="6967" spans="1:21" hidden="1">
      <c r="A6967" s="7" t="s">
        <v>8751</v>
      </c>
      <c r="B6967" s="7" t="s">
        <v>5405</v>
      </c>
      <c r="C6967" s="8" t="s">
        <v>8717</v>
      </c>
      <c r="D6967" t="s">
        <v>24</v>
      </c>
      <c r="E6967" t="s">
        <v>25</v>
      </c>
      <c r="F6967" t="s">
        <v>435</v>
      </c>
      <c r="G6967" t="s">
        <v>5109</v>
      </c>
      <c r="H6967"/>
      <c r="I6967"/>
      <c r="J6967" t="s">
        <v>276</v>
      </c>
      <c r="K6967" s="9">
        <v>44762.582662036999</v>
      </c>
      <c r="L6967"/>
      <c r="M6967"/>
      <c r="N6967"/>
      <c r="O6967"/>
      <c r="P6967"/>
      <c r="Q6967"/>
      <c r="R6967" s="9">
        <v>44762</v>
      </c>
      <c r="S6967"/>
      <c r="T6967"/>
      <c r="U6967"/>
    </row>
    <row r="6968" spans="1:21" hidden="1">
      <c r="A6968" s="7" t="s">
        <v>8751</v>
      </c>
      <c r="B6968" s="7" t="s">
        <v>5405</v>
      </c>
      <c r="C6968" s="8" t="s">
        <v>8717</v>
      </c>
      <c r="D6968" t="s">
        <v>24</v>
      </c>
      <c r="E6968" t="s">
        <v>25</v>
      </c>
      <c r="F6968" t="s">
        <v>435</v>
      </c>
      <c r="G6968" t="s">
        <v>5110</v>
      </c>
      <c r="H6968"/>
      <c r="I6968"/>
      <c r="J6968" t="s">
        <v>276</v>
      </c>
      <c r="K6968" s="9">
        <v>44762.582662036999</v>
      </c>
      <c r="L6968"/>
      <c r="M6968"/>
      <c r="N6968"/>
      <c r="O6968"/>
      <c r="P6968"/>
      <c r="Q6968"/>
      <c r="R6968" s="9">
        <v>44762</v>
      </c>
      <c r="S6968"/>
      <c r="T6968"/>
      <c r="U6968"/>
    </row>
    <row r="6969" spans="1:21" hidden="1">
      <c r="A6969" s="7" t="s">
        <v>8751</v>
      </c>
      <c r="B6969" s="7" t="s">
        <v>5405</v>
      </c>
      <c r="C6969" s="8" t="s">
        <v>8717</v>
      </c>
      <c r="D6969" t="s">
        <v>24</v>
      </c>
      <c r="E6969" t="s">
        <v>25</v>
      </c>
      <c r="F6969" t="s">
        <v>435</v>
      </c>
      <c r="G6969" t="s">
        <v>5111</v>
      </c>
      <c r="H6969"/>
      <c r="I6969"/>
      <c r="J6969" t="s">
        <v>276</v>
      </c>
      <c r="K6969" s="9">
        <v>44762.582662036999</v>
      </c>
      <c r="L6969"/>
      <c r="M6969"/>
      <c r="N6969"/>
      <c r="O6969"/>
      <c r="P6969"/>
      <c r="Q6969"/>
      <c r="R6969" s="9">
        <v>44762</v>
      </c>
      <c r="S6969"/>
      <c r="T6969"/>
      <c r="U6969"/>
    </row>
    <row r="6970" spans="1:21" hidden="1">
      <c r="A6970" s="7" t="s">
        <v>8751</v>
      </c>
      <c r="B6970" s="7" t="s">
        <v>5405</v>
      </c>
      <c r="C6970" s="8" t="s">
        <v>8717</v>
      </c>
      <c r="D6970" t="s">
        <v>24</v>
      </c>
      <c r="E6970" t="s">
        <v>25</v>
      </c>
      <c r="F6970" t="s">
        <v>435</v>
      </c>
      <c r="G6970" t="s">
        <v>5112</v>
      </c>
      <c r="H6970"/>
      <c r="I6970"/>
      <c r="J6970" t="s">
        <v>276</v>
      </c>
      <c r="K6970" s="9">
        <v>44762.582662036999</v>
      </c>
      <c r="L6970"/>
      <c r="M6970"/>
      <c r="N6970"/>
      <c r="O6970"/>
      <c r="P6970"/>
      <c r="Q6970"/>
      <c r="R6970" s="9">
        <v>44762</v>
      </c>
      <c r="S6970"/>
      <c r="T6970"/>
      <c r="U6970"/>
    </row>
    <row r="6971" spans="1:21" hidden="1">
      <c r="A6971" s="7" t="s">
        <v>8751</v>
      </c>
      <c r="B6971" s="7" t="s">
        <v>5405</v>
      </c>
      <c r="C6971" s="8" t="s">
        <v>8717</v>
      </c>
      <c r="D6971" t="s">
        <v>24</v>
      </c>
      <c r="E6971" t="s">
        <v>25</v>
      </c>
      <c r="F6971" t="s">
        <v>435</v>
      </c>
      <c r="G6971" t="s">
        <v>4868</v>
      </c>
      <c r="H6971"/>
      <c r="I6971"/>
      <c r="J6971" t="s">
        <v>276</v>
      </c>
      <c r="K6971" s="9">
        <v>44762.582662036999</v>
      </c>
      <c r="L6971"/>
      <c r="M6971"/>
      <c r="N6971"/>
      <c r="O6971"/>
      <c r="P6971"/>
      <c r="Q6971"/>
      <c r="R6971" s="9">
        <v>44762</v>
      </c>
      <c r="S6971"/>
      <c r="T6971"/>
      <c r="U6971"/>
    </row>
    <row r="6972" spans="1:21" hidden="1">
      <c r="A6972" s="7" t="s">
        <v>8751</v>
      </c>
      <c r="B6972" s="7" t="s">
        <v>5405</v>
      </c>
      <c r="C6972" s="8" t="s">
        <v>8717</v>
      </c>
      <c r="D6972" t="s">
        <v>24</v>
      </c>
      <c r="E6972" t="s">
        <v>25</v>
      </c>
      <c r="F6972" t="s">
        <v>435</v>
      </c>
      <c r="G6972" t="s">
        <v>4869</v>
      </c>
      <c r="H6972"/>
      <c r="I6972"/>
      <c r="J6972" t="s">
        <v>276</v>
      </c>
      <c r="K6972" s="9">
        <v>44762.582662036999</v>
      </c>
      <c r="L6972"/>
      <c r="M6972"/>
      <c r="N6972"/>
      <c r="O6972"/>
      <c r="P6972"/>
      <c r="Q6972"/>
      <c r="R6972" s="9">
        <v>44762</v>
      </c>
      <c r="S6972"/>
      <c r="T6972"/>
      <c r="U6972"/>
    </row>
    <row r="6973" spans="1:21" hidden="1">
      <c r="A6973" s="7" t="s">
        <v>8751</v>
      </c>
      <c r="B6973" s="7" t="s">
        <v>5405</v>
      </c>
      <c r="C6973" s="8" t="s">
        <v>8717</v>
      </c>
      <c r="D6973" t="s">
        <v>24</v>
      </c>
      <c r="E6973" t="s">
        <v>25</v>
      </c>
      <c r="F6973" t="s">
        <v>435</v>
      </c>
      <c r="G6973" t="s">
        <v>4870</v>
      </c>
      <c r="H6973"/>
      <c r="I6973"/>
      <c r="J6973" t="s">
        <v>276</v>
      </c>
      <c r="K6973" s="9">
        <v>44762.582662036999</v>
      </c>
      <c r="L6973"/>
      <c r="M6973"/>
      <c r="N6973"/>
      <c r="O6973"/>
      <c r="P6973"/>
      <c r="Q6973"/>
      <c r="R6973" s="9">
        <v>44762</v>
      </c>
      <c r="S6973"/>
      <c r="T6973"/>
      <c r="U6973"/>
    </row>
    <row r="6974" spans="1:21" hidden="1">
      <c r="A6974" s="7" t="s">
        <v>8751</v>
      </c>
      <c r="B6974" s="7" t="s">
        <v>5405</v>
      </c>
      <c r="C6974" s="8" t="s">
        <v>8717</v>
      </c>
      <c r="D6974" t="s">
        <v>24</v>
      </c>
      <c r="E6974" t="s">
        <v>25</v>
      </c>
      <c r="F6974" t="s">
        <v>435</v>
      </c>
      <c r="G6974" t="s">
        <v>4954</v>
      </c>
      <c r="H6974"/>
      <c r="I6974"/>
      <c r="J6974" t="s">
        <v>276</v>
      </c>
      <c r="K6974" s="9">
        <v>44762.582662036999</v>
      </c>
      <c r="L6974"/>
      <c r="M6974"/>
      <c r="N6974"/>
      <c r="O6974"/>
      <c r="P6974"/>
      <c r="Q6974"/>
      <c r="R6974" s="9">
        <v>44762</v>
      </c>
      <c r="S6974"/>
      <c r="T6974"/>
      <c r="U6974"/>
    </row>
    <row r="6975" spans="1:21" hidden="1">
      <c r="A6975" s="7" t="s">
        <v>8751</v>
      </c>
      <c r="B6975" s="7" t="s">
        <v>5405</v>
      </c>
      <c r="C6975" s="8" t="s">
        <v>8717</v>
      </c>
      <c r="D6975" t="s">
        <v>24</v>
      </c>
      <c r="E6975" t="s">
        <v>25</v>
      </c>
      <c r="F6975" t="s">
        <v>435</v>
      </c>
      <c r="G6975" t="s">
        <v>4955</v>
      </c>
      <c r="H6975"/>
      <c r="I6975"/>
      <c r="J6975" t="s">
        <v>276</v>
      </c>
      <c r="K6975" s="9">
        <v>44762.582662036999</v>
      </c>
      <c r="L6975"/>
      <c r="M6975"/>
      <c r="N6975"/>
      <c r="O6975"/>
      <c r="P6975"/>
      <c r="Q6975"/>
      <c r="R6975" s="9">
        <v>44762</v>
      </c>
      <c r="S6975"/>
      <c r="T6975"/>
      <c r="U6975"/>
    </row>
    <row r="6976" spans="1:21" hidden="1">
      <c r="A6976" s="7" t="s">
        <v>8751</v>
      </c>
      <c r="B6976" s="7" t="s">
        <v>5405</v>
      </c>
      <c r="C6976" s="8" t="s">
        <v>8717</v>
      </c>
      <c r="D6976" t="s">
        <v>24</v>
      </c>
      <c r="E6976" t="s">
        <v>25</v>
      </c>
      <c r="F6976" t="s">
        <v>435</v>
      </c>
      <c r="G6976" t="s">
        <v>4956</v>
      </c>
      <c r="H6976"/>
      <c r="I6976"/>
      <c r="J6976" t="s">
        <v>276</v>
      </c>
      <c r="K6976" s="9">
        <v>44762.582662036999</v>
      </c>
      <c r="L6976"/>
      <c r="M6976"/>
      <c r="N6976"/>
      <c r="O6976"/>
      <c r="P6976"/>
      <c r="Q6976"/>
      <c r="R6976" s="9">
        <v>44762</v>
      </c>
      <c r="S6976"/>
      <c r="T6976"/>
      <c r="U6976"/>
    </row>
    <row r="6977" spans="1:21" hidden="1">
      <c r="A6977" s="7" t="s">
        <v>8751</v>
      </c>
      <c r="B6977" s="7" t="s">
        <v>5405</v>
      </c>
      <c r="C6977" s="8" t="s">
        <v>8717</v>
      </c>
      <c r="D6977" t="s">
        <v>24</v>
      </c>
      <c r="E6977" t="s">
        <v>25</v>
      </c>
      <c r="F6977" t="s">
        <v>435</v>
      </c>
      <c r="G6977" t="s">
        <v>4957</v>
      </c>
      <c r="H6977"/>
      <c r="I6977"/>
      <c r="J6977" t="s">
        <v>276</v>
      </c>
      <c r="K6977" s="9">
        <v>44762.582662036999</v>
      </c>
      <c r="L6977"/>
      <c r="M6977"/>
      <c r="N6977"/>
      <c r="O6977"/>
      <c r="P6977"/>
      <c r="Q6977"/>
      <c r="R6977" s="9">
        <v>44762</v>
      </c>
      <c r="S6977"/>
      <c r="T6977"/>
      <c r="U6977"/>
    </row>
    <row r="6978" spans="1:21" hidden="1">
      <c r="A6978" s="7" t="s">
        <v>8751</v>
      </c>
      <c r="B6978" s="7" t="s">
        <v>5405</v>
      </c>
      <c r="C6978" s="8" t="s">
        <v>8717</v>
      </c>
      <c r="D6978" t="s">
        <v>24</v>
      </c>
      <c r="E6978" t="s">
        <v>25</v>
      </c>
      <c r="F6978" t="s">
        <v>435</v>
      </c>
      <c r="G6978" t="s">
        <v>4958</v>
      </c>
      <c r="H6978"/>
      <c r="I6978"/>
      <c r="J6978" t="s">
        <v>276</v>
      </c>
      <c r="K6978" s="9">
        <v>44762.582662036999</v>
      </c>
      <c r="L6978"/>
      <c r="M6978"/>
      <c r="N6978"/>
      <c r="O6978"/>
      <c r="P6978"/>
      <c r="Q6978"/>
      <c r="R6978" s="9">
        <v>44762</v>
      </c>
      <c r="S6978"/>
      <c r="T6978"/>
      <c r="U6978"/>
    </row>
    <row r="6979" spans="1:21" hidden="1">
      <c r="A6979" s="7" t="s">
        <v>8751</v>
      </c>
      <c r="B6979" s="7" t="s">
        <v>5405</v>
      </c>
      <c r="C6979" s="8" t="s">
        <v>8717</v>
      </c>
      <c r="D6979" t="s">
        <v>24</v>
      </c>
      <c r="E6979" t="s">
        <v>25</v>
      </c>
      <c r="F6979" t="s">
        <v>435</v>
      </c>
      <c r="G6979" t="s">
        <v>4959</v>
      </c>
      <c r="H6979"/>
      <c r="I6979"/>
      <c r="J6979" t="s">
        <v>276</v>
      </c>
      <c r="K6979" s="9">
        <v>44762.582662036999</v>
      </c>
      <c r="L6979"/>
      <c r="M6979"/>
      <c r="N6979"/>
      <c r="O6979"/>
      <c r="P6979"/>
      <c r="Q6979"/>
      <c r="R6979" s="9">
        <v>44762</v>
      </c>
      <c r="S6979"/>
      <c r="T6979"/>
      <c r="U6979"/>
    </row>
    <row r="6980" spans="1:21" hidden="1">
      <c r="A6980" s="7" t="s">
        <v>8751</v>
      </c>
      <c r="B6980" s="7" t="s">
        <v>5405</v>
      </c>
      <c r="C6980" s="8" t="s">
        <v>8717</v>
      </c>
      <c r="D6980" t="s">
        <v>24</v>
      </c>
      <c r="E6980" t="s">
        <v>25</v>
      </c>
      <c r="F6980" t="s">
        <v>435</v>
      </c>
      <c r="G6980" t="s">
        <v>4960</v>
      </c>
      <c r="H6980"/>
      <c r="I6980"/>
      <c r="J6980" t="s">
        <v>276</v>
      </c>
      <c r="K6980" s="9">
        <v>44762.582662036999</v>
      </c>
      <c r="L6980"/>
      <c r="M6980"/>
      <c r="N6980"/>
      <c r="O6980"/>
      <c r="P6980"/>
      <c r="Q6980"/>
      <c r="R6980" s="9">
        <v>44762</v>
      </c>
      <c r="S6980"/>
      <c r="T6980"/>
      <c r="U6980"/>
    </row>
    <row r="6981" spans="1:21" hidden="1">
      <c r="A6981" s="7" t="s">
        <v>8751</v>
      </c>
      <c r="B6981" s="7" t="s">
        <v>5405</v>
      </c>
      <c r="C6981" s="8" t="s">
        <v>8717</v>
      </c>
      <c r="D6981" t="s">
        <v>24</v>
      </c>
      <c r="E6981" t="s">
        <v>25</v>
      </c>
      <c r="F6981" t="s">
        <v>435</v>
      </c>
      <c r="G6981" t="s">
        <v>4961</v>
      </c>
      <c r="H6981"/>
      <c r="I6981"/>
      <c r="J6981" t="s">
        <v>276</v>
      </c>
      <c r="K6981" s="9">
        <v>44762.582662036999</v>
      </c>
      <c r="L6981"/>
      <c r="M6981"/>
      <c r="N6981"/>
      <c r="O6981"/>
      <c r="P6981"/>
      <c r="Q6981"/>
      <c r="R6981" s="9">
        <v>44762</v>
      </c>
      <c r="S6981"/>
      <c r="T6981"/>
      <c r="U6981"/>
    </row>
    <row r="6982" spans="1:21" hidden="1">
      <c r="A6982" s="7" t="s">
        <v>8751</v>
      </c>
      <c r="B6982" s="7" t="s">
        <v>5405</v>
      </c>
      <c r="C6982" s="8" t="s">
        <v>8717</v>
      </c>
      <c r="D6982" t="s">
        <v>24</v>
      </c>
      <c r="E6982" t="s">
        <v>25</v>
      </c>
      <c r="F6982" t="s">
        <v>435</v>
      </c>
      <c r="G6982" t="s">
        <v>4962</v>
      </c>
      <c r="H6982"/>
      <c r="I6982"/>
      <c r="J6982" t="s">
        <v>276</v>
      </c>
      <c r="K6982" s="9">
        <v>44762.582662036999</v>
      </c>
      <c r="L6982"/>
      <c r="M6982"/>
      <c r="N6982"/>
      <c r="O6982"/>
      <c r="P6982"/>
      <c r="Q6982"/>
      <c r="R6982" s="9">
        <v>44762</v>
      </c>
      <c r="S6982"/>
      <c r="T6982"/>
      <c r="U6982"/>
    </row>
    <row r="6983" spans="1:21" hidden="1">
      <c r="A6983" s="7" t="s">
        <v>8751</v>
      </c>
      <c r="B6983" s="7" t="s">
        <v>5405</v>
      </c>
      <c r="C6983" s="8" t="s">
        <v>8717</v>
      </c>
      <c r="D6983" t="s">
        <v>24</v>
      </c>
      <c r="E6983" t="s">
        <v>25</v>
      </c>
      <c r="F6983" t="s">
        <v>435</v>
      </c>
      <c r="G6983" t="s">
        <v>604</v>
      </c>
      <c r="H6983"/>
      <c r="I6983"/>
      <c r="J6983" t="s">
        <v>276</v>
      </c>
      <c r="K6983" s="9">
        <v>44762.582662036999</v>
      </c>
      <c r="L6983"/>
      <c r="M6983"/>
      <c r="N6983"/>
      <c r="O6983"/>
      <c r="P6983"/>
      <c r="Q6983"/>
      <c r="R6983" s="9">
        <v>44762</v>
      </c>
      <c r="S6983"/>
      <c r="T6983"/>
      <c r="U6983"/>
    </row>
    <row r="6984" spans="1:21" hidden="1">
      <c r="A6984" s="7" t="s">
        <v>8751</v>
      </c>
      <c r="B6984" s="7" t="s">
        <v>5405</v>
      </c>
      <c r="C6984" s="8" t="s">
        <v>8717</v>
      </c>
      <c r="D6984" t="s">
        <v>24</v>
      </c>
      <c r="E6984" t="s">
        <v>25</v>
      </c>
      <c r="F6984" t="s">
        <v>435</v>
      </c>
      <c r="G6984" t="s">
        <v>4963</v>
      </c>
      <c r="H6984"/>
      <c r="I6984"/>
      <c r="J6984" t="s">
        <v>276</v>
      </c>
      <c r="K6984" s="9">
        <v>44762.582662036999</v>
      </c>
      <c r="L6984"/>
      <c r="M6984"/>
      <c r="N6984"/>
      <c r="O6984"/>
      <c r="P6984"/>
      <c r="Q6984"/>
      <c r="R6984" s="9">
        <v>44762</v>
      </c>
      <c r="S6984"/>
      <c r="T6984"/>
      <c r="U6984"/>
    </row>
    <row r="6985" spans="1:21" hidden="1">
      <c r="A6985" s="7" t="s">
        <v>8751</v>
      </c>
      <c r="B6985" s="7" t="s">
        <v>5405</v>
      </c>
      <c r="C6985" s="8" t="s">
        <v>8717</v>
      </c>
      <c r="D6985" t="s">
        <v>24</v>
      </c>
      <c r="E6985" t="s">
        <v>25</v>
      </c>
      <c r="F6985" t="s">
        <v>435</v>
      </c>
      <c r="G6985" t="s">
        <v>4964</v>
      </c>
      <c r="H6985"/>
      <c r="I6985"/>
      <c r="J6985" t="s">
        <v>276</v>
      </c>
      <c r="K6985" s="9">
        <v>44762.582662036999</v>
      </c>
      <c r="L6985"/>
      <c r="M6985"/>
      <c r="N6985"/>
      <c r="O6985"/>
      <c r="P6985"/>
      <c r="Q6985"/>
      <c r="R6985" s="9">
        <v>44762</v>
      </c>
      <c r="S6985"/>
      <c r="T6985"/>
      <c r="U6985"/>
    </row>
    <row r="6986" spans="1:21" hidden="1">
      <c r="A6986" s="7" t="s">
        <v>8751</v>
      </c>
      <c r="B6986" s="7" t="s">
        <v>5405</v>
      </c>
      <c r="C6986" s="8" t="s">
        <v>8717</v>
      </c>
      <c r="D6986" t="s">
        <v>24</v>
      </c>
      <c r="E6986" t="s">
        <v>25</v>
      </c>
      <c r="F6986" t="s">
        <v>435</v>
      </c>
      <c r="G6986" t="s">
        <v>4965</v>
      </c>
      <c r="H6986"/>
      <c r="I6986"/>
      <c r="J6986" t="s">
        <v>276</v>
      </c>
      <c r="K6986" s="9">
        <v>44762.582662036999</v>
      </c>
      <c r="L6986"/>
      <c r="M6986"/>
      <c r="N6986"/>
      <c r="O6986"/>
      <c r="P6986"/>
      <c r="Q6986"/>
      <c r="R6986" s="9">
        <v>44762</v>
      </c>
      <c r="S6986"/>
      <c r="T6986"/>
      <c r="U6986"/>
    </row>
    <row r="6987" spans="1:21" hidden="1">
      <c r="A6987" s="7" t="s">
        <v>8751</v>
      </c>
      <c r="B6987" s="7" t="s">
        <v>5405</v>
      </c>
      <c r="C6987" s="8" t="s">
        <v>8717</v>
      </c>
      <c r="D6987" t="s">
        <v>24</v>
      </c>
      <c r="E6987" t="s">
        <v>25</v>
      </c>
      <c r="F6987" t="s">
        <v>435</v>
      </c>
      <c r="G6987" t="s">
        <v>4967</v>
      </c>
      <c r="H6987"/>
      <c r="I6987"/>
      <c r="J6987" t="s">
        <v>276</v>
      </c>
      <c r="K6987" s="9">
        <v>44762.582662036999</v>
      </c>
      <c r="L6987"/>
      <c r="M6987"/>
      <c r="N6987"/>
      <c r="O6987"/>
      <c r="P6987"/>
      <c r="Q6987"/>
      <c r="R6987" s="9">
        <v>44762</v>
      </c>
      <c r="S6987"/>
      <c r="T6987"/>
      <c r="U6987"/>
    </row>
    <row r="6988" spans="1:21" hidden="1">
      <c r="A6988" s="7" t="s">
        <v>8751</v>
      </c>
      <c r="B6988" s="7" t="s">
        <v>5405</v>
      </c>
      <c r="C6988" s="8" t="s">
        <v>8717</v>
      </c>
      <c r="D6988" t="s">
        <v>24</v>
      </c>
      <c r="E6988" t="s">
        <v>25</v>
      </c>
      <c r="F6988" t="s">
        <v>435</v>
      </c>
      <c r="G6988" t="s">
        <v>4973</v>
      </c>
      <c r="H6988"/>
      <c r="I6988"/>
      <c r="J6988" t="s">
        <v>276</v>
      </c>
      <c r="K6988" s="9">
        <v>44762.582662036999</v>
      </c>
      <c r="L6988"/>
      <c r="M6988"/>
      <c r="N6988"/>
      <c r="O6988"/>
      <c r="P6988"/>
      <c r="Q6988"/>
      <c r="R6988" s="9">
        <v>44762</v>
      </c>
      <c r="S6988"/>
      <c r="T6988"/>
      <c r="U6988"/>
    </row>
    <row r="6989" spans="1:21" hidden="1">
      <c r="A6989" s="7" t="s">
        <v>8751</v>
      </c>
      <c r="B6989" s="7" t="s">
        <v>5405</v>
      </c>
      <c r="C6989" s="8" t="s">
        <v>8717</v>
      </c>
      <c r="D6989" t="s">
        <v>24</v>
      </c>
      <c r="E6989" t="s">
        <v>25</v>
      </c>
      <c r="F6989" t="s">
        <v>435</v>
      </c>
      <c r="G6989" t="s">
        <v>4974</v>
      </c>
      <c r="H6989"/>
      <c r="I6989"/>
      <c r="J6989" t="s">
        <v>276</v>
      </c>
      <c r="K6989" s="9">
        <v>44762.582662036999</v>
      </c>
      <c r="L6989"/>
      <c r="M6989"/>
      <c r="N6989"/>
      <c r="O6989"/>
      <c r="P6989"/>
      <c r="Q6989"/>
      <c r="R6989" s="9">
        <v>44762</v>
      </c>
      <c r="S6989"/>
      <c r="T6989"/>
      <c r="U6989"/>
    </row>
    <row r="6990" spans="1:21" hidden="1">
      <c r="A6990" s="7" t="s">
        <v>8751</v>
      </c>
      <c r="B6990" s="7" t="s">
        <v>5405</v>
      </c>
      <c r="C6990" s="8" t="s">
        <v>8717</v>
      </c>
      <c r="D6990" t="s">
        <v>24</v>
      </c>
      <c r="E6990" t="s">
        <v>25</v>
      </c>
      <c r="F6990" t="s">
        <v>435</v>
      </c>
      <c r="G6990" t="s">
        <v>4975</v>
      </c>
      <c r="H6990"/>
      <c r="I6990"/>
      <c r="J6990" t="s">
        <v>276</v>
      </c>
      <c r="K6990" s="9">
        <v>44762.582662036999</v>
      </c>
      <c r="L6990"/>
      <c r="M6990"/>
      <c r="N6990"/>
      <c r="O6990"/>
      <c r="P6990"/>
      <c r="Q6990"/>
      <c r="R6990" s="9">
        <v>44762</v>
      </c>
      <c r="S6990"/>
      <c r="T6990"/>
      <c r="U6990"/>
    </row>
    <row r="6991" spans="1:21" hidden="1">
      <c r="A6991" s="7" t="s">
        <v>8751</v>
      </c>
      <c r="B6991" s="7" t="s">
        <v>5405</v>
      </c>
      <c r="C6991" s="8" t="s">
        <v>8717</v>
      </c>
      <c r="D6991" t="s">
        <v>24</v>
      </c>
      <c r="E6991" t="s">
        <v>25</v>
      </c>
      <c r="F6991" t="s">
        <v>435</v>
      </c>
      <c r="G6991" t="s">
        <v>4976</v>
      </c>
      <c r="H6991"/>
      <c r="I6991"/>
      <c r="J6991" t="s">
        <v>276</v>
      </c>
      <c r="K6991" s="9">
        <v>44762.582662036999</v>
      </c>
      <c r="L6991"/>
      <c r="M6991"/>
      <c r="N6991"/>
      <c r="O6991"/>
      <c r="P6991"/>
      <c r="Q6991"/>
      <c r="R6991" s="9">
        <v>44762</v>
      </c>
      <c r="S6991"/>
      <c r="T6991"/>
      <c r="U6991"/>
    </row>
    <row r="6992" spans="1:21" hidden="1">
      <c r="A6992" s="7" t="s">
        <v>8751</v>
      </c>
      <c r="B6992" s="7" t="s">
        <v>5405</v>
      </c>
      <c r="C6992" s="8" t="s">
        <v>8717</v>
      </c>
      <c r="D6992" t="s">
        <v>24</v>
      </c>
      <c r="E6992" t="s">
        <v>25</v>
      </c>
      <c r="F6992" t="s">
        <v>435</v>
      </c>
      <c r="G6992" t="s">
        <v>4977</v>
      </c>
      <c r="H6992"/>
      <c r="I6992"/>
      <c r="J6992" t="s">
        <v>276</v>
      </c>
      <c r="K6992" s="9">
        <v>44762.582662036999</v>
      </c>
      <c r="L6992"/>
      <c r="M6992"/>
      <c r="N6992"/>
      <c r="O6992"/>
      <c r="P6992"/>
      <c r="Q6992"/>
      <c r="R6992" s="9">
        <v>44762</v>
      </c>
      <c r="S6992"/>
      <c r="T6992"/>
      <c r="U6992"/>
    </row>
    <row r="6993" spans="1:21" hidden="1">
      <c r="A6993" s="7" t="s">
        <v>8934</v>
      </c>
      <c r="B6993" s="7" t="s">
        <v>7267</v>
      </c>
      <c r="C6993" s="8" t="s">
        <v>8717</v>
      </c>
      <c r="D6993" t="s">
        <v>266</v>
      </c>
      <c r="E6993" t="s">
        <v>3640</v>
      </c>
      <c r="F6993" t="s">
        <v>117</v>
      </c>
      <c r="G6993" t="s">
        <v>5173</v>
      </c>
      <c r="H6993"/>
      <c r="I6993"/>
      <c r="J6993" t="s">
        <v>0</v>
      </c>
      <c r="K6993" s="9">
        <v>44782</v>
      </c>
      <c r="L6993"/>
      <c r="M6993"/>
      <c r="N6993"/>
      <c r="O6993"/>
      <c r="P6993"/>
      <c r="Q6993" s="9">
        <v>44782</v>
      </c>
      <c r="R6993"/>
      <c r="S6993"/>
      <c r="T6993"/>
      <c r="U6993"/>
    </row>
    <row r="6994" spans="1:21" hidden="1">
      <c r="A6994" s="7" t="s">
        <v>8934</v>
      </c>
      <c r="B6994" s="7" t="s">
        <v>7267</v>
      </c>
      <c r="C6994" s="8" t="s">
        <v>8717</v>
      </c>
      <c r="D6994" t="s">
        <v>266</v>
      </c>
      <c r="E6994" t="s">
        <v>3640</v>
      </c>
      <c r="F6994" t="s">
        <v>117</v>
      </c>
      <c r="G6994" t="s">
        <v>5174</v>
      </c>
      <c r="H6994"/>
      <c r="I6994"/>
      <c r="J6994" t="s">
        <v>0</v>
      </c>
      <c r="K6994" s="9">
        <v>44782</v>
      </c>
      <c r="L6994"/>
      <c r="M6994"/>
      <c r="N6994"/>
      <c r="O6994"/>
      <c r="P6994"/>
      <c r="Q6994" s="9">
        <v>44782</v>
      </c>
      <c r="R6994"/>
      <c r="S6994"/>
      <c r="T6994"/>
      <c r="U6994"/>
    </row>
    <row r="6995" spans="1:21" hidden="1">
      <c r="A6995" s="7" t="s">
        <v>8934</v>
      </c>
      <c r="B6995" s="7" t="s">
        <v>7267</v>
      </c>
      <c r="C6995" s="8" t="s">
        <v>8717</v>
      </c>
      <c r="D6995" t="s">
        <v>266</v>
      </c>
      <c r="E6995" t="s">
        <v>3640</v>
      </c>
      <c r="F6995" t="s">
        <v>117</v>
      </c>
      <c r="G6995" t="s">
        <v>5175</v>
      </c>
      <c r="H6995"/>
      <c r="I6995"/>
      <c r="J6995" t="s">
        <v>0</v>
      </c>
      <c r="K6995" s="9">
        <v>44782</v>
      </c>
      <c r="L6995"/>
      <c r="M6995"/>
      <c r="N6995"/>
      <c r="O6995"/>
      <c r="P6995"/>
      <c r="Q6995" s="9">
        <v>44782</v>
      </c>
      <c r="R6995"/>
      <c r="S6995"/>
      <c r="T6995"/>
      <c r="U6995"/>
    </row>
    <row r="6996" spans="1:21" hidden="1">
      <c r="A6996" s="7" t="s">
        <v>8934</v>
      </c>
      <c r="B6996" s="7" t="s">
        <v>7267</v>
      </c>
      <c r="C6996" s="8" t="s">
        <v>8717</v>
      </c>
      <c r="D6996" t="s">
        <v>266</v>
      </c>
      <c r="E6996" t="s">
        <v>3640</v>
      </c>
      <c r="F6996" t="s">
        <v>117</v>
      </c>
      <c r="G6996" t="s">
        <v>5176</v>
      </c>
      <c r="H6996"/>
      <c r="I6996"/>
      <c r="J6996" t="s">
        <v>0</v>
      </c>
      <c r="K6996" s="9">
        <v>44782</v>
      </c>
      <c r="L6996"/>
      <c r="M6996"/>
      <c r="N6996"/>
      <c r="O6996"/>
      <c r="P6996"/>
      <c r="Q6996" s="9">
        <v>44782</v>
      </c>
      <c r="R6996"/>
      <c r="S6996"/>
      <c r="T6996"/>
      <c r="U6996"/>
    </row>
    <row r="6997" spans="1:21" hidden="1">
      <c r="A6997" s="7" t="s">
        <v>8960</v>
      </c>
      <c r="B6997" s="7" t="s">
        <v>8622</v>
      </c>
      <c r="C6997" s="8" t="s">
        <v>8717</v>
      </c>
      <c r="D6997" t="s">
        <v>272</v>
      </c>
      <c r="E6997" t="s">
        <v>5178</v>
      </c>
      <c r="F6997" t="s">
        <v>117</v>
      </c>
      <c r="G6997" t="s">
        <v>534</v>
      </c>
      <c r="H6997"/>
      <c r="I6997"/>
      <c r="J6997" t="s">
        <v>0</v>
      </c>
      <c r="K6997" s="9">
        <v>44784</v>
      </c>
      <c r="L6997"/>
      <c r="M6997"/>
      <c r="N6997"/>
      <c r="O6997"/>
      <c r="P6997"/>
      <c r="Q6997" s="9">
        <v>44784</v>
      </c>
      <c r="R6997"/>
      <c r="S6997"/>
      <c r="T6997"/>
      <c r="U6997"/>
    </row>
    <row r="6998" spans="1:21" hidden="1">
      <c r="A6998" s="7" t="s">
        <v>8960</v>
      </c>
      <c r="B6998" s="7" t="s">
        <v>8622</v>
      </c>
      <c r="C6998" s="8" t="s">
        <v>8717</v>
      </c>
      <c r="D6998" t="s">
        <v>272</v>
      </c>
      <c r="E6998" t="s">
        <v>5178</v>
      </c>
      <c r="F6998" t="s">
        <v>117</v>
      </c>
      <c r="G6998" t="s">
        <v>535</v>
      </c>
      <c r="H6998"/>
      <c r="I6998"/>
      <c r="J6998" t="s">
        <v>0</v>
      </c>
      <c r="K6998" s="9">
        <v>44784</v>
      </c>
      <c r="L6998"/>
      <c r="M6998"/>
      <c r="N6998"/>
      <c r="O6998"/>
      <c r="P6998"/>
      <c r="Q6998" s="9">
        <v>44784</v>
      </c>
      <c r="R6998"/>
      <c r="S6998"/>
      <c r="T6998"/>
      <c r="U6998"/>
    </row>
    <row r="6999" spans="1:21" hidden="1">
      <c r="A6999" s="7" t="s">
        <v>8960</v>
      </c>
      <c r="B6999" s="7" t="s">
        <v>8622</v>
      </c>
      <c r="C6999" s="8" t="s">
        <v>8717</v>
      </c>
      <c r="D6999" t="s">
        <v>272</v>
      </c>
      <c r="E6999" t="s">
        <v>5178</v>
      </c>
      <c r="F6999" t="s">
        <v>117</v>
      </c>
      <c r="G6999" t="s">
        <v>536</v>
      </c>
      <c r="H6999"/>
      <c r="I6999"/>
      <c r="J6999" t="s">
        <v>0</v>
      </c>
      <c r="K6999" s="9">
        <v>44784</v>
      </c>
      <c r="L6999"/>
      <c r="M6999"/>
      <c r="N6999"/>
      <c r="O6999"/>
      <c r="P6999"/>
      <c r="Q6999" s="9">
        <v>44784</v>
      </c>
      <c r="R6999"/>
      <c r="S6999"/>
      <c r="T6999"/>
      <c r="U6999"/>
    </row>
    <row r="7000" spans="1:21" hidden="1">
      <c r="A7000" s="7" t="s">
        <v>8960</v>
      </c>
      <c r="B7000" s="7" t="s">
        <v>8622</v>
      </c>
      <c r="C7000" s="8" t="s">
        <v>8717</v>
      </c>
      <c r="D7000" t="s">
        <v>272</v>
      </c>
      <c r="E7000" t="s">
        <v>5178</v>
      </c>
      <c r="F7000" t="s">
        <v>117</v>
      </c>
      <c r="G7000" t="s">
        <v>538</v>
      </c>
      <c r="H7000"/>
      <c r="I7000"/>
      <c r="J7000" t="s">
        <v>0</v>
      </c>
      <c r="K7000" s="9">
        <v>44784</v>
      </c>
      <c r="L7000"/>
      <c r="M7000"/>
      <c r="N7000"/>
      <c r="O7000"/>
      <c r="P7000"/>
      <c r="Q7000" s="9">
        <v>44784</v>
      </c>
      <c r="R7000"/>
      <c r="S7000"/>
      <c r="T7000"/>
      <c r="U7000"/>
    </row>
    <row r="7001" spans="1:21" hidden="1">
      <c r="A7001" s="7" t="s">
        <v>8960</v>
      </c>
      <c r="B7001" s="7" t="s">
        <v>8622</v>
      </c>
      <c r="C7001" s="8" t="s">
        <v>8717</v>
      </c>
      <c r="D7001" t="s">
        <v>272</v>
      </c>
      <c r="E7001" t="s">
        <v>5178</v>
      </c>
      <c r="F7001" t="s">
        <v>117</v>
      </c>
      <c r="G7001" t="s">
        <v>2779</v>
      </c>
      <c r="H7001"/>
      <c r="I7001"/>
      <c r="J7001" t="s">
        <v>0</v>
      </c>
      <c r="K7001" s="9">
        <v>44784</v>
      </c>
      <c r="L7001"/>
      <c r="M7001"/>
      <c r="N7001"/>
      <c r="O7001"/>
      <c r="P7001"/>
      <c r="Q7001" s="9">
        <v>44784</v>
      </c>
      <c r="R7001"/>
      <c r="S7001"/>
      <c r="T7001"/>
      <c r="U7001"/>
    </row>
    <row r="7002" spans="1:21" hidden="1">
      <c r="A7002" s="7" t="s">
        <v>8960</v>
      </c>
      <c r="B7002" s="7" t="s">
        <v>8622</v>
      </c>
      <c r="C7002" s="8" t="s">
        <v>8717</v>
      </c>
      <c r="D7002" t="s">
        <v>272</v>
      </c>
      <c r="E7002" t="s">
        <v>5178</v>
      </c>
      <c r="F7002" t="s">
        <v>117</v>
      </c>
      <c r="G7002" t="s">
        <v>2780</v>
      </c>
      <c r="H7002"/>
      <c r="I7002"/>
      <c r="J7002" t="s">
        <v>0</v>
      </c>
      <c r="K7002" s="9">
        <v>44784</v>
      </c>
      <c r="L7002"/>
      <c r="M7002"/>
      <c r="N7002"/>
      <c r="O7002"/>
      <c r="P7002"/>
      <c r="Q7002" s="9">
        <v>44784</v>
      </c>
      <c r="R7002"/>
      <c r="S7002"/>
      <c r="T7002"/>
      <c r="U7002"/>
    </row>
    <row r="7003" spans="1:21" hidden="1">
      <c r="A7003" s="7" t="s">
        <v>8960</v>
      </c>
      <c r="B7003" s="7" t="s">
        <v>8622</v>
      </c>
      <c r="C7003" s="8" t="s">
        <v>8717</v>
      </c>
      <c r="D7003" t="s">
        <v>272</v>
      </c>
      <c r="E7003" t="s">
        <v>5178</v>
      </c>
      <c r="F7003" t="s">
        <v>117</v>
      </c>
      <c r="G7003" t="s">
        <v>2781</v>
      </c>
      <c r="H7003"/>
      <c r="I7003"/>
      <c r="J7003" t="s">
        <v>0</v>
      </c>
      <c r="K7003" s="9">
        <v>44784</v>
      </c>
      <c r="L7003"/>
      <c r="M7003"/>
      <c r="N7003"/>
      <c r="O7003"/>
      <c r="P7003"/>
      <c r="Q7003" s="9">
        <v>44784</v>
      </c>
      <c r="R7003"/>
      <c r="S7003"/>
      <c r="T7003"/>
      <c r="U7003"/>
    </row>
    <row r="7004" spans="1:21" hidden="1">
      <c r="A7004" s="7" t="s">
        <v>8960</v>
      </c>
      <c r="B7004" s="7" t="s">
        <v>8622</v>
      </c>
      <c r="C7004" s="8" t="s">
        <v>8717</v>
      </c>
      <c r="D7004" t="s">
        <v>272</v>
      </c>
      <c r="E7004" t="s">
        <v>5178</v>
      </c>
      <c r="F7004" t="s">
        <v>117</v>
      </c>
      <c r="G7004" t="s">
        <v>2782</v>
      </c>
      <c r="H7004"/>
      <c r="I7004"/>
      <c r="J7004" t="s">
        <v>0</v>
      </c>
      <c r="K7004" s="9">
        <v>44784</v>
      </c>
      <c r="L7004"/>
      <c r="M7004"/>
      <c r="N7004"/>
      <c r="O7004"/>
      <c r="P7004"/>
      <c r="Q7004" s="9">
        <v>44784</v>
      </c>
      <c r="R7004"/>
      <c r="S7004"/>
      <c r="T7004"/>
      <c r="U7004"/>
    </row>
    <row r="7005" spans="1:21" hidden="1">
      <c r="A7005" s="7" t="s">
        <v>8960</v>
      </c>
      <c r="B7005" s="7" t="s">
        <v>8622</v>
      </c>
      <c r="C7005" s="8" t="s">
        <v>8717</v>
      </c>
      <c r="D7005" t="s">
        <v>272</v>
      </c>
      <c r="E7005" t="s">
        <v>5178</v>
      </c>
      <c r="F7005" t="s">
        <v>117</v>
      </c>
      <c r="G7005" t="s">
        <v>540</v>
      </c>
      <c r="H7005"/>
      <c r="I7005"/>
      <c r="J7005" t="s">
        <v>0</v>
      </c>
      <c r="K7005" s="9">
        <v>44784</v>
      </c>
      <c r="L7005"/>
      <c r="M7005"/>
      <c r="N7005"/>
      <c r="O7005"/>
      <c r="P7005"/>
      <c r="Q7005" s="9">
        <v>44784</v>
      </c>
      <c r="R7005"/>
      <c r="S7005"/>
      <c r="T7005"/>
      <c r="U7005"/>
    </row>
    <row r="7006" spans="1:21" hidden="1">
      <c r="A7006" s="7" t="s">
        <v>8960</v>
      </c>
      <c r="B7006" s="7" t="s">
        <v>8622</v>
      </c>
      <c r="C7006" s="8" t="s">
        <v>8717</v>
      </c>
      <c r="D7006" t="s">
        <v>272</v>
      </c>
      <c r="E7006" t="s">
        <v>5178</v>
      </c>
      <c r="F7006" t="s">
        <v>117</v>
      </c>
      <c r="G7006" t="s">
        <v>2783</v>
      </c>
      <c r="H7006"/>
      <c r="I7006"/>
      <c r="J7006" t="s">
        <v>0</v>
      </c>
      <c r="K7006" s="9">
        <v>44784</v>
      </c>
      <c r="L7006"/>
      <c r="M7006"/>
      <c r="N7006"/>
      <c r="O7006"/>
      <c r="P7006"/>
      <c r="Q7006" s="9">
        <v>44784</v>
      </c>
      <c r="R7006"/>
      <c r="S7006"/>
      <c r="T7006"/>
      <c r="U7006"/>
    </row>
    <row r="7007" spans="1:21" hidden="1">
      <c r="A7007" s="7" t="s">
        <v>8960</v>
      </c>
      <c r="B7007" s="7" t="s">
        <v>8622</v>
      </c>
      <c r="C7007" s="8" t="s">
        <v>8717</v>
      </c>
      <c r="D7007" t="s">
        <v>272</v>
      </c>
      <c r="E7007" t="s">
        <v>5178</v>
      </c>
      <c r="F7007" t="s">
        <v>117</v>
      </c>
      <c r="G7007" t="s">
        <v>2784</v>
      </c>
      <c r="H7007"/>
      <c r="I7007"/>
      <c r="J7007" t="s">
        <v>0</v>
      </c>
      <c r="K7007" s="9">
        <v>44784</v>
      </c>
      <c r="L7007"/>
      <c r="M7007"/>
      <c r="N7007"/>
      <c r="O7007"/>
      <c r="P7007"/>
      <c r="Q7007" s="9">
        <v>44784</v>
      </c>
      <c r="R7007"/>
      <c r="S7007"/>
      <c r="T7007"/>
      <c r="U7007"/>
    </row>
    <row r="7008" spans="1:21" hidden="1">
      <c r="A7008" s="7" t="s">
        <v>8960</v>
      </c>
      <c r="B7008" s="7" t="s">
        <v>8622</v>
      </c>
      <c r="C7008" s="8" t="s">
        <v>8717</v>
      </c>
      <c r="D7008" t="s">
        <v>272</v>
      </c>
      <c r="E7008" t="s">
        <v>5178</v>
      </c>
      <c r="F7008" t="s">
        <v>117</v>
      </c>
      <c r="G7008" t="s">
        <v>2810</v>
      </c>
      <c r="H7008"/>
      <c r="I7008"/>
      <c r="J7008" t="s">
        <v>0</v>
      </c>
      <c r="K7008" s="9">
        <v>44784</v>
      </c>
      <c r="L7008"/>
      <c r="M7008"/>
      <c r="N7008"/>
      <c r="O7008"/>
      <c r="P7008"/>
      <c r="Q7008" s="9">
        <v>44784</v>
      </c>
      <c r="R7008"/>
      <c r="S7008"/>
      <c r="T7008"/>
      <c r="U7008"/>
    </row>
    <row r="7009" spans="1:21" hidden="1">
      <c r="A7009" s="7" t="s">
        <v>8960</v>
      </c>
      <c r="B7009" s="7" t="s">
        <v>8622</v>
      </c>
      <c r="C7009" s="8" t="s">
        <v>8717</v>
      </c>
      <c r="D7009" t="s">
        <v>272</v>
      </c>
      <c r="E7009" t="s">
        <v>5178</v>
      </c>
      <c r="F7009" t="s">
        <v>117</v>
      </c>
      <c r="G7009" t="s">
        <v>2811</v>
      </c>
      <c r="H7009"/>
      <c r="I7009"/>
      <c r="J7009" t="s">
        <v>0</v>
      </c>
      <c r="K7009" s="9">
        <v>44784</v>
      </c>
      <c r="L7009"/>
      <c r="M7009"/>
      <c r="N7009"/>
      <c r="O7009"/>
      <c r="P7009"/>
      <c r="Q7009" s="9">
        <v>44784</v>
      </c>
      <c r="R7009"/>
      <c r="S7009"/>
      <c r="T7009"/>
      <c r="U7009"/>
    </row>
    <row r="7010" spans="1:21" hidden="1">
      <c r="A7010" s="7" t="s">
        <v>8960</v>
      </c>
      <c r="B7010" s="7" t="s">
        <v>8622</v>
      </c>
      <c r="C7010" s="8" t="s">
        <v>8717</v>
      </c>
      <c r="D7010" t="s">
        <v>272</v>
      </c>
      <c r="E7010" t="s">
        <v>5178</v>
      </c>
      <c r="F7010" t="s">
        <v>117</v>
      </c>
      <c r="G7010" t="s">
        <v>2812</v>
      </c>
      <c r="H7010"/>
      <c r="I7010"/>
      <c r="J7010" t="s">
        <v>0</v>
      </c>
      <c r="K7010" s="9">
        <v>44784</v>
      </c>
      <c r="L7010"/>
      <c r="M7010"/>
      <c r="N7010"/>
      <c r="O7010"/>
      <c r="P7010"/>
      <c r="Q7010" s="9">
        <v>44784</v>
      </c>
      <c r="R7010"/>
      <c r="S7010"/>
      <c r="T7010"/>
      <c r="U7010"/>
    </row>
    <row r="7011" spans="1:21" hidden="1">
      <c r="A7011" s="7" t="s">
        <v>8960</v>
      </c>
      <c r="B7011" s="7" t="s">
        <v>8622</v>
      </c>
      <c r="C7011" s="8" t="s">
        <v>8717</v>
      </c>
      <c r="D7011" t="s">
        <v>272</v>
      </c>
      <c r="E7011" t="s">
        <v>5178</v>
      </c>
      <c r="F7011" t="s">
        <v>117</v>
      </c>
      <c r="G7011" t="s">
        <v>2813</v>
      </c>
      <c r="H7011"/>
      <c r="I7011"/>
      <c r="J7011" t="s">
        <v>0</v>
      </c>
      <c r="K7011" s="9">
        <v>44784</v>
      </c>
      <c r="L7011"/>
      <c r="M7011"/>
      <c r="N7011"/>
      <c r="O7011"/>
      <c r="P7011"/>
      <c r="Q7011" s="9">
        <v>44784</v>
      </c>
      <c r="R7011"/>
      <c r="S7011"/>
      <c r="T7011"/>
      <c r="U7011"/>
    </row>
    <row r="7012" spans="1:21" hidden="1">
      <c r="A7012" s="7" t="s">
        <v>8960</v>
      </c>
      <c r="B7012" s="7" t="s">
        <v>8622</v>
      </c>
      <c r="C7012" s="8" t="s">
        <v>8717</v>
      </c>
      <c r="D7012" t="s">
        <v>216</v>
      </c>
      <c r="E7012" t="s">
        <v>5178</v>
      </c>
      <c r="F7012" t="s">
        <v>117</v>
      </c>
      <c r="G7012" t="s">
        <v>3948</v>
      </c>
      <c r="H7012"/>
      <c r="I7012"/>
      <c r="J7012" t="s">
        <v>0</v>
      </c>
      <c r="K7012" s="9">
        <v>44784</v>
      </c>
      <c r="L7012"/>
      <c r="M7012"/>
      <c r="N7012"/>
      <c r="O7012"/>
      <c r="P7012"/>
      <c r="Q7012" s="9">
        <v>44784</v>
      </c>
      <c r="R7012"/>
      <c r="S7012"/>
      <c r="T7012"/>
      <c r="U7012"/>
    </row>
    <row r="7013" spans="1:21" hidden="1">
      <c r="A7013" s="7" t="s">
        <v>8960</v>
      </c>
      <c r="B7013" s="7" t="s">
        <v>8622</v>
      </c>
      <c r="C7013" s="8" t="s">
        <v>8717</v>
      </c>
      <c r="D7013" t="s">
        <v>216</v>
      </c>
      <c r="E7013" t="s">
        <v>5178</v>
      </c>
      <c r="F7013" t="s">
        <v>117</v>
      </c>
      <c r="G7013" t="s">
        <v>3949</v>
      </c>
      <c r="H7013"/>
      <c r="I7013"/>
      <c r="J7013" t="s">
        <v>0</v>
      </c>
      <c r="K7013" s="9">
        <v>44784</v>
      </c>
      <c r="L7013"/>
      <c r="M7013"/>
      <c r="N7013"/>
      <c r="O7013"/>
      <c r="P7013"/>
      <c r="Q7013" s="9">
        <v>44784</v>
      </c>
      <c r="R7013"/>
      <c r="S7013"/>
      <c r="T7013"/>
      <c r="U7013"/>
    </row>
    <row r="7014" spans="1:21" hidden="1">
      <c r="A7014" s="7" t="s">
        <v>8961</v>
      </c>
      <c r="B7014" s="7" t="s">
        <v>8628</v>
      </c>
      <c r="C7014" s="8" t="s">
        <v>5321</v>
      </c>
      <c r="D7014" t="s">
        <v>272</v>
      </c>
      <c r="E7014" t="s">
        <v>5179</v>
      </c>
      <c r="F7014" t="s">
        <v>117</v>
      </c>
      <c r="G7014" t="s">
        <v>5180</v>
      </c>
      <c r="H7014" s="9">
        <v>44789</v>
      </c>
      <c r="I7014" t="s">
        <v>758</v>
      </c>
      <c r="J7014" t="s">
        <v>5330</v>
      </c>
      <c r="K7014" s="9">
        <v>44834</v>
      </c>
      <c r="L7014" t="s">
        <v>29</v>
      </c>
      <c r="M7014"/>
      <c r="N7014" s="9">
        <v>44825</v>
      </c>
      <c r="O7014" s="9">
        <v>44834</v>
      </c>
      <c r="P7014"/>
      <c r="Q7014"/>
      <c r="R7014"/>
      <c r="S7014"/>
      <c r="T7014"/>
      <c r="U7014"/>
    </row>
    <row r="7015" spans="1:21" hidden="1">
      <c r="A7015" s="7" t="s">
        <v>8962</v>
      </c>
      <c r="B7015" s="7" t="s">
        <v>8629</v>
      </c>
      <c r="C7015" s="8" t="s">
        <v>5321</v>
      </c>
      <c r="D7015" t="s">
        <v>272</v>
      </c>
      <c r="E7015" t="s">
        <v>5182</v>
      </c>
      <c r="F7015" t="s">
        <v>209</v>
      </c>
      <c r="G7015" t="s">
        <v>5183</v>
      </c>
      <c r="H7015" s="9">
        <v>44789</v>
      </c>
      <c r="I7015" t="s">
        <v>984</v>
      </c>
      <c r="J7015" t="s">
        <v>5330</v>
      </c>
      <c r="K7015" s="9">
        <v>44834</v>
      </c>
      <c r="L7015" t="s">
        <v>29</v>
      </c>
      <c r="M7015"/>
      <c r="N7015" s="9">
        <v>44825</v>
      </c>
      <c r="O7015" s="9">
        <v>44834</v>
      </c>
      <c r="P7015"/>
      <c r="Q7015"/>
      <c r="R7015"/>
      <c r="S7015"/>
      <c r="T7015"/>
      <c r="U7015"/>
    </row>
    <row r="7016" spans="1:21" hidden="1">
      <c r="A7016" s="7" t="s">
        <v>8864</v>
      </c>
      <c r="B7016" s="7" t="s">
        <v>6096</v>
      </c>
      <c r="C7016" s="8" t="s">
        <v>5321</v>
      </c>
      <c r="D7016" t="s">
        <v>272</v>
      </c>
      <c r="E7016" t="s">
        <v>2125</v>
      </c>
      <c r="F7016" t="s">
        <v>2307</v>
      </c>
      <c r="G7016" t="s">
        <v>5184</v>
      </c>
      <c r="H7016" s="9">
        <v>44789</v>
      </c>
      <c r="I7016" t="s">
        <v>81</v>
      </c>
      <c r="J7016" t="s">
        <v>0</v>
      </c>
      <c r="K7016" s="9">
        <v>44841</v>
      </c>
      <c r="L7016" t="s">
        <v>29</v>
      </c>
      <c r="M7016"/>
      <c r="N7016" s="9">
        <v>44825</v>
      </c>
      <c r="O7016" s="9">
        <v>44834</v>
      </c>
      <c r="P7016"/>
      <c r="Q7016" s="9">
        <v>44841</v>
      </c>
      <c r="R7016"/>
      <c r="S7016"/>
      <c r="T7016"/>
      <c r="U7016"/>
    </row>
    <row r="7017" spans="1:21" hidden="1">
      <c r="A7017" s="7" t="s">
        <v>8864</v>
      </c>
      <c r="B7017" s="7" t="s">
        <v>6096</v>
      </c>
      <c r="C7017" s="8" t="s">
        <v>5321</v>
      </c>
      <c r="D7017" t="s">
        <v>272</v>
      </c>
      <c r="E7017" t="s">
        <v>2125</v>
      </c>
      <c r="F7017" t="s">
        <v>2307</v>
      </c>
      <c r="G7017" t="s">
        <v>5185</v>
      </c>
      <c r="H7017" s="9">
        <v>44789</v>
      </c>
      <c r="I7017" t="s">
        <v>81</v>
      </c>
      <c r="J7017" t="s">
        <v>0</v>
      </c>
      <c r="K7017" s="9">
        <v>44841</v>
      </c>
      <c r="L7017" t="s">
        <v>29</v>
      </c>
      <c r="M7017"/>
      <c r="N7017" s="9">
        <v>44825</v>
      </c>
      <c r="O7017" s="9">
        <v>44834</v>
      </c>
      <c r="P7017"/>
      <c r="Q7017" s="9">
        <v>44841</v>
      </c>
      <c r="R7017"/>
      <c r="S7017"/>
      <c r="T7017"/>
      <c r="U7017"/>
    </row>
    <row r="7018" spans="1:21" hidden="1">
      <c r="A7018" s="7" t="s">
        <v>8855</v>
      </c>
      <c r="B7018" s="7" t="s">
        <v>6839</v>
      </c>
      <c r="C7018" s="8" t="s">
        <v>5321</v>
      </c>
      <c r="D7018" t="s">
        <v>272</v>
      </c>
      <c r="E7018" t="s">
        <v>2238</v>
      </c>
      <c r="F7018" t="s">
        <v>26</v>
      </c>
      <c r="G7018" t="s">
        <v>5186</v>
      </c>
      <c r="H7018" s="9">
        <v>44789</v>
      </c>
      <c r="I7018" t="s">
        <v>77</v>
      </c>
      <c r="J7018" t="s">
        <v>5330</v>
      </c>
      <c r="K7018" s="9">
        <v>44834</v>
      </c>
      <c r="L7018" t="s">
        <v>29</v>
      </c>
      <c r="M7018"/>
      <c r="N7018" s="9">
        <v>44825</v>
      </c>
      <c r="O7018" s="9">
        <v>44834</v>
      </c>
      <c r="P7018"/>
      <c r="Q7018"/>
      <c r="R7018"/>
      <c r="S7018"/>
      <c r="T7018"/>
      <c r="U7018"/>
    </row>
    <row r="7019" spans="1:21" hidden="1">
      <c r="A7019" s="7" t="s">
        <v>8963</v>
      </c>
      <c r="B7019" s="7" t="s">
        <v>8630</v>
      </c>
      <c r="C7019" s="8" t="s">
        <v>5321</v>
      </c>
      <c r="D7019" t="s">
        <v>272</v>
      </c>
      <c r="E7019" t="s">
        <v>5187</v>
      </c>
      <c r="F7019" t="s">
        <v>231</v>
      </c>
      <c r="G7019" t="s">
        <v>5188</v>
      </c>
      <c r="H7019" s="9">
        <v>44789</v>
      </c>
      <c r="I7019" t="s">
        <v>99</v>
      </c>
      <c r="J7019" t="s">
        <v>0</v>
      </c>
      <c r="K7019" s="9">
        <v>44881</v>
      </c>
      <c r="L7019" t="s">
        <v>29</v>
      </c>
      <c r="M7019"/>
      <c r="N7019" s="9">
        <v>44825</v>
      </c>
      <c r="O7019" s="9">
        <v>44834</v>
      </c>
      <c r="P7019"/>
      <c r="Q7019" s="9">
        <v>44881</v>
      </c>
      <c r="R7019"/>
      <c r="S7019"/>
      <c r="T7019"/>
      <c r="U7019"/>
    </row>
    <row r="7020" spans="1:21" hidden="1">
      <c r="A7020" s="7" t="s">
        <v>8963</v>
      </c>
      <c r="B7020" s="7" t="s">
        <v>8630</v>
      </c>
      <c r="C7020" s="8" t="s">
        <v>5321</v>
      </c>
      <c r="D7020" t="s">
        <v>272</v>
      </c>
      <c r="E7020" t="s">
        <v>5187</v>
      </c>
      <c r="F7020" t="s">
        <v>231</v>
      </c>
      <c r="G7020" t="s">
        <v>5189</v>
      </c>
      <c r="H7020" s="9">
        <v>44789</v>
      </c>
      <c r="I7020" t="s">
        <v>99</v>
      </c>
      <c r="J7020" t="s">
        <v>0</v>
      </c>
      <c r="K7020" s="9">
        <v>44881</v>
      </c>
      <c r="L7020" t="s">
        <v>29</v>
      </c>
      <c r="M7020"/>
      <c r="N7020" s="9">
        <v>44825</v>
      </c>
      <c r="O7020" s="9">
        <v>44834</v>
      </c>
      <c r="P7020"/>
      <c r="Q7020" s="9">
        <v>44881</v>
      </c>
      <c r="R7020"/>
      <c r="S7020"/>
      <c r="T7020"/>
      <c r="U7020"/>
    </row>
    <row r="7021" spans="1:21" hidden="1">
      <c r="A7021" s="7" t="s">
        <v>8963</v>
      </c>
      <c r="B7021" s="7" t="s">
        <v>8630</v>
      </c>
      <c r="C7021" s="8" t="s">
        <v>5321</v>
      </c>
      <c r="D7021" t="s">
        <v>272</v>
      </c>
      <c r="E7021" t="s">
        <v>5187</v>
      </c>
      <c r="F7021" t="s">
        <v>231</v>
      </c>
      <c r="G7021" t="s">
        <v>5190</v>
      </c>
      <c r="H7021" s="9">
        <v>44789</v>
      </c>
      <c r="I7021" t="s">
        <v>99</v>
      </c>
      <c r="J7021" t="s">
        <v>0</v>
      </c>
      <c r="K7021" s="9">
        <v>44881</v>
      </c>
      <c r="L7021" t="s">
        <v>29</v>
      </c>
      <c r="M7021"/>
      <c r="N7021" s="9">
        <v>44825</v>
      </c>
      <c r="O7021" s="9">
        <v>44834</v>
      </c>
      <c r="P7021"/>
      <c r="Q7021" s="9">
        <v>44881</v>
      </c>
      <c r="R7021"/>
      <c r="S7021"/>
      <c r="T7021"/>
      <c r="U7021"/>
    </row>
    <row r="7022" spans="1:21" hidden="1">
      <c r="A7022" s="7" t="s">
        <v>8963</v>
      </c>
      <c r="B7022" s="7" t="s">
        <v>8630</v>
      </c>
      <c r="C7022" s="8" t="s">
        <v>5321</v>
      </c>
      <c r="D7022" t="s">
        <v>272</v>
      </c>
      <c r="E7022" t="s">
        <v>5187</v>
      </c>
      <c r="F7022" t="s">
        <v>231</v>
      </c>
      <c r="G7022" t="s">
        <v>5191</v>
      </c>
      <c r="H7022" s="9">
        <v>44789</v>
      </c>
      <c r="I7022" t="s">
        <v>99</v>
      </c>
      <c r="J7022" t="s">
        <v>0</v>
      </c>
      <c r="K7022" s="9">
        <v>44881</v>
      </c>
      <c r="L7022" t="s">
        <v>29</v>
      </c>
      <c r="M7022"/>
      <c r="N7022" s="9">
        <v>44825</v>
      </c>
      <c r="O7022" s="9">
        <v>44834</v>
      </c>
      <c r="P7022"/>
      <c r="Q7022" s="9">
        <v>44881</v>
      </c>
      <c r="R7022"/>
      <c r="S7022"/>
      <c r="T7022"/>
      <c r="U7022"/>
    </row>
    <row r="7023" spans="1:21" hidden="1">
      <c r="A7023" s="7" t="s">
        <v>8963</v>
      </c>
      <c r="B7023" s="7" t="s">
        <v>8630</v>
      </c>
      <c r="C7023" s="8" t="s">
        <v>5321</v>
      </c>
      <c r="D7023" t="s">
        <v>272</v>
      </c>
      <c r="E7023" t="s">
        <v>5187</v>
      </c>
      <c r="F7023" t="s">
        <v>231</v>
      </c>
      <c r="G7023" t="s">
        <v>5192</v>
      </c>
      <c r="H7023" s="9">
        <v>44789</v>
      </c>
      <c r="I7023" t="s">
        <v>99</v>
      </c>
      <c r="J7023" t="s">
        <v>0</v>
      </c>
      <c r="K7023" s="9">
        <v>44881</v>
      </c>
      <c r="L7023" t="s">
        <v>29</v>
      </c>
      <c r="M7023"/>
      <c r="N7023" s="9">
        <v>44825</v>
      </c>
      <c r="O7023" s="9">
        <v>44834</v>
      </c>
      <c r="P7023"/>
      <c r="Q7023" s="9">
        <v>44881</v>
      </c>
      <c r="R7023"/>
      <c r="S7023"/>
      <c r="T7023"/>
      <c r="U7023"/>
    </row>
    <row r="7024" spans="1:21" hidden="1">
      <c r="A7024" s="7" t="s">
        <v>8963</v>
      </c>
      <c r="B7024" s="7" t="s">
        <v>8630</v>
      </c>
      <c r="C7024" s="8" t="s">
        <v>5321</v>
      </c>
      <c r="D7024" t="s">
        <v>272</v>
      </c>
      <c r="E7024" t="s">
        <v>5187</v>
      </c>
      <c r="F7024" t="s">
        <v>231</v>
      </c>
      <c r="G7024" t="s">
        <v>5193</v>
      </c>
      <c r="H7024" s="9">
        <v>44789</v>
      </c>
      <c r="I7024" t="s">
        <v>99</v>
      </c>
      <c r="J7024" t="s">
        <v>0</v>
      </c>
      <c r="K7024" s="9">
        <v>44881</v>
      </c>
      <c r="L7024" t="s">
        <v>29</v>
      </c>
      <c r="M7024"/>
      <c r="N7024" s="9">
        <v>44825</v>
      </c>
      <c r="O7024" s="9">
        <v>44834</v>
      </c>
      <c r="P7024"/>
      <c r="Q7024" s="9">
        <v>44881</v>
      </c>
      <c r="R7024"/>
      <c r="S7024"/>
      <c r="T7024"/>
      <c r="U7024"/>
    </row>
    <row r="7025" spans="1:21" hidden="1">
      <c r="A7025" s="7" t="s">
        <v>8963</v>
      </c>
      <c r="B7025" s="7" t="s">
        <v>8630</v>
      </c>
      <c r="C7025" s="8" t="s">
        <v>5321</v>
      </c>
      <c r="D7025" t="s">
        <v>272</v>
      </c>
      <c r="E7025" t="s">
        <v>5187</v>
      </c>
      <c r="F7025" t="s">
        <v>231</v>
      </c>
      <c r="G7025" t="s">
        <v>5194</v>
      </c>
      <c r="H7025" s="9">
        <v>44789</v>
      </c>
      <c r="I7025" t="s">
        <v>99</v>
      </c>
      <c r="J7025" t="s">
        <v>0</v>
      </c>
      <c r="K7025" s="9">
        <v>44881</v>
      </c>
      <c r="L7025" t="s">
        <v>29</v>
      </c>
      <c r="M7025"/>
      <c r="N7025" s="9">
        <v>44825</v>
      </c>
      <c r="O7025" s="9">
        <v>44834</v>
      </c>
      <c r="P7025"/>
      <c r="Q7025" s="9">
        <v>44881</v>
      </c>
      <c r="R7025"/>
      <c r="S7025"/>
      <c r="T7025"/>
      <c r="U7025"/>
    </row>
    <row r="7026" spans="1:21" hidden="1">
      <c r="A7026" s="7" t="s">
        <v>8963</v>
      </c>
      <c r="B7026" s="7" t="s">
        <v>8630</v>
      </c>
      <c r="C7026" s="8" t="s">
        <v>5321</v>
      </c>
      <c r="D7026" t="s">
        <v>272</v>
      </c>
      <c r="E7026" t="s">
        <v>5187</v>
      </c>
      <c r="F7026" t="s">
        <v>231</v>
      </c>
      <c r="G7026" t="s">
        <v>5195</v>
      </c>
      <c r="H7026" s="9">
        <v>44789</v>
      </c>
      <c r="I7026" t="s">
        <v>99</v>
      </c>
      <c r="J7026" t="s">
        <v>0</v>
      </c>
      <c r="K7026" s="9">
        <v>44881</v>
      </c>
      <c r="L7026" t="s">
        <v>29</v>
      </c>
      <c r="M7026"/>
      <c r="N7026" s="9">
        <v>44825</v>
      </c>
      <c r="O7026" s="9">
        <v>44834</v>
      </c>
      <c r="P7026"/>
      <c r="Q7026" s="9">
        <v>44881</v>
      </c>
      <c r="R7026"/>
      <c r="S7026"/>
      <c r="T7026"/>
      <c r="U7026"/>
    </row>
    <row r="7027" spans="1:21" hidden="1">
      <c r="A7027" s="7" t="s">
        <v>8963</v>
      </c>
      <c r="B7027" s="7" t="s">
        <v>8630</v>
      </c>
      <c r="C7027" s="8" t="s">
        <v>5321</v>
      </c>
      <c r="D7027" t="s">
        <v>272</v>
      </c>
      <c r="E7027" t="s">
        <v>5187</v>
      </c>
      <c r="F7027" t="s">
        <v>231</v>
      </c>
      <c r="G7027" t="s">
        <v>5196</v>
      </c>
      <c r="H7027" s="9">
        <v>44789</v>
      </c>
      <c r="I7027" t="s">
        <v>99</v>
      </c>
      <c r="J7027" t="s">
        <v>0</v>
      </c>
      <c r="K7027" s="9">
        <v>44881</v>
      </c>
      <c r="L7027" t="s">
        <v>29</v>
      </c>
      <c r="M7027"/>
      <c r="N7027" s="9">
        <v>44825</v>
      </c>
      <c r="O7027" s="9">
        <v>44834</v>
      </c>
      <c r="P7027"/>
      <c r="Q7027" s="9">
        <v>44881</v>
      </c>
      <c r="R7027"/>
      <c r="S7027"/>
      <c r="T7027"/>
      <c r="U7027"/>
    </row>
    <row r="7028" spans="1:21" hidden="1">
      <c r="A7028" s="7" t="s">
        <v>8963</v>
      </c>
      <c r="B7028" s="7" t="s">
        <v>8630</v>
      </c>
      <c r="C7028" s="8" t="s">
        <v>5321</v>
      </c>
      <c r="D7028" t="s">
        <v>272</v>
      </c>
      <c r="E7028" t="s">
        <v>5187</v>
      </c>
      <c r="F7028" t="s">
        <v>231</v>
      </c>
      <c r="G7028" t="s">
        <v>5197</v>
      </c>
      <c r="H7028" s="9">
        <v>44789</v>
      </c>
      <c r="I7028" t="s">
        <v>99</v>
      </c>
      <c r="J7028" t="s">
        <v>0</v>
      </c>
      <c r="K7028" s="9">
        <v>44881</v>
      </c>
      <c r="L7028" t="s">
        <v>29</v>
      </c>
      <c r="M7028"/>
      <c r="N7028" s="9">
        <v>44825</v>
      </c>
      <c r="O7028" s="9">
        <v>44834</v>
      </c>
      <c r="P7028"/>
      <c r="Q7028" s="9">
        <v>44881</v>
      </c>
      <c r="R7028"/>
      <c r="S7028"/>
      <c r="T7028"/>
      <c r="U7028"/>
    </row>
    <row r="7029" spans="1:21" hidden="1">
      <c r="A7029" s="7" t="s">
        <v>8963</v>
      </c>
      <c r="B7029" s="7" t="s">
        <v>8630</v>
      </c>
      <c r="C7029" s="8" t="s">
        <v>5321</v>
      </c>
      <c r="D7029" t="s">
        <v>272</v>
      </c>
      <c r="E7029" t="s">
        <v>5187</v>
      </c>
      <c r="F7029" t="s">
        <v>231</v>
      </c>
      <c r="G7029" t="s">
        <v>5198</v>
      </c>
      <c r="H7029" s="9">
        <v>44789</v>
      </c>
      <c r="I7029" t="s">
        <v>99</v>
      </c>
      <c r="J7029" t="s">
        <v>0</v>
      </c>
      <c r="K7029" s="9">
        <v>44881</v>
      </c>
      <c r="L7029" t="s">
        <v>29</v>
      </c>
      <c r="M7029"/>
      <c r="N7029" s="9">
        <v>44825</v>
      </c>
      <c r="O7029" s="9">
        <v>44834</v>
      </c>
      <c r="P7029"/>
      <c r="Q7029" s="9">
        <v>44881</v>
      </c>
      <c r="R7029"/>
      <c r="S7029"/>
      <c r="T7029"/>
      <c r="U7029"/>
    </row>
    <row r="7030" spans="1:21" hidden="1">
      <c r="A7030" s="7" t="s">
        <v>8963</v>
      </c>
      <c r="B7030" s="7" t="s">
        <v>8630</v>
      </c>
      <c r="C7030" s="8" t="s">
        <v>5321</v>
      </c>
      <c r="D7030" t="s">
        <v>272</v>
      </c>
      <c r="E7030" t="s">
        <v>5187</v>
      </c>
      <c r="F7030" t="s">
        <v>231</v>
      </c>
      <c r="G7030" t="s">
        <v>5199</v>
      </c>
      <c r="H7030" s="9">
        <v>44789</v>
      </c>
      <c r="I7030" t="s">
        <v>99</v>
      </c>
      <c r="J7030" t="s">
        <v>0</v>
      </c>
      <c r="K7030" s="9">
        <v>44881</v>
      </c>
      <c r="L7030" t="s">
        <v>29</v>
      </c>
      <c r="M7030"/>
      <c r="N7030" s="9">
        <v>44825</v>
      </c>
      <c r="O7030" s="9">
        <v>44834</v>
      </c>
      <c r="P7030"/>
      <c r="Q7030" s="9">
        <v>44881</v>
      </c>
      <c r="R7030"/>
      <c r="S7030"/>
      <c r="T7030"/>
      <c r="U7030"/>
    </row>
    <row r="7031" spans="1:21" hidden="1">
      <c r="A7031" s="7" t="s">
        <v>8963</v>
      </c>
      <c r="B7031" s="7" t="s">
        <v>8630</v>
      </c>
      <c r="C7031" s="8" t="s">
        <v>5321</v>
      </c>
      <c r="D7031" t="s">
        <v>272</v>
      </c>
      <c r="E7031" t="s">
        <v>5187</v>
      </c>
      <c r="F7031" t="s">
        <v>231</v>
      </c>
      <c r="G7031" t="s">
        <v>5200</v>
      </c>
      <c r="H7031" s="9">
        <v>44789</v>
      </c>
      <c r="I7031" t="s">
        <v>99</v>
      </c>
      <c r="J7031" t="s">
        <v>0</v>
      </c>
      <c r="K7031" s="9">
        <v>44881</v>
      </c>
      <c r="L7031" t="s">
        <v>29</v>
      </c>
      <c r="M7031"/>
      <c r="N7031" s="9">
        <v>44825</v>
      </c>
      <c r="O7031" s="9">
        <v>44834</v>
      </c>
      <c r="P7031"/>
      <c r="Q7031" s="9">
        <v>44881</v>
      </c>
      <c r="R7031"/>
      <c r="S7031"/>
      <c r="T7031"/>
      <c r="U7031"/>
    </row>
    <row r="7032" spans="1:21" hidden="1">
      <c r="A7032" s="7" t="s">
        <v>8963</v>
      </c>
      <c r="B7032" s="7" t="s">
        <v>8630</v>
      </c>
      <c r="C7032" s="8" t="s">
        <v>5321</v>
      </c>
      <c r="D7032" t="s">
        <v>272</v>
      </c>
      <c r="E7032" t="s">
        <v>5187</v>
      </c>
      <c r="F7032" t="s">
        <v>231</v>
      </c>
      <c r="G7032" t="s">
        <v>5201</v>
      </c>
      <c r="H7032" s="9">
        <v>44789</v>
      </c>
      <c r="I7032" t="s">
        <v>99</v>
      </c>
      <c r="J7032" t="s">
        <v>0</v>
      </c>
      <c r="K7032" s="9">
        <v>44881</v>
      </c>
      <c r="L7032" t="s">
        <v>29</v>
      </c>
      <c r="M7032"/>
      <c r="N7032" s="9">
        <v>44825</v>
      </c>
      <c r="O7032" s="9">
        <v>44834</v>
      </c>
      <c r="P7032"/>
      <c r="Q7032" s="9">
        <v>44881</v>
      </c>
      <c r="R7032"/>
      <c r="S7032"/>
      <c r="T7032"/>
      <c r="U7032"/>
    </row>
    <row r="7033" spans="1:21" hidden="1">
      <c r="A7033" s="7" t="s">
        <v>8963</v>
      </c>
      <c r="B7033" s="7" t="s">
        <v>8630</v>
      </c>
      <c r="C7033" s="8" t="s">
        <v>5321</v>
      </c>
      <c r="D7033" t="s">
        <v>272</v>
      </c>
      <c r="E7033" t="s">
        <v>5187</v>
      </c>
      <c r="F7033" t="s">
        <v>231</v>
      </c>
      <c r="G7033" t="s">
        <v>5202</v>
      </c>
      <c r="H7033" s="9">
        <v>44789</v>
      </c>
      <c r="I7033" t="s">
        <v>99</v>
      </c>
      <c r="J7033" t="s">
        <v>0</v>
      </c>
      <c r="K7033" s="9">
        <v>44881</v>
      </c>
      <c r="L7033" t="s">
        <v>29</v>
      </c>
      <c r="M7033"/>
      <c r="N7033" s="9">
        <v>44825</v>
      </c>
      <c r="O7033" s="9">
        <v>44834</v>
      </c>
      <c r="P7033"/>
      <c r="Q7033" s="9">
        <v>44881</v>
      </c>
      <c r="R7033"/>
      <c r="S7033"/>
      <c r="T7033"/>
      <c r="U7033"/>
    </row>
    <row r="7034" spans="1:21" hidden="1">
      <c r="A7034" s="7" t="s">
        <v>8963</v>
      </c>
      <c r="B7034" s="7" t="s">
        <v>8630</v>
      </c>
      <c r="C7034" s="8" t="s">
        <v>5321</v>
      </c>
      <c r="D7034" t="s">
        <v>272</v>
      </c>
      <c r="E7034" t="s">
        <v>5187</v>
      </c>
      <c r="F7034" t="s">
        <v>231</v>
      </c>
      <c r="G7034" t="s">
        <v>5203</v>
      </c>
      <c r="H7034" s="9">
        <v>44789</v>
      </c>
      <c r="I7034" t="s">
        <v>99</v>
      </c>
      <c r="J7034" t="s">
        <v>0</v>
      </c>
      <c r="K7034" s="9">
        <v>44881</v>
      </c>
      <c r="L7034" t="s">
        <v>29</v>
      </c>
      <c r="M7034"/>
      <c r="N7034" s="9">
        <v>44825</v>
      </c>
      <c r="O7034" s="9">
        <v>44834</v>
      </c>
      <c r="P7034"/>
      <c r="Q7034" s="9">
        <v>44881</v>
      </c>
      <c r="R7034"/>
      <c r="S7034"/>
      <c r="T7034"/>
      <c r="U7034"/>
    </row>
    <row r="7035" spans="1:21" hidden="1">
      <c r="A7035" s="7" t="s">
        <v>8963</v>
      </c>
      <c r="B7035" s="7" t="s">
        <v>8630</v>
      </c>
      <c r="C7035" s="8" t="s">
        <v>5321</v>
      </c>
      <c r="D7035" t="s">
        <v>272</v>
      </c>
      <c r="E7035" t="s">
        <v>5187</v>
      </c>
      <c r="F7035" t="s">
        <v>231</v>
      </c>
      <c r="G7035" t="s">
        <v>5204</v>
      </c>
      <c r="H7035" s="9">
        <v>44789</v>
      </c>
      <c r="I7035" t="s">
        <v>99</v>
      </c>
      <c r="J7035" t="s">
        <v>0</v>
      </c>
      <c r="K7035" s="9">
        <v>44881</v>
      </c>
      <c r="L7035" t="s">
        <v>29</v>
      </c>
      <c r="M7035"/>
      <c r="N7035" s="9">
        <v>44825</v>
      </c>
      <c r="O7035" s="9">
        <v>44834</v>
      </c>
      <c r="P7035"/>
      <c r="Q7035" s="9">
        <v>44881</v>
      </c>
      <c r="R7035"/>
      <c r="S7035"/>
      <c r="T7035"/>
      <c r="U7035"/>
    </row>
    <row r="7036" spans="1:21" hidden="1">
      <c r="A7036" s="7" t="s">
        <v>8963</v>
      </c>
      <c r="B7036" s="7" t="s">
        <v>8630</v>
      </c>
      <c r="C7036" s="8" t="s">
        <v>5321</v>
      </c>
      <c r="D7036" t="s">
        <v>272</v>
      </c>
      <c r="E7036" t="s">
        <v>5187</v>
      </c>
      <c r="F7036" t="s">
        <v>231</v>
      </c>
      <c r="G7036" t="s">
        <v>5205</v>
      </c>
      <c r="H7036" s="9">
        <v>44789</v>
      </c>
      <c r="I7036" t="s">
        <v>99</v>
      </c>
      <c r="J7036" t="s">
        <v>0</v>
      </c>
      <c r="K7036" s="9">
        <v>44881</v>
      </c>
      <c r="L7036" t="s">
        <v>29</v>
      </c>
      <c r="M7036"/>
      <c r="N7036" s="9">
        <v>44825</v>
      </c>
      <c r="O7036" s="9">
        <v>44834</v>
      </c>
      <c r="P7036"/>
      <c r="Q7036" s="9">
        <v>44881</v>
      </c>
      <c r="R7036"/>
      <c r="S7036"/>
      <c r="T7036"/>
      <c r="U7036"/>
    </row>
    <row r="7037" spans="1:21" hidden="1">
      <c r="A7037" s="7" t="s">
        <v>8963</v>
      </c>
      <c r="B7037" s="7" t="s">
        <v>8630</v>
      </c>
      <c r="C7037" s="8" t="s">
        <v>5321</v>
      </c>
      <c r="D7037" t="s">
        <v>272</v>
      </c>
      <c r="E7037" t="s">
        <v>5187</v>
      </c>
      <c r="F7037" t="s">
        <v>231</v>
      </c>
      <c r="G7037" t="s">
        <v>5206</v>
      </c>
      <c r="H7037" s="9">
        <v>44789</v>
      </c>
      <c r="I7037" t="s">
        <v>99</v>
      </c>
      <c r="J7037" t="s">
        <v>0</v>
      </c>
      <c r="K7037" s="9">
        <v>44881</v>
      </c>
      <c r="L7037" t="s">
        <v>29</v>
      </c>
      <c r="M7037"/>
      <c r="N7037" s="9">
        <v>44825</v>
      </c>
      <c r="O7037" s="9">
        <v>44834</v>
      </c>
      <c r="P7037"/>
      <c r="Q7037" s="9">
        <v>44881</v>
      </c>
      <c r="R7037"/>
      <c r="S7037"/>
      <c r="T7037"/>
      <c r="U7037"/>
    </row>
    <row r="7038" spans="1:21" hidden="1">
      <c r="A7038" s="7" t="s">
        <v>8963</v>
      </c>
      <c r="B7038" s="7" t="s">
        <v>8630</v>
      </c>
      <c r="C7038" s="8" t="s">
        <v>5321</v>
      </c>
      <c r="D7038" t="s">
        <v>272</v>
      </c>
      <c r="E7038" t="s">
        <v>5187</v>
      </c>
      <c r="F7038" t="s">
        <v>231</v>
      </c>
      <c r="G7038" t="s">
        <v>5207</v>
      </c>
      <c r="H7038" s="9">
        <v>44789</v>
      </c>
      <c r="I7038" t="s">
        <v>99</v>
      </c>
      <c r="J7038" t="s">
        <v>0</v>
      </c>
      <c r="K7038" s="9">
        <v>44881</v>
      </c>
      <c r="L7038" t="s">
        <v>29</v>
      </c>
      <c r="M7038"/>
      <c r="N7038" s="9">
        <v>44825</v>
      </c>
      <c r="O7038" s="9">
        <v>44834</v>
      </c>
      <c r="P7038"/>
      <c r="Q7038" s="9">
        <v>44881</v>
      </c>
      <c r="R7038"/>
      <c r="S7038"/>
      <c r="T7038"/>
      <c r="U7038"/>
    </row>
    <row r="7039" spans="1:21" hidden="1">
      <c r="A7039" s="7" t="s">
        <v>8963</v>
      </c>
      <c r="B7039" s="7" t="s">
        <v>8630</v>
      </c>
      <c r="C7039" s="8" t="s">
        <v>5321</v>
      </c>
      <c r="D7039" t="s">
        <v>272</v>
      </c>
      <c r="E7039" t="s">
        <v>5187</v>
      </c>
      <c r="F7039" t="s">
        <v>231</v>
      </c>
      <c r="G7039" t="s">
        <v>5208</v>
      </c>
      <c r="H7039" s="9">
        <v>44789</v>
      </c>
      <c r="I7039" t="s">
        <v>99</v>
      </c>
      <c r="J7039" t="s">
        <v>0</v>
      </c>
      <c r="K7039" s="9">
        <v>44881</v>
      </c>
      <c r="L7039" t="s">
        <v>29</v>
      </c>
      <c r="M7039"/>
      <c r="N7039" s="9">
        <v>44825</v>
      </c>
      <c r="O7039" s="9">
        <v>44834</v>
      </c>
      <c r="P7039"/>
      <c r="Q7039" s="9">
        <v>44881</v>
      </c>
      <c r="R7039"/>
      <c r="S7039"/>
      <c r="T7039"/>
      <c r="U7039"/>
    </row>
    <row r="7040" spans="1:21" hidden="1">
      <c r="A7040" s="7" t="s">
        <v>8963</v>
      </c>
      <c r="B7040" s="7" t="s">
        <v>8630</v>
      </c>
      <c r="C7040" s="8" t="s">
        <v>5321</v>
      </c>
      <c r="D7040" t="s">
        <v>272</v>
      </c>
      <c r="E7040" t="s">
        <v>5187</v>
      </c>
      <c r="F7040" t="s">
        <v>231</v>
      </c>
      <c r="G7040" t="s">
        <v>5209</v>
      </c>
      <c r="H7040" s="9">
        <v>44789</v>
      </c>
      <c r="I7040" t="s">
        <v>99</v>
      </c>
      <c r="J7040" t="s">
        <v>0</v>
      </c>
      <c r="K7040" s="9">
        <v>44881</v>
      </c>
      <c r="L7040" t="s">
        <v>29</v>
      </c>
      <c r="M7040"/>
      <c r="N7040" s="9">
        <v>44825</v>
      </c>
      <c r="O7040" s="9">
        <v>44834</v>
      </c>
      <c r="P7040"/>
      <c r="Q7040" s="9">
        <v>44881</v>
      </c>
      <c r="R7040"/>
      <c r="S7040"/>
      <c r="T7040"/>
      <c r="U7040"/>
    </row>
    <row r="7041" spans="1:21" hidden="1">
      <c r="A7041" s="7" t="s">
        <v>8963</v>
      </c>
      <c r="B7041" s="7" t="s">
        <v>8630</v>
      </c>
      <c r="C7041" s="8" t="s">
        <v>5321</v>
      </c>
      <c r="D7041" t="s">
        <v>272</v>
      </c>
      <c r="E7041" t="s">
        <v>5187</v>
      </c>
      <c r="F7041" t="s">
        <v>231</v>
      </c>
      <c r="G7041" t="s">
        <v>5210</v>
      </c>
      <c r="H7041" s="9">
        <v>44789</v>
      </c>
      <c r="I7041" t="s">
        <v>99</v>
      </c>
      <c r="J7041" t="s">
        <v>0</v>
      </c>
      <c r="K7041" s="9">
        <v>44881</v>
      </c>
      <c r="L7041" t="s">
        <v>29</v>
      </c>
      <c r="M7041"/>
      <c r="N7041" s="9">
        <v>44825</v>
      </c>
      <c r="O7041" s="9">
        <v>44834</v>
      </c>
      <c r="P7041"/>
      <c r="Q7041" s="9">
        <v>44881</v>
      </c>
      <c r="R7041"/>
      <c r="S7041"/>
      <c r="T7041"/>
      <c r="U7041"/>
    </row>
    <row r="7042" spans="1:21" hidden="1">
      <c r="A7042" s="7" t="s">
        <v>8963</v>
      </c>
      <c r="B7042" s="7" t="s">
        <v>8630</v>
      </c>
      <c r="C7042" s="8" t="s">
        <v>5321</v>
      </c>
      <c r="D7042" t="s">
        <v>272</v>
      </c>
      <c r="E7042" t="s">
        <v>5187</v>
      </c>
      <c r="F7042" t="s">
        <v>231</v>
      </c>
      <c r="G7042" t="s">
        <v>5211</v>
      </c>
      <c r="H7042" s="9">
        <v>44789</v>
      </c>
      <c r="I7042" t="s">
        <v>99</v>
      </c>
      <c r="J7042" t="s">
        <v>0</v>
      </c>
      <c r="K7042" s="9">
        <v>44881</v>
      </c>
      <c r="L7042" t="s">
        <v>29</v>
      </c>
      <c r="M7042"/>
      <c r="N7042" s="9">
        <v>44825</v>
      </c>
      <c r="O7042" s="9">
        <v>44834</v>
      </c>
      <c r="P7042"/>
      <c r="Q7042" s="9">
        <v>44881</v>
      </c>
      <c r="R7042"/>
      <c r="S7042"/>
      <c r="T7042"/>
      <c r="U7042"/>
    </row>
    <row r="7043" spans="1:21" hidden="1">
      <c r="A7043" s="7" t="s">
        <v>8963</v>
      </c>
      <c r="B7043" s="7" t="s">
        <v>8630</v>
      </c>
      <c r="C7043" s="8" t="s">
        <v>5321</v>
      </c>
      <c r="D7043" t="s">
        <v>272</v>
      </c>
      <c r="E7043" t="s">
        <v>5187</v>
      </c>
      <c r="F7043" t="s">
        <v>231</v>
      </c>
      <c r="G7043" t="s">
        <v>5212</v>
      </c>
      <c r="H7043" s="9">
        <v>44789</v>
      </c>
      <c r="I7043" t="s">
        <v>99</v>
      </c>
      <c r="J7043" t="s">
        <v>0</v>
      </c>
      <c r="K7043" s="9">
        <v>44881</v>
      </c>
      <c r="L7043" t="s">
        <v>29</v>
      </c>
      <c r="M7043"/>
      <c r="N7043" s="9">
        <v>44825</v>
      </c>
      <c r="O7043" s="9">
        <v>44834</v>
      </c>
      <c r="P7043"/>
      <c r="Q7043" s="9">
        <v>44881</v>
      </c>
      <c r="R7043"/>
      <c r="S7043"/>
      <c r="T7043"/>
      <c r="U7043"/>
    </row>
    <row r="7044" spans="1:21" hidden="1">
      <c r="A7044" s="7" t="s">
        <v>8963</v>
      </c>
      <c r="B7044" s="7" t="s">
        <v>8630</v>
      </c>
      <c r="C7044" s="8" t="s">
        <v>5321</v>
      </c>
      <c r="D7044" t="s">
        <v>272</v>
      </c>
      <c r="E7044" t="s">
        <v>5187</v>
      </c>
      <c r="F7044" t="s">
        <v>231</v>
      </c>
      <c r="G7044" t="s">
        <v>5213</v>
      </c>
      <c r="H7044" s="9">
        <v>44789</v>
      </c>
      <c r="I7044" t="s">
        <v>99</v>
      </c>
      <c r="J7044" t="s">
        <v>0</v>
      </c>
      <c r="K7044" s="9">
        <v>44881</v>
      </c>
      <c r="L7044" t="s">
        <v>29</v>
      </c>
      <c r="M7044"/>
      <c r="N7044" s="9">
        <v>44825</v>
      </c>
      <c r="O7044" s="9">
        <v>44834</v>
      </c>
      <c r="P7044"/>
      <c r="Q7044" s="9">
        <v>44881</v>
      </c>
      <c r="R7044"/>
      <c r="S7044"/>
      <c r="T7044"/>
      <c r="U7044"/>
    </row>
    <row r="7045" spans="1:21" hidden="1">
      <c r="A7045" s="7" t="s">
        <v>8963</v>
      </c>
      <c r="B7045" s="7" t="s">
        <v>8630</v>
      </c>
      <c r="C7045" s="8" t="s">
        <v>5321</v>
      </c>
      <c r="D7045" t="s">
        <v>272</v>
      </c>
      <c r="E7045" t="s">
        <v>5187</v>
      </c>
      <c r="F7045" t="s">
        <v>231</v>
      </c>
      <c r="G7045" t="s">
        <v>5214</v>
      </c>
      <c r="H7045" s="9">
        <v>44789</v>
      </c>
      <c r="I7045" t="s">
        <v>99</v>
      </c>
      <c r="J7045" t="s">
        <v>0</v>
      </c>
      <c r="K7045" s="9">
        <v>44881</v>
      </c>
      <c r="L7045" t="s">
        <v>29</v>
      </c>
      <c r="M7045"/>
      <c r="N7045" s="9">
        <v>44825</v>
      </c>
      <c r="O7045" s="9">
        <v>44834</v>
      </c>
      <c r="P7045"/>
      <c r="Q7045" s="9">
        <v>44881</v>
      </c>
      <c r="R7045"/>
      <c r="S7045"/>
      <c r="T7045"/>
      <c r="U7045"/>
    </row>
    <row r="7046" spans="1:21" hidden="1">
      <c r="A7046" s="7" t="s">
        <v>8963</v>
      </c>
      <c r="B7046" s="7" t="s">
        <v>8630</v>
      </c>
      <c r="C7046" s="8" t="s">
        <v>5321</v>
      </c>
      <c r="D7046" t="s">
        <v>272</v>
      </c>
      <c r="E7046" t="s">
        <v>5187</v>
      </c>
      <c r="F7046" t="s">
        <v>231</v>
      </c>
      <c r="G7046" t="s">
        <v>5215</v>
      </c>
      <c r="H7046" s="9">
        <v>44789</v>
      </c>
      <c r="I7046" t="s">
        <v>99</v>
      </c>
      <c r="J7046" t="s">
        <v>0</v>
      </c>
      <c r="K7046" s="9">
        <v>44881</v>
      </c>
      <c r="L7046" t="s">
        <v>29</v>
      </c>
      <c r="M7046"/>
      <c r="N7046" s="9">
        <v>44825</v>
      </c>
      <c r="O7046" s="9">
        <v>44834</v>
      </c>
      <c r="P7046"/>
      <c r="Q7046" s="9">
        <v>44881</v>
      </c>
      <c r="R7046"/>
      <c r="S7046"/>
      <c r="T7046"/>
      <c r="U7046"/>
    </row>
    <row r="7047" spans="1:21" hidden="1">
      <c r="A7047" s="7" t="s">
        <v>8963</v>
      </c>
      <c r="B7047" s="7" t="s">
        <v>8630</v>
      </c>
      <c r="C7047" s="8" t="s">
        <v>5321</v>
      </c>
      <c r="D7047" t="s">
        <v>272</v>
      </c>
      <c r="E7047" t="s">
        <v>5187</v>
      </c>
      <c r="F7047" t="s">
        <v>231</v>
      </c>
      <c r="G7047" t="s">
        <v>5216</v>
      </c>
      <c r="H7047" s="9">
        <v>44789</v>
      </c>
      <c r="I7047" t="s">
        <v>99</v>
      </c>
      <c r="J7047" t="s">
        <v>0</v>
      </c>
      <c r="K7047" s="9">
        <v>44881</v>
      </c>
      <c r="L7047" t="s">
        <v>29</v>
      </c>
      <c r="M7047"/>
      <c r="N7047" s="9">
        <v>44825</v>
      </c>
      <c r="O7047" s="9">
        <v>44834</v>
      </c>
      <c r="P7047"/>
      <c r="Q7047" s="9">
        <v>44881</v>
      </c>
      <c r="R7047"/>
      <c r="S7047"/>
      <c r="T7047"/>
      <c r="U7047"/>
    </row>
    <row r="7048" spans="1:21" hidden="1">
      <c r="A7048" s="7" t="s">
        <v>8963</v>
      </c>
      <c r="B7048" s="7" t="s">
        <v>8630</v>
      </c>
      <c r="C7048" s="8" t="s">
        <v>5321</v>
      </c>
      <c r="D7048" t="s">
        <v>272</v>
      </c>
      <c r="E7048" t="s">
        <v>5187</v>
      </c>
      <c r="F7048" t="s">
        <v>231</v>
      </c>
      <c r="G7048" t="s">
        <v>5217</v>
      </c>
      <c r="H7048" s="9">
        <v>44789</v>
      </c>
      <c r="I7048" t="s">
        <v>99</v>
      </c>
      <c r="J7048" t="s">
        <v>0</v>
      </c>
      <c r="K7048" s="9">
        <v>44881</v>
      </c>
      <c r="L7048" t="s">
        <v>29</v>
      </c>
      <c r="M7048"/>
      <c r="N7048" s="9">
        <v>44825</v>
      </c>
      <c r="O7048" s="9">
        <v>44834</v>
      </c>
      <c r="P7048"/>
      <c r="Q7048" s="9">
        <v>44881</v>
      </c>
      <c r="R7048"/>
      <c r="S7048"/>
      <c r="T7048"/>
      <c r="U7048"/>
    </row>
    <row r="7049" spans="1:21" hidden="1">
      <c r="A7049" s="7" t="s">
        <v>8963</v>
      </c>
      <c r="B7049" s="7" t="s">
        <v>8630</v>
      </c>
      <c r="C7049" s="8" t="s">
        <v>5321</v>
      </c>
      <c r="D7049" t="s">
        <v>272</v>
      </c>
      <c r="E7049" t="s">
        <v>5187</v>
      </c>
      <c r="F7049" t="s">
        <v>231</v>
      </c>
      <c r="G7049" t="s">
        <v>5218</v>
      </c>
      <c r="H7049" s="9">
        <v>44789</v>
      </c>
      <c r="I7049" t="s">
        <v>99</v>
      </c>
      <c r="J7049" t="s">
        <v>0</v>
      </c>
      <c r="K7049" s="9">
        <v>44881</v>
      </c>
      <c r="L7049" t="s">
        <v>29</v>
      </c>
      <c r="M7049"/>
      <c r="N7049" s="9">
        <v>44825</v>
      </c>
      <c r="O7049" s="9">
        <v>44834</v>
      </c>
      <c r="P7049"/>
      <c r="Q7049" s="9">
        <v>44881</v>
      </c>
      <c r="R7049"/>
      <c r="S7049"/>
      <c r="T7049"/>
      <c r="U7049"/>
    </row>
    <row r="7050" spans="1:21" hidden="1">
      <c r="A7050" s="7" t="s">
        <v>8963</v>
      </c>
      <c r="B7050" s="7" t="s">
        <v>8630</v>
      </c>
      <c r="C7050" s="8" t="s">
        <v>5321</v>
      </c>
      <c r="D7050" t="s">
        <v>272</v>
      </c>
      <c r="E7050" t="s">
        <v>5187</v>
      </c>
      <c r="F7050" t="s">
        <v>231</v>
      </c>
      <c r="G7050" t="s">
        <v>5219</v>
      </c>
      <c r="H7050" s="9">
        <v>44789</v>
      </c>
      <c r="I7050" t="s">
        <v>99</v>
      </c>
      <c r="J7050" t="s">
        <v>0</v>
      </c>
      <c r="K7050" s="9">
        <v>44881</v>
      </c>
      <c r="L7050" t="s">
        <v>29</v>
      </c>
      <c r="M7050"/>
      <c r="N7050" s="9">
        <v>44825</v>
      </c>
      <c r="O7050" s="9">
        <v>44834</v>
      </c>
      <c r="P7050"/>
      <c r="Q7050" s="9">
        <v>44881</v>
      </c>
      <c r="R7050"/>
      <c r="S7050"/>
      <c r="T7050"/>
      <c r="U7050"/>
    </row>
    <row r="7051" spans="1:21" hidden="1">
      <c r="A7051" s="7" t="s">
        <v>8963</v>
      </c>
      <c r="B7051" s="7" t="s">
        <v>8630</v>
      </c>
      <c r="C7051" s="8" t="s">
        <v>5321</v>
      </c>
      <c r="D7051" t="s">
        <v>272</v>
      </c>
      <c r="E7051" t="s">
        <v>5187</v>
      </c>
      <c r="F7051" t="s">
        <v>231</v>
      </c>
      <c r="G7051" t="s">
        <v>5220</v>
      </c>
      <c r="H7051" s="9">
        <v>44789</v>
      </c>
      <c r="I7051" t="s">
        <v>99</v>
      </c>
      <c r="J7051" t="s">
        <v>0</v>
      </c>
      <c r="K7051" s="9">
        <v>44881</v>
      </c>
      <c r="L7051" t="s">
        <v>29</v>
      </c>
      <c r="M7051"/>
      <c r="N7051" s="9">
        <v>44825</v>
      </c>
      <c r="O7051" s="9">
        <v>44834</v>
      </c>
      <c r="P7051"/>
      <c r="Q7051" s="9">
        <v>44881</v>
      </c>
      <c r="R7051"/>
      <c r="S7051"/>
      <c r="T7051"/>
      <c r="U7051"/>
    </row>
    <row r="7052" spans="1:21" hidden="1">
      <c r="A7052" s="7" t="s">
        <v>8963</v>
      </c>
      <c r="B7052" s="7" t="s">
        <v>8630</v>
      </c>
      <c r="C7052" s="8" t="s">
        <v>5321</v>
      </c>
      <c r="D7052" t="s">
        <v>272</v>
      </c>
      <c r="E7052" t="s">
        <v>5187</v>
      </c>
      <c r="F7052" t="s">
        <v>231</v>
      </c>
      <c r="G7052" t="s">
        <v>5221</v>
      </c>
      <c r="H7052" s="9">
        <v>44789</v>
      </c>
      <c r="I7052" t="s">
        <v>99</v>
      </c>
      <c r="J7052" t="s">
        <v>0</v>
      </c>
      <c r="K7052" s="9">
        <v>44881</v>
      </c>
      <c r="L7052" t="s">
        <v>29</v>
      </c>
      <c r="M7052"/>
      <c r="N7052" s="9">
        <v>44825</v>
      </c>
      <c r="O7052" s="9">
        <v>44834</v>
      </c>
      <c r="P7052"/>
      <c r="Q7052" s="9">
        <v>44881</v>
      </c>
      <c r="R7052"/>
      <c r="S7052"/>
      <c r="T7052"/>
      <c r="U7052"/>
    </row>
    <row r="7053" spans="1:21" hidden="1">
      <c r="A7053" s="7" t="s">
        <v>8712</v>
      </c>
      <c r="B7053" s="7" t="s">
        <v>5405</v>
      </c>
      <c r="C7053" s="8" t="s">
        <v>5321</v>
      </c>
      <c r="D7053" t="s">
        <v>272</v>
      </c>
      <c r="E7053" t="s">
        <v>25</v>
      </c>
      <c r="F7053" t="s">
        <v>26</v>
      </c>
      <c r="G7053" t="s">
        <v>5222</v>
      </c>
      <c r="H7053" s="9">
        <v>44789</v>
      </c>
      <c r="I7053" t="s">
        <v>8634</v>
      </c>
      <c r="J7053" t="s">
        <v>5330</v>
      </c>
      <c r="K7053" s="9">
        <v>44834</v>
      </c>
      <c r="L7053" t="s">
        <v>29</v>
      </c>
      <c r="M7053"/>
      <c r="N7053" s="9">
        <v>44825</v>
      </c>
      <c r="O7053" s="9">
        <v>44834</v>
      </c>
      <c r="P7053"/>
      <c r="Q7053"/>
      <c r="R7053"/>
      <c r="S7053"/>
      <c r="T7053"/>
      <c r="U7053"/>
    </row>
    <row r="7054" spans="1:21" hidden="1">
      <c r="A7054" s="7" t="s">
        <v>8728</v>
      </c>
      <c r="B7054" s="7" t="s">
        <v>5405</v>
      </c>
      <c r="C7054" s="8" t="s">
        <v>5321</v>
      </c>
      <c r="D7054" t="s">
        <v>272</v>
      </c>
      <c r="E7054" t="s">
        <v>25</v>
      </c>
      <c r="F7054" t="s">
        <v>200</v>
      </c>
      <c r="G7054" t="s">
        <v>5223</v>
      </c>
      <c r="H7054" s="9">
        <v>44789</v>
      </c>
      <c r="I7054" t="s">
        <v>8634</v>
      </c>
      <c r="J7054" t="s">
        <v>5330</v>
      </c>
      <c r="K7054" s="9">
        <v>44834</v>
      </c>
      <c r="L7054" t="s">
        <v>29</v>
      </c>
      <c r="M7054"/>
      <c r="N7054" s="9">
        <v>44825</v>
      </c>
      <c r="O7054" s="9">
        <v>44834</v>
      </c>
      <c r="P7054"/>
      <c r="Q7054"/>
      <c r="R7054"/>
      <c r="S7054"/>
      <c r="T7054"/>
      <c r="U7054"/>
    </row>
    <row r="7055" spans="1:21" hidden="1">
      <c r="A7055" s="7" t="s">
        <v>8832</v>
      </c>
      <c r="B7055" s="7" t="s">
        <v>8356</v>
      </c>
      <c r="C7055" s="8" t="s">
        <v>5321</v>
      </c>
      <c r="D7055" t="s">
        <v>272</v>
      </c>
      <c r="E7055" t="s">
        <v>1780</v>
      </c>
      <c r="F7055" t="s">
        <v>117</v>
      </c>
      <c r="G7055" t="s">
        <v>5224</v>
      </c>
      <c r="H7055" s="9">
        <v>44789</v>
      </c>
      <c r="I7055" t="s">
        <v>330</v>
      </c>
      <c r="J7055" t="s">
        <v>0</v>
      </c>
      <c r="K7055" s="9">
        <v>44827</v>
      </c>
      <c r="L7055" t="s">
        <v>29</v>
      </c>
      <c r="M7055"/>
      <c r="N7055" s="9">
        <v>44825</v>
      </c>
      <c r="O7055"/>
      <c r="P7055"/>
      <c r="Q7055" s="9">
        <v>44827</v>
      </c>
      <c r="R7055"/>
      <c r="S7055"/>
      <c r="T7055"/>
      <c r="U7055"/>
    </row>
    <row r="7056" spans="1:21" hidden="1">
      <c r="A7056" s="7" t="s">
        <v>8747</v>
      </c>
      <c r="B7056" s="7" t="s">
        <v>7750</v>
      </c>
      <c r="C7056" s="8" t="s">
        <v>5321</v>
      </c>
      <c r="D7056" t="s">
        <v>272</v>
      </c>
      <c r="E7056" t="s">
        <v>409</v>
      </c>
      <c r="F7056" t="s">
        <v>117</v>
      </c>
      <c r="G7056" t="s">
        <v>5225</v>
      </c>
      <c r="H7056" s="9">
        <v>44789</v>
      </c>
      <c r="I7056" t="s">
        <v>411</v>
      </c>
      <c r="J7056" t="s">
        <v>5330</v>
      </c>
      <c r="K7056" s="9">
        <v>44834</v>
      </c>
      <c r="L7056" t="s">
        <v>29</v>
      </c>
      <c r="M7056"/>
      <c r="N7056" s="9">
        <v>44825</v>
      </c>
      <c r="O7056" s="9">
        <v>44834</v>
      </c>
      <c r="P7056"/>
      <c r="Q7056"/>
      <c r="R7056"/>
      <c r="S7056"/>
      <c r="T7056"/>
      <c r="U7056"/>
    </row>
    <row r="7057" spans="1:21" hidden="1">
      <c r="A7057" s="7" t="s">
        <v>8747</v>
      </c>
      <c r="B7057" s="7" t="s">
        <v>7750</v>
      </c>
      <c r="C7057" s="8" t="s">
        <v>5321</v>
      </c>
      <c r="D7057" t="s">
        <v>272</v>
      </c>
      <c r="E7057" t="s">
        <v>409</v>
      </c>
      <c r="F7057" t="s">
        <v>117</v>
      </c>
      <c r="G7057" t="s">
        <v>5226</v>
      </c>
      <c r="H7057" s="9">
        <v>44789</v>
      </c>
      <c r="I7057" t="s">
        <v>411</v>
      </c>
      <c r="J7057" t="s">
        <v>5330</v>
      </c>
      <c r="K7057" s="9">
        <v>44834</v>
      </c>
      <c r="L7057" t="s">
        <v>29</v>
      </c>
      <c r="M7057"/>
      <c r="N7057" s="9">
        <v>44825</v>
      </c>
      <c r="O7057" s="9">
        <v>44834</v>
      </c>
      <c r="P7057"/>
      <c r="Q7057"/>
      <c r="R7057"/>
      <c r="S7057"/>
      <c r="T7057"/>
      <c r="U7057"/>
    </row>
    <row r="7058" spans="1:21" hidden="1">
      <c r="A7058" s="7" t="s">
        <v>8728</v>
      </c>
      <c r="B7058" s="7" t="s">
        <v>5405</v>
      </c>
      <c r="C7058" s="8" t="s">
        <v>5321</v>
      </c>
      <c r="D7058" t="s">
        <v>272</v>
      </c>
      <c r="E7058" t="s">
        <v>25</v>
      </c>
      <c r="F7058" t="s">
        <v>200</v>
      </c>
      <c r="G7058" t="s">
        <v>5227</v>
      </c>
      <c r="H7058" s="9">
        <v>44789</v>
      </c>
      <c r="I7058" t="s">
        <v>8634</v>
      </c>
      <c r="J7058" t="s">
        <v>5330</v>
      </c>
      <c r="K7058" s="9">
        <v>44834</v>
      </c>
      <c r="L7058" t="s">
        <v>29</v>
      </c>
      <c r="M7058"/>
      <c r="N7058" s="9">
        <v>44825</v>
      </c>
      <c r="O7058" s="9">
        <v>44834</v>
      </c>
      <c r="P7058"/>
      <c r="Q7058"/>
      <c r="R7058"/>
      <c r="S7058"/>
      <c r="T7058"/>
      <c r="U7058"/>
    </row>
    <row r="7059" spans="1:21" hidden="1">
      <c r="A7059" s="7" t="s">
        <v>8822</v>
      </c>
      <c r="B7059" s="7" t="s">
        <v>6728</v>
      </c>
      <c r="C7059" s="8" t="s">
        <v>5321</v>
      </c>
      <c r="D7059" t="s">
        <v>272</v>
      </c>
      <c r="E7059" t="s">
        <v>1473</v>
      </c>
      <c r="F7059" t="s">
        <v>83</v>
      </c>
      <c r="G7059" t="s">
        <v>5228</v>
      </c>
      <c r="H7059" s="9">
        <v>44789</v>
      </c>
      <c r="I7059" t="s">
        <v>306</v>
      </c>
      <c r="J7059" t="s">
        <v>5330</v>
      </c>
      <c r="K7059" s="9">
        <v>44834</v>
      </c>
      <c r="L7059" t="s">
        <v>29</v>
      </c>
      <c r="M7059"/>
      <c r="N7059" s="9">
        <v>44825</v>
      </c>
      <c r="O7059" s="9">
        <v>44834</v>
      </c>
      <c r="P7059"/>
      <c r="Q7059"/>
      <c r="R7059"/>
      <c r="S7059"/>
      <c r="T7059"/>
      <c r="U7059"/>
    </row>
    <row r="7060" spans="1:21" hidden="1">
      <c r="A7060" s="7" t="s">
        <v>8822</v>
      </c>
      <c r="B7060" s="7" t="s">
        <v>6728</v>
      </c>
      <c r="C7060" s="8" t="s">
        <v>5321</v>
      </c>
      <c r="D7060" t="s">
        <v>272</v>
      </c>
      <c r="E7060" t="s">
        <v>1473</v>
      </c>
      <c r="F7060" t="s">
        <v>83</v>
      </c>
      <c r="G7060" t="s">
        <v>5229</v>
      </c>
      <c r="H7060" s="9">
        <v>44789</v>
      </c>
      <c r="I7060" t="s">
        <v>306</v>
      </c>
      <c r="J7060" t="s">
        <v>5330</v>
      </c>
      <c r="K7060" s="9">
        <v>44834</v>
      </c>
      <c r="L7060" t="s">
        <v>29</v>
      </c>
      <c r="M7060"/>
      <c r="N7060" s="9">
        <v>44825</v>
      </c>
      <c r="O7060" s="9">
        <v>44834</v>
      </c>
      <c r="P7060"/>
      <c r="Q7060"/>
      <c r="R7060"/>
      <c r="S7060"/>
      <c r="T7060"/>
      <c r="U7060"/>
    </row>
    <row r="7061" spans="1:21" hidden="1">
      <c r="A7061" s="7" t="s">
        <v>8822</v>
      </c>
      <c r="B7061" s="7" t="s">
        <v>6728</v>
      </c>
      <c r="C7061" s="8" t="s">
        <v>5321</v>
      </c>
      <c r="D7061" t="s">
        <v>272</v>
      </c>
      <c r="E7061" t="s">
        <v>1473</v>
      </c>
      <c r="F7061" t="s">
        <v>83</v>
      </c>
      <c r="G7061" t="s">
        <v>5230</v>
      </c>
      <c r="H7061" s="9">
        <v>44789</v>
      </c>
      <c r="I7061" t="s">
        <v>306</v>
      </c>
      <c r="J7061" t="s">
        <v>5330</v>
      </c>
      <c r="K7061" s="9">
        <v>44834</v>
      </c>
      <c r="L7061" t="s">
        <v>29</v>
      </c>
      <c r="M7061"/>
      <c r="N7061" s="9">
        <v>44825</v>
      </c>
      <c r="O7061" s="9">
        <v>44834</v>
      </c>
      <c r="P7061"/>
      <c r="Q7061"/>
      <c r="R7061"/>
      <c r="S7061"/>
      <c r="T7061"/>
      <c r="U7061"/>
    </row>
    <row r="7062" spans="1:21" hidden="1">
      <c r="A7062" s="7" t="s">
        <v>8822</v>
      </c>
      <c r="B7062" s="7" t="s">
        <v>6728</v>
      </c>
      <c r="C7062" s="8" t="s">
        <v>5321</v>
      </c>
      <c r="D7062" t="s">
        <v>272</v>
      </c>
      <c r="E7062" t="s">
        <v>1473</v>
      </c>
      <c r="F7062" t="s">
        <v>83</v>
      </c>
      <c r="G7062" t="s">
        <v>5231</v>
      </c>
      <c r="H7062" s="9">
        <v>44789</v>
      </c>
      <c r="I7062" t="s">
        <v>306</v>
      </c>
      <c r="J7062" t="s">
        <v>5330</v>
      </c>
      <c r="K7062" s="9">
        <v>44834</v>
      </c>
      <c r="L7062" t="s">
        <v>29</v>
      </c>
      <c r="M7062"/>
      <c r="N7062" s="9">
        <v>44825</v>
      </c>
      <c r="O7062" s="9">
        <v>44834</v>
      </c>
      <c r="P7062"/>
      <c r="Q7062"/>
      <c r="R7062"/>
      <c r="S7062"/>
      <c r="T7062"/>
      <c r="U7062"/>
    </row>
    <row r="7063" spans="1:21" hidden="1">
      <c r="A7063" s="7" t="s">
        <v>8822</v>
      </c>
      <c r="B7063" s="7" t="s">
        <v>6728</v>
      </c>
      <c r="C7063" s="8" t="s">
        <v>5321</v>
      </c>
      <c r="D7063" t="s">
        <v>272</v>
      </c>
      <c r="E7063" t="s">
        <v>1473</v>
      </c>
      <c r="F7063" t="s">
        <v>83</v>
      </c>
      <c r="G7063" t="s">
        <v>5232</v>
      </c>
      <c r="H7063" s="9">
        <v>44789</v>
      </c>
      <c r="I7063" t="s">
        <v>306</v>
      </c>
      <c r="J7063" t="s">
        <v>5330</v>
      </c>
      <c r="K7063" s="9">
        <v>44834</v>
      </c>
      <c r="L7063" t="s">
        <v>29</v>
      </c>
      <c r="M7063"/>
      <c r="N7063" s="9">
        <v>44825</v>
      </c>
      <c r="O7063" s="9">
        <v>44834</v>
      </c>
      <c r="P7063"/>
      <c r="Q7063"/>
      <c r="R7063"/>
      <c r="S7063"/>
      <c r="T7063"/>
      <c r="U7063"/>
    </row>
    <row r="7064" spans="1:21" hidden="1">
      <c r="A7064" s="7" t="s">
        <v>8822</v>
      </c>
      <c r="B7064" s="7" t="s">
        <v>6728</v>
      </c>
      <c r="C7064" s="8" t="s">
        <v>5321</v>
      </c>
      <c r="D7064" t="s">
        <v>272</v>
      </c>
      <c r="E7064" t="s">
        <v>1473</v>
      </c>
      <c r="F7064" t="s">
        <v>83</v>
      </c>
      <c r="G7064" t="s">
        <v>5233</v>
      </c>
      <c r="H7064" s="9">
        <v>44789</v>
      </c>
      <c r="I7064" t="s">
        <v>306</v>
      </c>
      <c r="J7064" t="s">
        <v>5330</v>
      </c>
      <c r="K7064" s="9">
        <v>44834</v>
      </c>
      <c r="L7064" t="s">
        <v>29</v>
      </c>
      <c r="M7064"/>
      <c r="N7064" s="9">
        <v>44825</v>
      </c>
      <c r="O7064" s="9">
        <v>44834</v>
      </c>
      <c r="P7064"/>
      <c r="Q7064"/>
      <c r="R7064"/>
      <c r="S7064"/>
      <c r="T7064"/>
      <c r="U7064"/>
    </row>
    <row r="7065" spans="1:21" hidden="1">
      <c r="A7065" s="7" t="s">
        <v>8822</v>
      </c>
      <c r="B7065" s="7" t="s">
        <v>6728</v>
      </c>
      <c r="C7065" s="8" t="s">
        <v>5321</v>
      </c>
      <c r="D7065" t="s">
        <v>272</v>
      </c>
      <c r="E7065" t="s">
        <v>1473</v>
      </c>
      <c r="F7065" t="s">
        <v>83</v>
      </c>
      <c r="G7065" t="s">
        <v>5234</v>
      </c>
      <c r="H7065" s="9">
        <v>44789</v>
      </c>
      <c r="I7065" t="s">
        <v>306</v>
      </c>
      <c r="J7065" t="s">
        <v>5330</v>
      </c>
      <c r="K7065" s="9">
        <v>44834</v>
      </c>
      <c r="L7065" t="s">
        <v>29</v>
      </c>
      <c r="M7065"/>
      <c r="N7065" s="9">
        <v>44825</v>
      </c>
      <c r="O7065" s="9">
        <v>44834</v>
      </c>
      <c r="P7065"/>
      <c r="Q7065"/>
      <c r="R7065"/>
      <c r="S7065"/>
      <c r="T7065"/>
      <c r="U7065"/>
    </row>
    <row r="7066" spans="1:21" hidden="1">
      <c r="A7066" s="7" t="s">
        <v>8822</v>
      </c>
      <c r="B7066" s="7" t="s">
        <v>6728</v>
      </c>
      <c r="C7066" s="8" t="s">
        <v>5321</v>
      </c>
      <c r="D7066" t="s">
        <v>272</v>
      </c>
      <c r="E7066" t="s">
        <v>1473</v>
      </c>
      <c r="F7066" t="s">
        <v>83</v>
      </c>
      <c r="G7066" t="s">
        <v>5235</v>
      </c>
      <c r="H7066" s="9">
        <v>44789</v>
      </c>
      <c r="I7066" t="s">
        <v>306</v>
      </c>
      <c r="J7066" t="s">
        <v>5330</v>
      </c>
      <c r="K7066" s="9">
        <v>44834</v>
      </c>
      <c r="L7066" t="s">
        <v>29</v>
      </c>
      <c r="M7066"/>
      <c r="N7066" s="9">
        <v>44825</v>
      </c>
      <c r="O7066" s="9">
        <v>44834</v>
      </c>
      <c r="P7066"/>
      <c r="Q7066"/>
      <c r="R7066"/>
      <c r="S7066"/>
      <c r="T7066"/>
      <c r="U7066"/>
    </row>
    <row r="7067" spans="1:21" hidden="1">
      <c r="A7067" s="7" t="s">
        <v>8822</v>
      </c>
      <c r="B7067" s="7" t="s">
        <v>6728</v>
      </c>
      <c r="C7067" s="8" t="s">
        <v>5321</v>
      </c>
      <c r="D7067" t="s">
        <v>272</v>
      </c>
      <c r="E7067" t="s">
        <v>1473</v>
      </c>
      <c r="F7067" t="s">
        <v>83</v>
      </c>
      <c r="G7067" t="s">
        <v>5236</v>
      </c>
      <c r="H7067" s="9">
        <v>44789</v>
      </c>
      <c r="I7067" t="s">
        <v>306</v>
      </c>
      <c r="J7067" t="s">
        <v>5330</v>
      </c>
      <c r="K7067" s="9">
        <v>44834</v>
      </c>
      <c r="L7067" t="s">
        <v>29</v>
      </c>
      <c r="M7067"/>
      <c r="N7067" s="9">
        <v>44825</v>
      </c>
      <c r="O7067" s="9">
        <v>44834</v>
      </c>
      <c r="P7067"/>
      <c r="Q7067"/>
      <c r="R7067"/>
      <c r="S7067"/>
      <c r="T7067"/>
      <c r="U7067"/>
    </row>
    <row r="7068" spans="1:21" hidden="1">
      <c r="A7068" s="7" t="s">
        <v>8780</v>
      </c>
      <c r="B7068" s="7" t="s">
        <v>7806</v>
      </c>
      <c r="C7068" s="8" t="s">
        <v>5321</v>
      </c>
      <c r="D7068" t="s">
        <v>272</v>
      </c>
      <c r="E7068" t="s">
        <v>812</v>
      </c>
      <c r="F7068" t="s">
        <v>117</v>
      </c>
      <c r="G7068" t="s">
        <v>5237</v>
      </c>
      <c r="H7068" s="9">
        <v>44789</v>
      </c>
      <c r="I7068" t="s">
        <v>814</v>
      </c>
      <c r="J7068" t="s">
        <v>5330</v>
      </c>
      <c r="K7068" s="9">
        <v>44834</v>
      </c>
      <c r="L7068" t="s">
        <v>29</v>
      </c>
      <c r="M7068"/>
      <c r="N7068" s="9">
        <v>44825</v>
      </c>
      <c r="O7068" s="9">
        <v>44834</v>
      </c>
      <c r="P7068"/>
      <c r="Q7068"/>
      <c r="R7068"/>
      <c r="S7068"/>
      <c r="T7068"/>
      <c r="U7068"/>
    </row>
    <row r="7069" spans="1:21" hidden="1">
      <c r="A7069" s="7" t="s">
        <v>8780</v>
      </c>
      <c r="B7069" s="7" t="s">
        <v>7806</v>
      </c>
      <c r="C7069" s="8" t="s">
        <v>5321</v>
      </c>
      <c r="D7069" t="s">
        <v>272</v>
      </c>
      <c r="E7069" t="s">
        <v>812</v>
      </c>
      <c r="F7069" t="s">
        <v>117</v>
      </c>
      <c r="G7069" t="s">
        <v>5238</v>
      </c>
      <c r="H7069" s="9">
        <v>44789</v>
      </c>
      <c r="I7069" t="s">
        <v>814</v>
      </c>
      <c r="J7069" t="s">
        <v>5330</v>
      </c>
      <c r="K7069" s="9">
        <v>44834</v>
      </c>
      <c r="L7069" t="s">
        <v>29</v>
      </c>
      <c r="M7069"/>
      <c r="N7069" s="9">
        <v>44825</v>
      </c>
      <c r="O7069" s="9">
        <v>44834</v>
      </c>
      <c r="P7069"/>
      <c r="Q7069"/>
      <c r="R7069"/>
      <c r="S7069"/>
      <c r="T7069"/>
      <c r="U7069"/>
    </row>
    <row r="7070" spans="1:21" hidden="1">
      <c r="A7070" s="7" t="s">
        <v>8780</v>
      </c>
      <c r="B7070" s="7" t="s">
        <v>7806</v>
      </c>
      <c r="C7070" s="8" t="s">
        <v>5321</v>
      </c>
      <c r="D7070" t="s">
        <v>272</v>
      </c>
      <c r="E7070" t="s">
        <v>812</v>
      </c>
      <c r="F7070" t="s">
        <v>117</v>
      </c>
      <c r="G7070" t="s">
        <v>5239</v>
      </c>
      <c r="H7070" s="9">
        <v>44789</v>
      </c>
      <c r="I7070" t="s">
        <v>814</v>
      </c>
      <c r="J7070" t="s">
        <v>5330</v>
      </c>
      <c r="K7070" s="9">
        <v>44834</v>
      </c>
      <c r="L7070" t="s">
        <v>29</v>
      </c>
      <c r="M7070"/>
      <c r="N7070" s="9">
        <v>44825</v>
      </c>
      <c r="O7070" s="9">
        <v>44834</v>
      </c>
      <c r="P7070"/>
      <c r="Q7070"/>
      <c r="R7070"/>
      <c r="S7070"/>
      <c r="T7070"/>
      <c r="U7070"/>
    </row>
    <row r="7071" spans="1:21" hidden="1">
      <c r="A7071" s="7" t="s">
        <v>8780</v>
      </c>
      <c r="B7071" s="7" t="s">
        <v>7806</v>
      </c>
      <c r="C7071" s="8" t="s">
        <v>5321</v>
      </c>
      <c r="D7071" t="s">
        <v>272</v>
      </c>
      <c r="E7071" t="s">
        <v>812</v>
      </c>
      <c r="F7071" t="s">
        <v>117</v>
      </c>
      <c r="G7071" t="s">
        <v>5240</v>
      </c>
      <c r="H7071" s="9">
        <v>44789</v>
      </c>
      <c r="I7071" t="s">
        <v>814</v>
      </c>
      <c r="J7071" t="s">
        <v>5330</v>
      </c>
      <c r="K7071" s="9">
        <v>44834</v>
      </c>
      <c r="L7071" t="s">
        <v>29</v>
      </c>
      <c r="M7071"/>
      <c r="N7071" s="9">
        <v>44825</v>
      </c>
      <c r="O7071" s="9">
        <v>44834</v>
      </c>
      <c r="P7071"/>
      <c r="Q7071"/>
      <c r="R7071"/>
      <c r="S7071"/>
      <c r="T7071"/>
      <c r="U7071"/>
    </row>
    <row r="7072" spans="1:21" hidden="1">
      <c r="A7072" s="7" t="s">
        <v>8780</v>
      </c>
      <c r="B7072" s="7" t="s">
        <v>7806</v>
      </c>
      <c r="C7072" s="8" t="s">
        <v>5321</v>
      </c>
      <c r="D7072" t="s">
        <v>272</v>
      </c>
      <c r="E7072" t="s">
        <v>812</v>
      </c>
      <c r="F7072" t="s">
        <v>117</v>
      </c>
      <c r="G7072" t="s">
        <v>5241</v>
      </c>
      <c r="H7072" s="9">
        <v>44789</v>
      </c>
      <c r="I7072" t="s">
        <v>814</v>
      </c>
      <c r="J7072" t="s">
        <v>5330</v>
      </c>
      <c r="K7072" s="9">
        <v>44834</v>
      </c>
      <c r="L7072" t="s">
        <v>29</v>
      </c>
      <c r="M7072"/>
      <c r="N7072" s="9">
        <v>44825</v>
      </c>
      <c r="O7072" s="9">
        <v>44834</v>
      </c>
      <c r="P7072"/>
      <c r="Q7072"/>
      <c r="R7072"/>
      <c r="S7072"/>
      <c r="T7072"/>
      <c r="U7072"/>
    </row>
    <row r="7073" spans="1:21" hidden="1">
      <c r="A7073" s="7" t="s">
        <v>8780</v>
      </c>
      <c r="B7073" s="7" t="s">
        <v>7806</v>
      </c>
      <c r="C7073" s="8" t="s">
        <v>5321</v>
      </c>
      <c r="D7073" t="s">
        <v>272</v>
      </c>
      <c r="E7073" t="s">
        <v>812</v>
      </c>
      <c r="F7073" t="s">
        <v>117</v>
      </c>
      <c r="G7073" t="s">
        <v>5242</v>
      </c>
      <c r="H7073" s="9">
        <v>44789</v>
      </c>
      <c r="I7073" t="s">
        <v>814</v>
      </c>
      <c r="J7073" t="s">
        <v>5330</v>
      </c>
      <c r="K7073" s="9">
        <v>44834</v>
      </c>
      <c r="L7073" t="s">
        <v>29</v>
      </c>
      <c r="M7073"/>
      <c r="N7073" s="9">
        <v>44825</v>
      </c>
      <c r="O7073" s="9">
        <v>44834</v>
      </c>
      <c r="P7073"/>
      <c r="Q7073"/>
      <c r="R7073"/>
      <c r="S7073"/>
      <c r="T7073"/>
      <c r="U7073"/>
    </row>
    <row r="7074" spans="1:21" hidden="1">
      <c r="A7074" s="7" t="s">
        <v>8780</v>
      </c>
      <c r="B7074" s="7" t="s">
        <v>7806</v>
      </c>
      <c r="C7074" s="8" t="s">
        <v>5321</v>
      </c>
      <c r="D7074" t="s">
        <v>272</v>
      </c>
      <c r="E7074" t="s">
        <v>812</v>
      </c>
      <c r="F7074" t="s">
        <v>117</v>
      </c>
      <c r="G7074" t="s">
        <v>5243</v>
      </c>
      <c r="H7074" s="9">
        <v>44789</v>
      </c>
      <c r="I7074" t="s">
        <v>814</v>
      </c>
      <c r="J7074" t="s">
        <v>5330</v>
      </c>
      <c r="K7074" s="9">
        <v>44834</v>
      </c>
      <c r="L7074" t="s">
        <v>29</v>
      </c>
      <c r="M7074"/>
      <c r="N7074" s="9">
        <v>44825</v>
      </c>
      <c r="O7074" s="9">
        <v>44834</v>
      </c>
      <c r="P7074"/>
      <c r="Q7074"/>
      <c r="R7074"/>
      <c r="S7074"/>
      <c r="T7074"/>
      <c r="U7074"/>
    </row>
    <row r="7075" spans="1:21" hidden="1">
      <c r="A7075" s="7" t="s">
        <v>8728</v>
      </c>
      <c r="B7075" s="7" t="s">
        <v>5405</v>
      </c>
      <c r="C7075" s="8" t="s">
        <v>5321</v>
      </c>
      <c r="D7075" t="s">
        <v>272</v>
      </c>
      <c r="E7075" t="s">
        <v>25</v>
      </c>
      <c r="F7075" t="s">
        <v>200</v>
      </c>
      <c r="G7075" t="s">
        <v>5244</v>
      </c>
      <c r="H7075" s="9">
        <v>44789</v>
      </c>
      <c r="I7075" t="s">
        <v>8634</v>
      </c>
      <c r="J7075" t="s">
        <v>5330</v>
      </c>
      <c r="K7075" s="9">
        <v>44834</v>
      </c>
      <c r="L7075" t="s">
        <v>29</v>
      </c>
      <c r="M7075"/>
      <c r="N7075" s="9">
        <v>44825</v>
      </c>
      <c r="O7075" s="9">
        <v>44834</v>
      </c>
      <c r="P7075"/>
      <c r="Q7075"/>
      <c r="R7075"/>
      <c r="S7075"/>
      <c r="T7075"/>
      <c r="U7075"/>
    </row>
    <row r="7076" spans="1:21" hidden="1">
      <c r="A7076" s="7" t="s">
        <v>8728</v>
      </c>
      <c r="B7076" s="7" t="s">
        <v>5405</v>
      </c>
      <c r="C7076" s="8" t="s">
        <v>5321</v>
      </c>
      <c r="D7076" t="s">
        <v>272</v>
      </c>
      <c r="E7076" t="s">
        <v>25</v>
      </c>
      <c r="F7076" t="s">
        <v>200</v>
      </c>
      <c r="G7076" t="s">
        <v>5245</v>
      </c>
      <c r="H7076" s="9">
        <v>44789</v>
      </c>
      <c r="I7076" t="s">
        <v>8634</v>
      </c>
      <c r="J7076" t="s">
        <v>5330</v>
      </c>
      <c r="K7076" s="9">
        <v>44834</v>
      </c>
      <c r="L7076" t="s">
        <v>29</v>
      </c>
      <c r="M7076"/>
      <c r="N7076" s="9">
        <v>44825</v>
      </c>
      <c r="O7076" s="9">
        <v>44834</v>
      </c>
      <c r="P7076"/>
      <c r="Q7076"/>
      <c r="R7076"/>
      <c r="S7076"/>
      <c r="T7076"/>
      <c r="U7076"/>
    </row>
    <row r="7077" spans="1:21" hidden="1">
      <c r="A7077" s="7" t="s">
        <v>8728</v>
      </c>
      <c r="B7077" s="7" t="s">
        <v>5405</v>
      </c>
      <c r="C7077" s="8" t="s">
        <v>5321</v>
      </c>
      <c r="D7077" t="s">
        <v>272</v>
      </c>
      <c r="E7077" t="s">
        <v>25</v>
      </c>
      <c r="F7077" t="s">
        <v>200</v>
      </c>
      <c r="G7077" t="s">
        <v>5246</v>
      </c>
      <c r="H7077" s="9">
        <v>44789</v>
      </c>
      <c r="I7077" t="s">
        <v>8634</v>
      </c>
      <c r="J7077" t="s">
        <v>5330</v>
      </c>
      <c r="K7077" s="9">
        <v>44834</v>
      </c>
      <c r="L7077" t="s">
        <v>29</v>
      </c>
      <c r="M7077"/>
      <c r="N7077" s="9">
        <v>44825</v>
      </c>
      <c r="O7077" s="9">
        <v>44834</v>
      </c>
      <c r="P7077"/>
      <c r="Q7077"/>
      <c r="R7077"/>
      <c r="S7077"/>
      <c r="T7077"/>
      <c r="U7077"/>
    </row>
    <row r="7078" spans="1:21" hidden="1">
      <c r="A7078" s="7" t="s">
        <v>8728</v>
      </c>
      <c r="B7078" s="7" t="s">
        <v>5405</v>
      </c>
      <c r="C7078" s="8" t="s">
        <v>5321</v>
      </c>
      <c r="D7078" t="s">
        <v>272</v>
      </c>
      <c r="E7078" t="s">
        <v>25</v>
      </c>
      <c r="F7078" t="s">
        <v>200</v>
      </c>
      <c r="G7078" t="s">
        <v>5247</v>
      </c>
      <c r="H7078" s="9">
        <v>44789</v>
      </c>
      <c r="I7078" t="s">
        <v>8634</v>
      </c>
      <c r="J7078" t="s">
        <v>5330</v>
      </c>
      <c r="K7078" s="9">
        <v>44834</v>
      </c>
      <c r="L7078" t="s">
        <v>29</v>
      </c>
      <c r="M7078"/>
      <c r="N7078" s="9">
        <v>44825</v>
      </c>
      <c r="O7078" s="9">
        <v>44834</v>
      </c>
      <c r="P7078"/>
      <c r="Q7078"/>
      <c r="R7078"/>
      <c r="S7078"/>
      <c r="T7078"/>
      <c r="U7078"/>
    </row>
    <row r="7079" spans="1:21" hidden="1">
      <c r="A7079" s="7" t="s">
        <v>8758</v>
      </c>
      <c r="B7079" s="7" t="s">
        <v>5405</v>
      </c>
      <c r="C7079" s="8" t="s">
        <v>5321</v>
      </c>
      <c r="D7079" t="s">
        <v>272</v>
      </c>
      <c r="E7079" t="s">
        <v>25</v>
      </c>
      <c r="F7079" t="s">
        <v>493</v>
      </c>
      <c r="G7079" t="s">
        <v>5248</v>
      </c>
      <c r="H7079" s="9">
        <v>44789</v>
      </c>
      <c r="I7079" t="s">
        <v>8634</v>
      </c>
      <c r="J7079" t="s">
        <v>0</v>
      </c>
      <c r="K7079" s="9">
        <v>44862</v>
      </c>
      <c r="L7079" t="s">
        <v>29</v>
      </c>
      <c r="M7079"/>
      <c r="N7079" s="9">
        <v>44825</v>
      </c>
      <c r="O7079"/>
      <c r="P7079"/>
      <c r="Q7079" s="9">
        <v>44862</v>
      </c>
      <c r="R7079"/>
      <c r="S7079"/>
      <c r="T7079"/>
      <c r="U7079"/>
    </row>
    <row r="7080" spans="1:21" hidden="1">
      <c r="A7080" s="7" t="s">
        <v>8712</v>
      </c>
      <c r="B7080" s="7" t="s">
        <v>5405</v>
      </c>
      <c r="C7080" s="8" t="s">
        <v>5321</v>
      </c>
      <c r="D7080" t="s">
        <v>272</v>
      </c>
      <c r="E7080" t="s">
        <v>25</v>
      </c>
      <c r="F7080" t="s">
        <v>26</v>
      </c>
      <c r="G7080" t="s">
        <v>5249</v>
      </c>
      <c r="H7080" s="9">
        <v>44789</v>
      </c>
      <c r="I7080" t="s">
        <v>8634</v>
      </c>
      <c r="J7080" t="s">
        <v>0</v>
      </c>
      <c r="K7080" s="9">
        <v>44882</v>
      </c>
      <c r="L7080" t="s">
        <v>29</v>
      </c>
      <c r="M7080"/>
      <c r="N7080" s="9">
        <v>44825</v>
      </c>
      <c r="O7080"/>
      <c r="P7080"/>
      <c r="Q7080" s="9">
        <v>44882</v>
      </c>
      <c r="R7080"/>
      <c r="S7080"/>
      <c r="T7080"/>
      <c r="U7080"/>
    </row>
    <row r="7081" spans="1:21" hidden="1">
      <c r="A7081" s="7" t="s">
        <v>8712</v>
      </c>
      <c r="B7081" s="7" t="s">
        <v>5405</v>
      </c>
      <c r="C7081" s="8" t="s">
        <v>5321</v>
      </c>
      <c r="D7081" t="s">
        <v>272</v>
      </c>
      <c r="E7081" t="s">
        <v>25</v>
      </c>
      <c r="F7081" t="s">
        <v>26</v>
      </c>
      <c r="G7081" t="s">
        <v>5250</v>
      </c>
      <c r="H7081" s="9">
        <v>44789</v>
      </c>
      <c r="I7081" t="s">
        <v>8634</v>
      </c>
      <c r="J7081" t="s">
        <v>0</v>
      </c>
      <c r="K7081" s="9">
        <v>44882</v>
      </c>
      <c r="L7081" t="s">
        <v>29</v>
      </c>
      <c r="M7081"/>
      <c r="N7081" s="9">
        <v>44825</v>
      </c>
      <c r="O7081"/>
      <c r="P7081"/>
      <c r="Q7081" s="9">
        <v>44882</v>
      </c>
      <c r="R7081"/>
      <c r="S7081"/>
      <c r="T7081"/>
      <c r="U7081"/>
    </row>
    <row r="7082" spans="1:21" hidden="1">
      <c r="A7082" s="7" t="s">
        <v>8712</v>
      </c>
      <c r="B7082" s="7" t="s">
        <v>5405</v>
      </c>
      <c r="C7082" s="8" t="s">
        <v>5321</v>
      </c>
      <c r="D7082" t="s">
        <v>272</v>
      </c>
      <c r="E7082" t="s">
        <v>25</v>
      </c>
      <c r="F7082" t="s">
        <v>26</v>
      </c>
      <c r="G7082" t="s">
        <v>5251</v>
      </c>
      <c r="H7082" s="9">
        <v>44789</v>
      </c>
      <c r="I7082" t="s">
        <v>8634</v>
      </c>
      <c r="J7082" t="s">
        <v>0</v>
      </c>
      <c r="K7082" s="9">
        <v>44882</v>
      </c>
      <c r="L7082" t="s">
        <v>29</v>
      </c>
      <c r="M7082"/>
      <c r="N7082" s="9">
        <v>44825</v>
      </c>
      <c r="O7082"/>
      <c r="P7082"/>
      <c r="Q7082" s="9">
        <v>44882</v>
      </c>
      <c r="R7082"/>
      <c r="S7082"/>
      <c r="T7082"/>
      <c r="U7082"/>
    </row>
    <row r="7083" spans="1:21" hidden="1">
      <c r="A7083" s="7" t="s">
        <v>8712</v>
      </c>
      <c r="B7083" s="7" t="s">
        <v>5405</v>
      </c>
      <c r="C7083" s="8" t="s">
        <v>5321</v>
      </c>
      <c r="D7083" t="s">
        <v>272</v>
      </c>
      <c r="E7083" t="s">
        <v>25</v>
      </c>
      <c r="F7083" t="s">
        <v>26</v>
      </c>
      <c r="G7083" t="s">
        <v>5252</v>
      </c>
      <c r="H7083" s="9">
        <v>44789</v>
      </c>
      <c r="I7083" t="s">
        <v>8634</v>
      </c>
      <c r="J7083" t="s">
        <v>0</v>
      </c>
      <c r="K7083" s="9">
        <v>44882</v>
      </c>
      <c r="L7083" t="s">
        <v>29</v>
      </c>
      <c r="M7083"/>
      <c r="N7083" s="9">
        <v>44825</v>
      </c>
      <c r="O7083"/>
      <c r="P7083"/>
      <c r="Q7083" s="9">
        <v>44882</v>
      </c>
      <c r="R7083"/>
      <c r="S7083"/>
      <c r="T7083"/>
      <c r="U7083"/>
    </row>
    <row r="7084" spans="1:21" hidden="1">
      <c r="A7084" s="7" t="s">
        <v>8763</v>
      </c>
      <c r="B7084" s="7" t="s">
        <v>5405</v>
      </c>
      <c r="C7084" s="8" t="s">
        <v>5321</v>
      </c>
      <c r="D7084" t="s">
        <v>168</v>
      </c>
      <c r="E7084" t="s">
        <v>25</v>
      </c>
      <c r="F7084" t="s">
        <v>280</v>
      </c>
      <c r="G7084" t="s">
        <v>5253</v>
      </c>
      <c r="H7084" s="9">
        <v>44789</v>
      </c>
      <c r="I7084" t="s">
        <v>8634</v>
      </c>
      <c r="J7084" t="s">
        <v>5330</v>
      </c>
      <c r="K7084" s="9">
        <v>44834</v>
      </c>
      <c r="L7084" t="s">
        <v>29</v>
      </c>
      <c r="M7084"/>
      <c r="N7084" s="9">
        <v>44825</v>
      </c>
      <c r="O7084" s="9">
        <v>44834</v>
      </c>
      <c r="P7084"/>
      <c r="Q7084"/>
      <c r="R7084"/>
      <c r="S7084"/>
      <c r="T7084"/>
      <c r="U7084"/>
    </row>
    <row r="7085" spans="1:21" hidden="1">
      <c r="A7085" s="7" t="s">
        <v>8763</v>
      </c>
      <c r="B7085" s="7" t="s">
        <v>5405</v>
      </c>
      <c r="C7085" s="8" t="s">
        <v>5321</v>
      </c>
      <c r="D7085" t="s">
        <v>168</v>
      </c>
      <c r="E7085" t="s">
        <v>25</v>
      </c>
      <c r="F7085" t="s">
        <v>280</v>
      </c>
      <c r="G7085" t="s">
        <v>5254</v>
      </c>
      <c r="H7085" s="9">
        <v>44789</v>
      </c>
      <c r="I7085" t="s">
        <v>8634</v>
      </c>
      <c r="J7085" t="s">
        <v>5330</v>
      </c>
      <c r="K7085" s="9">
        <v>44834</v>
      </c>
      <c r="L7085" t="s">
        <v>29</v>
      </c>
      <c r="M7085"/>
      <c r="N7085" s="9">
        <v>44825</v>
      </c>
      <c r="O7085" s="9">
        <v>44834</v>
      </c>
      <c r="P7085"/>
      <c r="Q7085"/>
      <c r="R7085"/>
      <c r="S7085"/>
      <c r="T7085"/>
      <c r="U7085"/>
    </row>
    <row r="7086" spans="1:21" hidden="1">
      <c r="A7086" s="7" t="s">
        <v>8763</v>
      </c>
      <c r="B7086" s="7" t="s">
        <v>5405</v>
      </c>
      <c r="C7086" s="8" t="s">
        <v>5321</v>
      </c>
      <c r="D7086" t="s">
        <v>168</v>
      </c>
      <c r="E7086" t="s">
        <v>25</v>
      </c>
      <c r="F7086" t="s">
        <v>280</v>
      </c>
      <c r="G7086" t="s">
        <v>5255</v>
      </c>
      <c r="H7086" s="9">
        <v>44789</v>
      </c>
      <c r="I7086" t="s">
        <v>8634</v>
      </c>
      <c r="J7086" t="s">
        <v>5330</v>
      </c>
      <c r="K7086" s="9">
        <v>44834</v>
      </c>
      <c r="L7086" t="s">
        <v>29</v>
      </c>
      <c r="M7086"/>
      <c r="N7086" s="9">
        <v>44825</v>
      </c>
      <c r="O7086" s="9">
        <v>44834</v>
      </c>
      <c r="P7086"/>
      <c r="Q7086"/>
      <c r="R7086"/>
      <c r="S7086"/>
      <c r="T7086"/>
      <c r="U7086"/>
    </row>
    <row r="7087" spans="1:21" hidden="1">
      <c r="A7087" s="7" t="s">
        <v>8763</v>
      </c>
      <c r="B7087" s="7" t="s">
        <v>5405</v>
      </c>
      <c r="C7087" s="8" t="s">
        <v>5321</v>
      </c>
      <c r="D7087" t="s">
        <v>168</v>
      </c>
      <c r="E7087" t="s">
        <v>25</v>
      </c>
      <c r="F7087" t="s">
        <v>280</v>
      </c>
      <c r="G7087" t="s">
        <v>5256</v>
      </c>
      <c r="H7087" s="9">
        <v>44789</v>
      </c>
      <c r="I7087" t="s">
        <v>8634</v>
      </c>
      <c r="J7087" t="s">
        <v>5330</v>
      </c>
      <c r="K7087" s="9">
        <v>44834</v>
      </c>
      <c r="L7087" t="s">
        <v>29</v>
      </c>
      <c r="M7087"/>
      <c r="N7087" s="9">
        <v>44825</v>
      </c>
      <c r="O7087" s="9">
        <v>44834</v>
      </c>
      <c r="P7087"/>
      <c r="Q7087"/>
      <c r="R7087"/>
      <c r="S7087"/>
      <c r="T7087"/>
      <c r="U7087"/>
    </row>
    <row r="7088" spans="1:21" hidden="1">
      <c r="A7088" s="7" t="s">
        <v>8765</v>
      </c>
      <c r="B7088" s="7" t="s">
        <v>5405</v>
      </c>
      <c r="C7088" s="8" t="s">
        <v>5321</v>
      </c>
      <c r="D7088" t="s">
        <v>24</v>
      </c>
      <c r="E7088" t="s">
        <v>25</v>
      </c>
      <c r="F7088" t="s">
        <v>231</v>
      </c>
      <c r="G7088" t="s">
        <v>5257</v>
      </c>
      <c r="H7088" s="9">
        <v>44789</v>
      </c>
      <c r="I7088" t="s">
        <v>8634</v>
      </c>
      <c r="J7088" t="s">
        <v>5330</v>
      </c>
      <c r="K7088" s="9">
        <v>44834</v>
      </c>
      <c r="L7088" t="s">
        <v>29</v>
      </c>
      <c r="M7088"/>
      <c r="N7088" s="9">
        <v>44825</v>
      </c>
      <c r="O7088" s="9">
        <v>44834</v>
      </c>
      <c r="P7088"/>
      <c r="Q7088"/>
      <c r="R7088"/>
      <c r="S7088"/>
      <c r="T7088"/>
      <c r="U7088"/>
    </row>
    <row r="7089" spans="1:21" hidden="1">
      <c r="A7089" s="7" t="s">
        <v>8777</v>
      </c>
      <c r="B7089" s="7" t="s">
        <v>6307</v>
      </c>
      <c r="C7089" s="8" t="s">
        <v>5321</v>
      </c>
      <c r="D7089" t="s">
        <v>24</v>
      </c>
      <c r="E7089" t="s">
        <v>78</v>
      </c>
      <c r="F7089" t="s">
        <v>803</v>
      </c>
      <c r="G7089" t="s">
        <v>5258</v>
      </c>
      <c r="H7089" s="9">
        <v>44789</v>
      </c>
      <c r="I7089" t="s">
        <v>109</v>
      </c>
      <c r="J7089" t="s">
        <v>0</v>
      </c>
      <c r="K7089" s="9">
        <v>44860</v>
      </c>
      <c r="L7089" t="s">
        <v>29</v>
      </c>
      <c r="M7089"/>
      <c r="N7089" s="9">
        <v>44825</v>
      </c>
      <c r="O7089" s="9">
        <v>44834</v>
      </c>
      <c r="P7089"/>
      <c r="Q7089" s="9">
        <v>44860</v>
      </c>
      <c r="R7089"/>
      <c r="S7089"/>
      <c r="T7089"/>
      <c r="U7089"/>
    </row>
    <row r="7090" spans="1:21" hidden="1">
      <c r="A7090" s="7" t="s">
        <v>8777</v>
      </c>
      <c r="B7090" s="7" t="s">
        <v>6307</v>
      </c>
      <c r="C7090" s="8" t="s">
        <v>5321</v>
      </c>
      <c r="D7090" t="s">
        <v>24</v>
      </c>
      <c r="E7090" t="s">
        <v>78</v>
      </c>
      <c r="F7090" t="s">
        <v>803</v>
      </c>
      <c r="G7090" t="s">
        <v>5259</v>
      </c>
      <c r="H7090" s="9">
        <v>44789</v>
      </c>
      <c r="I7090" t="s">
        <v>109</v>
      </c>
      <c r="J7090" t="s">
        <v>0</v>
      </c>
      <c r="K7090" s="9">
        <v>44860</v>
      </c>
      <c r="L7090" t="s">
        <v>29</v>
      </c>
      <c r="M7090"/>
      <c r="N7090" s="9">
        <v>44825</v>
      </c>
      <c r="O7090" s="9">
        <v>44834</v>
      </c>
      <c r="P7090"/>
      <c r="Q7090" s="9">
        <v>44860</v>
      </c>
      <c r="R7090"/>
      <c r="S7090"/>
      <c r="T7090"/>
      <c r="U7090"/>
    </row>
    <row r="7091" spans="1:21" hidden="1">
      <c r="A7091" s="7" t="s">
        <v>8777</v>
      </c>
      <c r="B7091" s="7" t="s">
        <v>6307</v>
      </c>
      <c r="C7091" s="8" t="s">
        <v>5321</v>
      </c>
      <c r="D7091" t="s">
        <v>24</v>
      </c>
      <c r="E7091" t="s">
        <v>78</v>
      </c>
      <c r="F7091" t="s">
        <v>803</v>
      </c>
      <c r="G7091" t="s">
        <v>5260</v>
      </c>
      <c r="H7091" s="9">
        <v>44789</v>
      </c>
      <c r="I7091" t="s">
        <v>109</v>
      </c>
      <c r="J7091" t="s">
        <v>0</v>
      </c>
      <c r="K7091" s="9">
        <v>44860</v>
      </c>
      <c r="L7091" t="s">
        <v>29</v>
      </c>
      <c r="M7091"/>
      <c r="N7091" s="9">
        <v>44825</v>
      </c>
      <c r="O7091" s="9">
        <v>44834</v>
      </c>
      <c r="P7091"/>
      <c r="Q7091" s="9">
        <v>44860</v>
      </c>
      <c r="R7091"/>
      <c r="S7091"/>
      <c r="T7091"/>
      <c r="U7091"/>
    </row>
    <row r="7092" spans="1:21" hidden="1">
      <c r="A7092" s="7" t="s">
        <v>8923</v>
      </c>
      <c r="B7092" s="7" t="s">
        <v>7641</v>
      </c>
      <c r="C7092" s="8" t="s">
        <v>5321</v>
      </c>
      <c r="D7092" t="s">
        <v>266</v>
      </c>
      <c r="E7092" t="s">
        <v>3347</v>
      </c>
      <c r="F7092" t="s">
        <v>231</v>
      </c>
      <c r="G7092" t="s">
        <v>4839</v>
      </c>
      <c r="H7092" s="9">
        <v>44789</v>
      </c>
      <c r="I7092" t="s">
        <v>3102</v>
      </c>
      <c r="J7092" t="s">
        <v>5330</v>
      </c>
      <c r="K7092" s="9">
        <v>44834</v>
      </c>
      <c r="L7092" t="s">
        <v>29</v>
      </c>
      <c r="M7092"/>
      <c r="N7092" s="9">
        <v>44825</v>
      </c>
      <c r="O7092" s="9">
        <v>44834</v>
      </c>
      <c r="P7092"/>
      <c r="Q7092"/>
      <c r="R7092"/>
      <c r="S7092"/>
      <c r="T7092"/>
      <c r="U7092"/>
    </row>
    <row r="7093" spans="1:21" hidden="1">
      <c r="A7093" s="7" t="s">
        <v>8923</v>
      </c>
      <c r="B7093" s="7" t="s">
        <v>7641</v>
      </c>
      <c r="C7093" s="8" t="s">
        <v>5321</v>
      </c>
      <c r="D7093" t="s">
        <v>266</v>
      </c>
      <c r="E7093" t="s">
        <v>3347</v>
      </c>
      <c r="F7093" t="s">
        <v>231</v>
      </c>
      <c r="G7093" t="s">
        <v>4840</v>
      </c>
      <c r="H7093" s="9">
        <v>44789</v>
      </c>
      <c r="I7093" t="s">
        <v>3102</v>
      </c>
      <c r="J7093" t="s">
        <v>5330</v>
      </c>
      <c r="K7093" s="9">
        <v>44834</v>
      </c>
      <c r="L7093" t="s">
        <v>29</v>
      </c>
      <c r="M7093"/>
      <c r="N7093" s="9">
        <v>44825</v>
      </c>
      <c r="O7093" s="9">
        <v>44834</v>
      </c>
      <c r="P7093"/>
      <c r="Q7093"/>
      <c r="R7093"/>
      <c r="S7093"/>
      <c r="T7093"/>
      <c r="U7093"/>
    </row>
    <row r="7094" spans="1:21" hidden="1">
      <c r="A7094" s="7" t="s">
        <v>8923</v>
      </c>
      <c r="B7094" s="7" t="s">
        <v>7641</v>
      </c>
      <c r="C7094" s="8" t="s">
        <v>5321</v>
      </c>
      <c r="D7094" t="s">
        <v>266</v>
      </c>
      <c r="E7094" t="s">
        <v>3347</v>
      </c>
      <c r="F7094" t="s">
        <v>231</v>
      </c>
      <c r="G7094" t="s">
        <v>4841</v>
      </c>
      <c r="H7094" s="9">
        <v>44789</v>
      </c>
      <c r="I7094" t="s">
        <v>3102</v>
      </c>
      <c r="J7094" t="s">
        <v>5330</v>
      </c>
      <c r="K7094" s="9">
        <v>44834</v>
      </c>
      <c r="L7094" t="s">
        <v>29</v>
      </c>
      <c r="M7094"/>
      <c r="N7094" s="9">
        <v>44825</v>
      </c>
      <c r="O7094" s="9">
        <v>44834</v>
      </c>
      <c r="P7094"/>
      <c r="Q7094"/>
      <c r="R7094"/>
      <c r="S7094"/>
      <c r="T7094"/>
      <c r="U7094"/>
    </row>
    <row r="7095" spans="1:21" hidden="1">
      <c r="A7095" s="7" t="s">
        <v>8923</v>
      </c>
      <c r="B7095" s="7" t="s">
        <v>7641</v>
      </c>
      <c r="C7095" s="8" t="s">
        <v>5321</v>
      </c>
      <c r="D7095" t="s">
        <v>266</v>
      </c>
      <c r="E7095" t="s">
        <v>3347</v>
      </c>
      <c r="F7095" t="s">
        <v>231</v>
      </c>
      <c r="G7095" t="s">
        <v>4842</v>
      </c>
      <c r="H7095" s="9">
        <v>44789</v>
      </c>
      <c r="I7095" t="s">
        <v>3102</v>
      </c>
      <c r="J7095" t="s">
        <v>5330</v>
      </c>
      <c r="K7095" s="9">
        <v>44834</v>
      </c>
      <c r="L7095" t="s">
        <v>29</v>
      </c>
      <c r="M7095"/>
      <c r="N7095" s="9">
        <v>44825</v>
      </c>
      <c r="O7095" s="9">
        <v>44834</v>
      </c>
      <c r="P7095"/>
      <c r="Q7095"/>
      <c r="R7095"/>
      <c r="S7095"/>
      <c r="T7095"/>
      <c r="U7095"/>
    </row>
    <row r="7096" spans="1:21" hidden="1">
      <c r="A7096" s="7" t="s">
        <v>8923</v>
      </c>
      <c r="B7096" s="7" t="s">
        <v>7641</v>
      </c>
      <c r="C7096" s="8" t="s">
        <v>5321</v>
      </c>
      <c r="D7096" t="s">
        <v>266</v>
      </c>
      <c r="E7096" t="s">
        <v>3347</v>
      </c>
      <c r="F7096" t="s">
        <v>231</v>
      </c>
      <c r="G7096" t="s">
        <v>4843</v>
      </c>
      <c r="H7096" s="9">
        <v>44789</v>
      </c>
      <c r="I7096" t="s">
        <v>3102</v>
      </c>
      <c r="J7096" t="s">
        <v>5330</v>
      </c>
      <c r="K7096" s="9">
        <v>44834</v>
      </c>
      <c r="L7096" t="s">
        <v>29</v>
      </c>
      <c r="M7096"/>
      <c r="N7096" s="9">
        <v>44825</v>
      </c>
      <c r="O7096" s="9">
        <v>44834</v>
      </c>
      <c r="P7096"/>
      <c r="Q7096"/>
      <c r="R7096"/>
      <c r="S7096"/>
      <c r="T7096"/>
      <c r="U7096"/>
    </row>
    <row r="7097" spans="1:21" hidden="1">
      <c r="A7097" s="7" t="s">
        <v>8923</v>
      </c>
      <c r="B7097" s="7" t="s">
        <v>7641</v>
      </c>
      <c r="C7097" s="8" t="s">
        <v>5321</v>
      </c>
      <c r="D7097" t="s">
        <v>266</v>
      </c>
      <c r="E7097" t="s">
        <v>3347</v>
      </c>
      <c r="F7097" t="s">
        <v>231</v>
      </c>
      <c r="G7097" t="s">
        <v>4847</v>
      </c>
      <c r="H7097" s="9">
        <v>44789</v>
      </c>
      <c r="I7097" t="s">
        <v>3102</v>
      </c>
      <c r="J7097" t="s">
        <v>5330</v>
      </c>
      <c r="K7097" s="9">
        <v>44834</v>
      </c>
      <c r="L7097" t="s">
        <v>29</v>
      </c>
      <c r="M7097"/>
      <c r="N7097" s="9">
        <v>44825</v>
      </c>
      <c r="O7097" s="9">
        <v>44834</v>
      </c>
      <c r="P7097"/>
      <c r="Q7097"/>
      <c r="R7097"/>
      <c r="S7097"/>
      <c r="T7097"/>
      <c r="U7097"/>
    </row>
    <row r="7098" spans="1:21" hidden="1">
      <c r="A7098" s="7" t="s">
        <v>8825</v>
      </c>
      <c r="B7098" s="7" t="s">
        <v>5405</v>
      </c>
      <c r="C7098" s="8" t="s">
        <v>5321</v>
      </c>
      <c r="D7098" t="s">
        <v>266</v>
      </c>
      <c r="E7098" t="s">
        <v>25</v>
      </c>
      <c r="F7098" t="s">
        <v>111</v>
      </c>
      <c r="G7098" t="s">
        <v>5261</v>
      </c>
      <c r="H7098" s="9">
        <v>44789</v>
      </c>
      <c r="I7098" t="s">
        <v>8634</v>
      </c>
      <c r="J7098" t="s">
        <v>5330</v>
      </c>
      <c r="K7098" s="9">
        <v>44834</v>
      </c>
      <c r="L7098" t="s">
        <v>29</v>
      </c>
      <c r="M7098"/>
      <c r="N7098" s="9">
        <v>44825</v>
      </c>
      <c r="O7098" s="9">
        <v>44834</v>
      </c>
      <c r="P7098"/>
      <c r="Q7098"/>
      <c r="R7098"/>
      <c r="S7098"/>
      <c r="T7098"/>
      <c r="U7098"/>
    </row>
    <row r="7099" spans="1:21" hidden="1">
      <c r="A7099" s="7" t="s">
        <v>8906</v>
      </c>
      <c r="B7099" s="7" t="s">
        <v>6630</v>
      </c>
      <c r="C7099" s="8" t="s">
        <v>5321</v>
      </c>
      <c r="D7099" t="s">
        <v>266</v>
      </c>
      <c r="E7099" t="s">
        <v>3135</v>
      </c>
      <c r="F7099" t="s">
        <v>231</v>
      </c>
      <c r="G7099" t="s">
        <v>5262</v>
      </c>
      <c r="H7099" s="9">
        <v>44789</v>
      </c>
      <c r="I7099" t="s">
        <v>3102</v>
      </c>
      <c r="J7099" t="s">
        <v>0</v>
      </c>
      <c r="K7099" s="9">
        <v>44872</v>
      </c>
      <c r="L7099" t="s">
        <v>29</v>
      </c>
      <c r="M7099"/>
      <c r="N7099"/>
      <c r="O7099"/>
      <c r="P7099"/>
      <c r="Q7099" s="9">
        <v>44872</v>
      </c>
      <c r="R7099"/>
      <c r="S7099"/>
      <c r="T7099"/>
      <c r="U7099"/>
    </row>
    <row r="7100" spans="1:21" hidden="1">
      <c r="A7100" s="7" t="s">
        <v>8906</v>
      </c>
      <c r="B7100" s="7" t="s">
        <v>6630</v>
      </c>
      <c r="C7100" s="8" t="s">
        <v>5321</v>
      </c>
      <c r="D7100" t="s">
        <v>266</v>
      </c>
      <c r="E7100" t="s">
        <v>3135</v>
      </c>
      <c r="F7100" t="s">
        <v>231</v>
      </c>
      <c r="G7100" t="s">
        <v>5263</v>
      </c>
      <c r="H7100" s="9">
        <v>44789</v>
      </c>
      <c r="I7100" t="s">
        <v>3102</v>
      </c>
      <c r="J7100" t="s">
        <v>0</v>
      </c>
      <c r="K7100" s="9">
        <v>44872</v>
      </c>
      <c r="L7100" t="s">
        <v>29</v>
      </c>
      <c r="M7100"/>
      <c r="N7100"/>
      <c r="O7100"/>
      <c r="P7100"/>
      <c r="Q7100" s="9">
        <v>44872</v>
      </c>
      <c r="R7100"/>
      <c r="S7100"/>
      <c r="T7100"/>
      <c r="U7100"/>
    </row>
    <row r="7101" spans="1:21" hidden="1">
      <c r="A7101" s="7" t="s">
        <v>8906</v>
      </c>
      <c r="B7101" s="7" t="s">
        <v>6630</v>
      </c>
      <c r="C7101" s="8" t="s">
        <v>5321</v>
      </c>
      <c r="D7101" t="s">
        <v>266</v>
      </c>
      <c r="E7101" t="s">
        <v>3135</v>
      </c>
      <c r="F7101" t="s">
        <v>231</v>
      </c>
      <c r="G7101" t="s">
        <v>5264</v>
      </c>
      <c r="H7101" s="9">
        <v>44789</v>
      </c>
      <c r="I7101" t="s">
        <v>3102</v>
      </c>
      <c r="J7101" t="s">
        <v>0</v>
      </c>
      <c r="K7101" s="9">
        <v>44872</v>
      </c>
      <c r="L7101" t="s">
        <v>29</v>
      </c>
      <c r="M7101"/>
      <c r="N7101"/>
      <c r="O7101"/>
      <c r="P7101"/>
      <c r="Q7101" s="9">
        <v>44872</v>
      </c>
      <c r="R7101"/>
      <c r="S7101"/>
      <c r="T7101"/>
      <c r="U7101"/>
    </row>
    <row r="7102" spans="1:21" hidden="1">
      <c r="A7102" s="7" t="s">
        <v>8906</v>
      </c>
      <c r="B7102" s="7" t="s">
        <v>6630</v>
      </c>
      <c r="C7102" s="8" t="s">
        <v>5321</v>
      </c>
      <c r="D7102" t="s">
        <v>266</v>
      </c>
      <c r="E7102" t="s">
        <v>3135</v>
      </c>
      <c r="F7102" t="s">
        <v>231</v>
      </c>
      <c r="G7102" t="s">
        <v>5265</v>
      </c>
      <c r="H7102" s="9">
        <v>44789</v>
      </c>
      <c r="I7102" t="s">
        <v>3102</v>
      </c>
      <c r="J7102" t="s">
        <v>0</v>
      </c>
      <c r="K7102" s="9">
        <v>44872</v>
      </c>
      <c r="L7102" t="s">
        <v>29</v>
      </c>
      <c r="M7102"/>
      <c r="N7102"/>
      <c r="O7102"/>
      <c r="P7102"/>
      <c r="Q7102" s="9">
        <v>44872</v>
      </c>
      <c r="R7102"/>
      <c r="S7102"/>
      <c r="T7102"/>
      <c r="U7102"/>
    </row>
    <row r="7103" spans="1:21" hidden="1">
      <c r="A7103" s="7" t="s">
        <v>8906</v>
      </c>
      <c r="B7103" s="7" t="s">
        <v>6630</v>
      </c>
      <c r="C7103" s="8" t="s">
        <v>5321</v>
      </c>
      <c r="D7103" t="s">
        <v>266</v>
      </c>
      <c r="E7103" t="s">
        <v>3135</v>
      </c>
      <c r="F7103" t="s">
        <v>231</v>
      </c>
      <c r="G7103" t="s">
        <v>5266</v>
      </c>
      <c r="H7103" s="9">
        <v>44789</v>
      </c>
      <c r="I7103" t="s">
        <v>3102</v>
      </c>
      <c r="J7103" t="s">
        <v>0</v>
      </c>
      <c r="K7103" s="9">
        <v>44872</v>
      </c>
      <c r="L7103" t="s">
        <v>29</v>
      </c>
      <c r="M7103"/>
      <c r="N7103"/>
      <c r="O7103"/>
      <c r="P7103"/>
      <c r="Q7103" s="9">
        <v>44872</v>
      </c>
      <c r="R7103"/>
      <c r="S7103"/>
      <c r="T7103"/>
      <c r="U7103"/>
    </row>
    <row r="7104" spans="1:21" hidden="1">
      <c r="A7104" s="7" t="s">
        <v>8906</v>
      </c>
      <c r="B7104" s="7" t="s">
        <v>6630</v>
      </c>
      <c r="C7104" s="8" t="s">
        <v>5321</v>
      </c>
      <c r="D7104" t="s">
        <v>266</v>
      </c>
      <c r="E7104" t="s">
        <v>3135</v>
      </c>
      <c r="F7104" t="s">
        <v>231</v>
      </c>
      <c r="G7104" t="s">
        <v>5267</v>
      </c>
      <c r="H7104" s="9">
        <v>44789</v>
      </c>
      <c r="I7104" t="s">
        <v>3102</v>
      </c>
      <c r="J7104" t="s">
        <v>0</v>
      </c>
      <c r="K7104" s="9">
        <v>44872</v>
      </c>
      <c r="L7104" t="s">
        <v>29</v>
      </c>
      <c r="M7104"/>
      <c r="N7104"/>
      <c r="O7104"/>
      <c r="P7104"/>
      <c r="Q7104" s="9">
        <v>44872</v>
      </c>
      <c r="R7104"/>
      <c r="S7104"/>
      <c r="T7104"/>
      <c r="U7104"/>
    </row>
    <row r="7105" spans="1:21" hidden="1">
      <c r="A7105" s="7" t="s">
        <v>8906</v>
      </c>
      <c r="B7105" s="7" t="s">
        <v>6630</v>
      </c>
      <c r="C7105" s="8" t="s">
        <v>5321</v>
      </c>
      <c r="D7105" t="s">
        <v>266</v>
      </c>
      <c r="E7105" t="s">
        <v>3135</v>
      </c>
      <c r="F7105" t="s">
        <v>231</v>
      </c>
      <c r="G7105" t="s">
        <v>5268</v>
      </c>
      <c r="H7105" s="9">
        <v>44789</v>
      </c>
      <c r="I7105" t="s">
        <v>3102</v>
      </c>
      <c r="J7105" t="s">
        <v>0</v>
      </c>
      <c r="K7105" s="9">
        <v>44872</v>
      </c>
      <c r="L7105" t="s">
        <v>29</v>
      </c>
      <c r="M7105"/>
      <c r="N7105"/>
      <c r="O7105"/>
      <c r="P7105"/>
      <c r="Q7105" s="9">
        <v>44872</v>
      </c>
      <c r="R7105"/>
      <c r="S7105"/>
      <c r="T7105"/>
      <c r="U7105"/>
    </row>
    <row r="7106" spans="1:21" hidden="1">
      <c r="A7106" s="7" t="s">
        <v>8916</v>
      </c>
      <c r="B7106" s="7" t="s">
        <v>6766</v>
      </c>
      <c r="C7106" s="8" t="s">
        <v>5321</v>
      </c>
      <c r="D7106" t="s">
        <v>266</v>
      </c>
      <c r="E7106" t="s">
        <v>3257</v>
      </c>
      <c r="F7106" t="s">
        <v>117</v>
      </c>
      <c r="G7106" t="s">
        <v>5269</v>
      </c>
      <c r="H7106" s="9">
        <v>44789</v>
      </c>
      <c r="I7106" t="s">
        <v>408</v>
      </c>
      <c r="J7106" t="s">
        <v>5333</v>
      </c>
      <c r="K7106" s="9">
        <v>44847.330636574101</v>
      </c>
      <c r="L7106" t="s">
        <v>29</v>
      </c>
      <c r="M7106"/>
      <c r="N7106" s="9">
        <v>44825</v>
      </c>
      <c r="O7106" s="9">
        <v>44834</v>
      </c>
      <c r="P7106"/>
      <c r="Q7106" s="9">
        <v>44847</v>
      </c>
      <c r="R7106" s="9">
        <v>44845.413981481499</v>
      </c>
      <c r="S7106"/>
      <c r="T7106"/>
      <c r="U7106"/>
    </row>
    <row r="7107" spans="1:21" hidden="1">
      <c r="A7107" s="7" t="s">
        <v>8916</v>
      </c>
      <c r="B7107" s="7" t="s">
        <v>6766</v>
      </c>
      <c r="C7107" s="8" t="s">
        <v>5321</v>
      </c>
      <c r="D7107" t="s">
        <v>266</v>
      </c>
      <c r="E7107" t="s">
        <v>3257</v>
      </c>
      <c r="F7107" t="s">
        <v>117</v>
      </c>
      <c r="G7107" t="s">
        <v>5270</v>
      </c>
      <c r="H7107" s="9">
        <v>44789</v>
      </c>
      <c r="I7107" t="s">
        <v>408</v>
      </c>
      <c r="J7107" t="s">
        <v>5333</v>
      </c>
      <c r="K7107" s="9">
        <v>44847.330636574101</v>
      </c>
      <c r="L7107" t="s">
        <v>29</v>
      </c>
      <c r="M7107"/>
      <c r="N7107" s="9">
        <v>44825</v>
      </c>
      <c r="O7107" s="9">
        <v>44834</v>
      </c>
      <c r="P7107"/>
      <c r="Q7107" s="9">
        <v>44847</v>
      </c>
      <c r="R7107" s="9">
        <v>44845.413981481499</v>
      </c>
      <c r="S7107"/>
      <c r="T7107"/>
      <c r="U7107"/>
    </row>
    <row r="7108" spans="1:21" hidden="1">
      <c r="A7108" s="7" t="s">
        <v>8916</v>
      </c>
      <c r="B7108" s="7" t="s">
        <v>6766</v>
      </c>
      <c r="C7108" s="8" t="s">
        <v>5321</v>
      </c>
      <c r="D7108" t="s">
        <v>266</v>
      </c>
      <c r="E7108" t="s">
        <v>3257</v>
      </c>
      <c r="F7108" t="s">
        <v>117</v>
      </c>
      <c r="G7108" t="s">
        <v>5271</v>
      </c>
      <c r="H7108" s="9">
        <v>44789</v>
      </c>
      <c r="I7108" t="s">
        <v>408</v>
      </c>
      <c r="J7108" t="s">
        <v>5333</v>
      </c>
      <c r="K7108" s="9">
        <v>44847.330636574101</v>
      </c>
      <c r="L7108" t="s">
        <v>29</v>
      </c>
      <c r="M7108"/>
      <c r="N7108" s="9">
        <v>44825</v>
      </c>
      <c r="O7108" s="9">
        <v>44834</v>
      </c>
      <c r="P7108"/>
      <c r="Q7108" s="9">
        <v>44847</v>
      </c>
      <c r="R7108" s="9">
        <v>44845.413981481499</v>
      </c>
      <c r="S7108"/>
      <c r="T7108"/>
      <c r="U7108"/>
    </row>
    <row r="7109" spans="1:21" hidden="1">
      <c r="A7109" s="7" t="s">
        <v>8916</v>
      </c>
      <c r="B7109" s="7" t="s">
        <v>6766</v>
      </c>
      <c r="C7109" s="8" t="s">
        <v>5321</v>
      </c>
      <c r="D7109" t="s">
        <v>266</v>
      </c>
      <c r="E7109" t="s">
        <v>3257</v>
      </c>
      <c r="F7109" t="s">
        <v>117</v>
      </c>
      <c r="G7109" t="s">
        <v>5272</v>
      </c>
      <c r="H7109" s="9">
        <v>44789</v>
      </c>
      <c r="I7109" t="s">
        <v>408</v>
      </c>
      <c r="J7109" t="s">
        <v>5333</v>
      </c>
      <c r="K7109" s="9">
        <v>44847.330636574101</v>
      </c>
      <c r="L7109" t="s">
        <v>29</v>
      </c>
      <c r="M7109"/>
      <c r="N7109" s="9">
        <v>44825</v>
      </c>
      <c r="O7109" s="9">
        <v>44834</v>
      </c>
      <c r="P7109"/>
      <c r="Q7109" s="9">
        <v>44847</v>
      </c>
      <c r="R7109" s="9">
        <v>44845.413981481499</v>
      </c>
      <c r="S7109"/>
      <c r="T7109"/>
      <c r="U7109"/>
    </row>
    <row r="7110" spans="1:21" hidden="1">
      <c r="A7110" s="7" t="s">
        <v>8916</v>
      </c>
      <c r="B7110" s="7" t="s">
        <v>6766</v>
      </c>
      <c r="C7110" s="8" t="s">
        <v>5321</v>
      </c>
      <c r="D7110" t="s">
        <v>266</v>
      </c>
      <c r="E7110" t="s">
        <v>3257</v>
      </c>
      <c r="F7110" t="s">
        <v>117</v>
      </c>
      <c r="G7110" t="s">
        <v>5273</v>
      </c>
      <c r="H7110" s="9">
        <v>44789</v>
      </c>
      <c r="I7110" t="s">
        <v>408</v>
      </c>
      <c r="J7110" t="s">
        <v>5333</v>
      </c>
      <c r="K7110" s="9">
        <v>44847.330636574101</v>
      </c>
      <c r="L7110" t="s">
        <v>29</v>
      </c>
      <c r="M7110"/>
      <c r="N7110" s="9">
        <v>44825</v>
      </c>
      <c r="O7110" s="9">
        <v>44834</v>
      </c>
      <c r="P7110"/>
      <c r="Q7110" s="9">
        <v>44847</v>
      </c>
      <c r="R7110" s="9">
        <v>44845.413981481499</v>
      </c>
      <c r="S7110"/>
      <c r="T7110"/>
      <c r="U7110"/>
    </row>
    <row r="7111" spans="1:21" hidden="1">
      <c r="A7111" s="7" t="s">
        <v>8906</v>
      </c>
      <c r="B7111" s="7" t="s">
        <v>6630</v>
      </c>
      <c r="C7111" s="8" t="s">
        <v>5321</v>
      </c>
      <c r="D7111" t="s">
        <v>266</v>
      </c>
      <c r="E7111" t="s">
        <v>3135</v>
      </c>
      <c r="F7111" t="s">
        <v>231</v>
      </c>
      <c r="G7111" t="s">
        <v>5274</v>
      </c>
      <c r="H7111" s="9">
        <v>44789</v>
      </c>
      <c r="I7111" t="s">
        <v>3102</v>
      </c>
      <c r="J7111" t="s">
        <v>0</v>
      </c>
      <c r="K7111" s="9">
        <v>44872</v>
      </c>
      <c r="L7111" t="s">
        <v>29</v>
      </c>
      <c r="M7111"/>
      <c r="N7111"/>
      <c r="O7111"/>
      <c r="P7111"/>
      <c r="Q7111" s="9">
        <v>44872</v>
      </c>
      <c r="R7111"/>
      <c r="S7111"/>
      <c r="T7111"/>
      <c r="U7111"/>
    </row>
    <row r="7112" spans="1:21" hidden="1">
      <c r="A7112" s="7" t="s">
        <v>8906</v>
      </c>
      <c r="B7112" s="7" t="s">
        <v>6630</v>
      </c>
      <c r="C7112" s="8" t="s">
        <v>5321</v>
      </c>
      <c r="D7112" t="s">
        <v>266</v>
      </c>
      <c r="E7112" t="s">
        <v>3135</v>
      </c>
      <c r="F7112" t="s">
        <v>231</v>
      </c>
      <c r="G7112" t="s">
        <v>5275</v>
      </c>
      <c r="H7112" s="9">
        <v>44789</v>
      </c>
      <c r="I7112" t="s">
        <v>3102</v>
      </c>
      <c r="J7112" t="s">
        <v>0</v>
      </c>
      <c r="K7112" s="9">
        <v>44872</v>
      </c>
      <c r="L7112" t="s">
        <v>29</v>
      </c>
      <c r="M7112"/>
      <c r="N7112"/>
      <c r="O7112"/>
      <c r="P7112"/>
      <c r="Q7112" s="9">
        <v>44872</v>
      </c>
      <c r="R7112"/>
      <c r="S7112"/>
      <c r="T7112"/>
      <c r="U7112"/>
    </row>
    <row r="7113" spans="1:21" hidden="1">
      <c r="A7113" s="7" t="s">
        <v>8906</v>
      </c>
      <c r="B7113" s="7" t="s">
        <v>6630</v>
      </c>
      <c r="C7113" s="8" t="s">
        <v>5321</v>
      </c>
      <c r="D7113" t="s">
        <v>266</v>
      </c>
      <c r="E7113" t="s">
        <v>3135</v>
      </c>
      <c r="F7113" t="s">
        <v>231</v>
      </c>
      <c r="G7113" t="s">
        <v>5276</v>
      </c>
      <c r="H7113" s="9">
        <v>44789</v>
      </c>
      <c r="I7113" t="s">
        <v>3102</v>
      </c>
      <c r="J7113" t="s">
        <v>0</v>
      </c>
      <c r="K7113" s="9">
        <v>44872</v>
      </c>
      <c r="L7113" t="s">
        <v>29</v>
      </c>
      <c r="M7113"/>
      <c r="N7113"/>
      <c r="O7113"/>
      <c r="P7113"/>
      <c r="Q7113" s="9">
        <v>44872</v>
      </c>
      <c r="R7113"/>
      <c r="S7113"/>
      <c r="T7113"/>
      <c r="U7113"/>
    </row>
    <row r="7114" spans="1:21" hidden="1">
      <c r="A7114" s="7" t="s">
        <v>8906</v>
      </c>
      <c r="B7114" s="7" t="s">
        <v>6630</v>
      </c>
      <c r="C7114" s="8" t="s">
        <v>5321</v>
      </c>
      <c r="D7114" t="s">
        <v>266</v>
      </c>
      <c r="E7114" t="s">
        <v>3135</v>
      </c>
      <c r="F7114" t="s">
        <v>231</v>
      </c>
      <c r="G7114" t="s">
        <v>5277</v>
      </c>
      <c r="H7114" s="9">
        <v>44789</v>
      </c>
      <c r="I7114" t="s">
        <v>3102</v>
      </c>
      <c r="J7114" t="s">
        <v>0</v>
      </c>
      <c r="K7114" s="9">
        <v>44872</v>
      </c>
      <c r="L7114" t="s">
        <v>29</v>
      </c>
      <c r="M7114"/>
      <c r="N7114"/>
      <c r="O7114"/>
      <c r="P7114"/>
      <c r="Q7114" s="9">
        <v>44872</v>
      </c>
      <c r="R7114"/>
      <c r="S7114"/>
      <c r="T7114"/>
      <c r="U7114"/>
    </row>
    <row r="7115" spans="1:21" hidden="1">
      <c r="A7115" s="7" t="s">
        <v>8906</v>
      </c>
      <c r="B7115" s="7" t="s">
        <v>6630</v>
      </c>
      <c r="C7115" s="8" t="s">
        <v>5321</v>
      </c>
      <c r="D7115" t="s">
        <v>266</v>
      </c>
      <c r="E7115" t="s">
        <v>3135</v>
      </c>
      <c r="F7115" t="s">
        <v>231</v>
      </c>
      <c r="G7115" t="s">
        <v>5278</v>
      </c>
      <c r="H7115" s="9">
        <v>44789</v>
      </c>
      <c r="I7115" t="s">
        <v>3102</v>
      </c>
      <c r="J7115" t="s">
        <v>0</v>
      </c>
      <c r="K7115" s="9">
        <v>44872</v>
      </c>
      <c r="L7115" t="s">
        <v>29</v>
      </c>
      <c r="M7115"/>
      <c r="N7115"/>
      <c r="O7115"/>
      <c r="P7115"/>
      <c r="Q7115" s="9">
        <v>44872</v>
      </c>
      <c r="R7115"/>
      <c r="S7115"/>
      <c r="T7115"/>
      <c r="U7115"/>
    </row>
    <row r="7116" spans="1:21" hidden="1">
      <c r="A7116" s="7" t="s">
        <v>8906</v>
      </c>
      <c r="B7116" s="7" t="s">
        <v>6630</v>
      </c>
      <c r="C7116" s="8" t="s">
        <v>5321</v>
      </c>
      <c r="D7116" t="s">
        <v>266</v>
      </c>
      <c r="E7116" t="s">
        <v>3135</v>
      </c>
      <c r="F7116" t="s">
        <v>231</v>
      </c>
      <c r="G7116" t="s">
        <v>5279</v>
      </c>
      <c r="H7116" s="9">
        <v>44789</v>
      </c>
      <c r="I7116" t="s">
        <v>3102</v>
      </c>
      <c r="J7116" t="s">
        <v>0</v>
      </c>
      <c r="K7116" s="9">
        <v>44872</v>
      </c>
      <c r="L7116" t="s">
        <v>29</v>
      </c>
      <c r="M7116"/>
      <c r="N7116"/>
      <c r="O7116"/>
      <c r="P7116"/>
      <c r="Q7116" s="9">
        <v>44872</v>
      </c>
      <c r="R7116"/>
      <c r="S7116"/>
      <c r="T7116"/>
      <c r="U7116"/>
    </row>
    <row r="7117" spans="1:21" hidden="1">
      <c r="A7117" s="7" t="s">
        <v>8906</v>
      </c>
      <c r="B7117" s="7" t="s">
        <v>6630</v>
      </c>
      <c r="C7117" s="8" t="s">
        <v>5321</v>
      </c>
      <c r="D7117" t="s">
        <v>266</v>
      </c>
      <c r="E7117" t="s">
        <v>3135</v>
      </c>
      <c r="F7117" t="s">
        <v>231</v>
      </c>
      <c r="G7117" t="s">
        <v>5280</v>
      </c>
      <c r="H7117" s="9">
        <v>44789</v>
      </c>
      <c r="I7117" t="s">
        <v>3102</v>
      </c>
      <c r="J7117" t="s">
        <v>0</v>
      </c>
      <c r="K7117" s="9">
        <v>44872</v>
      </c>
      <c r="L7117" t="s">
        <v>29</v>
      </c>
      <c r="M7117"/>
      <c r="N7117"/>
      <c r="O7117"/>
      <c r="P7117"/>
      <c r="Q7117" s="9">
        <v>44872</v>
      </c>
      <c r="R7117"/>
      <c r="S7117"/>
      <c r="T7117"/>
      <c r="U7117"/>
    </row>
    <row r="7118" spans="1:21" hidden="1">
      <c r="A7118" s="7" t="s">
        <v>8906</v>
      </c>
      <c r="B7118" s="7" t="s">
        <v>6630</v>
      </c>
      <c r="C7118" s="8" t="s">
        <v>5321</v>
      </c>
      <c r="D7118" t="s">
        <v>266</v>
      </c>
      <c r="E7118" t="s">
        <v>3135</v>
      </c>
      <c r="F7118" t="s">
        <v>231</v>
      </c>
      <c r="G7118" t="s">
        <v>5281</v>
      </c>
      <c r="H7118" s="9">
        <v>44789</v>
      </c>
      <c r="I7118" t="s">
        <v>3102</v>
      </c>
      <c r="J7118" t="s">
        <v>0</v>
      </c>
      <c r="K7118" s="9">
        <v>44872</v>
      </c>
      <c r="L7118" t="s">
        <v>29</v>
      </c>
      <c r="M7118"/>
      <c r="N7118"/>
      <c r="O7118"/>
      <c r="P7118"/>
      <c r="Q7118" s="9">
        <v>44872</v>
      </c>
      <c r="R7118"/>
      <c r="S7118"/>
      <c r="T7118"/>
      <c r="U7118"/>
    </row>
    <row r="7119" spans="1:21" hidden="1">
      <c r="A7119" s="7" t="s">
        <v>8906</v>
      </c>
      <c r="B7119" s="7" t="s">
        <v>6630</v>
      </c>
      <c r="C7119" s="8" t="s">
        <v>5321</v>
      </c>
      <c r="D7119" t="s">
        <v>266</v>
      </c>
      <c r="E7119" t="s">
        <v>3135</v>
      </c>
      <c r="F7119" t="s">
        <v>231</v>
      </c>
      <c r="G7119" t="s">
        <v>5282</v>
      </c>
      <c r="H7119" s="9">
        <v>44789</v>
      </c>
      <c r="I7119" t="s">
        <v>3102</v>
      </c>
      <c r="J7119" t="s">
        <v>0</v>
      </c>
      <c r="K7119" s="9">
        <v>44872</v>
      </c>
      <c r="L7119" t="s">
        <v>29</v>
      </c>
      <c r="M7119"/>
      <c r="N7119"/>
      <c r="O7119"/>
      <c r="P7119"/>
      <c r="Q7119" s="9">
        <v>44872</v>
      </c>
      <c r="R7119"/>
      <c r="S7119"/>
      <c r="T7119"/>
      <c r="U7119"/>
    </row>
    <row r="7120" spans="1:21" hidden="1">
      <c r="A7120" s="7" t="s">
        <v>8906</v>
      </c>
      <c r="B7120" s="7" t="s">
        <v>6630</v>
      </c>
      <c r="C7120" s="8" t="s">
        <v>5321</v>
      </c>
      <c r="D7120" t="s">
        <v>266</v>
      </c>
      <c r="E7120" t="s">
        <v>3135</v>
      </c>
      <c r="F7120" t="s">
        <v>231</v>
      </c>
      <c r="G7120" t="s">
        <v>5283</v>
      </c>
      <c r="H7120" s="9">
        <v>44789</v>
      </c>
      <c r="I7120" t="s">
        <v>3102</v>
      </c>
      <c r="J7120" t="s">
        <v>0</v>
      </c>
      <c r="K7120" s="9">
        <v>44872</v>
      </c>
      <c r="L7120" t="s">
        <v>29</v>
      </c>
      <c r="M7120"/>
      <c r="N7120"/>
      <c r="O7120"/>
      <c r="P7120"/>
      <c r="Q7120" s="9">
        <v>44872</v>
      </c>
      <c r="R7120"/>
      <c r="S7120"/>
      <c r="T7120"/>
      <c r="U7120"/>
    </row>
    <row r="7121" spans="1:21" hidden="1">
      <c r="A7121" s="7" t="s">
        <v>8906</v>
      </c>
      <c r="B7121" s="7" t="s">
        <v>6630</v>
      </c>
      <c r="C7121" s="8" t="s">
        <v>5321</v>
      </c>
      <c r="D7121" t="s">
        <v>266</v>
      </c>
      <c r="E7121" t="s">
        <v>3135</v>
      </c>
      <c r="F7121" t="s">
        <v>231</v>
      </c>
      <c r="G7121" t="s">
        <v>5284</v>
      </c>
      <c r="H7121" s="9">
        <v>44789</v>
      </c>
      <c r="I7121" t="s">
        <v>3102</v>
      </c>
      <c r="J7121" t="s">
        <v>0</v>
      </c>
      <c r="K7121" s="9">
        <v>44872</v>
      </c>
      <c r="L7121" t="s">
        <v>29</v>
      </c>
      <c r="M7121"/>
      <c r="N7121"/>
      <c r="O7121"/>
      <c r="P7121"/>
      <c r="Q7121" s="9">
        <v>44872</v>
      </c>
      <c r="R7121"/>
      <c r="S7121"/>
      <c r="T7121"/>
      <c r="U7121"/>
    </row>
    <row r="7122" spans="1:21" hidden="1">
      <c r="A7122" s="7" t="s">
        <v>8906</v>
      </c>
      <c r="B7122" s="7" t="s">
        <v>6630</v>
      </c>
      <c r="C7122" s="8" t="s">
        <v>5321</v>
      </c>
      <c r="D7122" t="s">
        <v>266</v>
      </c>
      <c r="E7122" t="s">
        <v>3135</v>
      </c>
      <c r="F7122" t="s">
        <v>231</v>
      </c>
      <c r="G7122" t="s">
        <v>5285</v>
      </c>
      <c r="H7122" s="9">
        <v>44789</v>
      </c>
      <c r="I7122" t="s">
        <v>3102</v>
      </c>
      <c r="J7122" t="s">
        <v>0</v>
      </c>
      <c r="K7122" s="9">
        <v>44872</v>
      </c>
      <c r="L7122" t="s">
        <v>29</v>
      </c>
      <c r="M7122"/>
      <c r="N7122"/>
      <c r="O7122"/>
      <c r="P7122"/>
      <c r="Q7122" s="9">
        <v>44872</v>
      </c>
      <c r="R7122"/>
      <c r="S7122"/>
      <c r="T7122"/>
      <c r="U7122"/>
    </row>
    <row r="7123" spans="1:21" hidden="1">
      <c r="A7123" s="7" t="s">
        <v>8789</v>
      </c>
      <c r="B7123" s="7" t="s">
        <v>6643</v>
      </c>
      <c r="C7123" s="8" t="s">
        <v>5321</v>
      </c>
      <c r="D7123" t="s">
        <v>266</v>
      </c>
      <c r="E7123" t="s">
        <v>908</v>
      </c>
      <c r="F7123" t="s">
        <v>83</v>
      </c>
      <c r="G7123" t="s">
        <v>5286</v>
      </c>
      <c r="H7123" s="9">
        <v>44789</v>
      </c>
      <c r="I7123" t="s">
        <v>408</v>
      </c>
      <c r="J7123" t="s">
        <v>0</v>
      </c>
      <c r="K7123" s="9">
        <v>44888</v>
      </c>
      <c r="L7123" t="s">
        <v>29</v>
      </c>
      <c r="M7123"/>
      <c r="N7123" s="9">
        <v>44825</v>
      </c>
      <c r="O7123" s="9">
        <v>44834</v>
      </c>
      <c r="P7123"/>
      <c r="Q7123" s="9">
        <v>44888</v>
      </c>
      <c r="R7123"/>
      <c r="S7123"/>
      <c r="T7123"/>
      <c r="U7123"/>
    </row>
    <row r="7124" spans="1:21" hidden="1">
      <c r="A7124" s="7" t="s">
        <v>8799</v>
      </c>
      <c r="B7124" s="7" t="s">
        <v>6671</v>
      </c>
      <c r="C7124" s="8" t="s">
        <v>5321</v>
      </c>
      <c r="D7124" t="s">
        <v>266</v>
      </c>
      <c r="E7124" t="s">
        <v>1009</v>
      </c>
      <c r="F7124" t="s">
        <v>117</v>
      </c>
      <c r="G7124" t="s">
        <v>5287</v>
      </c>
      <c r="H7124" s="9">
        <v>44789</v>
      </c>
      <c r="I7124" t="s">
        <v>408</v>
      </c>
      <c r="J7124" t="s">
        <v>5330</v>
      </c>
      <c r="K7124" s="9">
        <v>44834</v>
      </c>
      <c r="L7124" t="s">
        <v>29</v>
      </c>
      <c r="M7124"/>
      <c r="N7124" s="9">
        <v>44825</v>
      </c>
      <c r="O7124" s="9">
        <v>44834</v>
      </c>
      <c r="P7124"/>
      <c r="Q7124"/>
      <c r="R7124"/>
      <c r="S7124"/>
      <c r="T7124"/>
      <c r="U7124"/>
    </row>
    <row r="7125" spans="1:21" hidden="1">
      <c r="A7125" s="7" t="s">
        <v>8799</v>
      </c>
      <c r="B7125" s="7" t="s">
        <v>6671</v>
      </c>
      <c r="C7125" s="8" t="s">
        <v>5321</v>
      </c>
      <c r="D7125" t="s">
        <v>266</v>
      </c>
      <c r="E7125" t="s">
        <v>1009</v>
      </c>
      <c r="F7125" t="s">
        <v>117</v>
      </c>
      <c r="G7125" t="s">
        <v>5288</v>
      </c>
      <c r="H7125" s="9">
        <v>44789</v>
      </c>
      <c r="I7125" t="s">
        <v>408</v>
      </c>
      <c r="J7125" t="s">
        <v>5330</v>
      </c>
      <c r="K7125" s="9">
        <v>44834</v>
      </c>
      <c r="L7125" t="s">
        <v>29</v>
      </c>
      <c r="M7125"/>
      <c r="N7125" s="9">
        <v>44825</v>
      </c>
      <c r="O7125" s="9">
        <v>44834</v>
      </c>
      <c r="P7125"/>
      <c r="Q7125"/>
      <c r="R7125"/>
      <c r="S7125"/>
      <c r="T7125"/>
      <c r="U7125"/>
    </row>
    <row r="7126" spans="1:21" hidden="1">
      <c r="A7126" s="7" t="s">
        <v>8933</v>
      </c>
      <c r="B7126" s="7" t="s">
        <v>8368</v>
      </c>
      <c r="C7126" s="8" t="s">
        <v>5321</v>
      </c>
      <c r="D7126" t="s">
        <v>266</v>
      </c>
      <c r="E7126" t="s">
        <v>3620</v>
      </c>
      <c r="F7126" t="s">
        <v>117</v>
      </c>
      <c r="G7126" t="s">
        <v>5289</v>
      </c>
      <c r="H7126" s="9">
        <v>44789</v>
      </c>
      <c r="I7126" t="s">
        <v>758</v>
      </c>
      <c r="J7126" t="s">
        <v>5330</v>
      </c>
      <c r="K7126" s="9">
        <v>44834</v>
      </c>
      <c r="L7126" t="s">
        <v>29</v>
      </c>
      <c r="M7126"/>
      <c r="N7126" s="9">
        <v>44825</v>
      </c>
      <c r="O7126" s="9">
        <v>44834</v>
      </c>
      <c r="P7126"/>
      <c r="Q7126"/>
      <c r="R7126"/>
      <c r="S7126"/>
      <c r="T7126"/>
      <c r="U7126"/>
    </row>
    <row r="7127" spans="1:21" hidden="1">
      <c r="A7127" s="7" t="s">
        <v>8758</v>
      </c>
      <c r="B7127" s="7" t="s">
        <v>5405</v>
      </c>
      <c r="C7127" s="8" t="s">
        <v>5321</v>
      </c>
      <c r="D7127" t="s">
        <v>266</v>
      </c>
      <c r="E7127" t="s">
        <v>25</v>
      </c>
      <c r="F7127" t="s">
        <v>493</v>
      </c>
      <c r="G7127" t="s">
        <v>5248</v>
      </c>
      <c r="H7127" s="9">
        <v>44789</v>
      </c>
      <c r="I7127" t="s">
        <v>8634</v>
      </c>
      <c r="J7127" t="s">
        <v>0</v>
      </c>
      <c r="K7127" s="9">
        <v>44862</v>
      </c>
      <c r="L7127" t="s">
        <v>29</v>
      </c>
      <c r="M7127"/>
      <c r="N7127" s="9">
        <v>44825</v>
      </c>
      <c r="O7127"/>
      <c r="P7127"/>
      <c r="Q7127" s="9">
        <v>44862</v>
      </c>
      <c r="R7127"/>
      <c r="S7127"/>
      <c r="T7127"/>
      <c r="U7127"/>
    </row>
    <row r="7128" spans="1:21" hidden="1">
      <c r="A7128" s="7" t="s">
        <v>8764</v>
      </c>
      <c r="B7128" s="7" t="s">
        <v>5405</v>
      </c>
      <c r="C7128" s="8" t="s">
        <v>5321</v>
      </c>
      <c r="D7128" t="s">
        <v>1655</v>
      </c>
      <c r="E7128" t="s">
        <v>25</v>
      </c>
      <c r="F7128" t="s">
        <v>75</v>
      </c>
      <c r="G7128" t="s">
        <v>5290</v>
      </c>
      <c r="H7128" s="9">
        <v>44789</v>
      </c>
      <c r="I7128" t="s">
        <v>8634</v>
      </c>
      <c r="J7128" t="s">
        <v>5330</v>
      </c>
      <c r="K7128" s="9">
        <v>44834</v>
      </c>
      <c r="L7128" t="s">
        <v>29</v>
      </c>
      <c r="M7128"/>
      <c r="N7128" s="9">
        <v>44825</v>
      </c>
      <c r="O7128" s="9">
        <v>44834</v>
      </c>
      <c r="P7128"/>
      <c r="Q7128"/>
      <c r="R7128"/>
      <c r="S7128"/>
      <c r="T7128"/>
      <c r="U7128"/>
    </row>
    <row r="7129" spans="1:21" hidden="1">
      <c r="A7129" s="7" t="s">
        <v>8964</v>
      </c>
      <c r="B7129" s="7" t="s">
        <v>8631</v>
      </c>
      <c r="C7129" s="8" t="s">
        <v>5321</v>
      </c>
      <c r="D7129" t="s">
        <v>1655</v>
      </c>
      <c r="E7129" t="s">
        <v>5291</v>
      </c>
      <c r="F7129" t="s">
        <v>117</v>
      </c>
      <c r="G7129" t="s">
        <v>5292</v>
      </c>
      <c r="H7129" s="9">
        <v>44789</v>
      </c>
      <c r="I7129" t="s">
        <v>4909</v>
      </c>
      <c r="J7129" t="s">
        <v>2</v>
      </c>
      <c r="K7129" s="9">
        <v>44823</v>
      </c>
      <c r="L7129" t="s">
        <v>29</v>
      </c>
      <c r="M7129" t="s">
        <v>5334</v>
      </c>
      <c r="N7129"/>
      <c r="O7129"/>
      <c r="P7129"/>
      <c r="Q7129"/>
      <c r="R7129"/>
      <c r="S7129"/>
      <c r="T7129"/>
      <c r="U7129"/>
    </row>
    <row r="7130" spans="1:21" hidden="1">
      <c r="A7130" s="7" t="s">
        <v>8964</v>
      </c>
      <c r="B7130" s="7" t="s">
        <v>8631</v>
      </c>
      <c r="C7130" s="8" t="s">
        <v>5321</v>
      </c>
      <c r="D7130" t="s">
        <v>1655</v>
      </c>
      <c r="E7130" t="s">
        <v>5291</v>
      </c>
      <c r="F7130" t="s">
        <v>117</v>
      </c>
      <c r="G7130" t="s">
        <v>5293</v>
      </c>
      <c r="H7130" s="9">
        <v>44789</v>
      </c>
      <c r="I7130" t="s">
        <v>4909</v>
      </c>
      <c r="J7130" t="s">
        <v>2</v>
      </c>
      <c r="K7130" s="9">
        <v>44838</v>
      </c>
      <c r="L7130" t="s">
        <v>29</v>
      </c>
      <c r="M7130" t="s">
        <v>5334</v>
      </c>
      <c r="N7130" s="9">
        <v>44825</v>
      </c>
      <c r="O7130" s="9">
        <v>44834</v>
      </c>
      <c r="P7130"/>
      <c r="Q7130"/>
      <c r="R7130"/>
      <c r="S7130"/>
      <c r="T7130"/>
      <c r="U7130"/>
    </row>
    <row r="7131" spans="1:21" hidden="1">
      <c r="A7131" s="7" t="s">
        <v>8965</v>
      </c>
      <c r="B7131" s="7" t="s">
        <v>7631</v>
      </c>
      <c r="C7131" s="8" t="s">
        <v>5321</v>
      </c>
      <c r="D7131" t="s">
        <v>1655</v>
      </c>
      <c r="E7131" t="s">
        <v>5294</v>
      </c>
      <c r="F7131" t="s">
        <v>117</v>
      </c>
      <c r="G7131" t="s">
        <v>5295</v>
      </c>
      <c r="H7131" s="9">
        <v>44789</v>
      </c>
      <c r="I7131" t="s">
        <v>4909</v>
      </c>
      <c r="J7131" t="s">
        <v>5330</v>
      </c>
      <c r="K7131" s="9">
        <v>44834</v>
      </c>
      <c r="L7131" t="s">
        <v>29</v>
      </c>
      <c r="M7131"/>
      <c r="N7131" s="9">
        <v>44825</v>
      </c>
      <c r="O7131" s="9">
        <v>44834</v>
      </c>
      <c r="P7131"/>
      <c r="Q7131"/>
      <c r="R7131"/>
      <c r="S7131"/>
      <c r="T7131"/>
      <c r="U7131"/>
    </row>
    <row r="7132" spans="1:21" hidden="1">
      <c r="A7132" s="7" t="s">
        <v>8965</v>
      </c>
      <c r="B7132" s="7" t="s">
        <v>7631</v>
      </c>
      <c r="C7132" s="8" t="s">
        <v>5321</v>
      </c>
      <c r="D7132" t="s">
        <v>1655</v>
      </c>
      <c r="E7132" t="s">
        <v>5294</v>
      </c>
      <c r="F7132" t="s">
        <v>117</v>
      </c>
      <c r="G7132" t="s">
        <v>5296</v>
      </c>
      <c r="H7132" s="9">
        <v>44789</v>
      </c>
      <c r="I7132" t="s">
        <v>4909</v>
      </c>
      <c r="J7132" t="s">
        <v>5330</v>
      </c>
      <c r="K7132" s="9">
        <v>44834</v>
      </c>
      <c r="L7132" t="s">
        <v>29</v>
      </c>
      <c r="M7132"/>
      <c r="N7132" s="9">
        <v>44825</v>
      </c>
      <c r="O7132" s="9">
        <v>44834</v>
      </c>
      <c r="P7132"/>
      <c r="Q7132"/>
      <c r="R7132"/>
      <c r="S7132"/>
      <c r="T7132"/>
      <c r="U7132"/>
    </row>
    <row r="7133" spans="1:21" hidden="1">
      <c r="A7133" s="7" t="s">
        <v>8751</v>
      </c>
      <c r="B7133" s="7" t="s">
        <v>5405</v>
      </c>
      <c r="C7133" s="8" t="s">
        <v>5321</v>
      </c>
      <c r="D7133" t="s">
        <v>1655</v>
      </c>
      <c r="E7133" t="s">
        <v>25</v>
      </c>
      <c r="F7133" t="s">
        <v>435</v>
      </c>
      <c r="G7133" t="s">
        <v>5297</v>
      </c>
      <c r="H7133" s="9">
        <v>44789</v>
      </c>
      <c r="I7133" t="s">
        <v>8634</v>
      </c>
      <c r="J7133" t="s">
        <v>5330</v>
      </c>
      <c r="K7133" s="9">
        <v>44834</v>
      </c>
      <c r="L7133" t="s">
        <v>29</v>
      </c>
      <c r="M7133"/>
      <c r="N7133" s="9">
        <v>44825</v>
      </c>
      <c r="O7133" s="9">
        <v>44834</v>
      </c>
      <c r="P7133"/>
      <c r="Q7133"/>
      <c r="R7133"/>
      <c r="S7133"/>
      <c r="T7133"/>
      <c r="U7133"/>
    </row>
    <row r="7134" spans="1:21" hidden="1">
      <c r="A7134" s="7" t="s">
        <v>8829</v>
      </c>
      <c r="B7134" s="7" t="s">
        <v>5405</v>
      </c>
      <c r="C7134" s="8" t="s">
        <v>8717</v>
      </c>
      <c r="D7134" t="s">
        <v>164</v>
      </c>
      <c r="E7134" t="s">
        <v>25</v>
      </c>
      <c r="F7134" t="s">
        <v>1718</v>
      </c>
      <c r="G7134" t="s">
        <v>5302</v>
      </c>
      <c r="H7134"/>
      <c r="I7134"/>
      <c r="J7134" t="s">
        <v>0</v>
      </c>
      <c r="K7134" s="9">
        <v>44810</v>
      </c>
      <c r="L7134"/>
      <c r="M7134"/>
      <c r="N7134"/>
      <c r="O7134"/>
      <c r="P7134"/>
      <c r="Q7134" s="9">
        <v>44810</v>
      </c>
      <c r="R7134"/>
      <c r="S7134"/>
      <c r="T7134"/>
      <c r="U7134"/>
    </row>
    <row r="7135" spans="1:21" hidden="1">
      <c r="A7135" s="7" t="s">
        <v>8829</v>
      </c>
      <c r="B7135" s="7" t="s">
        <v>5405</v>
      </c>
      <c r="C7135" s="8" t="s">
        <v>8717</v>
      </c>
      <c r="D7135" t="s">
        <v>164</v>
      </c>
      <c r="E7135" t="s">
        <v>25</v>
      </c>
      <c r="F7135" t="s">
        <v>1718</v>
      </c>
      <c r="G7135" t="s">
        <v>5303</v>
      </c>
      <c r="H7135"/>
      <c r="I7135"/>
      <c r="J7135" t="s">
        <v>0</v>
      </c>
      <c r="K7135" s="9">
        <v>44810</v>
      </c>
      <c r="L7135"/>
      <c r="M7135"/>
      <c r="N7135"/>
      <c r="O7135"/>
      <c r="P7135"/>
      <c r="Q7135" s="9">
        <v>44810</v>
      </c>
      <c r="R7135"/>
      <c r="S7135"/>
      <c r="T7135"/>
      <c r="U7135"/>
    </row>
    <row r="7136" spans="1:21" hidden="1">
      <c r="A7136" s="7" t="s">
        <v>8829</v>
      </c>
      <c r="B7136" s="7" t="s">
        <v>5405</v>
      </c>
      <c r="C7136" s="8" t="s">
        <v>8717</v>
      </c>
      <c r="D7136" t="s">
        <v>164</v>
      </c>
      <c r="E7136" t="s">
        <v>25</v>
      </c>
      <c r="F7136" t="s">
        <v>1718</v>
      </c>
      <c r="G7136" t="s">
        <v>5304</v>
      </c>
      <c r="H7136"/>
      <c r="I7136"/>
      <c r="J7136" t="s">
        <v>0</v>
      </c>
      <c r="K7136" s="9">
        <v>44810</v>
      </c>
      <c r="L7136"/>
      <c r="M7136"/>
      <c r="N7136"/>
      <c r="O7136"/>
      <c r="P7136"/>
      <c r="Q7136" s="9">
        <v>44810</v>
      </c>
      <c r="R7136"/>
      <c r="S7136"/>
      <c r="T7136"/>
      <c r="U7136"/>
    </row>
    <row r="7137" spans="1:21" hidden="1">
      <c r="A7137" s="7" t="s">
        <v>8761</v>
      </c>
      <c r="B7137" s="7" t="s">
        <v>7715</v>
      </c>
      <c r="C7137" s="8" t="s">
        <v>8717</v>
      </c>
      <c r="D7137" t="s">
        <v>272</v>
      </c>
      <c r="E7137" t="s">
        <v>515</v>
      </c>
      <c r="F7137" t="s">
        <v>117</v>
      </c>
      <c r="G7137" t="s">
        <v>517</v>
      </c>
      <c r="H7137"/>
      <c r="I7137"/>
      <c r="J7137" t="s">
        <v>0</v>
      </c>
      <c r="K7137" s="9">
        <v>44803</v>
      </c>
      <c r="L7137"/>
      <c r="M7137"/>
      <c r="N7137"/>
      <c r="O7137"/>
      <c r="P7137"/>
      <c r="Q7137" s="9">
        <v>44803</v>
      </c>
      <c r="R7137"/>
      <c r="S7137"/>
      <c r="T7137"/>
      <c r="U7137"/>
    </row>
    <row r="7138" spans="1:21" hidden="1">
      <c r="A7138" s="7" t="s">
        <v>8761</v>
      </c>
      <c r="B7138" s="7" t="s">
        <v>7715</v>
      </c>
      <c r="C7138" s="8" t="s">
        <v>8717</v>
      </c>
      <c r="D7138" t="s">
        <v>272</v>
      </c>
      <c r="E7138" t="s">
        <v>515</v>
      </c>
      <c r="F7138" t="s">
        <v>117</v>
      </c>
      <c r="G7138" t="s">
        <v>518</v>
      </c>
      <c r="H7138"/>
      <c r="I7138"/>
      <c r="J7138" t="s">
        <v>0</v>
      </c>
      <c r="K7138" s="9">
        <v>44803</v>
      </c>
      <c r="L7138"/>
      <c r="M7138"/>
      <c r="N7138"/>
      <c r="O7138"/>
      <c r="P7138"/>
      <c r="Q7138" s="9">
        <v>44803</v>
      </c>
      <c r="R7138"/>
      <c r="S7138"/>
      <c r="T7138"/>
      <c r="U7138"/>
    </row>
    <row r="7139" spans="1:21" hidden="1">
      <c r="A7139" s="7" t="s">
        <v>8761</v>
      </c>
      <c r="B7139" s="7" t="s">
        <v>7715</v>
      </c>
      <c r="C7139" s="8" t="s">
        <v>8717</v>
      </c>
      <c r="D7139" t="s">
        <v>272</v>
      </c>
      <c r="E7139" t="s">
        <v>515</v>
      </c>
      <c r="F7139" t="s">
        <v>117</v>
      </c>
      <c r="G7139" t="s">
        <v>520</v>
      </c>
      <c r="H7139"/>
      <c r="I7139"/>
      <c r="J7139" t="s">
        <v>0</v>
      </c>
      <c r="K7139" s="9">
        <v>44803</v>
      </c>
      <c r="L7139"/>
      <c r="M7139"/>
      <c r="N7139"/>
      <c r="O7139"/>
      <c r="P7139"/>
      <c r="Q7139" s="9">
        <v>44803</v>
      </c>
      <c r="R7139"/>
      <c r="S7139"/>
      <c r="T7139"/>
      <c r="U7139"/>
    </row>
    <row r="7140" spans="1:21" hidden="1">
      <c r="A7140" s="7" t="s">
        <v>8761</v>
      </c>
      <c r="B7140" s="7" t="s">
        <v>7715</v>
      </c>
      <c r="C7140" s="8" t="s">
        <v>8717</v>
      </c>
      <c r="D7140" t="s">
        <v>272</v>
      </c>
      <c r="E7140" t="s">
        <v>515</v>
      </c>
      <c r="F7140" t="s">
        <v>117</v>
      </c>
      <c r="G7140" t="s">
        <v>5305</v>
      </c>
      <c r="H7140"/>
      <c r="I7140"/>
      <c r="J7140" t="s">
        <v>0</v>
      </c>
      <c r="K7140" s="9">
        <v>44803</v>
      </c>
      <c r="L7140"/>
      <c r="M7140"/>
      <c r="N7140"/>
      <c r="O7140"/>
      <c r="P7140"/>
      <c r="Q7140" s="9">
        <v>44803</v>
      </c>
      <c r="R7140"/>
      <c r="S7140"/>
      <c r="T7140"/>
      <c r="U7140"/>
    </row>
    <row r="7141" spans="1:21" hidden="1">
      <c r="A7141" s="7" t="s">
        <v>8761</v>
      </c>
      <c r="B7141" s="7" t="s">
        <v>7715</v>
      </c>
      <c r="C7141" s="8" t="s">
        <v>8717</v>
      </c>
      <c r="D7141" t="s">
        <v>272</v>
      </c>
      <c r="E7141" t="s">
        <v>515</v>
      </c>
      <c r="F7141" t="s">
        <v>117</v>
      </c>
      <c r="G7141" t="s">
        <v>5306</v>
      </c>
      <c r="H7141"/>
      <c r="I7141"/>
      <c r="J7141" t="s">
        <v>0</v>
      </c>
      <c r="K7141" s="9">
        <v>44803</v>
      </c>
      <c r="L7141"/>
      <c r="M7141"/>
      <c r="N7141"/>
      <c r="O7141"/>
      <c r="P7141"/>
      <c r="Q7141" s="9">
        <v>44803</v>
      </c>
      <c r="R7141"/>
      <c r="S7141"/>
      <c r="T7141"/>
      <c r="U7141"/>
    </row>
    <row r="7142" spans="1:21" hidden="1">
      <c r="A7142" s="7" t="s">
        <v>8761</v>
      </c>
      <c r="B7142" s="7" t="s">
        <v>7715</v>
      </c>
      <c r="C7142" s="8" t="s">
        <v>8717</v>
      </c>
      <c r="D7142" t="s">
        <v>272</v>
      </c>
      <c r="E7142" t="s">
        <v>515</v>
      </c>
      <c r="F7142" t="s">
        <v>117</v>
      </c>
      <c r="G7142" t="s">
        <v>5307</v>
      </c>
      <c r="H7142"/>
      <c r="I7142"/>
      <c r="J7142" t="s">
        <v>0</v>
      </c>
      <c r="K7142" s="9">
        <v>44803</v>
      </c>
      <c r="L7142"/>
      <c r="M7142"/>
      <c r="N7142"/>
      <c r="O7142"/>
      <c r="P7142"/>
      <c r="Q7142" s="9">
        <v>44803</v>
      </c>
      <c r="R7142"/>
      <c r="S7142"/>
      <c r="T7142"/>
      <c r="U7142"/>
    </row>
    <row r="7143" spans="1:21" hidden="1">
      <c r="A7143" s="7" t="s">
        <v>8761</v>
      </c>
      <c r="B7143" s="7" t="s">
        <v>7715</v>
      </c>
      <c r="C7143" s="8" t="s">
        <v>8717</v>
      </c>
      <c r="D7143" t="s">
        <v>272</v>
      </c>
      <c r="E7143" t="s">
        <v>515</v>
      </c>
      <c r="F7143" t="s">
        <v>117</v>
      </c>
      <c r="G7143" t="s">
        <v>521</v>
      </c>
      <c r="H7143"/>
      <c r="I7143"/>
      <c r="J7143" t="s">
        <v>0</v>
      </c>
      <c r="K7143" s="9">
        <v>44803</v>
      </c>
      <c r="L7143"/>
      <c r="M7143"/>
      <c r="N7143"/>
      <c r="O7143"/>
      <c r="P7143"/>
      <c r="Q7143" s="9">
        <v>44803</v>
      </c>
      <c r="R7143"/>
      <c r="S7143"/>
      <c r="T7143"/>
      <c r="U7143"/>
    </row>
    <row r="7144" spans="1:21" hidden="1">
      <c r="A7144" s="7" t="s">
        <v>8761</v>
      </c>
      <c r="B7144" s="7" t="s">
        <v>7715</v>
      </c>
      <c r="C7144" s="8" t="s">
        <v>8717</v>
      </c>
      <c r="D7144" t="s">
        <v>272</v>
      </c>
      <c r="E7144" t="s">
        <v>515</v>
      </c>
      <c r="F7144" t="s">
        <v>117</v>
      </c>
      <c r="G7144" t="s">
        <v>5308</v>
      </c>
      <c r="H7144"/>
      <c r="I7144"/>
      <c r="J7144" t="s">
        <v>0</v>
      </c>
      <c r="K7144" s="9">
        <v>44803</v>
      </c>
      <c r="L7144"/>
      <c r="M7144"/>
      <c r="N7144"/>
      <c r="O7144"/>
      <c r="P7144"/>
      <c r="Q7144" s="9">
        <v>44803</v>
      </c>
      <c r="R7144"/>
      <c r="S7144"/>
      <c r="T7144"/>
      <c r="U7144"/>
    </row>
    <row r="7145" spans="1:21" hidden="1">
      <c r="A7145" s="7" t="s">
        <v>8761</v>
      </c>
      <c r="B7145" s="7" t="s">
        <v>7715</v>
      </c>
      <c r="C7145" s="8" t="s">
        <v>8717</v>
      </c>
      <c r="D7145" t="s">
        <v>272</v>
      </c>
      <c r="E7145" t="s">
        <v>515</v>
      </c>
      <c r="F7145" t="s">
        <v>117</v>
      </c>
      <c r="G7145" t="s">
        <v>522</v>
      </c>
      <c r="H7145"/>
      <c r="I7145"/>
      <c r="J7145" t="s">
        <v>0</v>
      </c>
      <c r="K7145" s="9">
        <v>44803</v>
      </c>
      <c r="L7145"/>
      <c r="M7145"/>
      <c r="N7145"/>
      <c r="O7145"/>
      <c r="P7145"/>
      <c r="Q7145" s="9">
        <v>44803</v>
      </c>
      <c r="R7145"/>
      <c r="S7145"/>
      <c r="T7145"/>
      <c r="U7145"/>
    </row>
    <row r="7146" spans="1:21" hidden="1">
      <c r="A7146" s="7" t="s">
        <v>8761</v>
      </c>
      <c r="B7146" s="7" t="s">
        <v>7715</v>
      </c>
      <c r="C7146" s="8" t="s">
        <v>8717</v>
      </c>
      <c r="D7146" t="s">
        <v>272</v>
      </c>
      <c r="E7146" t="s">
        <v>515</v>
      </c>
      <c r="F7146" t="s">
        <v>117</v>
      </c>
      <c r="G7146" t="s">
        <v>524</v>
      </c>
      <c r="H7146"/>
      <c r="I7146"/>
      <c r="J7146" t="s">
        <v>0</v>
      </c>
      <c r="K7146" s="9">
        <v>44803</v>
      </c>
      <c r="L7146"/>
      <c r="M7146"/>
      <c r="N7146"/>
      <c r="O7146"/>
      <c r="P7146"/>
      <c r="Q7146" s="9">
        <v>44803</v>
      </c>
      <c r="R7146"/>
      <c r="S7146"/>
      <c r="T7146"/>
      <c r="U7146"/>
    </row>
    <row r="7147" spans="1:21" hidden="1">
      <c r="A7147" s="7" t="s">
        <v>8761</v>
      </c>
      <c r="B7147" s="7" t="s">
        <v>7715</v>
      </c>
      <c r="C7147" s="8" t="s">
        <v>8717</v>
      </c>
      <c r="D7147" t="s">
        <v>272</v>
      </c>
      <c r="E7147" t="s">
        <v>515</v>
      </c>
      <c r="F7147" t="s">
        <v>117</v>
      </c>
      <c r="G7147" t="s">
        <v>525</v>
      </c>
      <c r="H7147"/>
      <c r="I7147"/>
      <c r="J7147" t="s">
        <v>0</v>
      </c>
      <c r="K7147" s="9">
        <v>44803</v>
      </c>
      <c r="L7147"/>
      <c r="M7147"/>
      <c r="N7147"/>
      <c r="O7147"/>
      <c r="P7147"/>
      <c r="Q7147" s="9">
        <v>44803</v>
      </c>
      <c r="R7147"/>
      <c r="S7147"/>
      <c r="T7147"/>
      <c r="U7147"/>
    </row>
    <row r="7148" spans="1:21" hidden="1">
      <c r="A7148" s="7" t="s">
        <v>8761</v>
      </c>
      <c r="B7148" s="7" t="s">
        <v>7715</v>
      </c>
      <c r="C7148" s="8" t="s">
        <v>8717</v>
      </c>
      <c r="D7148" t="s">
        <v>272</v>
      </c>
      <c r="E7148" t="s">
        <v>515</v>
      </c>
      <c r="F7148" t="s">
        <v>117</v>
      </c>
      <c r="G7148" t="s">
        <v>526</v>
      </c>
      <c r="H7148"/>
      <c r="I7148"/>
      <c r="J7148" t="s">
        <v>0</v>
      </c>
      <c r="K7148" s="9">
        <v>44803</v>
      </c>
      <c r="L7148"/>
      <c r="M7148"/>
      <c r="N7148"/>
      <c r="O7148"/>
      <c r="P7148"/>
      <c r="Q7148" s="9">
        <v>44803</v>
      </c>
      <c r="R7148"/>
      <c r="S7148"/>
      <c r="T7148"/>
      <c r="U7148"/>
    </row>
    <row r="7149" spans="1:21" hidden="1">
      <c r="A7149" s="7" t="s">
        <v>8761</v>
      </c>
      <c r="B7149" s="7" t="s">
        <v>7715</v>
      </c>
      <c r="C7149" s="8" t="s">
        <v>8717</v>
      </c>
      <c r="D7149" t="s">
        <v>272</v>
      </c>
      <c r="E7149" t="s">
        <v>515</v>
      </c>
      <c r="F7149" t="s">
        <v>117</v>
      </c>
      <c r="G7149" t="s">
        <v>810</v>
      </c>
      <c r="H7149"/>
      <c r="I7149"/>
      <c r="J7149" t="s">
        <v>0</v>
      </c>
      <c r="K7149" s="9">
        <v>44803</v>
      </c>
      <c r="L7149"/>
      <c r="M7149"/>
      <c r="N7149"/>
      <c r="O7149"/>
      <c r="P7149"/>
      <c r="Q7149" s="9">
        <v>44803</v>
      </c>
      <c r="R7149"/>
      <c r="S7149"/>
      <c r="T7149"/>
      <c r="U7149"/>
    </row>
    <row r="7150" spans="1:21" hidden="1">
      <c r="A7150" s="7" t="s">
        <v>8761</v>
      </c>
      <c r="B7150" s="7" t="s">
        <v>7715</v>
      </c>
      <c r="C7150" s="8" t="s">
        <v>8717</v>
      </c>
      <c r="D7150" t="s">
        <v>272</v>
      </c>
      <c r="E7150" t="s">
        <v>515</v>
      </c>
      <c r="F7150" t="s">
        <v>117</v>
      </c>
      <c r="G7150" t="s">
        <v>5309</v>
      </c>
      <c r="H7150"/>
      <c r="I7150"/>
      <c r="J7150" t="s">
        <v>0</v>
      </c>
      <c r="K7150" s="9">
        <v>44803</v>
      </c>
      <c r="L7150"/>
      <c r="M7150"/>
      <c r="N7150"/>
      <c r="O7150"/>
      <c r="P7150"/>
      <c r="Q7150" s="9">
        <v>44803</v>
      </c>
      <c r="R7150"/>
      <c r="S7150"/>
      <c r="T7150"/>
      <c r="U7150"/>
    </row>
    <row r="7151" spans="1:21" hidden="1">
      <c r="A7151" s="7" t="s">
        <v>8761</v>
      </c>
      <c r="B7151" s="7" t="s">
        <v>7715</v>
      </c>
      <c r="C7151" s="8" t="s">
        <v>8717</v>
      </c>
      <c r="D7151" t="s">
        <v>272</v>
      </c>
      <c r="E7151" t="s">
        <v>515</v>
      </c>
      <c r="F7151" t="s">
        <v>117</v>
      </c>
      <c r="G7151" t="s">
        <v>527</v>
      </c>
      <c r="H7151"/>
      <c r="I7151"/>
      <c r="J7151" t="s">
        <v>0</v>
      </c>
      <c r="K7151" s="9">
        <v>44803</v>
      </c>
      <c r="L7151"/>
      <c r="M7151"/>
      <c r="N7151"/>
      <c r="O7151"/>
      <c r="P7151"/>
      <c r="Q7151" s="9">
        <v>44803</v>
      </c>
      <c r="R7151"/>
      <c r="S7151"/>
      <c r="T7151"/>
      <c r="U7151"/>
    </row>
    <row r="7152" spans="1:21" hidden="1">
      <c r="A7152" s="7" t="s">
        <v>8761</v>
      </c>
      <c r="B7152" s="7" t="s">
        <v>7715</v>
      </c>
      <c r="C7152" s="8" t="s">
        <v>8717</v>
      </c>
      <c r="D7152" t="s">
        <v>272</v>
      </c>
      <c r="E7152" t="s">
        <v>515</v>
      </c>
      <c r="F7152" t="s">
        <v>117</v>
      </c>
      <c r="G7152" t="s">
        <v>529</v>
      </c>
      <c r="H7152"/>
      <c r="I7152"/>
      <c r="J7152" t="s">
        <v>0</v>
      </c>
      <c r="K7152" s="9">
        <v>44803</v>
      </c>
      <c r="L7152"/>
      <c r="M7152"/>
      <c r="N7152"/>
      <c r="O7152"/>
      <c r="P7152"/>
      <c r="Q7152" s="9">
        <v>44803</v>
      </c>
      <c r="R7152"/>
      <c r="S7152"/>
      <c r="T7152"/>
      <c r="U7152"/>
    </row>
    <row r="7153" spans="1:21" hidden="1">
      <c r="A7153" s="7" t="s">
        <v>8761</v>
      </c>
      <c r="B7153" s="7" t="s">
        <v>7715</v>
      </c>
      <c r="C7153" s="8" t="s">
        <v>8717</v>
      </c>
      <c r="D7153" t="s">
        <v>272</v>
      </c>
      <c r="E7153" t="s">
        <v>515</v>
      </c>
      <c r="F7153" t="s">
        <v>117</v>
      </c>
      <c r="G7153" t="s">
        <v>530</v>
      </c>
      <c r="H7153"/>
      <c r="I7153"/>
      <c r="J7153" t="s">
        <v>0</v>
      </c>
      <c r="K7153" s="9">
        <v>44803</v>
      </c>
      <c r="L7153"/>
      <c r="M7153"/>
      <c r="N7153"/>
      <c r="O7153"/>
      <c r="P7153"/>
      <c r="Q7153" s="9">
        <v>44803</v>
      </c>
      <c r="R7153"/>
      <c r="S7153"/>
      <c r="T7153"/>
      <c r="U7153"/>
    </row>
    <row r="7154" spans="1:21" hidden="1">
      <c r="A7154" s="7" t="s">
        <v>8761</v>
      </c>
      <c r="B7154" s="7" t="s">
        <v>7715</v>
      </c>
      <c r="C7154" s="8" t="s">
        <v>8717</v>
      </c>
      <c r="D7154" t="s">
        <v>168</v>
      </c>
      <c r="E7154" t="s">
        <v>515</v>
      </c>
      <c r="F7154" t="s">
        <v>117</v>
      </c>
      <c r="G7154" t="s">
        <v>5306</v>
      </c>
      <c r="H7154"/>
      <c r="I7154"/>
      <c r="J7154" t="s">
        <v>0</v>
      </c>
      <c r="K7154" s="9">
        <v>44803</v>
      </c>
      <c r="L7154"/>
      <c r="M7154"/>
      <c r="N7154"/>
      <c r="O7154"/>
      <c r="P7154"/>
      <c r="Q7154" s="9">
        <v>44803</v>
      </c>
      <c r="R7154"/>
      <c r="S7154"/>
      <c r="T7154"/>
      <c r="U7154"/>
    </row>
    <row r="7155" spans="1:21" hidden="1">
      <c r="A7155" s="7" t="s">
        <v>8761</v>
      </c>
      <c r="B7155" s="7" t="s">
        <v>7715</v>
      </c>
      <c r="C7155" s="8" t="s">
        <v>8717</v>
      </c>
      <c r="D7155" t="s">
        <v>168</v>
      </c>
      <c r="E7155" t="s">
        <v>515</v>
      </c>
      <c r="F7155" t="s">
        <v>117</v>
      </c>
      <c r="G7155" t="s">
        <v>5307</v>
      </c>
      <c r="H7155"/>
      <c r="I7155"/>
      <c r="J7155" t="s">
        <v>0</v>
      </c>
      <c r="K7155" s="9">
        <v>44803</v>
      </c>
      <c r="L7155"/>
      <c r="M7155"/>
      <c r="N7155"/>
      <c r="O7155"/>
      <c r="P7155"/>
      <c r="Q7155" s="9">
        <v>44803</v>
      </c>
      <c r="R7155"/>
      <c r="S7155"/>
      <c r="T7155"/>
      <c r="U7155"/>
    </row>
    <row r="7156" spans="1:21" hidden="1">
      <c r="A7156" s="7" t="s">
        <v>8761</v>
      </c>
      <c r="B7156" s="7" t="s">
        <v>7715</v>
      </c>
      <c r="C7156" s="8" t="s">
        <v>8717</v>
      </c>
      <c r="D7156" t="s">
        <v>168</v>
      </c>
      <c r="E7156" t="s">
        <v>515</v>
      </c>
      <c r="F7156" t="s">
        <v>117</v>
      </c>
      <c r="G7156" t="s">
        <v>5308</v>
      </c>
      <c r="H7156"/>
      <c r="I7156"/>
      <c r="J7156" t="s">
        <v>0</v>
      </c>
      <c r="K7156" s="9">
        <v>44803</v>
      </c>
      <c r="L7156"/>
      <c r="M7156"/>
      <c r="N7156"/>
      <c r="O7156"/>
      <c r="P7156"/>
      <c r="Q7156" s="9">
        <v>44803</v>
      </c>
      <c r="R7156"/>
      <c r="S7156"/>
      <c r="T7156"/>
      <c r="U7156"/>
    </row>
    <row r="7157" spans="1:21" hidden="1">
      <c r="A7157" s="7" t="s">
        <v>8761</v>
      </c>
      <c r="B7157" s="7" t="s">
        <v>7715</v>
      </c>
      <c r="C7157" s="8" t="s">
        <v>8717</v>
      </c>
      <c r="D7157" t="s">
        <v>272</v>
      </c>
      <c r="E7157" t="s">
        <v>515</v>
      </c>
      <c r="F7157" t="s">
        <v>117</v>
      </c>
      <c r="G7157" t="s">
        <v>5310</v>
      </c>
      <c r="H7157"/>
      <c r="I7157"/>
      <c r="J7157" t="s">
        <v>276</v>
      </c>
      <c r="K7157" s="9">
        <v>44803.472002314797</v>
      </c>
      <c r="L7157"/>
      <c r="M7157"/>
      <c r="N7157"/>
      <c r="O7157"/>
      <c r="P7157"/>
      <c r="Q7157"/>
      <c r="R7157" s="9">
        <v>44803</v>
      </c>
      <c r="S7157"/>
      <c r="T7157"/>
      <c r="U7157"/>
    </row>
    <row r="7158" spans="1:21" hidden="1">
      <c r="A7158" s="7" t="s">
        <v>8966</v>
      </c>
      <c r="B7158" s="7" t="s">
        <v>8967</v>
      </c>
      <c r="C7158" s="8" t="s">
        <v>8717</v>
      </c>
      <c r="D7158" t="s">
        <v>266</v>
      </c>
      <c r="E7158" t="s">
        <v>5311</v>
      </c>
      <c r="F7158" t="s">
        <v>4556</v>
      </c>
      <c r="G7158" t="s">
        <v>5312</v>
      </c>
      <c r="H7158"/>
      <c r="I7158"/>
      <c r="J7158" t="s">
        <v>2</v>
      </c>
      <c r="K7158" s="9">
        <v>44861</v>
      </c>
      <c r="L7158"/>
      <c r="M7158" t="s">
        <v>5335</v>
      </c>
      <c r="N7158"/>
      <c r="O7158"/>
      <c r="P7158"/>
      <c r="Q7158" s="9">
        <v>44824</v>
      </c>
      <c r="R7158"/>
      <c r="S7158"/>
      <c r="T7158"/>
      <c r="U7158"/>
    </row>
    <row r="7159" spans="1:21" hidden="1">
      <c r="A7159" s="7" t="s">
        <v>8966</v>
      </c>
      <c r="B7159" s="7" t="s">
        <v>8967</v>
      </c>
      <c r="C7159" s="8" t="s">
        <v>8717</v>
      </c>
      <c r="D7159" t="s">
        <v>266</v>
      </c>
      <c r="E7159" t="s">
        <v>5311</v>
      </c>
      <c r="F7159" t="s">
        <v>4556</v>
      </c>
      <c r="G7159" t="s">
        <v>5313</v>
      </c>
      <c r="H7159"/>
      <c r="I7159"/>
      <c r="J7159" t="s">
        <v>2</v>
      </c>
      <c r="K7159" s="9">
        <v>44861</v>
      </c>
      <c r="L7159"/>
      <c r="M7159" t="s">
        <v>5335</v>
      </c>
      <c r="N7159"/>
      <c r="O7159"/>
      <c r="P7159"/>
      <c r="Q7159" s="9">
        <v>44824</v>
      </c>
      <c r="R7159"/>
      <c r="S7159"/>
      <c r="T7159"/>
      <c r="U7159"/>
    </row>
    <row r="7160" spans="1:21" hidden="1">
      <c r="A7160" s="7" t="s">
        <v>8851</v>
      </c>
      <c r="B7160" s="7" t="s">
        <v>6668</v>
      </c>
      <c r="C7160" s="8" t="s">
        <v>5325</v>
      </c>
      <c r="D7160" t="s">
        <v>272</v>
      </c>
      <c r="E7160" t="s">
        <v>2183</v>
      </c>
      <c r="F7160" t="s">
        <v>75</v>
      </c>
      <c r="G7160" t="s">
        <v>5336</v>
      </c>
      <c r="H7160" s="9">
        <v>44825</v>
      </c>
      <c r="I7160" t="s">
        <v>2187</v>
      </c>
      <c r="J7160" t="s">
        <v>0</v>
      </c>
      <c r="K7160" s="9">
        <v>44855</v>
      </c>
      <c r="L7160" t="s">
        <v>29</v>
      </c>
      <c r="M7160"/>
      <c r="N7160" s="9">
        <v>44848</v>
      </c>
      <c r="O7160"/>
      <c r="P7160"/>
      <c r="Q7160" s="9">
        <v>44855</v>
      </c>
      <c r="R7160"/>
      <c r="S7160"/>
      <c r="T7160"/>
      <c r="U7160"/>
    </row>
    <row r="7161" spans="1:21" hidden="1">
      <c r="A7161" s="7" t="s">
        <v>8857</v>
      </c>
      <c r="B7161" s="7" t="s">
        <v>5699</v>
      </c>
      <c r="C7161" s="8" t="s">
        <v>5325</v>
      </c>
      <c r="D7161" t="s">
        <v>272</v>
      </c>
      <c r="E7161" t="s">
        <v>2240</v>
      </c>
      <c r="F7161" t="s">
        <v>200</v>
      </c>
      <c r="G7161" t="s">
        <v>5337</v>
      </c>
      <c r="H7161" s="9">
        <v>44825</v>
      </c>
      <c r="I7161" t="s">
        <v>2130</v>
      </c>
      <c r="J7161" t="s">
        <v>1955</v>
      </c>
      <c r="K7161" s="9">
        <v>44848</v>
      </c>
      <c r="L7161" t="s">
        <v>29</v>
      </c>
      <c r="M7161"/>
      <c r="N7161" s="9">
        <v>44848</v>
      </c>
      <c r="O7161"/>
      <c r="P7161"/>
      <c r="Q7161"/>
      <c r="R7161"/>
      <c r="S7161"/>
      <c r="T7161"/>
      <c r="U7161"/>
    </row>
    <row r="7162" spans="1:21" hidden="1">
      <c r="A7162" s="7" t="s">
        <v>8758</v>
      </c>
      <c r="B7162" s="7" t="s">
        <v>5405</v>
      </c>
      <c r="C7162" s="8" t="s">
        <v>5325</v>
      </c>
      <c r="D7162" t="s">
        <v>272</v>
      </c>
      <c r="E7162" t="s">
        <v>25</v>
      </c>
      <c r="F7162" t="s">
        <v>493</v>
      </c>
      <c r="G7162" t="s">
        <v>5338</v>
      </c>
      <c r="H7162" s="9">
        <v>44825</v>
      </c>
      <c r="I7162" t="s">
        <v>8634</v>
      </c>
      <c r="J7162" t="s">
        <v>1955</v>
      </c>
      <c r="K7162" s="9">
        <v>44848</v>
      </c>
      <c r="L7162" t="s">
        <v>29</v>
      </c>
      <c r="M7162"/>
      <c r="N7162" s="9">
        <v>44848</v>
      </c>
      <c r="O7162"/>
      <c r="P7162"/>
      <c r="Q7162"/>
      <c r="R7162"/>
      <c r="S7162"/>
      <c r="T7162"/>
      <c r="U7162"/>
    </row>
    <row r="7163" spans="1:21" hidden="1">
      <c r="A7163" s="7" t="s">
        <v>8758</v>
      </c>
      <c r="B7163" s="7" t="s">
        <v>5405</v>
      </c>
      <c r="C7163" s="8" t="s">
        <v>5325</v>
      </c>
      <c r="D7163" t="s">
        <v>272</v>
      </c>
      <c r="E7163" t="s">
        <v>25</v>
      </c>
      <c r="F7163" t="s">
        <v>493</v>
      </c>
      <c r="G7163" t="s">
        <v>5339</v>
      </c>
      <c r="H7163" s="9">
        <v>44825</v>
      </c>
      <c r="I7163" t="s">
        <v>8634</v>
      </c>
      <c r="J7163" t="s">
        <v>1955</v>
      </c>
      <c r="K7163" s="9">
        <v>44848</v>
      </c>
      <c r="L7163" t="s">
        <v>29</v>
      </c>
      <c r="M7163"/>
      <c r="N7163" s="9">
        <v>44848</v>
      </c>
      <c r="O7163"/>
      <c r="P7163"/>
      <c r="Q7163"/>
      <c r="R7163"/>
      <c r="S7163"/>
      <c r="T7163"/>
      <c r="U7163"/>
    </row>
    <row r="7164" spans="1:21" hidden="1">
      <c r="A7164" s="7" t="s">
        <v>8968</v>
      </c>
      <c r="B7164" s="7" t="s">
        <v>8980</v>
      </c>
      <c r="C7164" s="8" t="s">
        <v>5325</v>
      </c>
      <c r="D7164" t="s">
        <v>272</v>
      </c>
      <c r="E7164" t="s">
        <v>8635</v>
      </c>
      <c r="F7164" t="s">
        <v>433</v>
      </c>
      <c r="G7164" t="s">
        <v>8636</v>
      </c>
      <c r="H7164" s="9">
        <v>44834</v>
      </c>
      <c r="I7164" t="s">
        <v>330</v>
      </c>
      <c r="J7164" t="s">
        <v>2</v>
      </c>
      <c r="K7164" s="9">
        <v>44858</v>
      </c>
      <c r="L7164" t="s">
        <v>29</v>
      </c>
      <c r="M7164" t="s">
        <v>331</v>
      </c>
      <c r="N7164" s="9">
        <v>44848</v>
      </c>
      <c r="O7164"/>
      <c r="P7164"/>
      <c r="Q7164"/>
      <c r="R7164"/>
      <c r="S7164"/>
      <c r="T7164"/>
      <c r="U7164"/>
    </row>
    <row r="7165" spans="1:21" hidden="1">
      <c r="A7165" s="7" t="s">
        <v>8968</v>
      </c>
      <c r="B7165" s="7" t="s">
        <v>8980</v>
      </c>
      <c r="C7165" s="8" t="s">
        <v>5325</v>
      </c>
      <c r="D7165" t="s">
        <v>272</v>
      </c>
      <c r="E7165" t="s">
        <v>8635</v>
      </c>
      <c r="F7165" t="s">
        <v>433</v>
      </c>
      <c r="G7165" t="s">
        <v>8637</v>
      </c>
      <c r="H7165" s="9">
        <v>44834</v>
      </c>
      <c r="I7165" t="s">
        <v>330</v>
      </c>
      <c r="J7165" t="s">
        <v>2</v>
      </c>
      <c r="K7165" s="9">
        <v>44858</v>
      </c>
      <c r="L7165" t="s">
        <v>29</v>
      </c>
      <c r="M7165" t="s">
        <v>331</v>
      </c>
      <c r="N7165" s="9">
        <v>44848</v>
      </c>
      <c r="O7165"/>
      <c r="P7165"/>
      <c r="Q7165"/>
      <c r="R7165"/>
      <c r="S7165"/>
      <c r="T7165"/>
      <c r="U7165"/>
    </row>
    <row r="7166" spans="1:21" hidden="1">
      <c r="A7166" s="7" t="s">
        <v>8968</v>
      </c>
      <c r="B7166" s="7" t="s">
        <v>8980</v>
      </c>
      <c r="C7166" s="8" t="s">
        <v>5325</v>
      </c>
      <c r="D7166" t="s">
        <v>272</v>
      </c>
      <c r="E7166" t="s">
        <v>8635</v>
      </c>
      <c r="F7166" t="s">
        <v>433</v>
      </c>
      <c r="G7166" t="s">
        <v>8638</v>
      </c>
      <c r="H7166" s="9">
        <v>44834</v>
      </c>
      <c r="I7166" t="s">
        <v>330</v>
      </c>
      <c r="J7166" t="s">
        <v>2</v>
      </c>
      <c r="K7166" s="9">
        <v>44858</v>
      </c>
      <c r="L7166" t="s">
        <v>29</v>
      </c>
      <c r="M7166" t="s">
        <v>331</v>
      </c>
      <c r="N7166" s="9">
        <v>44848</v>
      </c>
      <c r="O7166"/>
      <c r="P7166"/>
      <c r="Q7166"/>
      <c r="R7166"/>
      <c r="S7166"/>
      <c r="T7166"/>
      <c r="U7166"/>
    </row>
    <row r="7167" spans="1:21" hidden="1">
      <c r="A7167" s="7" t="s">
        <v>8758</v>
      </c>
      <c r="B7167" s="7" t="s">
        <v>5405</v>
      </c>
      <c r="C7167" s="8" t="s">
        <v>5325</v>
      </c>
      <c r="D7167" t="s">
        <v>272</v>
      </c>
      <c r="E7167" t="s">
        <v>25</v>
      </c>
      <c r="F7167" t="s">
        <v>493</v>
      </c>
      <c r="G7167" t="s">
        <v>5340</v>
      </c>
      <c r="H7167" s="9">
        <v>44825</v>
      </c>
      <c r="I7167" t="s">
        <v>8634</v>
      </c>
      <c r="J7167" t="s">
        <v>1955</v>
      </c>
      <c r="K7167" s="9">
        <v>44848</v>
      </c>
      <c r="L7167" t="s">
        <v>29</v>
      </c>
      <c r="M7167"/>
      <c r="N7167" s="9">
        <v>44848</v>
      </c>
      <c r="O7167"/>
      <c r="P7167"/>
      <c r="Q7167"/>
      <c r="R7167"/>
      <c r="S7167"/>
      <c r="T7167"/>
      <c r="U7167"/>
    </row>
    <row r="7168" spans="1:21" hidden="1">
      <c r="A7168" s="7" t="s">
        <v>8758</v>
      </c>
      <c r="B7168" s="7" t="s">
        <v>5405</v>
      </c>
      <c r="C7168" s="8" t="s">
        <v>5325</v>
      </c>
      <c r="D7168" t="s">
        <v>272</v>
      </c>
      <c r="E7168" t="s">
        <v>25</v>
      </c>
      <c r="F7168" t="s">
        <v>493</v>
      </c>
      <c r="G7168" t="s">
        <v>5341</v>
      </c>
      <c r="H7168" s="9">
        <v>44825</v>
      </c>
      <c r="I7168" t="s">
        <v>8634</v>
      </c>
      <c r="J7168" t="s">
        <v>1955</v>
      </c>
      <c r="K7168" s="9">
        <v>44848</v>
      </c>
      <c r="L7168" t="s">
        <v>29</v>
      </c>
      <c r="M7168"/>
      <c r="N7168" s="9">
        <v>44848</v>
      </c>
      <c r="O7168"/>
      <c r="P7168"/>
      <c r="Q7168"/>
      <c r="R7168"/>
      <c r="S7168"/>
      <c r="T7168"/>
      <c r="U7168"/>
    </row>
    <row r="7169" spans="1:21" hidden="1">
      <c r="A7169" s="7" t="s">
        <v>8758</v>
      </c>
      <c r="B7169" s="7" t="s">
        <v>5405</v>
      </c>
      <c r="C7169" s="8" t="s">
        <v>5325</v>
      </c>
      <c r="D7169" t="s">
        <v>272</v>
      </c>
      <c r="E7169" t="s">
        <v>25</v>
      </c>
      <c r="F7169" t="s">
        <v>493</v>
      </c>
      <c r="G7169" t="s">
        <v>5342</v>
      </c>
      <c r="H7169" s="9">
        <v>44825</v>
      </c>
      <c r="I7169" t="s">
        <v>8634</v>
      </c>
      <c r="J7169" t="s">
        <v>1955</v>
      </c>
      <c r="K7169" s="9">
        <v>44848</v>
      </c>
      <c r="L7169" t="s">
        <v>29</v>
      </c>
      <c r="M7169"/>
      <c r="N7169" s="9">
        <v>44848</v>
      </c>
      <c r="O7169"/>
      <c r="P7169"/>
      <c r="Q7169"/>
      <c r="R7169"/>
      <c r="S7169"/>
      <c r="T7169"/>
      <c r="U7169"/>
    </row>
    <row r="7170" spans="1:21" hidden="1">
      <c r="A7170" s="7" t="s">
        <v>8841</v>
      </c>
      <c r="B7170" s="7" t="s">
        <v>7703</v>
      </c>
      <c r="C7170" s="8" t="s">
        <v>5325</v>
      </c>
      <c r="D7170" t="s">
        <v>272</v>
      </c>
      <c r="E7170" t="s">
        <v>2095</v>
      </c>
      <c r="F7170" t="s">
        <v>117</v>
      </c>
      <c r="G7170" t="s">
        <v>5343</v>
      </c>
      <c r="H7170" s="9">
        <v>44825</v>
      </c>
      <c r="I7170" t="s">
        <v>509</v>
      </c>
      <c r="J7170" t="s">
        <v>1955</v>
      </c>
      <c r="K7170" s="9">
        <v>44848</v>
      </c>
      <c r="L7170" t="s">
        <v>29</v>
      </c>
      <c r="M7170"/>
      <c r="N7170" s="9">
        <v>44848</v>
      </c>
      <c r="O7170"/>
      <c r="P7170"/>
      <c r="Q7170"/>
      <c r="R7170"/>
      <c r="S7170"/>
      <c r="T7170"/>
      <c r="U7170"/>
    </row>
    <row r="7171" spans="1:21" hidden="1">
      <c r="A7171" s="7" t="s">
        <v>8728</v>
      </c>
      <c r="B7171" s="7" t="s">
        <v>5405</v>
      </c>
      <c r="C7171" s="8" t="s">
        <v>5325</v>
      </c>
      <c r="D7171" t="s">
        <v>272</v>
      </c>
      <c r="E7171" t="s">
        <v>25</v>
      </c>
      <c r="F7171" t="s">
        <v>200</v>
      </c>
      <c r="G7171" t="s">
        <v>5344</v>
      </c>
      <c r="H7171" s="9">
        <v>44825</v>
      </c>
      <c r="I7171" t="s">
        <v>8634</v>
      </c>
      <c r="J7171" t="s">
        <v>0</v>
      </c>
      <c r="K7171" s="9">
        <v>44862</v>
      </c>
      <c r="L7171" t="s">
        <v>29</v>
      </c>
      <c r="M7171"/>
      <c r="N7171" s="9">
        <v>44848</v>
      </c>
      <c r="O7171"/>
      <c r="P7171"/>
      <c r="Q7171" s="9">
        <v>44862</v>
      </c>
      <c r="R7171"/>
      <c r="S7171"/>
      <c r="T7171"/>
      <c r="U7171"/>
    </row>
    <row r="7172" spans="1:21" hidden="1">
      <c r="A7172" s="7" t="s">
        <v>8728</v>
      </c>
      <c r="B7172" s="7" t="s">
        <v>5405</v>
      </c>
      <c r="C7172" s="8" t="s">
        <v>5325</v>
      </c>
      <c r="D7172" t="s">
        <v>272</v>
      </c>
      <c r="E7172" t="s">
        <v>25</v>
      </c>
      <c r="F7172" t="s">
        <v>200</v>
      </c>
      <c r="G7172" t="s">
        <v>5345</v>
      </c>
      <c r="H7172" s="9">
        <v>44825</v>
      </c>
      <c r="I7172" t="s">
        <v>8634</v>
      </c>
      <c r="J7172" t="s">
        <v>0</v>
      </c>
      <c r="K7172" s="9">
        <v>44862</v>
      </c>
      <c r="L7172" t="s">
        <v>29</v>
      </c>
      <c r="M7172"/>
      <c r="N7172" s="9">
        <v>44848</v>
      </c>
      <c r="O7172"/>
      <c r="P7172"/>
      <c r="Q7172" s="9">
        <v>44862</v>
      </c>
      <c r="R7172"/>
      <c r="S7172"/>
      <c r="T7172"/>
      <c r="U7172"/>
    </row>
    <row r="7173" spans="1:21" hidden="1">
      <c r="A7173" s="7" t="s">
        <v>8728</v>
      </c>
      <c r="B7173" s="7" t="s">
        <v>5405</v>
      </c>
      <c r="C7173" s="8" t="s">
        <v>5325</v>
      </c>
      <c r="D7173" t="s">
        <v>272</v>
      </c>
      <c r="E7173" t="s">
        <v>25</v>
      </c>
      <c r="F7173" t="s">
        <v>200</v>
      </c>
      <c r="G7173" t="s">
        <v>5346</v>
      </c>
      <c r="H7173" s="9">
        <v>44825</v>
      </c>
      <c r="I7173" t="s">
        <v>8634</v>
      </c>
      <c r="J7173" t="s">
        <v>0</v>
      </c>
      <c r="K7173" s="9">
        <v>44862</v>
      </c>
      <c r="L7173" t="s">
        <v>29</v>
      </c>
      <c r="M7173"/>
      <c r="N7173" s="9">
        <v>44848</v>
      </c>
      <c r="O7173"/>
      <c r="P7173"/>
      <c r="Q7173" s="9">
        <v>44862</v>
      </c>
      <c r="R7173"/>
      <c r="S7173"/>
      <c r="T7173"/>
      <c r="U7173"/>
    </row>
    <row r="7174" spans="1:21" hidden="1">
      <c r="A7174" s="7" t="s">
        <v>8728</v>
      </c>
      <c r="B7174" s="7" t="s">
        <v>5405</v>
      </c>
      <c r="C7174" s="8" t="s">
        <v>5325</v>
      </c>
      <c r="D7174" t="s">
        <v>272</v>
      </c>
      <c r="E7174" t="s">
        <v>25</v>
      </c>
      <c r="F7174" t="s">
        <v>200</v>
      </c>
      <c r="G7174" t="s">
        <v>5347</v>
      </c>
      <c r="H7174" s="9">
        <v>44825</v>
      </c>
      <c r="I7174" t="s">
        <v>8634</v>
      </c>
      <c r="J7174" t="s">
        <v>0</v>
      </c>
      <c r="K7174" s="9">
        <v>44862</v>
      </c>
      <c r="L7174" t="s">
        <v>29</v>
      </c>
      <c r="M7174"/>
      <c r="N7174" s="9">
        <v>44848</v>
      </c>
      <c r="O7174"/>
      <c r="P7174"/>
      <c r="Q7174" s="9">
        <v>44862</v>
      </c>
      <c r="R7174"/>
      <c r="S7174"/>
      <c r="T7174"/>
      <c r="U7174"/>
    </row>
    <row r="7175" spans="1:21" hidden="1">
      <c r="A7175" s="7" t="s">
        <v>8712</v>
      </c>
      <c r="B7175" s="7" t="s">
        <v>5405</v>
      </c>
      <c r="C7175" s="8" t="s">
        <v>5325</v>
      </c>
      <c r="D7175" t="s">
        <v>272</v>
      </c>
      <c r="E7175" t="s">
        <v>25</v>
      </c>
      <c r="F7175" t="s">
        <v>26</v>
      </c>
      <c r="G7175" t="s">
        <v>5348</v>
      </c>
      <c r="H7175" s="9">
        <v>44825</v>
      </c>
      <c r="I7175" t="s">
        <v>8634</v>
      </c>
      <c r="J7175" t="s">
        <v>1955</v>
      </c>
      <c r="K7175" s="9">
        <v>44848</v>
      </c>
      <c r="L7175" t="s">
        <v>29</v>
      </c>
      <c r="M7175"/>
      <c r="N7175" s="9">
        <v>44848</v>
      </c>
      <c r="O7175"/>
      <c r="P7175"/>
      <c r="Q7175"/>
      <c r="R7175"/>
      <c r="S7175"/>
      <c r="T7175"/>
      <c r="U7175"/>
    </row>
    <row r="7176" spans="1:21" hidden="1">
      <c r="A7176" s="7" t="s">
        <v>8765</v>
      </c>
      <c r="B7176" s="7" t="s">
        <v>5405</v>
      </c>
      <c r="C7176" s="8" t="s">
        <v>5325</v>
      </c>
      <c r="D7176" t="s">
        <v>24</v>
      </c>
      <c r="E7176" t="s">
        <v>25</v>
      </c>
      <c r="F7176" t="s">
        <v>231</v>
      </c>
      <c r="G7176" t="s">
        <v>5257</v>
      </c>
      <c r="H7176" s="9">
        <v>44825</v>
      </c>
      <c r="I7176" t="s">
        <v>8634</v>
      </c>
      <c r="J7176" t="s">
        <v>2</v>
      </c>
      <c r="K7176" s="9">
        <v>44868</v>
      </c>
      <c r="L7176" t="s">
        <v>29</v>
      </c>
      <c r="M7176" t="s">
        <v>5349</v>
      </c>
      <c r="N7176" s="9">
        <v>44848</v>
      </c>
      <c r="O7176"/>
      <c r="P7176"/>
      <c r="Q7176"/>
      <c r="R7176"/>
      <c r="S7176"/>
      <c r="T7176"/>
      <c r="U7176"/>
    </row>
    <row r="7177" spans="1:21" hidden="1">
      <c r="A7177" s="7" t="s">
        <v>8777</v>
      </c>
      <c r="B7177" s="7" t="s">
        <v>6307</v>
      </c>
      <c r="C7177" s="8" t="s">
        <v>5325</v>
      </c>
      <c r="D7177" t="s">
        <v>24</v>
      </c>
      <c r="E7177" t="s">
        <v>78</v>
      </c>
      <c r="F7177" t="s">
        <v>803</v>
      </c>
      <c r="G7177" t="s">
        <v>5258</v>
      </c>
      <c r="H7177" s="9">
        <v>44825</v>
      </c>
      <c r="I7177" t="s">
        <v>109</v>
      </c>
      <c r="J7177" t="s">
        <v>2</v>
      </c>
      <c r="K7177" s="9">
        <v>44858</v>
      </c>
      <c r="L7177" t="s">
        <v>29</v>
      </c>
      <c r="M7177" t="s">
        <v>5350</v>
      </c>
      <c r="N7177" s="9">
        <v>44848</v>
      </c>
      <c r="O7177"/>
      <c r="P7177"/>
      <c r="Q7177" s="9">
        <v>44860</v>
      </c>
      <c r="R7177"/>
      <c r="S7177"/>
      <c r="T7177"/>
      <c r="U7177"/>
    </row>
    <row r="7178" spans="1:21" hidden="1">
      <c r="A7178" s="7" t="s">
        <v>8777</v>
      </c>
      <c r="B7178" s="7" t="s">
        <v>6307</v>
      </c>
      <c r="C7178" s="8" t="s">
        <v>5325</v>
      </c>
      <c r="D7178" t="s">
        <v>24</v>
      </c>
      <c r="E7178" t="s">
        <v>78</v>
      </c>
      <c r="F7178" t="s">
        <v>803</v>
      </c>
      <c r="G7178" t="s">
        <v>5259</v>
      </c>
      <c r="H7178" s="9">
        <v>44825</v>
      </c>
      <c r="I7178" t="s">
        <v>109</v>
      </c>
      <c r="J7178" t="s">
        <v>2</v>
      </c>
      <c r="K7178" s="9">
        <v>44858</v>
      </c>
      <c r="L7178" t="s">
        <v>29</v>
      </c>
      <c r="M7178" t="s">
        <v>5350</v>
      </c>
      <c r="N7178" s="9">
        <v>44848</v>
      </c>
      <c r="O7178"/>
      <c r="P7178"/>
      <c r="Q7178" s="9">
        <v>44860</v>
      </c>
      <c r="R7178"/>
      <c r="S7178"/>
      <c r="T7178"/>
      <c r="U7178"/>
    </row>
    <row r="7179" spans="1:21" hidden="1">
      <c r="A7179" s="7" t="s">
        <v>8777</v>
      </c>
      <c r="B7179" s="7" t="s">
        <v>6307</v>
      </c>
      <c r="C7179" s="8" t="s">
        <v>5325</v>
      </c>
      <c r="D7179" t="s">
        <v>24</v>
      </c>
      <c r="E7179" t="s">
        <v>78</v>
      </c>
      <c r="F7179" t="s">
        <v>803</v>
      </c>
      <c r="G7179" t="s">
        <v>5260</v>
      </c>
      <c r="H7179" s="9">
        <v>44825</v>
      </c>
      <c r="I7179" t="s">
        <v>109</v>
      </c>
      <c r="J7179" t="s">
        <v>2</v>
      </c>
      <c r="K7179" s="9">
        <v>44858</v>
      </c>
      <c r="L7179" t="s">
        <v>29</v>
      </c>
      <c r="M7179" t="s">
        <v>5350</v>
      </c>
      <c r="N7179" s="9">
        <v>44848</v>
      </c>
      <c r="O7179"/>
      <c r="P7179"/>
      <c r="Q7179" s="9">
        <v>44860</v>
      </c>
      <c r="R7179"/>
      <c r="S7179"/>
      <c r="T7179"/>
      <c r="U7179"/>
    </row>
    <row r="7180" spans="1:21" hidden="1">
      <c r="A7180" s="7" t="s">
        <v>8758</v>
      </c>
      <c r="B7180" s="7" t="s">
        <v>5405</v>
      </c>
      <c r="C7180" s="8" t="s">
        <v>5325</v>
      </c>
      <c r="D7180" t="s">
        <v>24</v>
      </c>
      <c r="E7180" t="s">
        <v>25</v>
      </c>
      <c r="F7180" t="s">
        <v>493</v>
      </c>
      <c r="G7180" t="s">
        <v>5338</v>
      </c>
      <c r="H7180" s="9">
        <v>44825</v>
      </c>
      <c r="I7180" t="s">
        <v>8634</v>
      </c>
      <c r="J7180" t="s">
        <v>1955</v>
      </c>
      <c r="K7180" s="9">
        <v>44848</v>
      </c>
      <c r="L7180" t="s">
        <v>29</v>
      </c>
      <c r="M7180"/>
      <c r="N7180" s="9">
        <v>44848</v>
      </c>
      <c r="O7180"/>
      <c r="P7180"/>
      <c r="Q7180"/>
      <c r="R7180"/>
      <c r="S7180"/>
      <c r="T7180"/>
      <c r="U7180"/>
    </row>
    <row r="7181" spans="1:21" hidden="1">
      <c r="A7181" s="7" t="s">
        <v>8758</v>
      </c>
      <c r="B7181" s="7" t="s">
        <v>5405</v>
      </c>
      <c r="C7181" s="8" t="s">
        <v>5325</v>
      </c>
      <c r="D7181" t="s">
        <v>24</v>
      </c>
      <c r="E7181" t="s">
        <v>25</v>
      </c>
      <c r="F7181" t="s">
        <v>493</v>
      </c>
      <c r="G7181" t="s">
        <v>5339</v>
      </c>
      <c r="H7181" s="9">
        <v>44825</v>
      </c>
      <c r="I7181" t="s">
        <v>8634</v>
      </c>
      <c r="J7181" t="s">
        <v>1955</v>
      </c>
      <c r="K7181" s="9">
        <v>44848</v>
      </c>
      <c r="L7181" t="s">
        <v>29</v>
      </c>
      <c r="M7181"/>
      <c r="N7181" s="9">
        <v>44848</v>
      </c>
      <c r="O7181"/>
      <c r="P7181"/>
      <c r="Q7181"/>
      <c r="R7181"/>
      <c r="S7181"/>
      <c r="T7181"/>
      <c r="U7181"/>
    </row>
    <row r="7182" spans="1:21" hidden="1">
      <c r="A7182" s="7" t="s">
        <v>8758</v>
      </c>
      <c r="B7182" s="7" t="s">
        <v>5405</v>
      </c>
      <c r="C7182" s="8" t="s">
        <v>5325</v>
      </c>
      <c r="D7182" t="s">
        <v>24</v>
      </c>
      <c r="E7182" t="s">
        <v>25</v>
      </c>
      <c r="F7182" t="s">
        <v>493</v>
      </c>
      <c r="G7182" t="s">
        <v>5340</v>
      </c>
      <c r="H7182" s="9">
        <v>44825</v>
      </c>
      <c r="I7182" t="s">
        <v>8634</v>
      </c>
      <c r="J7182" t="s">
        <v>1955</v>
      </c>
      <c r="K7182" s="9">
        <v>44848</v>
      </c>
      <c r="L7182" t="s">
        <v>29</v>
      </c>
      <c r="M7182"/>
      <c r="N7182" s="9">
        <v>44848</v>
      </c>
      <c r="O7182"/>
      <c r="P7182"/>
      <c r="Q7182"/>
      <c r="R7182"/>
      <c r="S7182"/>
      <c r="T7182"/>
      <c r="U7182"/>
    </row>
    <row r="7183" spans="1:21" hidden="1">
      <c r="A7183" s="7" t="s">
        <v>8758</v>
      </c>
      <c r="B7183" s="7" t="s">
        <v>5405</v>
      </c>
      <c r="C7183" s="8" t="s">
        <v>5325</v>
      </c>
      <c r="D7183" t="s">
        <v>24</v>
      </c>
      <c r="E7183" t="s">
        <v>25</v>
      </c>
      <c r="F7183" t="s">
        <v>493</v>
      </c>
      <c r="G7183" t="s">
        <v>5341</v>
      </c>
      <c r="H7183" s="9">
        <v>44825</v>
      </c>
      <c r="I7183" t="s">
        <v>8634</v>
      </c>
      <c r="J7183" t="s">
        <v>1955</v>
      </c>
      <c r="K7183" s="9">
        <v>44848</v>
      </c>
      <c r="L7183" t="s">
        <v>29</v>
      </c>
      <c r="M7183"/>
      <c r="N7183" s="9">
        <v>44848</v>
      </c>
      <c r="O7183"/>
      <c r="P7183"/>
      <c r="Q7183"/>
      <c r="R7183"/>
      <c r="S7183"/>
      <c r="T7183"/>
      <c r="U7183"/>
    </row>
    <row r="7184" spans="1:21" hidden="1">
      <c r="A7184" s="7" t="s">
        <v>8758</v>
      </c>
      <c r="B7184" s="7" t="s">
        <v>5405</v>
      </c>
      <c r="C7184" s="8" t="s">
        <v>5325</v>
      </c>
      <c r="D7184" t="s">
        <v>24</v>
      </c>
      <c r="E7184" t="s">
        <v>25</v>
      </c>
      <c r="F7184" t="s">
        <v>493</v>
      </c>
      <c r="G7184" t="s">
        <v>5342</v>
      </c>
      <c r="H7184" s="9">
        <v>44825</v>
      </c>
      <c r="I7184" t="s">
        <v>8634</v>
      </c>
      <c r="J7184" t="s">
        <v>1955</v>
      </c>
      <c r="K7184" s="9">
        <v>44848</v>
      </c>
      <c r="L7184" t="s">
        <v>29</v>
      </c>
      <c r="M7184"/>
      <c r="N7184" s="9">
        <v>44848</v>
      </c>
      <c r="O7184"/>
      <c r="P7184"/>
      <c r="Q7184"/>
      <c r="R7184"/>
      <c r="S7184"/>
      <c r="T7184"/>
      <c r="U7184"/>
    </row>
    <row r="7185" spans="1:21" hidden="1">
      <c r="A7185" s="7" t="s">
        <v>8765</v>
      </c>
      <c r="B7185" s="7" t="s">
        <v>5405</v>
      </c>
      <c r="C7185" s="8" t="s">
        <v>5325</v>
      </c>
      <c r="D7185" t="s">
        <v>24</v>
      </c>
      <c r="E7185" t="s">
        <v>25</v>
      </c>
      <c r="F7185" t="s">
        <v>231</v>
      </c>
      <c r="G7185" t="s">
        <v>5351</v>
      </c>
      <c r="H7185" s="9">
        <v>44825</v>
      </c>
      <c r="I7185" t="s">
        <v>8634</v>
      </c>
      <c r="J7185" t="s">
        <v>1955</v>
      </c>
      <c r="K7185" s="9">
        <v>44848</v>
      </c>
      <c r="L7185" t="s">
        <v>29</v>
      </c>
      <c r="M7185"/>
      <c r="N7185" s="9">
        <v>44848</v>
      </c>
      <c r="O7185"/>
      <c r="P7185"/>
      <c r="Q7185"/>
      <c r="R7185"/>
      <c r="S7185"/>
      <c r="T7185"/>
      <c r="U7185"/>
    </row>
    <row r="7186" spans="1:21" hidden="1">
      <c r="A7186" s="7" t="s">
        <v>8765</v>
      </c>
      <c r="B7186" s="7" t="s">
        <v>5405</v>
      </c>
      <c r="C7186" s="8" t="s">
        <v>5325</v>
      </c>
      <c r="D7186" t="s">
        <v>24</v>
      </c>
      <c r="E7186" t="s">
        <v>25</v>
      </c>
      <c r="F7186" t="s">
        <v>231</v>
      </c>
      <c r="G7186" t="s">
        <v>5352</v>
      </c>
      <c r="H7186" s="9">
        <v>44825</v>
      </c>
      <c r="I7186" t="s">
        <v>8634</v>
      </c>
      <c r="J7186" t="s">
        <v>1955</v>
      </c>
      <c r="K7186" s="9">
        <v>44848</v>
      </c>
      <c r="L7186" t="s">
        <v>29</v>
      </c>
      <c r="M7186"/>
      <c r="N7186" s="9">
        <v>44848</v>
      </c>
      <c r="O7186"/>
      <c r="P7186"/>
      <c r="Q7186"/>
      <c r="R7186"/>
      <c r="S7186"/>
      <c r="T7186"/>
      <c r="U7186"/>
    </row>
    <row r="7187" spans="1:21" hidden="1">
      <c r="A7187" s="7" t="s">
        <v>8758</v>
      </c>
      <c r="B7187" s="7" t="s">
        <v>5405</v>
      </c>
      <c r="C7187" s="8" t="s">
        <v>5325</v>
      </c>
      <c r="D7187" t="s">
        <v>24</v>
      </c>
      <c r="E7187" t="s">
        <v>25</v>
      </c>
      <c r="F7187" t="s">
        <v>493</v>
      </c>
      <c r="G7187" t="s">
        <v>5353</v>
      </c>
      <c r="H7187" s="9">
        <v>44825</v>
      </c>
      <c r="I7187" t="s">
        <v>8634</v>
      </c>
      <c r="J7187" t="s">
        <v>0</v>
      </c>
      <c r="K7187" s="9">
        <v>44862</v>
      </c>
      <c r="L7187" t="s">
        <v>29</v>
      </c>
      <c r="M7187"/>
      <c r="N7187" s="9">
        <v>44848</v>
      </c>
      <c r="O7187"/>
      <c r="P7187"/>
      <c r="Q7187" s="9">
        <v>44862</v>
      </c>
      <c r="R7187"/>
      <c r="S7187"/>
      <c r="T7187"/>
      <c r="U7187"/>
    </row>
    <row r="7188" spans="1:21" hidden="1">
      <c r="A7188" s="7" t="s">
        <v>8861</v>
      </c>
      <c r="B7188" s="7" t="s">
        <v>8218</v>
      </c>
      <c r="C7188" s="8" t="s">
        <v>5325</v>
      </c>
      <c r="D7188" t="s">
        <v>266</v>
      </c>
      <c r="E7188" t="s">
        <v>2260</v>
      </c>
      <c r="F7188" t="s">
        <v>117</v>
      </c>
      <c r="G7188" t="s">
        <v>4693</v>
      </c>
      <c r="H7188" s="9">
        <v>44825</v>
      </c>
      <c r="I7188" t="s">
        <v>4305</v>
      </c>
      <c r="J7188" t="s">
        <v>1955</v>
      </c>
      <c r="K7188" s="9">
        <v>44848</v>
      </c>
      <c r="L7188" t="s">
        <v>29</v>
      </c>
      <c r="M7188"/>
      <c r="N7188" s="9">
        <v>44848</v>
      </c>
      <c r="O7188"/>
      <c r="P7188"/>
      <c r="Q7188"/>
      <c r="R7188"/>
      <c r="S7188"/>
      <c r="T7188"/>
      <c r="U7188"/>
    </row>
    <row r="7189" spans="1:21" hidden="1">
      <c r="A7189" s="7" t="s">
        <v>8799</v>
      </c>
      <c r="B7189" s="7" t="s">
        <v>6671</v>
      </c>
      <c r="C7189" s="8" t="s">
        <v>5325</v>
      </c>
      <c r="D7189" t="s">
        <v>266</v>
      </c>
      <c r="E7189" t="s">
        <v>1009</v>
      </c>
      <c r="F7189" t="s">
        <v>117</v>
      </c>
      <c r="G7189" t="s">
        <v>5300</v>
      </c>
      <c r="H7189" s="9">
        <v>44825</v>
      </c>
      <c r="I7189" t="s">
        <v>408</v>
      </c>
      <c r="J7189" t="s">
        <v>1955</v>
      </c>
      <c r="K7189" s="9">
        <v>44848</v>
      </c>
      <c r="L7189" t="s">
        <v>29</v>
      </c>
      <c r="M7189"/>
      <c r="N7189" s="9">
        <v>44848</v>
      </c>
      <c r="O7189"/>
      <c r="P7189"/>
      <c r="Q7189"/>
      <c r="R7189"/>
      <c r="S7189"/>
      <c r="T7189"/>
      <c r="U7189"/>
    </row>
    <row r="7190" spans="1:21" hidden="1">
      <c r="A7190" s="7" t="s">
        <v>8782</v>
      </c>
      <c r="B7190" s="7" t="s">
        <v>5530</v>
      </c>
      <c r="C7190" s="8" t="s">
        <v>5325</v>
      </c>
      <c r="D7190" t="s">
        <v>266</v>
      </c>
      <c r="E7190" t="s">
        <v>885</v>
      </c>
      <c r="F7190" t="s">
        <v>75</v>
      </c>
      <c r="G7190" t="s">
        <v>5354</v>
      </c>
      <c r="H7190" s="9">
        <v>44825</v>
      </c>
      <c r="I7190" t="s">
        <v>408</v>
      </c>
      <c r="J7190" t="s">
        <v>0</v>
      </c>
      <c r="K7190" s="9">
        <v>44855</v>
      </c>
      <c r="L7190" t="s">
        <v>29</v>
      </c>
      <c r="M7190"/>
      <c r="N7190" s="9">
        <v>44848</v>
      </c>
      <c r="O7190"/>
      <c r="P7190"/>
      <c r="Q7190" s="9">
        <v>44855</v>
      </c>
      <c r="R7190"/>
      <c r="S7190"/>
      <c r="T7190"/>
      <c r="U7190"/>
    </row>
    <row r="7191" spans="1:21" hidden="1">
      <c r="A7191" s="7" t="s">
        <v>8969</v>
      </c>
      <c r="B7191" s="7" t="s">
        <v>8981</v>
      </c>
      <c r="C7191" s="8" t="s">
        <v>5325</v>
      </c>
      <c r="D7191" t="s">
        <v>266</v>
      </c>
      <c r="E7191" t="s">
        <v>8639</v>
      </c>
      <c r="F7191" t="s">
        <v>117</v>
      </c>
      <c r="G7191" t="s">
        <v>8640</v>
      </c>
      <c r="H7191" s="9">
        <v>44834</v>
      </c>
      <c r="I7191" t="s">
        <v>4830</v>
      </c>
      <c r="J7191" t="s">
        <v>0</v>
      </c>
      <c r="K7191" s="9">
        <v>44855</v>
      </c>
      <c r="L7191" t="s">
        <v>29</v>
      </c>
      <c r="M7191"/>
      <c r="N7191" s="9">
        <v>44848</v>
      </c>
      <c r="O7191"/>
      <c r="P7191"/>
      <c r="Q7191" s="9">
        <v>44855</v>
      </c>
      <c r="R7191"/>
      <c r="S7191"/>
      <c r="T7191"/>
      <c r="U7191"/>
    </row>
    <row r="7192" spans="1:21" hidden="1">
      <c r="A7192" s="7" t="s">
        <v>8969</v>
      </c>
      <c r="B7192" s="7" t="s">
        <v>8981</v>
      </c>
      <c r="C7192" s="8" t="s">
        <v>5325</v>
      </c>
      <c r="D7192" t="s">
        <v>266</v>
      </c>
      <c r="E7192" t="s">
        <v>8639</v>
      </c>
      <c r="F7192" t="s">
        <v>117</v>
      </c>
      <c r="G7192" t="s">
        <v>8641</v>
      </c>
      <c r="H7192" s="9">
        <v>44834</v>
      </c>
      <c r="I7192" t="s">
        <v>4830</v>
      </c>
      <c r="J7192" t="s">
        <v>0</v>
      </c>
      <c r="K7192" s="9">
        <v>44855</v>
      </c>
      <c r="L7192" t="s">
        <v>29</v>
      </c>
      <c r="M7192"/>
      <c r="N7192" s="9">
        <v>44848</v>
      </c>
      <c r="O7192"/>
      <c r="P7192"/>
      <c r="Q7192" s="9">
        <v>44855</v>
      </c>
      <c r="R7192"/>
      <c r="S7192"/>
      <c r="T7192"/>
      <c r="U7192"/>
    </row>
    <row r="7193" spans="1:21" hidden="1">
      <c r="A7193" s="7" t="s">
        <v>8969</v>
      </c>
      <c r="B7193" s="7" t="s">
        <v>8981</v>
      </c>
      <c r="C7193" s="8" t="s">
        <v>5325</v>
      </c>
      <c r="D7193" t="s">
        <v>266</v>
      </c>
      <c r="E7193" t="s">
        <v>8639</v>
      </c>
      <c r="F7193" t="s">
        <v>117</v>
      </c>
      <c r="G7193" t="s">
        <v>8642</v>
      </c>
      <c r="H7193" s="9">
        <v>44834</v>
      </c>
      <c r="I7193" t="s">
        <v>4830</v>
      </c>
      <c r="J7193" t="s">
        <v>0</v>
      </c>
      <c r="K7193" s="9">
        <v>44855</v>
      </c>
      <c r="L7193" t="s">
        <v>29</v>
      </c>
      <c r="M7193"/>
      <c r="N7193" s="9">
        <v>44848</v>
      </c>
      <c r="O7193"/>
      <c r="P7193"/>
      <c r="Q7193" s="9">
        <v>44855</v>
      </c>
      <c r="R7193"/>
      <c r="S7193"/>
      <c r="T7193"/>
      <c r="U7193"/>
    </row>
    <row r="7194" spans="1:21" hidden="1">
      <c r="A7194" s="7" t="s">
        <v>8758</v>
      </c>
      <c r="B7194" s="7" t="s">
        <v>5405</v>
      </c>
      <c r="C7194" s="8" t="s">
        <v>5325</v>
      </c>
      <c r="D7194" t="s">
        <v>266</v>
      </c>
      <c r="E7194" t="s">
        <v>25</v>
      </c>
      <c r="F7194" t="s">
        <v>493</v>
      </c>
      <c r="G7194" t="s">
        <v>5338</v>
      </c>
      <c r="H7194" s="9">
        <v>44825</v>
      </c>
      <c r="I7194" t="s">
        <v>8634</v>
      </c>
      <c r="J7194" t="s">
        <v>1955</v>
      </c>
      <c r="K7194" s="9">
        <v>44848</v>
      </c>
      <c r="L7194" t="s">
        <v>29</v>
      </c>
      <c r="M7194"/>
      <c r="N7194" s="9">
        <v>44848</v>
      </c>
      <c r="O7194"/>
      <c r="P7194"/>
      <c r="Q7194"/>
      <c r="R7194"/>
      <c r="S7194"/>
      <c r="T7194"/>
      <c r="U7194"/>
    </row>
    <row r="7195" spans="1:21" hidden="1">
      <c r="A7195" s="7" t="s">
        <v>8758</v>
      </c>
      <c r="B7195" s="7" t="s">
        <v>5405</v>
      </c>
      <c r="C7195" s="8" t="s">
        <v>5325</v>
      </c>
      <c r="D7195" t="s">
        <v>266</v>
      </c>
      <c r="E7195" t="s">
        <v>25</v>
      </c>
      <c r="F7195" t="s">
        <v>493</v>
      </c>
      <c r="G7195" t="s">
        <v>5339</v>
      </c>
      <c r="H7195" s="9">
        <v>44825</v>
      </c>
      <c r="I7195" t="s">
        <v>8634</v>
      </c>
      <c r="J7195" t="s">
        <v>1955</v>
      </c>
      <c r="K7195" s="9">
        <v>44848</v>
      </c>
      <c r="L7195" t="s">
        <v>29</v>
      </c>
      <c r="M7195"/>
      <c r="N7195" s="9">
        <v>44848</v>
      </c>
      <c r="O7195"/>
      <c r="P7195"/>
      <c r="Q7195"/>
      <c r="R7195"/>
      <c r="S7195"/>
      <c r="T7195"/>
      <c r="U7195"/>
    </row>
    <row r="7196" spans="1:21" hidden="1">
      <c r="A7196" s="7" t="s">
        <v>8970</v>
      </c>
      <c r="B7196" s="7" t="s">
        <v>8982</v>
      </c>
      <c r="C7196" s="8" t="s">
        <v>5325</v>
      </c>
      <c r="D7196" t="s">
        <v>266</v>
      </c>
      <c r="E7196" t="s">
        <v>8643</v>
      </c>
      <c r="F7196" t="s">
        <v>117</v>
      </c>
      <c r="G7196" t="s">
        <v>8644</v>
      </c>
      <c r="H7196" s="9">
        <v>44834</v>
      </c>
      <c r="I7196" t="s">
        <v>3168</v>
      </c>
      <c r="J7196" t="s">
        <v>1955</v>
      </c>
      <c r="K7196" s="9">
        <v>44848</v>
      </c>
      <c r="L7196" t="s">
        <v>29</v>
      </c>
      <c r="M7196"/>
      <c r="N7196" s="9">
        <v>44848</v>
      </c>
      <c r="O7196"/>
      <c r="P7196"/>
      <c r="Q7196"/>
      <c r="R7196"/>
      <c r="S7196"/>
      <c r="T7196"/>
      <c r="U7196"/>
    </row>
    <row r="7197" spans="1:21" hidden="1">
      <c r="A7197" s="7" t="s">
        <v>8970</v>
      </c>
      <c r="B7197" s="7" t="s">
        <v>8982</v>
      </c>
      <c r="C7197" s="8" t="s">
        <v>5325</v>
      </c>
      <c r="D7197" t="s">
        <v>266</v>
      </c>
      <c r="E7197" t="s">
        <v>8643</v>
      </c>
      <c r="F7197" t="s">
        <v>117</v>
      </c>
      <c r="G7197" t="s">
        <v>8645</v>
      </c>
      <c r="H7197" s="9">
        <v>44834</v>
      </c>
      <c r="I7197" t="s">
        <v>3168</v>
      </c>
      <c r="J7197" t="s">
        <v>1955</v>
      </c>
      <c r="K7197" s="9">
        <v>44848</v>
      </c>
      <c r="L7197" t="s">
        <v>29</v>
      </c>
      <c r="M7197"/>
      <c r="N7197" s="9">
        <v>44848</v>
      </c>
      <c r="O7197"/>
      <c r="P7197"/>
      <c r="Q7197"/>
      <c r="R7197"/>
      <c r="S7197"/>
      <c r="T7197"/>
      <c r="U7197"/>
    </row>
    <row r="7198" spans="1:21" hidden="1">
      <c r="A7198" s="7" t="s">
        <v>8970</v>
      </c>
      <c r="B7198" s="7" t="s">
        <v>8982</v>
      </c>
      <c r="C7198" s="8" t="s">
        <v>5325</v>
      </c>
      <c r="D7198" t="s">
        <v>266</v>
      </c>
      <c r="E7198" t="s">
        <v>8643</v>
      </c>
      <c r="F7198" t="s">
        <v>117</v>
      </c>
      <c r="G7198" t="s">
        <v>8646</v>
      </c>
      <c r="H7198" s="9">
        <v>44834</v>
      </c>
      <c r="I7198" t="s">
        <v>3168</v>
      </c>
      <c r="J7198" t="s">
        <v>1955</v>
      </c>
      <c r="K7198" s="9">
        <v>44848</v>
      </c>
      <c r="L7198" t="s">
        <v>29</v>
      </c>
      <c r="M7198"/>
      <c r="N7198" s="9">
        <v>44848</v>
      </c>
      <c r="O7198"/>
      <c r="P7198"/>
      <c r="Q7198"/>
      <c r="R7198"/>
      <c r="S7198"/>
      <c r="T7198"/>
      <c r="U7198"/>
    </row>
    <row r="7199" spans="1:21" hidden="1">
      <c r="A7199" s="7" t="s">
        <v>8970</v>
      </c>
      <c r="B7199" s="7" t="s">
        <v>8982</v>
      </c>
      <c r="C7199" s="8" t="s">
        <v>5325</v>
      </c>
      <c r="D7199" t="s">
        <v>266</v>
      </c>
      <c r="E7199" t="s">
        <v>8643</v>
      </c>
      <c r="F7199" t="s">
        <v>117</v>
      </c>
      <c r="G7199" t="s">
        <v>8647</v>
      </c>
      <c r="H7199" s="9">
        <v>44834</v>
      </c>
      <c r="I7199" t="s">
        <v>3168</v>
      </c>
      <c r="J7199" t="s">
        <v>1955</v>
      </c>
      <c r="K7199" s="9">
        <v>44848</v>
      </c>
      <c r="L7199" t="s">
        <v>29</v>
      </c>
      <c r="M7199"/>
      <c r="N7199" s="9">
        <v>44848</v>
      </c>
      <c r="O7199"/>
      <c r="P7199"/>
      <c r="Q7199"/>
      <c r="R7199"/>
      <c r="S7199"/>
      <c r="T7199"/>
      <c r="U7199"/>
    </row>
    <row r="7200" spans="1:21" hidden="1">
      <c r="A7200" s="7" t="s">
        <v>8970</v>
      </c>
      <c r="B7200" s="7" t="s">
        <v>8982</v>
      </c>
      <c r="C7200" s="8" t="s">
        <v>5325</v>
      </c>
      <c r="D7200" t="s">
        <v>266</v>
      </c>
      <c r="E7200" t="s">
        <v>8643</v>
      </c>
      <c r="F7200" t="s">
        <v>117</v>
      </c>
      <c r="G7200" t="s">
        <v>8648</v>
      </c>
      <c r="H7200" s="9">
        <v>44834</v>
      </c>
      <c r="I7200" t="s">
        <v>3168</v>
      </c>
      <c r="J7200" t="s">
        <v>1955</v>
      </c>
      <c r="K7200" s="9">
        <v>44848</v>
      </c>
      <c r="L7200" t="s">
        <v>29</v>
      </c>
      <c r="M7200"/>
      <c r="N7200" s="9">
        <v>44848</v>
      </c>
      <c r="O7200"/>
      <c r="P7200"/>
      <c r="Q7200"/>
      <c r="R7200"/>
      <c r="S7200"/>
      <c r="T7200"/>
      <c r="U7200"/>
    </row>
    <row r="7201" spans="1:21" hidden="1">
      <c r="A7201" s="7" t="s">
        <v>8970</v>
      </c>
      <c r="B7201" s="7" t="s">
        <v>8982</v>
      </c>
      <c r="C7201" s="8" t="s">
        <v>5325</v>
      </c>
      <c r="D7201" t="s">
        <v>266</v>
      </c>
      <c r="E7201" t="s">
        <v>8643</v>
      </c>
      <c r="F7201" t="s">
        <v>117</v>
      </c>
      <c r="G7201" t="s">
        <v>8649</v>
      </c>
      <c r="H7201" s="9">
        <v>44834</v>
      </c>
      <c r="I7201" t="s">
        <v>3168</v>
      </c>
      <c r="J7201" t="s">
        <v>1955</v>
      </c>
      <c r="K7201" s="9">
        <v>44848</v>
      </c>
      <c r="L7201" t="s">
        <v>29</v>
      </c>
      <c r="M7201"/>
      <c r="N7201" s="9">
        <v>44848</v>
      </c>
      <c r="O7201"/>
      <c r="P7201"/>
      <c r="Q7201"/>
      <c r="R7201"/>
      <c r="S7201"/>
      <c r="T7201"/>
      <c r="U7201"/>
    </row>
    <row r="7202" spans="1:21" hidden="1">
      <c r="A7202" s="7" t="s">
        <v>8970</v>
      </c>
      <c r="B7202" s="7" t="s">
        <v>8982</v>
      </c>
      <c r="C7202" s="8" t="s">
        <v>5325</v>
      </c>
      <c r="D7202" t="s">
        <v>266</v>
      </c>
      <c r="E7202" t="s">
        <v>8643</v>
      </c>
      <c r="F7202" t="s">
        <v>117</v>
      </c>
      <c r="G7202" t="s">
        <v>8650</v>
      </c>
      <c r="H7202" s="9">
        <v>44834</v>
      </c>
      <c r="I7202" t="s">
        <v>3168</v>
      </c>
      <c r="J7202" t="s">
        <v>1955</v>
      </c>
      <c r="K7202" s="9">
        <v>44848</v>
      </c>
      <c r="L7202" t="s">
        <v>29</v>
      </c>
      <c r="M7202"/>
      <c r="N7202" s="9">
        <v>44848</v>
      </c>
      <c r="O7202"/>
      <c r="P7202"/>
      <c r="Q7202"/>
      <c r="R7202"/>
      <c r="S7202"/>
      <c r="T7202"/>
      <c r="U7202"/>
    </row>
    <row r="7203" spans="1:21" hidden="1">
      <c r="A7203" s="7" t="s">
        <v>8970</v>
      </c>
      <c r="B7203" s="7" t="s">
        <v>8982</v>
      </c>
      <c r="C7203" s="8" t="s">
        <v>5325</v>
      </c>
      <c r="D7203" t="s">
        <v>266</v>
      </c>
      <c r="E7203" t="s">
        <v>8643</v>
      </c>
      <c r="F7203" t="s">
        <v>117</v>
      </c>
      <c r="G7203" t="s">
        <v>8651</v>
      </c>
      <c r="H7203" s="9">
        <v>44834</v>
      </c>
      <c r="I7203" t="s">
        <v>3168</v>
      </c>
      <c r="J7203" t="s">
        <v>1955</v>
      </c>
      <c r="K7203" s="9">
        <v>44848</v>
      </c>
      <c r="L7203" t="s">
        <v>29</v>
      </c>
      <c r="M7203"/>
      <c r="N7203" s="9">
        <v>44848</v>
      </c>
      <c r="O7203"/>
      <c r="P7203"/>
      <c r="Q7203"/>
      <c r="R7203"/>
      <c r="S7203"/>
      <c r="T7203"/>
      <c r="U7203"/>
    </row>
    <row r="7204" spans="1:21" hidden="1">
      <c r="A7204" s="7" t="s">
        <v>8970</v>
      </c>
      <c r="B7204" s="7" t="s">
        <v>8982</v>
      </c>
      <c r="C7204" s="8" t="s">
        <v>5325</v>
      </c>
      <c r="D7204" t="s">
        <v>266</v>
      </c>
      <c r="E7204" t="s">
        <v>8643</v>
      </c>
      <c r="F7204" t="s">
        <v>117</v>
      </c>
      <c r="G7204" t="s">
        <v>8652</v>
      </c>
      <c r="H7204" s="9">
        <v>44834</v>
      </c>
      <c r="I7204" t="s">
        <v>3168</v>
      </c>
      <c r="J7204" t="s">
        <v>1955</v>
      </c>
      <c r="K7204" s="9">
        <v>44848</v>
      </c>
      <c r="L7204" t="s">
        <v>29</v>
      </c>
      <c r="M7204"/>
      <c r="N7204" s="9">
        <v>44848</v>
      </c>
      <c r="O7204"/>
      <c r="P7204"/>
      <c r="Q7204"/>
      <c r="R7204"/>
      <c r="S7204"/>
      <c r="T7204"/>
      <c r="U7204"/>
    </row>
    <row r="7205" spans="1:21" hidden="1">
      <c r="A7205" s="7" t="s">
        <v>8970</v>
      </c>
      <c r="B7205" s="7" t="s">
        <v>8982</v>
      </c>
      <c r="C7205" s="8" t="s">
        <v>5325</v>
      </c>
      <c r="D7205" t="s">
        <v>266</v>
      </c>
      <c r="E7205" t="s">
        <v>8643</v>
      </c>
      <c r="F7205" t="s">
        <v>117</v>
      </c>
      <c r="G7205" t="s">
        <v>8653</v>
      </c>
      <c r="H7205" s="9">
        <v>44834</v>
      </c>
      <c r="I7205" t="s">
        <v>3168</v>
      </c>
      <c r="J7205" t="s">
        <v>1955</v>
      </c>
      <c r="K7205" s="9">
        <v>44848</v>
      </c>
      <c r="L7205" t="s">
        <v>29</v>
      </c>
      <c r="M7205"/>
      <c r="N7205" s="9">
        <v>44848</v>
      </c>
      <c r="O7205"/>
      <c r="P7205"/>
      <c r="Q7205"/>
      <c r="R7205"/>
      <c r="S7205"/>
      <c r="T7205"/>
      <c r="U7205"/>
    </row>
    <row r="7206" spans="1:21" hidden="1">
      <c r="A7206" s="7" t="s">
        <v>8758</v>
      </c>
      <c r="B7206" s="7" t="s">
        <v>5405</v>
      </c>
      <c r="C7206" s="8" t="s">
        <v>5325</v>
      </c>
      <c r="D7206" t="s">
        <v>266</v>
      </c>
      <c r="E7206" t="s">
        <v>25</v>
      </c>
      <c r="F7206" t="s">
        <v>493</v>
      </c>
      <c r="G7206" t="s">
        <v>5340</v>
      </c>
      <c r="H7206" s="9">
        <v>44825</v>
      </c>
      <c r="I7206" t="s">
        <v>8634</v>
      </c>
      <c r="J7206" t="s">
        <v>1955</v>
      </c>
      <c r="K7206" s="9">
        <v>44848</v>
      </c>
      <c r="L7206" t="s">
        <v>29</v>
      </c>
      <c r="M7206"/>
      <c r="N7206" s="9">
        <v>44848</v>
      </c>
      <c r="O7206"/>
      <c r="P7206"/>
      <c r="Q7206"/>
      <c r="R7206"/>
      <c r="S7206"/>
      <c r="T7206"/>
      <c r="U7206"/>
    </row>
    <row r="7207" spans="1:21" hidden="1">
      <c r="A7207" s="7" t="s">
        <v>8758</v>
      </c>
      <c r="B7207" s="7" t="s">
        <v>5405</v>
      </c>
      <c r="C7207" s="8" t="s">
        <v>5325</v>
      </c>
      <c r="D7207" t="s">
        <v>266</v>
      </c>
      <c r="E7207" t="s">
        <v>25</v>
      </c>
      <c r="F7207" t="s">
        <v>493</v>
      </c>
      <c r="G7207" t="s">
        <v>5341</v>
      </c>
      <c r="H7207" s="9">
        <v>44825</v>
      </c>
      <c r="I7207" t="s">
        <v>8634</v>
      </c>
      <c r="J7207" t="s">
        <v>1955</v>
      </c>
      <c r="K7207" s="9">
        <v>44848</v>
      </c>
      <c r="L7207" t="s">
        <v>29</v>
      </c>
      <c r="M7207"/>
      <c r="N7207" s="9">
        <v>44848</v>
      </c>
      <c r="O7207"/>
      <c r="P7207"/>
      <c r="Q7207"/>
      <c r="R7207"/>
      <c r="S7207"/>
      <c r="T7207"/>
      <c r="U7207"/>
    </row>
    <row r="7208" spans="1:21" hidden="1">
      <c r="A7208" s="7" t="s">
        <v>8758</v>
      </c>
      <c r="B7208" s="7" t="s">
        <v>5405</v>
      </c>
      <c r="C7208" s="8" t="s">
        <v>5325</v>
      </c>
      <c r="D7208" t="s">
        <v>266</v>
      </c>
      <c r="E7208" t="s">
        <v>25</v>
      </c>
      <c r="F7208" t="s">
        <v>493</v>
      </c>
      <c r="G7208" t="s">
        <v>5342</v>
      </c>
      <c r="H7208" s="9">
        <v>44825</v>
      </c>
      <c r="I7208" t="s">
        <v>8634</v>
      </c>
      <c r="J7208" t="s">
        <v>1955</v>
      </c>
      <c r="K7208" s="9">
        <v>44848</v>
      </c>
      <c r="L7208" t="s">
        <v>29</v>
      </c>
      <c r="M7208"/>
      <c r="N7208" s="9">
        <v>44848</v>
      </c>
      <c r="O7208"/>
      <c r="P7208"/>
      <c r="Q7208"/>
      <c r="R7208"/>
      <c r="S7208"/>
      <c r="T7208"/>
      <c r="U7208"/>
    </row>
    <row r="7209" spans="1:21" hidden="1">
      <c r="A7209" s="7" t="s">
        <v>8934</v>
      </c>
      <c r="B7209" s="7" t="s">
        <v>7267</v>
      </c>
      <c r="C7209" s="8" t="s">
        <v>5325</v>
      </c>
      <c r="D7209" t="s">
        <v>266</v>
      </c>
      <c r="E7209" t="s">
        <v>3640</v>
      </c>
      <c r="F7209" t="s">
        <v>117</v>
      </c>
      <c r="G7209" t="s">
        <v>5355</v>
      </c>
      <c r="H7209" s="9">
        <v>44825</v>
      </c>
      <c r="I7209" t="s">
        <v>903</v>
      </c>
      <c r="J7209" t="s">
        <v>1955</v>
      </c>
      <c r="K7209" s="9">
        <v>44848</v>
      </c>
      <c r="L7209" t="s">
        <v>29</v>
      </c>
      <c r="M7209"/>
      <c r="N7209" s="9">
        <v>44848</v>
      </c>
      <c r="O7209"/>
      <c r="P7209"/>
      <c r="Q7209"/>
      <c r="R7209"/>
      <c r="S7209"/>
      <c r="T7209"/>
      <c r="U7209"/>
    </row>
    <row r="7210" spans="1:21" hidden="1">
      <c r="A7210" s="7" t="s">
        <v>8971</v>
      </c>
      <c r="B7210" s="7" t="s">
        <v>8311</v>
      </c>
      <c r="C7210" s="8" t="s">
        <v>5325</v>
      </c>
      <c r="D7210" t="s">
        <v>1655</v>
      </c>
      <c r="E7210" t="s">
        <v>5356</v>
      </c>
      <c r="F7210" t="s">
        <v>75</v>
      </c>
      <c r="G7210" t="s">
        <v>5357</v>
      </c>
      <c r="H7210" s="9">
        <v>44825</v>
      </c>
      <c r="I7210" t="s">
        <v>4909</v>
      </c>
      <c r="J7210" t="s">
        <v>1955</v>
      </c>
      <c r="K7210" s="9">
        <v>44848</v>
      </c>
      <c r="L7210" t="s">
        <v>29</v>
      </c>
      <c r="M7210"/>
      <c r="N7210" s="9">
        <v>44848</v>
      </c>
      <c r="O7210"/>
      <c r="P7210"/>
      <c r="Q7210"/>
      <c r="R7210"/>
      <c r="S7210"/>
      <c r="T7210"/>
      <c r="U7210"/>
    </row>
    <row r="7211" spans="1:21" hidden="1">
      <c r="A7211" s="7" t="s">
        <v>8972</v>
      </c>
      <c r="B7211" s="7" t="s">
        <v>8983</v>
      </c>
      <c r="C7211" s="8" t="s">
        <v>5325</v>
      </c>
      <c r="D7211" t="s">
        <v>1655</v>
      </c>
      <c r="E7211" t="s">
        <v>8654</v>
      </c>
      <c r="F7211" t="s">
        <v>117</v>
      </c>
      <c r="G7211" t="s">
        <v>8655</v>
      </c>
      <c r="H7211" s="9">
        <v>44834</v>
      </c>
      <c r="I7211" t="s">
        <v>4909</v>
      </c>
      <c r="J7211" t="s">
        <v>1955</v>
      </c>
      <c r="K7211" s="9">
        <v>44848</v>
      </c>
      <c r="L7211" t="s">
        <v>29</v>
      </c>
      <c r="M7211"/>
      <c r="N7211" s="9">
        <v>44848</v>
      </c>
      <c r="O7211"/>
      <c r="P7211"/>
      <c r="Q7211"/>
      <c r="R7211"/>
      <c r="S7211"/>
      <c r="T7211"/>
      <c r="U7211"/>
    </row>
    <row r="7212" spans="1:21" hidden="1">
      <c r="A7212" s="7" t="s">
        <v>8972</v>
      </c>
      <c r="B7212" s="7" t="s">
        <v>8983</v>
      </c>
      <c r="C7212" s="8" t="s">
        <v>5325</v>
      </c>
      <c r="D7212" t="s">
        <v>1655</v>
      </c>
      <c r="E7212" t="s">
        <v>8654</v>
      </c>
      <c r="F7212" t="s">
        <v>117</v>
      </c>
      <c r="G7212" t="s">
        <v>8656</v>
      </c>
      <c r="H7212" s="9">
        <v>44834</v>
      </c>
      <c r="I7212" t="s">
        <v>4909</v>
      </c>
      <c r="J7212" t="s">
        <v>1955</v>
      </c>
      <c r="K7212" s="9">
        <v>44848</v>
      </c>
      <c r="L7212" t="s">
        <v>29</v>
      </c>
      <c r="M7212"/>
      <c r="N7212" s="9">
        <v>44848</v>
      </c>
      <c r="O7212"/>
      <c r="P7212"/>
      <c r="Q7212"/>
      <c r="R7212"/>
      <c r="S7212"/>
      <c r="T7212"/>
      <c r="U7212"/>
    </row>
    <row r="7213" spans="1:21" hidden="1">
      <c r="A7213" s="7" t="s">
        <v>8972</v>
      </c>
      <c r="B7213" s="7" t="s">
        <v>8983</v>
      </c>
      <c r="C7213" s="8" t="s">
        <v>5325</v>
      </c>
      <c r="D7213" t="s">
        <v>1655</v>
      </c>
      <c r="E7213" t="s">
        <v>8654</v>
      </c>
      <c r="F7213" t="s">
        <v>117</v>
      </c>
      <c r="G7213" t="s">
        <v>8657</v>
      </c>
      <c r="H7213" s="9">
        <v>44834</v>
      </c>
      <c r="I7213" t="s">
        <v>4909</v>
      </c>
      <c r="J7213" t="s">
        <v>1955</v>
      </c>
      <c r="K7213" s="9">
        <v>44848</v>
      </c>
      <c r="L7213" t="s">
        <v>29</v>
      </c>
      <c r="M7213"/>
      <c r="N7213" s="9">
        <v>44848</v>
      </c>
      <c r="O7213"/>
      <c r="P7213"/>
      <c r="Q7213"/>
      <c r="R7213"/>
      <c r="S7213"/>
      <c r="T7213"/>
      <c r="U7213"/>
    </row>
    <row r="7214" spans="1:21" hidden="1">
      <c r="A7214" s="7" t="s">
        <v>8972</v>
      </c>
      <c r="B7214" s="7" t="s">
        <v>8983</v>
      </c>
      <c r="C7214" s="8" t="s">
        <v>5325</v>
      </c>
      <c r="D7214" t="s">
        <v>1655</v>
      </c>
      <c r="E7214" t="s">
        <v>8654</v>
      </c>
      <c r="F7214" t="s">
        <v>117</v>
      </c>
      <c r="G7214" t="s">
        <v>8658</v>
      </c>
      <c r="H7214" s="9">
        <v>44834</v>
      </c>
      <c r="I7214" t="s">
        <v>4909</v>
      </c>
      <c r="J7214" t="s">
        <v>1955</v>
      </c>
      <c r="K7214" s="9">
        <v>44848</v>
      </c>
      <c r="L7214" t="s">
        <v>29</v>
      </c>
      <c r="M7214"/>
      <c r="N7214" s="9">
        <v>44848</v>
      </c>
      <c r="O7214"/>
      <c r="P7214"/>
      <c r="Q7214"/>
      <c r="R7214"/>
      <c r="S7214"/>
      <c r="T7214"/>
      <c r="U7214"/>
    </row>
    <row r="7215" spans="1:21" hidden="1">
      <c r="A7215" s="7" t="s">
        <v>8972</v>
      </c>
      <c r="B7215" s="7" t="s">
        <v>8983</v>
      </c>
      <c r="C7215" s="8" t="s">
        <v>5325</v>
      </c>
      <c r="D7215" t="s">
        <v>1655</v>
      </c>
      <c r="E7215" t="s">
        <v>8654</v>
      </c>
      <c r="F7215" t="s">
        <v>117</v>
      </c>
      <c r="G7215" t="s">
        <v>8659</v>
      </c>
      <c r="H7215" s="9">
        <v>44834</v>
      </c>
      <c r="I7215" t="s">
        <v>4909</v>
      </c>
      <c r="J7215" t="s">
        <v>1955</v>
      </c>
      <c r="K7215" s="9">
        <v>44848</v>
      </c>
      <c r="L7215" t="s">
        <v>29</v>
      </c>
      <c r="M7215"/>
      <c r="N7215" s="9">
        <v>44848</v>
      </c>
      <c r="O7215"/>
      <c r="P7215"/>
      <c r="Q7215"/>
      <c r="R7215"/>
      <c r="S7215"/>
      <c r="T7215"/>
      <c r="U7215"/>
    </row>
    <row r="7216" spans="1:21" hidden="1">
      <c r="A7216" s="7" t="s">
        <v>8972</v>
      </c>
      <c r="B7216" s="7" t="s">
        <v>8983</v>
      </c>
      <c r="C7216" s="8" t="s">
        <v>5325</v>
      </c>
      <c r="D7216" t="s">
        <v>1655</v>
      </c>
      <c r="E7216" t="s">
        <v>8654</v>
      </c>
      <c r="F7216" t="s">
        <v>117</v>
      </c>
      <c r="G7216" t="s">
        <v>8660</v>
      </c>
      <c r="H7216" s="9">
        <v>44834</v>
      </c>
      <c r="I7216" t="s">
        <v>4909</v>
      </c>
      <c r="J7216" t="s">
        <v>1955</v>
      </c>
      <c r="K7216" s="9">
        <v>44848</v>
      </c>
      <c r="L7216" t="s">
        <v>29</v>
      </c>
      <c r="M7216"/>
      <c r="N7216" s="9">
        <v>44848</v>
      </c>
      <c r="O7216"/>
      <c r="P7216"/>
      <c r="Q7216"/>
      <c r="R7216"/>
      <c r="S7216"/>
      <c r="T7216"/>
      <c r="U7216"/>
    </row>
    <row r="7217" spans="1:21" hidden="1">
      <c r="A7217" s="7" t="s">
        <v>8972</v>
      </c>
      <c r="B7217" s="7" t="s">
        <v>8983</v>
      </c>
      <c r="C7217" s="8" t="s">
        <v>5325</v>
      </c>
      <c r="D7217" t="s">
        <v>1655</v>
      </c>
      <c r="E7217" t="s">
        <v>8654</v>
      </c>
      <c r="F7217" t="s">
        <v>117</v>
      </c>
      <c r="G7217" t="s">
        <v>8661</v>
      </c>
      <c r="H7217" s="9">
        <v>44834</v>
      </c>
      <c r="I7217" t="s">
        <v>4909</v>
      </c>
      <c r="J7217" t="s">
        <v>1955</v>
      </c>
      <c r="K7217" s="9">
        <v>44848</v>
      </c>
      <c r="L7217" t="s">
        <v>29</v>
      </c>
      <c r="M7217"/>
      <c r="N7217" s="9">
        <v>44848</v>
      </c>
      <c r="O7217"/>
      <c r="P7217"/>
      <c r="Q7217"/>
      <c r="R7217"/>
      <c r="S7217"/>
      <c r="T7217"/>
      <c r="U7217"/>
    </row>
    <row r="7218" spans="1:21" hidden="1">
      <c r="A7218" s="7" t="s">
        <v>8972</v>
      </c>
      <c r="B7218" s="7" t="s">
        <v>8983</v>
      </c>
      <c r="C7218" s="8" t="s">
        <v>5325</v>
      </c>
      <c r="D7218" t="s">
        <v>1655</v>
      </c>
      <c r="E7218" t="s">
        <v>8654</v>
      </c>
      <c r="F7218" t="s">
        <v>117</v>
      </c>
      <c r="G7218" t="s">
        <v>8662</v>
      </c>
      <c r="H7218" s="9">
        <v>44834</v>
      </c>
      <c r="I7218" t="s">
        <v>4909</v>
      </c>
      <c r="J7218" t="s">
        <v>1955</v>
      </c>
      <c r="K7218" s="9">
        <v>44848</v>
      </c>
      <c r="L7218" t="s">
        <v>29</v>
      </c>
      <c r="M7218"/>
      <c r="N7218" s="9">
        <v>44848</v>
      </c>
      <c r="O7218"/>
      <c r="P7218"/>
      <c r="Q7218"/>
      <c r="R7218"/>
      <c r="S7218"/>
      <c r="T7218"/>
      <c r="U7218"/>
    </row>
    <row r="7219" spans="1:21" hidden="1">
      <c r="A7219" s="7" t="s">
        <v>8972</v>
      </c>
      <c r="B7219" s="7" t="s">
        <v>8983</v>
      </c>
      <c r="C7219" s="8" t="s">
        <v>5325</v>
      </c>
      <c r="D7219" t="s">
        <v>1655</v>
      </c>
      <c r="E7219" t="s">
        <v>8654</v>
      </c>
      <c r="F7219" t="s">
        <v>117</v>
      </c>
      <c r="G7219" t="s">
        <v>8663</v>
      </c>
      <c r="H7219" s="9">
        <v>44834</v>
      </c>
      <c r="I7219" t="s">
        <v>4909</v>
      </c>
      <c r="J7219" t="s">
        <v>1955</v>
      </c>
      <c r="K7219" s="9">
        <v>44848</v>
      </c>
      <c r="L7219" t="s">
        <v>29</v>
      </c>
      <c r="M7219"/>
      <c r="N7219" s="9">
        <v>44848</v>
      </c>
      <c r="O7219"/>
      <c r="P7219"/>
      <c r="Q7219"/>
      <c r="R7219"/>
      <c r="S7219"/>
      <c r="T7219"/>
      <c r="U7219"/>
    </row>
    <row r="7220" spans="1:21" hidden="1">
      <c r="A7220" s="7" t="s">
        <v>8972</v>
      </c>
      <c r="B7220" s="7" t="s">
        <v>8983</v>
      </c>
      <c r="C7220" s="8" t="s">
        <v>5325</v>
      </c>
      <c r="D7220" t="s">
        <v>1655</v>
      </c>
      <c r="E7220" t="s">
        <v>8654</v>
      </c>
      <c r="F7220" t="s">
        <v>117</v>
      </c>
      <c r="G7220" t="s">
        <v>8664</v>
      </c>
      <c r="H7220" s="9">
        <v>44834</v>
      </c>
      <c r="I7220" t="s">
        <v>4909</v>
      </c>
      <c r="J7220" t="s">
        <v>1955</v>
      </c>
      <c r="K7220" s="9">
        <v>44848</v>
      </c>
      <c r="L7220" t="s">
        <v>29</v>
      </c>
      <c r="M7220"/>
      <c r="N7220" s="9">
        <v>44848</v>
      </c>
      <c r="O7220"/>
      <c r="P7220"/>
      <c r="Q7220"/>
      <c r="R7220"/>
      <c r="S7220"/>
      <c r="T7220"/>
      <c r="U7220"/>
    </row>
    <row r="7221" spans="1:21" hidden="1">
      <c r="A7221" s="7" t="s">
        <v>8972</v>
      </c>
      <c r="B7221" s="7" t="s">
        <v>8983</v>
      </c>
      <c r="C7221" s="8" t="s">
        <v>5325</v>
      </c>
      <c r="D7221" t="s">
        <v>1655</v>
      </c>
      <c r="E7221" t="s">
        <v>8654</v>
      </c>
      <c r="F7221" t="s">
        <v>117</v>
      </c>
      <c r="G7221" t="s">
        <v>8665</v>
      </c>
      <c r="H7221" s="9">
        <v>44834</v>
      </c>
      <c r="I7221" t="s">
        <v>4909</v>
      </c>
      <c r="J7221" t="s">
        <v>1955</v>
      </c>
      <c r="K7221" s="9">
        <v>44848</v>
      </c>
      <c r="L7221" t="s">
        <v>29</v>
      </c>
      <c r="M7221"/>
      <c r="N7221" s="9">
        <v>44848</v>
      </c>
      <c r="O7221"/>
      <c r="P7221"/>
      <c r="Q7221"/>
      <c r="R7221"/>
      <c r="S7221"/>
      <c r="T7221"/>
      <c r="U7221"/>
    </row>
    <row r="7222" spans="1:21" hidden="1">
      <c r="A7222" s="7" t="s">
        <v>8972</v>
      </c>
      <c r="B7222" s="7" t="s">
        <v>8983</v>
      </c>
      <c r="C7222" s="8" t="s">
        <v>5325</v>
      </c>
      <c r="D7222" t="s">
        <v>1655</v>
      </c>
      <c r="E7222" t="s">
        <v>8654</v>
      </c>
      <c r="F7222" t="s">
        <v>117</v>
      </c>
      <c r="G7222" t="s">
        <v>8666</v>
      </c>
      <c r="H7222" s="9">
        <v>44834</v>
      </c>
      <c r="I7222" t="s">
        <v>4909</v>
      </c>
      <c r="J7222" t="s">
        <v>1955</v>
      </c>
      <c r="K7222" s="9">
        <v>44848</v>
      </c>
      <c r="L7222" t="s">
        <v>29</v>
      </c>
      <c r="M7222"/>
      <c r="N7222" s="9">
        <v>44848</v>
      </c>
      <c r="O7222"/>
      <c r="P7222"/>
      <c r="Q7222"/>
      <c r="R7222"/>
      <c r="S7222"/>
      <c r="T7222"/>
      <c r="U7222"/>
    </row>
    <row r="7223" spans="1:21" hidden="1">
      <c r="A7223" s="7" t="s">
        <v>8951</v>
      </c>
      <c r="B7223" s="7" t="s">
        <v>8375</v>
      </c>
      <c r="C7223" s="8" t="s">
        <v>5325</v>
      </c>
      <c r="D7223" t="s">
        <v>1655</v>
      </c>
      <c r="E7223" t="s">
        <v>3983</v>
      </c>
      <c r="F7223" t="s">
        <v>231</v>
      </c>
      <c r="G7223" t="s">
        <v>5358</v>
      </c>
      <c r="H7223" s="9">
        <v>44825</v>
      </c>
      <c r="I7223" t="s">
        <v>1660</v>
      </c>
      <c r="J7223" t="s">
        <v>1955</v>
      </c>
      <c r="K7223" s="9">
        <v>44848</v>
      </c>
      <c r="L7223" t="s">
        <v>29</v>
      </c>
      <c r="M7223"/>
      <c r="N7223" s="9">
        <v>44848</v>
      </c>
      <c r="O7223"/>
      <c r="P7223"/>
      <c r="Q7223"/>
      <c r="R7223"/>
      <c r="S7223"/>
      <c r="T7223"/>
      <c r="U7223"/>
    </row>
    <row r="7224" spans="1:21" hidden="1">
      <c r="A7224" s="7" t="s">
        <v>8953</v>
      </c>
      <c r="B7224" s="7" t="s">
        <v>8376</v>
      </c>
      <c r="C7224" s="8" t="s">
        <v>5325</v>
      </c>
      <c r="D7224" t="s">
        <v>1655</v>
      </c>
      <c r="E7224" t="s">
        <v>4009</v>
      </c>
      <c r="F7224" t="s">
        <v>117</v>
      </c>
      <c r="G7224" t="s">
        <v>5359</v>
      </c>
      <c r="H7224" s="9">
        <v>44825</v>
      </c>
      <c r="I7224" t="s">
        <v>4011</v>
      </c>
      <c r="J7224" t="s">
        <v>1955</v>
      </c>
      <c r="K7224" s="9">
        <v>44848</v>
      </c>
      <c r="L7224" t="s">
        <v>29</v>
      </c>
      <c r="M7224"/>
      <c r="N7224" s="9">
        <v>44848</v>
      </c>
      <c r="O7224"/>
      <c r="P7224"/>
      <c r="Q7224"/>
      <c r="R7224"/>
      <c r="S7224"/>
      <c r="T7224"/>
      <c r="U7224"/>
    </row>
    <row r="7225" spans="1:21" hidden="1">
      <c r="A7225" s="7" t="s">
        <v>8973</v>
      </c>
      <c r="B7225" s="7" t="s">
        <v>8984</v>
      </c>
      <c r="C7225" s="8" t="s">
        <v>5325</v>
      </c>
      <c r="D7225" t="s">
        <v>1655</v>
      </c>
      <c r="E7225" t="s">
        <v>8667</v>
      </c>
      <c r="F7225" t="s">
        <v>79</v>
      </c>
      <c r="G7225" t="s">
        <v>8668</v>
      </c>
      <c r="H7225" s="9">
        <v>44834</v>
      </c>
      <c r="I7225" t="s">
        <v>4897</v>
      </c>
      <c r="J7225" t="s">
        <v>1955</v>
      </c>
      <c r="K7225" s="9">
        <v>44848</v>
      </c>
      <c r="L7225" t="s">
        <v>29</v>
      </c>
      <c r="M7225"/>
      <c r="N7225" s="9">
        <v>44848</v>
      </c>
      <c r="O7225"/>
      <c r="P7225"/>
      <c r="Q7225"/>
      <c r="R7225"/>
      <c r="S7225"/>
      <c r="T7225"/>
      <c r="U7225"/>
    </row>
    <row r="7226" spans="1:21" hidden="1">
      <c r="A7226" s="7" t="s">
        <v>8974</v>
      </c>
      <c r="B7226" s="7" t="s">
        <v>8985</v>
      </c>
      <c r="C7226" s="8" t="s">
        <v>5325</v>
      </c>
      <c r="D7226" t="s">
        <v>1655</v>
      </c>
      <c r="E7226" t="s">
        <v>8669</v>
      </c>
      <c r="F7226" t="s">
        <v>117</v>
      </c>
      <c r="G7226" t="s">
        <v>8670</v>
      </c>
      <c r="H7226" s="9">
        <v>44834</v>
      </c>
      <c r="I7226" t="s">
        <v>1660</v>
      </c>
      <c r="J7226" t="s">
        <v>276</v>
      </c>
      <c r="K7226" s="9">
        <v>44855.620011574101</v>
      </c>
      <c r="L7226" t="s">
        <v>29</v>
      </c>
      <c r="M7226"/>
      <c r="N7226" s="9">
        <v>44848</v>
      </c>
      <c r="O7226"/>
      <c r="P7226"/>
      <c r="Q7226"/>
      <c r="R7226" s="9">
        <v>44855.615682870397</v>
      </c>
      <c r="S7226"/>
      <c r="T7226"/>
      <c r="U7226"/>
    </row>
    <row r="7227" spans="1:21" hidden="1">
      <c r="A7227" s="7" t="s">
        <v>8974</v>
      </c>
      <c r="B7227" s="7" t="s">
        <v>8985</v>
      </c>
      <c r="C7227" s="8" t="s">
        <v>5325</v>
      </c>
      <c r="D7227" t="s">
        <v>1655</v>
      </c>
      <c r="E7227" t="s">
        <v>8669</v>
      </c>
      <c r="F7227" t="s">
        <v>117</v>
      </c>
      <c r="G7227" t="s">
        <v>8671</v>
      </c>
      <c r="H7227" s="9">
        <v>44834</v>
      </c>
      <c r="I7227" t="s">
        <v>1660</v>
      </c>
      <c r="J7227" t="s">
        <v>276</v>
      </c>
      <c r="K7227" s="9">
        <v>44855.620011574101</v>
      </c>
      <c r="L7227" t="s">
        <v>29</v>
      </c>
      <c r="M7227"/>
      <c r="N7227" s="9">
        <v>44848</v>
      </c>
      <c r="O7227"/>
      <c r="P7227"/>
      <c r="Q7227"/>
      <c r="R7227" s="9">
        <v>44855.615682870397</v>
      </c>
      <c r="S7227"/>
      <c r="T7227"/>
      <c r="U7227"/>
    </row>
    <row r="7228" spans="1:21" hidden="1">
      <c r="A7228" s="7" t="s">
        <v>8974</v>
      </c>
      <c r="B7228" s="7" t="s">
        <v>8985</v>
      </c>
      <c r="C7228" s="8" t="s">
        <v>5325</v>
      </c>
      <c r="D7228" t="s">
        <v>1655</v>
      </c>
      <c r="E7228" t="s">
        <v>8669</v>
      </c>
      <c r="F7228" t="s">
        <v>117</v>
      </c>
      <c r="G7228" t="s">
        <v>8672</v>
      </c>
      <c r="H7228" s="9">
        <v>44834</v>
      </c>
      <c r="I7228" t="s">
        <v>1660</v>
      </c>
      <c r="J7228" t="s">
        <v>276</v>
      </c>
      <c r="K7228" s="9">
        <v>44855.620011574101</v>
      </c>
      <c r="L7228" t="s">
        <v>29</v>
      </c>
      <c r="M7228"/>
      <c r="N7228" s="9">
        <v>44848</v>
      </c>
      <c r="O7228"/>
      <c r="P7228"/>
      <c r="Q7228"/>
      <c r="R7228" s="9">
        <v>44855.615682870397</v>
      </c>
      <c r="S7228"/>
      <c r="T7228"/>
      <c r="U7228"/>
    </row>
    <row r="7229" spans="1:21" hidden="1">
      <c r="A7229" s="7" t="s">
        <v>8974</v>
      </c>
      <c r="B7229" s="7" t="s">
        <v>8985</v>
      </c>
      <c r="C7229" s="8" t="s">
        <v>5325</v>
      </c>
      <c r="D7229" t="s">
        <v>1655</v>
      </c>
      <c r="E7229" t="s">
        <v>8669</v>
      </c>
      <c r="F7229" t="s">
        <v>117</v>
      </c>
      <c r="G7229" t="s">
        <v>8673</v>
      </c>
      <c r="H7229" s="9">
        <v>44834</v>
      </c>
      <c r="I7229" t="s">
        <v>1660</v>
      </c>
      <c r="J7229" t="s">
        <v>276</v>
      </c>
      <c r="K7229" s="9">
        <v>44855.620011574101</v>
      </c>
      <c r="L7229" t="s">
        <v>29</v>
      </c>
      <c r="M7229"/>
      <c r="N7229" s="9">
        <v>44848</v>
      </c>
      <c r="O7229"/>
      <c r="P7229"/>
      <c r="Q7229"/>
      <c r="R7229" s="9">
        <v>44855.615682870397</v>
      </c>
      <c r="S7229"/>
      <c r="T7229"/>
      <c r="U7229"/>
    </row>
    <row r="7230" spans="1:21" hidden="1">
      <c r="A7230" s="7" t="s">
        <v>8751</v>
      </c>
      <c r="B7230" s="7" t="s">
        <v>5405</v>
      </c>
      <c r="C7230" s="8" t="s">
        <v>5325</v>
      </c>
      <c r="D7230" t="s">
        <v>1655</v>
      </c>
      <c r="E7230" t="s">
        <v>25</v>
      </c>
      <c r="F7230" t="s">
        <v>435</v>
      </c>
      <c r="G7230" t="s">
        <v>5360</v>
      </c>
      <c r="H7230" s="9">
        <v>44825</v>
      </c>
      <c r="I7230" t="s">
        <v>8634</v>
      </c>
      <c r="J7230" t="s">
        <v>1955</v>
      </c>
      <c r="K7230" s="9">
        <v>44848</v>
      </c>
      <c r="L7230" t="s">
        <v>29</v>
      </c>
      <c r="M7230"/>
      <c r="N7230" s="9">
        <v>44848</v>
      </c>
      <c r="O7230"/>
      <c r="P7230"/>
      <c r="Q7230"/>
      <c r="R7230"/>
      <c r="S7230"/>
      <c r="T7230"/>
      <c r="U7230"/>
    </row>
    <row r="7231" spans="1:21" hidden="1">
      <c r="A7231" s="7" t="s">
        <v>8968</v>
      </c>
      <c r="B7231" s="7" t="s">
        <v>8980</v>
      </c>
      <c r="C7231" s="8" t="s">
        <v>5325</v>
      </c>
      <c r="D7231" t="s">
        <v>164</v>
      </c>
      <c r="E7231" t="s">
        <v>8635</v>
      </c>
      <c r="F7231" t="s">
        <v>433</v>
      </c>
      <c r="G7231" t="s">
        <v>8636</v>
      </c>
      <c r="H7231" s="9">
        <v>44834</v>
      </c>
      <c r="I7231" t="s">
        <v>330</v>
      </c>
      <c r="J7231" t="s">
        <v>1955</v>
      </c>
      <c r="K7231" s="9">
        <v>44848</v>
      </c>
      <c r="L7231" t="s">
        <v>29</v>
      </c>
      <c r="M7231"/>
      <c r="N7231" s="9">
        <v>44848</v>
      </c>
      <c r="O7231"/>
      <c r="P7231"/>
      <c r="Q7231"/>
      <c r="R7231"/>
      <c r="S7231"/>
      <c r="T7231"/>
      <c r="U7231"/>
    </row>
    <row r="7232" spans="1:21" hidden="1">
      <c r="A7232" s="7" t="s">
        <v>8968</v>
      </c>
      <c r="B7232" s="7" t="s">
        <v>8980</v>
      </c>
      <c r="C7232" s="8" t="s">
        <v>5325</v>
      </c>
      <c r="D7232" t="s">
        <v>164</v>
      </c>
      <c r="E7232" t="s">
        <v>8635</v>
      </c>
      <c r="F7232" t="s">
        <v>433</v>
      </c>
      <c r="G7232" t="s">
        <v>8637</v>
      </c>
      <c r="H7232" s="9">
        <v>44834</v>
      </c>
      <c r="I7232" t="s">
        <v>330</v>
      </c>
      <c r="J7232" t="s">
        <v>1955</v>
      </c>
      <c r="K7232" s="9">
        <v>44848</v>
      </c>
      <c r="L7232" t="s">
        <v>29</v>
      </c>
      <c r="M7232"/>
      <c r="N7232" s="9">
        <v>44848</v>
      </c>
      <c r="O7232"/>
      <c r="P7232"/>
      <c r="Q7232"/>
      <c r="R7232"/>
      <c r="S7232"/>
      <c r="T7232"/>
      <c r="U7232"/>
    </row>
    <row r="7233" spans="1:21" hidden="1">
      <c r="A7233" s="7" t="s">
        <v>8968</v>
      </c>
      <c r="B7233" s="7" t="s">
        <v>8980</v>
      </c>
      <c r="C7233" s="8" t="s">
        <v>5325</v>
      </c>
      <c r="D7233" t="s">
        <v>164</v>
      </c>
      <c r="E7233" t="s">
        <v>8635</v>
      </c>
      <c r="F7233" t="s">
        <v>433</v>
      </c>
      <c r="G7233" t="s">
        <v>8638</v>
      </c>
      <c r="H7233" s="9">
        <v>44834</v>
      </c>
      <c r="I7233" t="s">
        <v>330</v>
      </c>
      <c r="J7233" t="s">
        <v>1955</v>
      </c>
      <c r="K7233" s="9">
        <v>44848</v>
      </c>
      <c r="L7233" t="s">
        <v>29</v>
      </c>
      <c r="M7233"/>
      <c r="N7233" s="9">
        <v>44848</v>
      </c>
      <c r="O7233"/>
      <c r="P7233"/>
      <c r="Q7233"/>
      <c r="R7233"/>
      <c r="S7233"/>
      <c r="T7233"/>
      <c r="U7233"/>
    </row>
    <row r="7234" spans="1:21" hidden="1">
      <c r="A7234" s="7" t="s">
        <v>8975</v>
      </c>
      <c r="B7234" s="7" t="s">
        <v>8077</v>
      </c>
      <c r="C7234" s="8" t="s">
        <v>8717</v>
      </c>
      <c r="D7234" t="s">
        <v>266</v>
      </c>
      <c r="E7234" t="s">
        <v>5362</v>
      </c>
      <c r="F7234" t="s">
        <v>117</v>
      </c>
      <c r="G7234" t="s">
        <v>5312</v>
      </c>
      <c r="H7234"/>
      <c r="I7234"/>
      <c r="J7234" t="s">
        <v>0</v>
      </c>
      <c r="K7234" s="9">
        <v>44830</v>
      </c>
      <c r="L7234"/>
      <c r="M7234"/>
      <c r="N7234"/>
      <c r="O7234"/>
      <c r="P7234"/>
      <c r="Q7234" s="9">
        <v>44830</v>
      </c>
      <c r="R7234"/>
      <c r="S7234"/>
      <c r="T7234"/>
      <c r="U7234"/>
    </row>
    <row r="7235" spans="1:21" hidden="1">
      <c r="A7235" s="7" t="s">
        <v>8975</v>
      </c>
      <c r="B7235" s="7" t="s">
        <v>8077</v>
      </c>
      <c r="C7235" s="8" t="s">
        <v>8717</v>
      </c>
      <c r="D7235" t="s">
        <v>266</v>
      </c>
      <c r="E7235" t="s">
        <v>5362</v>
      </c>
      <c r="F7235" t="s">
        <v>117</v>
      </c>
      <c r="G7235" t="s">
        <v>5313</v>
      </c>
      <c r="H7235"/>
      <c r="I7235"/>
      <c r="J7235" t="s">
        <v>0</v>
      </c>
      <c r="K7235" s="9">
        <v>44830</v>
      </c>
      <c r="L7235"/>
      <c r="M7235"/>
      <c r="N7235"/>
      <c r="O7235"/>
      <c r="P7235"/>
      <c r="Q7235" s="9">
        <v>44830</v>
      </c>
      <c r="R7235"/>
      <c r="S7235"/>
      <c r="T7235"/>
      <c r="U7235"/>
    </row>
    <row r="7236" spans="1:21" hidden="1">
      <c r="A7236" s="7" t="s">
        <v>8766</v>
      </c>
      <c r="B7236" s="7" t="s">
        <v>6427</v>
      </c>
      <c r="C7236" s="8" t="s">
        <v>5326</v>
      </c>
      <c r="D7236" t="s">
        <v>24</v>
      </c>
      <c r="E7236" t="s">
        <v>737</v>
      </c>
      <c r="F7236" t="s">
        <v>738</v>
      </c>
      <c r="G7236" t="s">
        <v>5363</v>
      </c>
      <c r="H7236" s="9">
        <v>44848</v>
      </c>
      <c r="I7236" t="s">
        <v>740</v>
      </c>
      <c r="J7236" t="s">
        <v>5181</v>
      </c>
      <c r="K7236" s="9">
        <v>44848.733368055597</v>
      </c>
      <c r="L7236" t="s">
        <v>29</v>
      </c>
      <c r="M7236"/>
      <c r="N7236"/>
      <c r="O7236"/>
      <c r="P7236"/>
      <c r="Q7236"/>
      <c r="R7236"/>
      <c r="S7236"/>
      <c r="T7236"/>
      <c r="U7236"/>
    </row>
    <row r="7237" spans="1:21" hidden="1">
      <c r="A7237" s="7" t="s">
        <v>8758</v>
      </c>
      <c r="B7237" s="7" t="s">
        <v>5405</v>
      </c>
      <c r="C7237" s="8" t="s">
        <v>5326</v>
      </c>
      <c r="D7237" t="s">
        <v>24</v>
      </c>
      <c r="E7237" t="s">
        <v>25</v>
      </c>
      <c r="F7237" t="s">
        <v>493</v>
      </c>
      <c r="G7237" t="s">
        <v>5364</v>
      </c>
      <c r="H7237" s="9">
        <v>44848</v>
      </c>
      <c r="I7237" t="s">
        <v>8634</v>
      </c>
      <c r="J7237" t="s">
        <v>5181</v>
      </c>
      <c r="K7237" s="9">
        <v>44848.732106481497</v>
      </c>
      <c r="L7237" t="s">
        <v>29</v>
      </c>
      <c r="M7237"/>
      <c r="N7237"/>
      <c r="O7237"/>
      <c r="P7237"/>
      <c r="Q7237"/>
      <c r="R7237"/>
      <c r="S7237"/>
      <c r="T7237"/>
      <c r="U7237"/>
    </row>
    <row r="7238" spans="1:21" hidden="1">
      <c r="A7238" s="7" t="s">
        <v>8716</v>
      </c>
      <c r="B7238" s="7" t="s">
        <v>6733</v>
      </c>
      <c r="C7238" s="8" t="s">
        <v>5326</v>
      </c>
      <c r="D7238" t="s">
        <v>24</v>
      </c>
      <c r="E7238" t="s">
        <v>82</v>
      </c>
      <c r="F7238" t="s">
        <v>83</v>
      </c>
      <c r="G7238" t="s">
        <v>5365</v>
      </c>
      <c r="H7238" s="9">
        <v>44848</v>
      </c>
      <c r="I7238" t="s">
        <v>5299</v>
      </c>
      <c r="J7238" t="s">
        <v>5181</v>
      </c>
      <c r="K7238" s="9">
        <v>44848.733807870398</v>
      </c>
      <c r="L7238" t="s">
        <v>29</v>
      </c>
      <c r="M7238"/>
      <c r="N7238"/>
      <c r="O7238"/>
      <c r="P7238"/>
      <c r="Q7238"/>
      <c r="R7238"/>
      <c r="S7238"/>
      <c r="T7238"/>
      <c r="U7238"/>
    </row>
    <row r="7239" spans="1:21" hidden="1">
      <c r="A7239" s="7" t="s">
        <v>8716</v>
      </c>
      <c r="B7239" s="7" t="s">
        <v>6733</v>
      </c>
      <c r="C7239" s="8" t="s">
        <v>5326</v>
      </c>
      <c r="D7239" t="s">
        <v>24</v>
      </c>
      <c r="E7239" t="s">
        <v>82</v>
      </c>
      <c r="F7239" t="s">
        <v>83</v>
      </c>
      <c r="G7239" t="s">
        <v>5366</v>
      </c>
      <c r="H7239" s="9">
        <v>44848</v>
      </c>
      <c r="I7239" t="s">
        <v>5299</v>
      </c>
      <c r="J7239" t="s">
        <v>5181</v>
      </c>
      <c r="K7239" s="9">
        <v>44848.733807870398</v>
      </c>
      <c r="L7239" t="s">
        <v>29</v>
      </c>
      <c r="M7239"/>
      <c r="N7239"/>
      <c r="O7239"/>
      <c r="P7239"/>
      <c r="Q7239"/>
      <c r="R7239"/>
      <c r="S7239"/>
      <c r="T7239"/>
      <c r="U7239"/>
    </row>
    <row r="7240" spans="1:21" hidden="1">
      <c r="A7240" s="7" t="s">
        <v>8716</v>
      </c>
      <c r="B7240" s="7" t="s">
        <v>6733</v>
      </c>
      <c r="C7240" s="8" t="s">
        <v>5326</v>
      </c>
      <c r="D7240" t="s">
        <v>24</v>
      </c>
      <c r="E7240" t="s">
        <v>82</v>
      </c>
      <c r="F7240" t="s">
        <v>83</v>
      </c>
      <c r="G7240" t="s">
        <v>5367</v>
      </c>
      <c r="H7240" s="9">
        <v>44848</v>
      </c>
      <c r="I7240" t="s">
        <v>5299</v>
      </c>
      <c r="J7240" t="s">
        <v>5181</v>
      </c>
      <c r="K7240" s="9">
        <v>44848.733807870398</v>
      </c>
      <c r="L7240" t="s">
        <v>29</v>
      </c>
      <c r="M7240"/>
      <c r="N7240"/>
      <c r="O7240"/>
      <c r="P7240"/>
      <c r="Q7240"/>
      <c r="R7240"/>
      <c r="S7240"/>
      <c r="T7240"/>
      <c r="U7240"/>
    </row>
    <row r="7241" spans="1:21" hidden="1">
      <c r="A7241" s="7" t="s">
        <v>8712</v>
      </c>
      <c r="B7241" s="7" t="s">
        <v>5405</v>
      </c>
      <c r="C7241" s="8" t="s">
        <v>5326</v>
      </c>
      <c r="D7241" t="s">
        <v>24</v>
      </c>
      <c r="E7241" t="s">
        <v>25</v>
      </c>
      <c r="F7241" t="s">
        <v>26</v>
      </c>
      <c r="G7241" t="s">
        <v>5368</v>
      </c>
      <c r="H7241" s="9">
        <v>44848</v>
      </c>
      <c r="I7241" t="s">
        <v>8634</v>
      </c>
      <c r="J7241" t="s">
        <v>0</v>
      </c>
      <c r="K7241" s="9">
        <v>44882</v>
      </c>
      <c r="L7241" t="s">
        <v>29</v>
      </c>
      <c r="M7241"/>
      <c r="N7241"/>
      <c r="O7241"/>
      <c r="P7241"/>
      <c r="Q7241" s="9">
        <v>44882</v>
      </c>
      <c r="R7241"/>
      <c r="S7241"/>
      <c r="T7241"/>
      <c r="U7241"/>
    </row>
    <row r="7242" spans="1:21" hidden="1">
      <c r="A7242" s="7" t="s">
        <v>8712</v>
      </c>
      <c r="B7242" s="7" t="s">
        <v>5405</v>
      </c>
      <c r="C7242" s="8" t="s">
        <v>5326</v>
      </c>
      <c r="D7242" t="s">
        <v>24</v>
      </c>
      <c r="E7242" t="s">
        <v>25</v>
      </c>
      <c r="F7242" t="s">
        <v>26</v>
      </c>
      <c r="G7242" t="s">
        <v>5369</v>
      </c>
      <c r="H7242" s="9">
        <v>44848</v>
      </c>
      <c r="I7242" t="s">
        <v>8634</v>
      </c>
      <c r="J7242" t="s">
        <v>5181</v>
      </c>
      <c r="K7242" s="9">
        <v>44848.7320833333</v>
      </c>
      <c r="L7242" t="s">
        <v>29</v>
      </c>
      <c r="M7242"/>
      <c r="N7242"/>
      <c r="O7242"/>
      <c r="P7242"/>
      <c r="Q7242"/>
      <c r="R7242"/>
      <c r="S7242"/>
      <c r="T7242"/>
      <c r="U7242"/>
    </row>
    <row r="7243" spans="1:21" hidden="1">
      <c r="A7243" s="7" t="s">
        <v>8712</v>
      </c>
      <c r="B7243" s="7" t="s">
        <v>5405</v>
      </c>
      <c r="C7243" s="8" t="s">
        <v>5326</v>
      </c>
      <c r="D7243" t="s">
        <v>24</v>
      </c>
      <c r="E7243" t="s">
        <v>25</v>
      </c>
      <c r="F7243" t="s">
        <v>26</v>
      </c>
      <c r="G7243" t="s">
        <v>5370</v>
      </c>
      <c r="H7243" s="9">
        <v>44848</v>
      </c>
      <c r="I7243" t="s">
        <v>8634</v>
      </c>
      <c r="J7243" t="s">
        <v>0</v>
      </c>
      <c r="K7243" s="9">
        <v>44882</v>
      </c>
      <c r="L7243" t="s">
        <v>29</v>
      </c>
      <c r="M7243"/>
      <c r="N7243"/>
      <c r="O7243"/>
      <c r="P7243"/>
      <c r="Q7243" s="9">
        <v>44882</v>
      </c>
      <c r="R7243"/>
      <c r="S7243"/>
      <c r="T7243"/>
      <c r="U7243"/>
    </row>
    <row r="7244" spans="1:21" hidden="1">
      <c r="A7244" s="7" t="s">
        <v>8758</v>
      </c>
      <c r="B7244" s="7" t="s">
        <v>5405</v>
      </c>
      <c r="C7244" s="8" t="s">
        <v>5326</v>
      </c>
      <c r="D7244" t="s">
        <v>216</v>
      </c>
      <c r="E7244" t="s">
        <v>25</v>
      </c>
      <c r="F7244" t="s">
        <v>493</v>
      </c>
      <c r="G7244" t="s">
        <v>5371</v>
      </c>
      <c r="H7244" s="9">
        <v>44848</v>
      </c>
      <c r="I7244" t="s">
        <v>8634</v>
      </c>
      <c r="J7244" t="s">
        <v>5181</v>
      </c>
      <c r="K7244" s="9">
        <v>44848.732106481497</v>
      </c>
      <c r="L7244" t="s">
        <v>29</v>
      </c>
      <c r="M7244"/>
      <c r="N7244"/>
      <c r="O7244"/>
      <c r="P7244"/>
      <c r="Q7244"/>
      <c r="R7244"/>
      <c r="S7244"/>
      <c r="T7244"/>
      <c r="U7244"/>
    </row>
    <row r="7245" spans="1:21" hidden="1">
      <c r="A7245" s="7" t="s">
        <v>8758</v>
      </c>
      <c r="B7245" s="7" t="s">
        <v>5405</v>
      </c>
      <c r="C7245" s="8" t="s">
        <v>5326</v>
      </c>
      <c r="D7245" t="s">
        <v>216</v>
      </c>
      <c r="E7245" t="s">
        <v>25</v>
      </c>
      <c r="F7245" t="s">
        <v>493</v>
      </c>
      <c r="G7245" t="s">
        <v>5372</v>
      </c>
      <c r="H7245" s="9">
        <v>44848</v>
      </c>
      <c r="I7245" t="s">
        <v>8634</v>
      </c>
      <c r="J7245" t="s">
        <v>5181</v>
      </c>
      <c r="K7245" s="9">
        <v>44848.732106481497</v>
      </c>
      <c r="L7245" t="s">
        <v>29</v>
      </c>
      <c r="M7245"/>
      <c r="N7245"/>
      <c r="O7245"/>
      <c r="P7245"/>
      <c r="Q7245"/>
      <c r="R7245"/>
      <c r="S7245"/>
      <c r="T7245"/>
      <c r="U7245"/>
    </row>
    <row r="7246" spans="1:21" hidden="1">
      <c r="A7246" s="7" t="s">
        <v>8758</v>
      </c>
      <c r="B7246" s="7" t="s">
        <v>5405</v>
      </c>
      <c r="C7246" s="8" t="s">
        <v>5326</v>
      </c>
      <c r="D7246" t="s">
        <v>216</v>
      </c>
      <c r="E7246" t="s">
        <v>25</v>
      </c>
      <c r="F7246" t="s">
        <v>493</v>
      </c>
      <c r="G7246" t="s">
        <v>5373</v>
      </c>
      <c r="H7246" s="9">
        <v>44848</v>
      </c>
      <c r="I7246" t="s">
        <v>8634</v>
      </c>
      <c r="J7246" t="s">
        <v>5181</v>
      </c>
      <c r="K7246" s="9">
        <v>44848.732106481497</v>
      </c>
      <c r="L7246" t="s">
        <v>29</v>
      </c>
      <c r="M7246"/>
      <c r="N7246"/>
      <c r="O7246"/>
      <c r="P7246"/>
      <c r="Q7246"/>
      <c r="R7246"/>
      <c r="S7246"/>
      <c r="T7246"/>
      <c r="U7246"/>
    </row>
    <row r="7247" spans="1:21" hidden="1">
      <c r="A7247" s="7" t="s">
        <v>8733</v>
      </c>
      <c r="B7247" s="7" t="s">
        <v>7433</v>
      </c>
      <c r="C7247" s="8" t="s">
        <v>5326</v>
      </c>
      <c r="D7247" t="s">
        <v>216</v>
      </c>
      <c r="E7247" t="s">
        <v>230</v>
      </c>
      <c r="F7247" t="s">
        <v>231</v>
      </c>
      <c r="G7247" t="s">
        <v>5374</v>
      </c>
      <c r="H7247" s="9">
        <v>44848</v>
      </c>
      <c r="I7247" t="s">
        <v>5299</v>
      </c>
      <c r="J7247" t="s">
        <v>0</v>
      </c>
      <c r="K7247" s="9">
        <v>44872</v>
      </c>
      <c r="L7247" t="s">
        <v>29</v>
      </c>
      <c r="M7247"/>
      <c r="N7247"/>
      <c r="O7247"/>
      <c r="P7247"/>
      <c r="Q7247" s="9">
        <v>44872</v>
      </c>
      <c r="R7247" s="9">
        <v>44860.651724536998</v>
      </c>
      <c r="S7247"/>
      <c r="T7247"/>
      <c r="U7247"/>
    </row>
    <row r="7248" spans="1:21" hidden="1">
      <c r="A7248" s="7" t="s">
        <v>8733</v>
      </c>
      <c r="B7248" s="7" t="s">
        <v>7433</v>
      </c>
      <c r="C7248" s="8" t="s">
        <v>5326</v>
      </c>
      <c r="D7248" t="s">
        <v>216</v>
      </c>
      <c r="E7248" t="s">
        <v>230</v>
      </c>
      <c r="F7248" t="s">
        <v>231</v>
      </c>
      <c r="G7248" t="s">
        <v>5375</v>
      </c>
      <c r="H7248" s="9">
        <v>44848</v>
      </c>
      <c r="I7248" t="s">
        <v>5299</v>
      </c>
      <c r="J7248" t="s">
        <v>0</v>
      </c>
      <c r="K7248" s="9">
        <v>44872</v>
      </c>
      <c r="L7248" t="s">
        <v>29</v>
      </c>
      <c r="M7248"/>
      <c r="N7248"/>
      <c r="O7248"/>
      <c r="P7248"/>
      <c r="Q7248" s="9">
        <v>44872</v>
      </c>
      <c r="R7248" s="9">
        <v>44860.651724536998</v>
      </c>
      <c r="S7248"/>
      <c r="T7248"/>
      <c r="U7248"/>
    </row>
    <row r="7249" spans="1:21" hidden="1">
      <c r="A7249" s="7" t="s">
        <v>8821</v>
      </c>
      <c r="B7249" s="7" t="s">
        <v>6886</v>
      </c>
      <c r="C7249" s="8" t="s">
        <v>5326</v>
      </c>
      <c r="D7249" t="s">
        <v>216</v>
      </c>
      <c r="E7249" t="s">
        <v>1471</v>
      </c>
      <c r="F7249" t="s">
        <v>117</v>
      </c>
      <c r="G7249" t="s">
        <v>5376</v>
      </c>
      <c r="H7249" s="9">
        <v>44848</v>
      </c>
      <c r="I7249" t="s">
        <v>5299</v>
      </c>
      <c r="J7249" t="s">
        <v>5181</v>
      </c>
      <c r="K7249" s="9">
        <v>44848.734212962998</v>
      </c>
      <c r="L7249" t="s">
        <v>29</v>
      </c>
      <c r="M7249"/>
      <c r="N7249"/>
      <c r="O7249"/>
      <c r="P7249"/>
      <c r="Q7249"/>
      <c r="R7249"/>
      <c r="S7249"/>
      <c r="T7249"/>
      <c r="U7249"/>
    </row>
    <row r="7250" spans="1:21" hidden="1">
      <c r="A7250" s="7" t="s">
        <v>8821</v>
      </c>
      <c r="B7250" s="7" t="s">
        <v>6886</v>
      </c>
      <c r="C7250" s="8" t="s">
        <v>5326</v>
      </c>
      <c r="D7250" t="s">
        <v>216</v>
      </c>
      <c r="E7250" t="s">
        <v>1471</v>
      </c>
      <c r="F7250" t="s">
        <v>117</v>
      </c>
      <c r="G7250" t="s">
        <v>5377</v>
      </c>
      <c r="H7250" s="9">
        <v>44848</v>
      </c>
      <c r="I7250" t="s">
        <v>5299</v>
      </c>
      <c r="J7250" t="s">
        <v>5181</v>
      </c>
      <c r="K7250" s="9">
        <v>44848.734212962998</v>
      </c>
      <c r="L7250" t="s">
        <v>29</v>
      </c>
      <c r="M7250"/>
      <c r="N7250"/>
      <c r="O7250"/>
      <c r="P7250"/>
      <c r="Q7250"/>
      <c r="R7250"/>
      <c r="S7250"/>
      <c r="T7250"/>
      <c r="U7250"/>
    </row>
    <row r="7251" spans="1:21" hidden="1">
      <c r="A7251" s="7" t="s">
        <v>8821</v>
      </c>
      <c r="B7251" s="7" t="s">
        <v>6886</v>
      </c>
      <c r="C7251" s="8" t="s">
        <v>5326</v>
      </c>
      <c r="D7251" t="s">
        <v>216</v>
      </c>
      <c r="E7251" t="s">
        <v>1471</v>
      </c>
      <c r="F7251" t="s">
        <v>117</v>
      </c>
      <c r="G7251" t="s">
        <v>5378</v>
      </c>
      <c r="H7251" s="9">
        <v>44848</v>
      </c>
      <c r="I7251" t="s">
        <v>5299</v>
      </c>
      <c r="J7251" t="s">
        <v>5181</v>
      </c>
      <c r="K7251" s="9">
        <v>44848.734212962998</v>
      </c>
      <c r="L7251" t="s">
        <v>29</v>
      </c>
      <c r="M7251"/>
      <c r="N7251"/>
      <c r="O7251"/>
      <c r="P7251"/>
      <c r="Q7251"/>
      <c r="R7251"/>
      <c r="S7251"/>
      <c r="T7251"/>
      <c r="U7251"/>
    </row>
    <row r="7252" spans="1:21" hidden="1">
      <c r="A7252" s="7" t="s">
        <v>8821</v>
      </c>
      <c r="B7252" s="7" t="s">
        <v>6886</v>
      </c>
      <c r="C7252" s="8" t="s">
        <v>5326</v>
      </c>
      <c r="D7252" t="s">
        <v>216</v>
      </c>
      <c r="E7252" t="s">
        <v>1471</v>
      </c>
      <c r="F7252" t="s">
        <v>117</v>
      </c>
      <c r="G7252" t="s">
        <v>5379</v>
      </c>
      <c r="H7252" s="9">
        <v>44848</v>
      </c>
      <c r="I7252" t="s">
        <v>5299</v>
      </c>
      <c r="J7252" t="s">
        <v>5181</v>
      </c>
      <c r="K7252" s="9">
        <v>44848.734212962998</v>
      </c>
      <c r="L7252" t="s">
        <v>29</v>
      </c>
      <c r="M7252"/>
      <c r="N7252"/>
      <c r="O7252"/>
      <c r="P7252"/>
      <c r="Q7252"/>
      <c r="R7252"/>
      <c r="S7252"/>
      <c r="T7252"/>
      <c r="U7252"/>
    </row>
    <row r="7253" spans="1:21" hidden="1">
      <c r="A7253" s="7" t="s">
        <v>8821</v>
      </c>
      <c r="B7253" s="7" t="s">
        <v>6886</v>
      </c>
      <c r="C7253" s="8" t="s">
        <v>5326</v>
      </c>
      <c r="D7253" t="s">
        <v>216</v>
      </c>
      <c r="E7253" t="s">
        <v>1471</v>
      </c>
      <c r="F7253" t="s">
        <v>117</v>
      </c>
      <c r="G7253" t="s">
        <v>5380</v>
      </c>
      <c r="H7253" s="9">
        <v>44848</v>
      </c>
      <c r="I7253" t="s">
        <v>5299</v>
      </c>
      <c r="J7253" t="s">
        <v>5181</v>
      </c>
      <c r="K7253" s="9">
        <v>44848.734212962998</v>
      </c>
      <c r="L7253" t="s">
        <v>29</v>
      </c>
      <c r="M7253"/>
      <c r="N7253"/>
      <c r="O7253"/>
      <c r="P7253"/>
      <c r="Q7253"/>
      <c r="R7253"/>
      <c r="S7253"/>
      <c r="T7253"/>
      <c r="U7253"/>
    </row>
    <row r="7254" spans="1:21" hidden="1">
      <c r="A7254" s="7" t="s">
        <v>8821</v>
      </c>
      <c r="B7254" s="7" t="s">
        <v>6886</v>
      </c>
      <c r="C7254" s="8" t="s">
        <v>5326</v>
      </c>
      <c r="D7254" t="s">
        <v>216</v>
      </c>
      <c r="E7254" t="s">
        <v>1471</v>
      </c>
      <c r="F7254" t="s">
        <v>117</v>
      </c>
      <c r="G7254" t="s">
        <v>5381</v>
      </c>
      <c r="H7254" s="9">
        <v>44848</v>
      </c>
      <c r="I7254" t="s">
        <v>5299</v>
      </c>
      <c r="J7254" t="s">
        <v>5181</v>
      </c>
      <c r="K7254" s="9">
        <v>44848.734212962998</v>
      </c>
      <c r="L7254" t="s">
        <v>29</v>
      </c>
      <c r="M7254"/>
      <c r="N7254"/>
      <c r="O7254"/>
      <c r="P7254"/>
      <c r="Q7254"/>
      <c r="R7254"/>
      <c r="S7254"/>
      <c r="T7254"/>
      <c r="U7254"/>
    </row>
    <row r="7255" spans="1:21" hidden="1">
      <c r="A7255" s="7" t="s">
        <v>8758</v>
      </c>
      <c r="B7255" s="7" t="s">
        <v>5405</v>
      </c>
      <c r="C7255" s="8" t="s">
        <v>5326</v>
      </c>
      <c r="D7255" t="s">
        <v>216</v>
      </c>
      <c r="E7255" t="s">
        <v>25</v>
      </c>
      <c r="F7255" t="s">
        <v>493</v>
      </c>
      <c r="G7255" t="s">
        <v>5382</v>
      </c>
      <c r="H7255" s="9">
        <v>44848</v>
      </c>
      <c r="I7255" t="s">
        <v>8634</v>
      </c>
      <c r="J7255" t="s">
        <v>5181</v>
      </c>
      <c r="K7255" s="9">
        <v>44848.732106481497</v>
      </c>
      <c r="L7255" t="s">
        <v>29</v>
      </c>
      <c r="M7255"/>
      <c r="N7255"/>
      <c r="O7255"/>
      <c r="P7255"/>
      <c r="Q7255"/>
      <c r="R7255"/>
      <c r="S7255"/>
      <c r="T7255"/>
      <c r="U7255"/>
    </row>
    <row r="7256" spans="1:21" hidden="1">
      <c r="A7256" s="7" t="s">
        <v>8976</v>
      </c>
      <c r="B7256" s="7" t="s">
        <v>8986</v>
      </c>
      <c r="C7256" s="8" t="s">
        <v>5327</v>
      </c>
      <c r="D7256" t="s">
        <v>1655</v>
      </c>
      <c r="E7256" t="s">
        <v>8674</v>
      </c>
      <c r="F7256" t="s">
        <v>117</v>
      </c>
      <c r="G7256" t="s">
        <v>8675</v>
      </c>
      <c r="H7256" s="9">
        <v>44882</v>
      </c>
      <c r="I7256" t="s">
        <v>4909</v>
      </c>
      <c r="J7256" t="s">
        <v>5181</v>
      </c>
      <c r="K7256" s="9">
        <v>44882.720960648097</v>
      </c>
      <c r="L7256" t="s">
        <v>29</v>
      </c>
      <c r="M7256"/>
      <c r="N7256"/>
      <c r="O7256"/>
      <c r="P7256"/>
      <c r="Q7256"/>
      <c r="R7256"/>
      <c r="S7256"/>
      <c r="T7256"/>
      <c r="U7256"/>
    </row>
    <row r="7257" spans="1:21" hidden="1">
      <c r="A7257" s="7" t="s">
        <v>8976</v>
      </c>
      <c r="B7257" s="7" t="s">
        <v>8986</v>
      </c>
      <c r="C7257" s="8" t="s">
        <v>5327</v>
      </c>
      <c r="D7257" t="s">
        <v>1655</v>
      </c>
      <c r="E7257" t="s">
        <v>8674</v>
      </c>
      <c r="F7257" t="s">
        <v>117</v>
      </c>
      <c r="G7257" t="s">
        <v>8676</v>
      </c>
      <c r="H7257" s="9">
        <v>44882</v>
      </c>
      <c r="I7257" t="s">
        <v>4909</v>
      </c>
      <c r="J7257" t="s">
        <v>5181</v>
      </c>
      <c r="K7257" s="9">
        <v>44882.720960648097</v>
      </c>
      <c r="L7257" t="s">
        <v>29</v>
      </c>
      <c r="M7257"/>
      <c r="N7257"/>
      <c r="O7257"/>
      <c r="P7257"/>
      <c r="Q7257"/>
      <c r="R7257"/>
      <c r="S7257"/>
      <c r="T7257"/>
      <c r="U7257"/>
    </row>
    <row r="7258" spans="1:21" hidden="1">
      <c r="A7258" s="7" t="s">
        <v>8976</v>
      </c>
      <c r="B7258" s="7" t="s">
        <v>8986</v>
      </c>
      <c r="C7258" s="8" t="s">
        <v>5327</v>
      </c>
      <c r="D7258" t="s">
        <v>1655</v>
      </c>
      <c r="E7258" t="s">
        <v>8674</v>
      </c>
      <c r="F7258" t="s">
        <v>117</v>
      </c>
      <c r="G7258" t="s">
        <v>8677</v>
      </c>
      <c r="H7258" s="9">
        <v>44882</v>
      </c>
      <c r="I7258" t="s">
        <v>4909</v>
      </c>
      <c r="J7258" t="s">
        <v>5181</v>
      </c>
      <c r="K7258" s="9">
        <v>44882.720960648097</v>
      </c>
      <c r="L7258" t="s">
        <v>29</v>
      </c>
      <c r="M7258"/>
      <c r="N7258"/>
      <c r="O7258"/>
      <c r="P7258"/>
      <c r="Q7258"/>
      <c r="R7258"/>
      <c r="S7258"/>
      <c r="T7258"/>
      <c r="U7258"/>
    </row>
    <row r="7259" spans="1:21" hidden="1">
      <c r="A7259" s="7" t="s">
        <v>8976</v>
      </c>
      <c r="B7259" s="7" t="s">
        <v>8986</v>
      </c>
      <c r="C7259" s="8" t="s">
        <v>5327</v>
      </c>
      <c r="D7259" t="s">
        <v>1655</v>
      </c>
      <c r="E7259" t="s">
        <v>8674</v>
      </c>
      <c r="F7259" t="s">
        <v>117</v>
      </c>
      <c r="G7259" t="s">
        <v>8678</v>
      </c>
      <c r="H7259" s="9">
        <v>44882</v>
      </c>
      <c r="I7259" t="s">
        <v>4909</v>
      </c>
      <c r="J7259" t="s">
        <v>5181</v>
      </c>
      <c r="K7259" s="9">
        <v>44882.720960648097</v>
      </c>
      <c r="L7259" t="s">
        <v>29</v>
      </c>
      <c r="M7259"/>
      <c r="N7259"/>
      <c r="O7259"/>
      <c r="P7259"/>
      <c r="Q7259"/>
      <c r="R7259"/>
      <c r="S7259"/>
      <c r="T7259"/>
      <c r="U7259"/>
    </row>
    <row r="7260" spans="1:21" hidden="1">
      <c r="A7260" s="7" t="s">
        <v>8976</v>
      </c>
      <c r="B7260" s="7" t="s">
        <v>8986</v>
      </c>
      <c r="C7260" s="8" t="s">
        <v>5327</v>
      </c>
      <c r="D7260" t="s">
        <v>1655</v>
      </c>
      <c r="E7260" t="s">
        <v>8674</v>
      </c>
      <c r="F7260" t="s">
        <v>117</v>
      </c>
      <c r="G7260" t="s">
        <v>8679</v>
      </c>
      <c r="H7260" s="9">
        <v>44882</v>
      </c>
      <c r="I7260" t="s">
        <v>4909</v>
      </c>
      <c r="J7260" t="s">
        <v>5181</v>
      </c>
      <c r="K7260" s="9">
        <v>44882.720960648097</v>
      </c>
      <c r="L7260" t="s">
        <v>29</v>
      </c>
      <c r="M7260"/>
      <c r="N7260"/>
      <c r="O7260"/>
      <c r="P7260"/>
      <c r="Q7260"/>
      <c r="R7260"/>
      <c r="S7260"/>
      <c r="T7260"/>
      <c r="U7260"/>
    </row>
    <row r="7261" spans="1:21" hidden="1">
      <c r="A7261" s="7" t="s">
        <v>8976</v>
      </c>
      <c r="B7261" s="7" t="s">
        <v>8986</v>
      </c>
      <c r="C7261" s="8" t="s">
        <v>5327</v>
      </c>
      <c r="D7261" t="s">
        <v>1655</v>
      </c>
      <c r="E7261" t="s">
        <v>8674</v>
      </c>
      <c r="F7261" t="s">
        <v>117</v>
      </c>
      <c r="G7261" t="s">
        <v>8680</v>
      </c>
      <c r="H7261" s="9">
        <v>44882</v>
      </c>
      <c r="I7261" t="s">
        <v>4909</v>
      </c>
      <c r="J7261" t="s">
        <v>5181</v>
      </c>
      <c r="K7261" s="9">
        <v>44882.720960648097</v>
      </c>
      <c r="L7261" t="s">
        <v>29</v>
      </c>
      <c r="M7261"/>
      <c r="N7261"/>
      <c r="O7261"/>
      <c r="P7261"/>
      <c r="Q7261"/>
      <c r="R7261"/>
      <c r="S7261"/>
      <c r="T7261"/>
      <c r="U7261"/>
    </row>
    <row r="7262" spans="1:21" hidden="1">
      <c r="A7262" s="7" t="s">
        <v>8952</v>
      </c>
      <c r="B7262" s="7" t="s">
        <v>7112</v>
      </c>
      <c r="C7262" s="8" t="s">
        <v>5326</v>
      </c>
      <c r="D7262" t="s">
        <v>1655</v>
      </c>
      <c r="E7262" t="s">
        <v>3992</v>
      </c>
      <c r="F7262" t="s">
        <v>117</v>
      </c>
      <c r="G7262" t="s">
        <v>5383</v>
      </c>
      <c r="H7262" s="9">
        <v>44848</v>
      </c>
      <c r="I7262" t="s">
        <v>5384</v>
      </c>
      <c r="J7262" t="s">
        <v>5181</v>
      </c>
      <c r="K7262" s="9">
        <v>44848.734525462998</v>
      </c>
      <c r="L7262" t="s">
        <v>29</v>
      </c>
      <c r="M7262"/>
      <c r="N7262"/>
      <c r="O7262"/>
      <c r="P7262"/>
      <c r="Q7262"/>
      <c r="R7262"/>
      <c r="S7262"/>
      <c r="T7262"/>
      <c r="U7262"/>
    </row>
    <row r="7263" spans="1:21" hidden="1">
      <c r="A7263" s="7" t="s">
        <v>8826</v>
      </c>
      <c r="B7263" s="7" t="s">
        <v>5405</v>
      </c>
      <c r="C7263" s="8" t="s">
        <v>5326</v>
      </c>
      <c r="D7263" t="s">
        <v>1655</v>
      </c>
      <c r="E7263" t="s">
        <v>25</v>
      </c>
      <c r="F7263" t="s">
        <v>117</v>
      </c>
      <c r="G7263" t="s">
        <v>5385</v>
      </c>
      <c r="H7263" s="9">
        <v>44848</v>
      </c>
      <c r="I7263" t="s">
        <v>8634</v>
      </c>
      <c r="J7263" t="s">
        <v>5181</v>
      </c>
      <c r="K7263" s="9">
        <v>44848.731874999998</v>
      </c>
      <c r="L7263" t="s">
        <v>29</v>
      </c>
      <c r="M7263"/>
      <c r="N7263"/>
      <c r="O7263"/>
      <c r="P7263"/>
      <c r="Q7263"/>
      <c r="R7263"/>
      <c r="S7263"/>
      <c r="T7263"/>
      <c r="U7263"/>
    </row>
    <row r="7264" spans="1:21" hidden="1">
      <c r="A7264" s="7" t="s">
        <v>8826</v>
      </c>
      <c r="B7264" s="7" t="s">
        <v>5405</v>
      </c>
      <c r="C7264" s="8" t="s">
        <v>5326</v>
      </c>
      <c r="D7264" t="s">
        <v>1655</v>
      </c>
      <c r="E7264" t="s">
        <v>25</v>
      </c>
      <c r="F7264" t="s">
        <v>117</v>
      </c>
      <c r="G7264" t="s">
        <v>5386</v>
      </c>
      <c r="H7264" s="9">
        <v>44848</v>
      </c>
      <c r="I7264" t="s">
        <v>8634</v>
      </c>
      <c r="J7264" t="s">
        <v>5181</v>
      </c>
      <c r="K7264" s="9">
        <v>44848.731874999998</v>
      </c>
      <c r="L7264" t="s">
        <v>29</v>
      </c>
      <c r="M7264"/>
      <c r="N7264"/>
      <c r="O7264"/>
      <c r="P7264"/>
      <c r="Q7264"/>
      <c r="R7264"/>
      <c r="S7264"/>
      <c r="T7264"/>
      <c r="U7264"/>
    </row>
    <row r="7265" spans="1:21" hidden="1">
      <c r="A7265" s="7" t="s">
        <v>8826</v>
      </c>
      <c r="B7265" s="7" t="s">
        <v>5405</v>
      </c>
      <c r="C7265" s="8" t="s">
        <v>5326</v>
      </c>
      <c r="D7265" t="s">
        <v>1655</v>
      </c>
      <c r="E7265" t="s">
        <v>25</v>
      </c>
      <c r="F7265" t="s">
        <v>117</v>
      </c>
      <c r="G7265" t="s">
        <v>5387</v>
      </c>
      <c r="H7265" s="9">
        <v>44848</v>
      </c>
      <c r="I7265" t="s">
        <v>8634</v>
      </c>
      <c r="J7265" t="s">
        <v>5181</v>
      </c>
      <c r="K7265" s="9">
        <v>44848.731874999998</v>
      </c>
      <c r="L7265" t="s">
        <v>29</v>
      </c>
      <c r="M7265"/>
      <c r="N7265"/>
      <c r="O7265"/>
      <c r="P7265"/>
      <c r="Q7265"/>
      <c r="R7265"/>
      <c r="S7265"/>
      <c r="T7265"/>
      <c r="U7265"/>
    </row>
    <row r="7266" spans="1:21" hidden="1">
      <c r="A7266" s="7" t="s">
        <v>8751</v>
      </c>
      <c r="B7266" s="7" t="s">
        <v>5405</v>
      </c>
      <c r="C7266" s="8" t="s">
        <v>5326</v>
      </c>
      <c r="D7266" t="s">
        <v>1655</v>
      </c>
      <c r="E7266" t="s">
        <v>25</v>
      </c>
      <c r="F7266" t="s">
        <v>435</v>
      </c>
      <c r="G7266" t="s">
        <v>5388</v>
      </c>
      <c r="H7266" s="9">
        <v>44848</v>
      </c>
      <c r="I7266" t="s">
        <v>8634</v>
      </c>
      <c r="J7266" t="s">
        <v>5181</v>
      </c>
      <c r="K7266" s="9">
        <v>44848.732199074097</v>
      </c>
      <c r="L7266" t="s">
        <v>29</v>
      </c>
      <c r="M7266"/>
      <c r="N7266"/>
      <c r="O7266"/>
      <c r="P7266"/>
      <c r="Q7266"/>
      <c r="R7266"/>
      <c r="S7266"/>
      <c r="T7266"/>
      <c r="U7266"/>
    </row>
    <row r="7267" spans="1:21" hidden="1">
      <c r="A7267" s="7" t="s">
        <v>8751</v>
      </c>
      <c r="B7267" s="7" t="s">
        <v>5405</v>
      </c>
      <c r="C7267" s="8" t="s">
        <v>5326</v>
      </c>
      <c r="D7267" t="s">
        <v>1655</v>
      </c>
      <c r="E7267" t="s">
        <v>25</v>
      </c>
      <c r="F7267" t="s">
        <v>435</v>
      </c>
      <c r="G7267" t="s">
        <v>4038</v>
      </c>
      <c r="H7267" s="9">
        <v>44848</v>
      </c>
      <c r="I7267" t="s">
        <v>8634</v>
      </c>
      <c r="J7267" t="s">
        <v>2</v>
      </c>
      <c r="K7267" s="9">
        <v>44868</v>
      </c>
      <c r="L7267" t="s">
        <v>29</v>
      </c>
      <c r="M7267" t="s">
        <v>5349</v>
      </c>
      <c r="N7267"/>
      <c r="O7267"/>
      <c r="P7267"/>
      <c r="Q7267"/>
      <c r="R7267"/>
      <c r="S7267"/>
      <c r="T7267"/>
      <c r="U7267"/>
    </row>
    <row r="7268" spans="1:21" hidden="1">
      <c r="A7268" s="7" t="s">
        <v>8763</v>
      </c>
      <c r="B7268" s="7" t="s">
        <v>5405</v>
      </c>
      <c r="C7268" s="8" t="s">
        <v>5326</v>
      </c>
      <c r="D7268" t="s">
        <v>164</v>
      </c>
      <c r="E7268" t="s">
        <v>25</v>
      </c>
      <c r="F7268" t="s">
        <v>280</v>
      </c>
      <c r="G7268" t="s">
        <v>5389</v>
      </c>
      <c r="H7268" s="9">
        <v>44848</v>
      </c>
      <c r="I7268" t="s">
        <v>8634</v>
      </c>
      <c r="J7268" t="s">
        <v>0</v>
      </c>
      <c r="K7268" s="9">
        <v>44858</v>
      </c>
      <c r="L7268" t="s">
        <v>29</v>
      </c>
      <c r="M7268"/>
      <c r="N7268"/>
      <c r="O7268"/>
      <c r="P7268"/>
      <c r="Q7268" s="9">
        <v>44858</v>
      </c>
      <c r="R7268"/>
      <c r="S7268"/>
      <c r="T7268"/>
      <c r="U7268"/>
    </row>
    <row r="7269" spans="1:21" hidden="1">
      <c r="A7269" s="7" t="s">
        <v>8763</v>
      </c>
      <c r="B7269" s="7" t="s">
        <v>5405</v>
      </c>
      <c r="C7269" s="8" t="s">
        <v>5326</v>
      </c>
      <c r="D7269" t="s">
        <v>164</v>
      </c>
      <c r="E7269" t="s">
        <v>25</v>
      </c>
      <c r="F7269" t="s">
        <v>280</v>
      </c>
      <c r="G7269" t="s">
        <v>5390</v>
      </c>
      <c r="H7269" s="9">
        <v>44848</v>
      </c>
      <c r="I7269" t="s">
        <v>8634</v>
      </c>
      <c r="J7269" t="s">
        <v>0</v>
      </c>
      <c r="K7269" s="9">
        <v>44858</v>
      </c>
      <c r="L7269" t="s">
        <v>29</v>
      </c>
      <c r="M7269"/>
      <c r="N7269"/>
      <c r="O7269"/>
      <c r="P7269"/>
      <c r="Q7269" s="9">
        <v>44858</v>
      </c>
      <c r="R7269"/>
      <c r="S7269"/>
      <c r="T7269"/>
      <c r="U7269"/>
    </row>
    <row r="7270" spans="1:21" hidden="1">
      <c r="A7270" s="7" t="s">
        <v>8758</v>
      </c>
      <c r="B7270" s="7" t="s">
        <v>5405</v>
      </c>
      <c r="C7270" s="8" t="s">
        <v>8717</v>
      </c>
      <c r="D7270" t="s">
        <v>272</v>
      </c>
      <c r="E7270" t="s">
        <v>25</v>
      </c>
      <c r="F7270" t="s">
        <v>493</v>
      </c>
      <c r="G7270" t="s">
        <v>5353</v>
      </c>
      <c r="H7270"/>
      <c r="I7270"/>
      <c r="J7270" t="s">
        <v>0</v>
      </c>
      <c r="K7270" s="9">
        <v>44862</v>
      </c>
      <c r="L7270"/>
      <c r="M7270"/>
      <c r="N7270"/>
      <c r="O7270"/>
      <c r="P7270"/>
      <c r="Q7270" s="9">
        <v>44862</v>
      </c>
      <c r="R7270"/>
      <c r="S7270"/>
      <c r="T7270"/>
      <c r="U7270"/>
    </row>
    <row r="7271" spans="1:21" hidden="1">
      <c r="A7271" s="7" t="s">
        <v>8822</v>
      </c>
      <c r="B7271" s="7" t="s">
        <v>6728</v>
      </c>
      <c r="C7271" s="8" t="s">
        <v>8717</v>
      </c>
      <c r="D7271" t="s">
        <v>272</v>
      </c>
      <c r="E7271" t="s">
        <v>1473</v>
      </c>
      <c r="F7271" t="s">
        <v>83</v>
      </c>
      <c r="G7271" t="s">
        <v>2785</v>
      </c>
      <c r="H7271"/>
      <c r="I7271"/>
      <c r="J7271" t="s">
        <v>2</v>
      </c>
      <c r="K7271" s="9">
        <v>44867</v>
      </c>
      <c r="L7271"/>
      <c r="M7271" t="s">
        <v>5392</v>
      </c>
      <c r="N7271"/>
      <c r="O7271"/>
      <c r="P7271"/>
      <c r="Q7271"/>
      <c r="R7271" s="9">
        <v>44867</v>
      </c>
      <c r="S7271"/>
      <c r="T7271"/>
      <c r="U7271"/>
    </row>
    <row r="7272" spans="1:21" hidden="1">
      <c r="A7272" s="7" t="s">
        <v>8822</v>
      </c>
      <c r="B7272" s="7" t="s">
        <v>6728</v>
      </c>
      <c r="C7272" s="8" t="s">
        <v>8717</v>
      </c>
      <c r="D7272" t="s">
        <v>272</v>
      </c>
      <c r="E7272" t="s">
        <v>1473</v>
      </c>
      <c r="F7272" t="s">
        <v>83</v>
      </c>
      <c r="G7272" t="s">
        <v>2786</v>
      </c>
      <c r="H7272"/>
      <c r="I7272"/>
      <c r="J7272" t="s">
        <v>2</v>
      </c>
      <c r="K7272" s="9">
        <v>44867</v>
      </c>
      <c r="L7272"/>
      <c r="M7272" t="s">
        <v>5392</v>
      </c>
      <c r="N7272"/>
      <c r="O7272"/>
      <c r="P7272"/>
      <c r="Q7272"/>
      <c r="R7272" s="9">
        <v>44867</v>
      </c>
      <c r="S7272"/>
      <c r="T7272"/>
      <c r="U7272"/>
    </row>
    <row r="7273" spans="1:21" hidden="1">
      <c r="A7273" s="7" t="s">
        <v>8822</v>
      </c>
      <c r="B7273" s="7" t="s">
        <v>6728</v>
      </c>
      <c r="C7273" s="8" t="s">
        <v>8717</v>
      </c>
      <c r="D7273" t="s">
        <v>272</v>
      </c>
      <c r="E7273" t="s">
        <v>1473</v>
      </c>
      <c r="F7273" t="s">
        <v>83</v>
      </c>
      <c r="G7273" t="s">
        <v>2787</v>
      </c>
      <c r="H7273"/>
      <c r="I7273"/>
      <c r="J7273" t="s">
        <v>2</v>
      </c>
      <c r="K7273" s="9">
        <v>44867</v>
      </c>
      <c r="L7273"/>
      <c r="M7273" t="s">
        <v>5392</v>
      </c>
      <c r="N7273"/>
      <c r="O7273"/>
      <c r="P7273"/>
      <c r="Q7273"/>
      <c r="R7273" s="9">
        <v>44867</v>
      </c>
      <c r="S7273"/>
      <c r="T7273"/>
      <c r="U7273"/>
    </row>
    <row r="7274" spans="1:21" hidden="1">
      <c r="A7274" s="7" t="s">
        <v>8822</v>
      </c>
      <c r="B7274" s="7" t="s">
        <v>6728</v>
      </c>
      <c r="C7274" s="8" t="s">
        <v>8717</v>
      </c>
      <c r="D7274" t="s">
        <v>272</v>
      </c>
      <c r="E7274" t="s">
        <v>1473</v>
      </c>
      <c r="F7274" t="s">
        <v>83</v>
      </c>
      <c r="G7274" t="s">
        <v>2788</v>
      </c>
      <c r="H7274"/>
      <c r="I7274"/>
      <c r="J7274" t="s">
        <v>2</v>
      </c>
      <c r="K7274" s="9">
        <v>44867</v>
      </c>
      <c r="L7274"/>
      <c r="M7274" t="s">
        <v>5392</v>
      </c>
      <c r="N7274"/>
      <c r="O7274"/>
      <c r="P7274"/>
      <c r="Q7274"/>
      <c r="R7274" s="9">
        <v>44867</v>
      </c>
      <c r="S7274"/>
      <c r="T7274"/>
      <c r="U7274"/>
    </row>
    <row r="7275" spans="1:21" hidden="1">
      <c r="A7275" s="7" t="s">
        <v>8822</v>
      </c>
      <c r="B7275" s="7" t="s">
        <v>6728</v>
      </c>
      <c r="C7275" s="8" t="s">
        <v>8717</v>
      </c>
      <c r="D7275" t="s">
        <v>272</v>
      </c>
      <c r="E7275" t="s">
        <v>1473</v>
      </c>
      <c r="F7275" t="s">
        <v>83</v>
      </c>
      <c r="G7275" t="s">
        <v>2789</v>
      </c>
      <c r="H7275"/>
      <c r="I7275"/>
      <c r="J7275" t="s">
        <v>2</v>
      </c>
      <c r="K7275" s="9">
        <v>44867</v>
      </c>
      <c r="L7275"/>
      <c r="M7275" t="s">
        <v>5392</v>
      </c>
      <c r="N7275"/>
      <c r="O7275"/>
      <c r="P7275"/>
      <c r="Q7275"/>
      <c r="R7275" s="9">
        <v>44867</v>
      </c>
      <c r="S7275"/>
      <c r="T7275"/>
      <c r="U7275"/>
    </row>
    <row r="7276" spans="1:21" hidden="1">
      <c r="A7276" s="7" t="s">
        <v>8822</v>
      </c>
      <c r="B7276" s="7" t="s">
        <v>6728</v>
      </c>
      <c r="C7276" s="8" t="s">
        <v>8717</v>
      </c>
      <c r="D7276" t="s">
        <v>272</v>
      </c>
      <c r="E7276" t="s">
        <v>1473</v>
      </c>
      <c r="F7276" t="s">
        <v>83</v>
      </c>
      <c r="G7276" t="s">
        <v>2790</v>
      </c>
      <c r="H7276"/>
      <c r="I7276"/>
      <c r="J7276" t="s">
        <v>2</v>
      </c>
      <c r="K7276" s="9">
        <v>44867</v>
      </c>
      <c r="L7276"/>
      <c r="M7276" t="s">
        <v>5392</v>
      </c>
      <c r="N7276"/>
      <c r="O7276"/>
      <c r="P7276"/>
      <c r="Q7276"/>
      <c r="R7276" s="9">
        <v>44867</v>
      </c>
      <c r="S7276"/>
      <c r="T7276"/>
      <c r="U7276"/>
    </row>
    <row r="7277" spans="1:21" hidden="1">
      <c r="A7277" s="7" t="s">
        <v>8822</v>
      </c>
      <c r="B7277" s="7" t="s">
        <v>6728</v>
      </c>
      <c r="C7277" s="8" t="s">
        <v>8717</v>
      </c>
      <c r="D7277" t="s">
        <v>272</v>
      </c>
      <c r="E7277" t="s">
        <v>1473</v>
      </c>
      <c r="F7277" t="s">
        <v>83</v>
      </c>
      <c r="G7277" t="s">
        <v>2791</v>
      </c>
      <c r="H7277"/>
      <c r="I7277"/>
      <c r="J7277" t="s">
        <v>2</v>
      </c>
      <c r="K7277" s="9">
        <v>44867</v>
      </c>
      <c r="L7277"/>
      <c r="M7277" t="s">
        <v>5392</v>
      </c>
      <c r="N7277"/>
      <c r="O7277"/>
      <c r="P7277"/>
      <c r="Q7277"/>
      <c r="R7277" s="9">
        <v>44867</v>
      </c>
      <c r="S7277"/>
      <c r="T7277"/>
      <c r="U7277"/>
    </row>
    <row r="7278" spans="1:21" hidden="1">
      <c r="A7278" s="7" t="s">
        <v>8822</v>
      </c>
      <c r="B7278" s="7" t="s">
        <v>6728</v>
      </c>
      <c r="C7278" s="8" t="s">
        <v>8717</v>
      </c>
      <c r="D7278" t="s">
        <v>272</v>
      </c>
      <c r="E7278" t="s">
        <v>1473</v>
      </c>
      <c r="F7278" t="s">
        <v>83</v>
      </c>
      <c r="G7278" t="s">
        <v>2792</v>
      </c>
      <c r="H7278"/>
      <c r="I7278"/>
      <c r="J7278" t="s">
        <v>2</v>
      </c>
      <c r="K7278" s="9">
        <v>44867</v>
      </c>
      <c r="L7278"/>
      <c r="M7278" t="s">
        <v>5392</v>
      </c>
      <c r="N7278"/>
      <c r="O7278"/>
      <c r="P7278"/>
      <c r="Q7278"/>
      <c r="R7278" s="9">
        <v>44867</v>
      </c>
      <c r="S7278"/>
      <c r="T7278"/>
      <c r="U7278"/>
    </row>
    <row r="7279" spans="1:21" hidden="1">
      <c r="A7279" s="7" t="s">
        <v>8822</v>
      </c>
      <c r="B7279" s="7" t="s">
        <v>6728</v>
      </c>
      <c r="C7279" s="8" t="s">
        <v>8717</v>
      </c>
      <c r="D7279" t="s">
        <v>272</v>
      </c>
      <c r="E7279" t="s">
        <v>1473</v>
      </c>
      <c r="F7279" t="s">
        <v>83</v>
      </c>
      <c r="G7279" t="s">
        <v>2793</v>
      </c>
      <c r="H7279"/>
      <c r="I7279"/>
      <c r="J7279" t="s">
        <v>2</v>
      </c>
      <c r="K7279" s="9">
        <v>44867</v>
      </c>
      <c r="L7279"/>
      <c r="M7279" t="s">
        <v>5392</v>
      </c>
      <c r="N7279"/>
      <c r="O7279"/>
      <c r="P7279"/>
      <c r="Q7279"/>
      <c r="R7279" s="9">
        <v>44867</v>
      </c>
      <c r="S7279"/>
      <c r="T7279"/>
      <c r="U7279"/>
    </row>
    <row r="7280" spans="1:21" hidden="1">
      <c r="A7280" s="7" t="s">
        <v>8822</v>
      </c>
      <c r="B7280" s="7" t="s">
        <v>6728</v>
      </c>
      <c r="C7280" s="8" t="s">
        <v>8717</v>
      </c>
      <c r="D7280" t="s">
        <v>272</v>
      </c>
      <c r="E7280" t="s">
        <v>1473</v>
      </c>
      <c r="F7280" t="s">
        <v>83</v>
      </c>
      <c r="G7280" t="s">
        <v>1474</v>
      </c>
      <c r="H7280"/>
      <c r="I7280"/>
      <c r="J7280" t="s">
        <v>2</v>
      </c>
      <c r="K7280" s="9">
        <v>44867</v>
      </c>
      <c r="L7280"/>
      <c r="M7280" t="s">
        <v>5392</v>
      </c>
      <c r="N7280"/>
      <c r="O7280"/>
      <c r="P7280"/>
      <c r="Q7280"/>
      <c r="R7280" s="9">
        <v>44867</v>
      </c>
      <c r="S7280"/>
      <c r="T7280"/>
      <c r="U7280"/>
    </row>
    <row r="7281" spans="1:21" hidden="1">
      <c r="A7281" s="7" t="s">
        <v>8822</v>
      </c>
      <c r="B7281" s="7" t="s">
        <v>6728</v>
      </c>
      <c r="C7281" s="8" t="s">
        <v>8717</v>
      </c>
      <c r="D7281" t="s">
        <v>272</v>
      </c>
      <c r="E7281" t="s">
        <v>1473</v>
      </c>
      <c r="F7281" t="s">
        <v>83</v>
      </c>
      <c r="G7281" t="s">
        <v>2794</v>
      </c>
      <c r="H7281"/>
      <c r="I7281"/>
      <c r="J7281" t="s">
        <v>2</v>
      </c>
      <c r="K7281" s="9">
        <v>44867</v>
      </c>
      <c r="L7281"/>
      <c r="M7281" t="s">
        <v>5392</v>
      </c>
      <c r="N7281"/>
      <c r="O7281"/>
      <c r="P7281"/>
      <c r="Q7281"/>
      <c r="R7281" s="9">
        <v>44867</v>
      </c>
      <c r="S7281"/>
      <c r="T7281"/>
      <c r="U7281"/>
    </row>
    <row r="7282" spans="1:21" hidden="1">
      <c r="A7282" s="7" t="s">
        <v>8822</v>
      </c>
      <c r="B7282" s="7" t="s">
        <v>6728</v>
      </c>
      <c r="C7282" s="8" t="s">
        <v>8717</v>
      </c>
      <c r="D7282" t="s">
        <v>272</v>
      </c>
      <c r="E7282" t="s">
        <v>1473</v>
      </c>
      <c r="F7282" t="s">
        <v>83</v>
      </c>
      <c r="G7282" t="s">
        <v>2795</v>
      </c>
      <c r="H7282"/>
      <c r="I7282"/>
      <c r="J7282" t="s">
        <v>2</v>
      </c>
      <c r="K7282" s="9">
        <v>44867</v>
      </c>
      <c r="L7282"/>
      <c r="M7282" t="s">
        <v>5392</v>
      </c>
      <c r="N7282"/>
      <c r="O7282"/>
      <c r="P7282"/>
      <c r="Q7282"/>
      <c r="R7282" s="9">
        <v>44867</v>
      </c>
      <c r="S7282"/>
      <c r="T7282"/>
      <c r="U7282"/>
    </row>
    <row r="7283" spans="1:21" hidden="1">
      <c r="A7283" s="7" t="s">
        <v>8822</v>
      </c>
      <c r="B7283" s="7" t="s">
        <v>6728</v>
      </c>
      <c r="C7283" s="8" t="s">
        <v>8717</v>
      </c>
      <c r="D7283" t="s">
        <v>272</v>
      </c>
      <c r="E7283" t="s">
        <v>1473</v>
      </c>
      <c r="F7283" t="s">
        <v>83</v>
      </c>
      <c r="G7283" t="s">
        <v>2796</v>
      </c>
      <c r="H7283"/>
      <c r="I7283"/>
      <c r="J7283" t="s">
        <v>2</v>
      </c>
      <c r="K7283" s="9">
        <v>44867</v>
      </c>
      <c r="L7283"/>
      <c r="M7283" t="s">
        <v>5392</v>
      </c>
      <c r="N7283"/>
      <c r="O7283"/>
      <c r="P7283"/>
      <c r="Q7283"/>
      <c r="R7283" s="9">
        <v>44867</v>
      </c>
      <c r="S7283"/>
      <c r="T7283"/>
      <c r="U7283"/>
    </row>
    <row r="7284" spans="1:21" hidden="1">
      <c r="A7284" s="7" t="s">
        <v>8822</v>
      </c>
      <c r="B7284" s="7" t="s">
        <v>6728</v>
      </c>
      <c r="C7284" s="8" t="s">
        <v>8717</v>
      </c>
      <c r="D7284" t="s">
        <v>272</v>
      </c>
      <c r="E7284" t="s">
        <v>1473</v>
      </c>
      <c r="F7284" t="s">
        <v>83</v>
      </c>
      <c r="G7284" t="s">
        <v>2797</v>
      </c>
      <c r="H7284"/>
      <c r="I7284"/>
      <c r="J7284" t="s">
        <v>2</v>
      </c>
      <c r="K7284" s="9">
        <v>44867</v>
      </c>
      <c r="L7284"/>
      <c r="M7284" t="s">
        <v>5392</v>
      </c>
      <c r="N7284"/>
      <c r="O7284"/>
      <c r="P7284"/>
      <c r="Q7284"/>
      <c r="R7284" s="9">
        <v>44867</v>
      </c>
      <c r="S7284"/>
      <c r="T7284"/>
      <c r="U7284"/>
    </row>
    <row r="7285" spans="1:21" hidden="1">
      <c r="A7285" s="7" t="s">
        <v>8822</v>
      </c>
      <c r="B7285" s="7" t="s">
        <v>6728</v>
      </c>
      <c r="C7285" s="8" t="s">
        <v>8717</v>
      </c>
      <c r="D7285" t="s">
        <v>272</v>
      </c>
      <c r="E7285" t="s">
        <v>1473</v>
      </c>
      <c r="F7285" t="s">
        <v>83</v>
      </c>
      <c r="G7285" t="s">
        <v>2798</v>
      </c>
      <c r="H7285"/>
      <c r="I7285"/>
      <c r="J7285" t="s">
        <v>2</v>
      </c>
      <c r="K7285" s="9">
        <v>44867</v>
      </c>
      <c r="L7285"/>
      <c r="M7285" t="s">
        <v>5392</v>
      </c>
      <c r="N7285"/>
      <c r="O7285"/>
      <c r="P7285"/>
      <c r="Q7285"/>
      <c r="R7285" s="9">
        <v>44867</v>
      </c>
      <c r="S7285"/>
      <c r="T7285"/>
      <c r="U7285"/>
    </row>
    <row r="7286" spans="1:21" hidden="1">
      <c r="A7286" s="7" t="s">
        <v>8822</v>
      </c>
      <c r="B7286" s="7" t="s">
        <v>6728</v>
      </c>
      <c r="C7286" s="8" t="s">
        <v>8717</v>
      </c>
      <c r="D7286" t="s">
        <v>272</v>
      </c>
      <c r="E7286" t="s">
        <v>1473</v>
      </c>
      <c r="F7286" t="s">
        <v>83</v>
      </c>
      <c r="G7286" t="s">
        <v>2799</v>
      </c>
      <c r="H7286"/>
      <c r="I7286"/>
      <c r="J7286" t="s">
        <v>2</v>
      </c>
      <c r="K7286" s="9">
        <v>44867</v>
      </c>
      <c r="L7286"/>
      <c r="M7286" t="s">
        <v>5392</v>
      </c>
      <c r="N7286"/>
      <c r="O7286"/>
      <c r="P7286"/>
      <c r="Q7286"/>
      <c r="R7286" s="9">
        <v>44867</v>
      </c>
      <c r="S7286"/>
      <c r="T7286"/>
      <c r="U7286"/>
    </row>
    <row r="7287" spans="1:21" hidden="1">
      <c r="A7287" s="7" t="s">
        <v>8748</v>
      </c>
      <c r="B7287" s="7" t="s">
        <v>7750</v>
      </c>
      <c r="C7287" s="8" t="s">
        <v>8717</v>
      </c>
      <c r="D7287" t="s">
        <v>272</v>
      </c>
      <c r="E7287" t="s">
        <v>409</v>
      </c>
      <c r="F7287" t="s">
        <v>231</v>
      </c>
      <c r="G7287" t="s">
        <v>2744</v>
      </c>
      <c r="H7287"/>
      <c r="I7287"/>
      <c r="J7287" t="s">
        <v>0</v>
      </c>
      <c r="K7287" s="9">
        <v>44881</v>
      </c>
      <c r="L7287"/>
      <c r="M7287"/>
      <c r="N7287"/>
      <c r="O7287"/>
      <c r="P7287"/>
      <c r="Q7287" s="9">
        <v>44881</v>
      </c>
      <c r="R7287"/>
      <c r="S7287"/>
      <c r="T7287"/>
      <c r="U7287"/>
    </row>
    <row r="7288" spans="1:21" hidden="1">
      <c r="A7288" s="7" t="s">
        <v>8748</v>
      </c>
      <c r="B7288" s="7" t="s">
        <v>7750</v>
      </c>
      <c r="C7288" s="8" t="s">
        <v>8717</v>
      </c>
      <c r="D7288" t="s">
        <v>272</v>
      </c>
      <c r="E7288" t="s">
        <v>409</v>
      </c>
      <c r="F7288" t="s">
        <v>231</v>
      </c>
      <c r="G7288" t="s">
        <v>5128</v>
      </c>
      <c r="H7288"/>
      <c r="I7288"/>
      <c r="J7288" t="s">
        <v>0</v>
      </c>
      <c r="K7288" s="9">
        <v>44881</v>
      </c>
      <c r="L7288"/>
      <c r="M7288"/>
      <c r="N7288"/>
      <c r="O7288"/>
      <c r="P7288"/>
      <c r="Q7288" s="9">
        <v>44881</v>
      </c>
      <c r="R7288"/>
      <c r="S7288"/>
      <c r="T7288"/>
      <c r="U7288"/>
    </row>
    <row r="7289" spans="1:21" hidden="1">
      <c r="A7289" s="7" t="s">
        <v>8748</v>
      </c>
      <c r="B7289" s="7" t="s">
        <v>7750</v>
      </c>
      <c r="C7289" s="8" t="s">
        <v>8717</v>
      </c>
      <c r="D7289" t="s">
        <v>272</v>
      </c>
      <c r="E7289" t="s">
        <v>409</v>
      </c>
      <c r="F7289" t="s">
        <v>231</v>
      </c>
      <c r="G7289" t="s">
        <v>5225</v>
      </c>
      <c r="H7289"/>
      <c r="I7289"/>
      <c r="J7289" t="s">
        <v>0</v>
      </c>
      <c r="K7289" s="9">
        <v>44881</v>
      </c>
      <c r="L7289"/>
      <c r="M7289"/>
      <c r="N7289"/>
      <c r="O7289"/>
      <c r="P7289"/>
      <c r="Q7289" s="9">
        <v>44881</v>
      </c>
      <c r="R7289"/>
      <c r="S7289"/>
      <c r="T7289"/>
      <c r="U7289"/>
    </row>
    <row r="7290" spans="1:21" hidden="1">
      <c r="A7290" s="7" t="s">
        <v>8748</v>
      </c>
      <c r="B7290" s="7" t="s">
        <v>7750</v>
      </c>
      <c r="C7290" s="8" t="s">
        <v>8717</v>
      </c>
      <c r="D7290" t="s">
        <v>272</v>
      </c>
      <c r="E7290" t="s">
        <v>409</v>
      </c>
      <c r="F7290" t="s">
        <v>231</v>
      </c>
      <c r="G7290" t="s">
        <v>5226</v>
      </c>
      <c r="H7290"/>
      <c r="I7290"/>
      <c r="J7290" t="s">
        <v>0</v>
      </c>
      <c r="K7290" s="9">
        <v>44881</v>
      </c>
      <c r="L7290"/>
      <c r="M7290"/>
      <c r="N7290"/>
      <c r="O7290"/>
      <c r="P7290"/>
      <c r="Q7290" s="9">
        <v>44881</v>
      </c>
      <c r="R7290"/>
      <c r="S7290"/>
      <c r="T7290"/>
      <c r="U7290"/>
    </row>
    <row r="7291" spans="1:21" hidden="1">
      <c r="A7291" s="7" t="s">
        <v>8758</v>
      </c>
      <c r="B7291" s="7" t="s">
        <v>5405</v>
      </c>
      <c r="C7291" s="8" t="s">
        <v>5327</v>
      </c>
      <c r="D7291" t="s">
        <v>272</v>
      </c>
      <c r="E7291" t="s">
        <v>25</v>
      </c>
      <c r="F7291" t="s">
        <v>493</v>
      </c>
      <c r="G7291" t="s">
        <v>8681</v>
      </c>
      <c r="H7291" s="9">
        <v>44883</v>
      </c>
      <c r="I7291" t="s">
        <v>8634</v>
      </c>
      <c r="J7291" t="s">
        <v>5181</v>
      </c>
      <c r="K7291" s="9">
        <v>44883.776967592603</v>
      </c>
      <c r="L7291" t="s">
        <v>29</v>
      </c>
      <c r="M7291"/>
      <c r="N7291"/>
      <c r="O7291"/>
      <c r="P7291"/>
      <c r="Q7291"/>
      <c r="R7291"/>
      <c r="S7291"/>
      <c r="T7291"/>
      <c r="U7291"/>
    </row>
    <row r="7292" spans="1:21" hidden="1">
      <c r="A7292" s="7" t="s">
        <v>8758</v>
      </c>
      <c r="B7292" s="7" t="s">
        <v>5405</v>
      </c>
      <c r="C7292" s="8" t="s">
        <v>5327</v>
      </c>
      <c r="D7292" t="s">
        <v>272</v>
      </c>
      <c r="E7292" t="s">
        <v>25</v>
      </c>
      <c r="F7292" t="s">
        <v>493</v>
      </c>
      <c r="G7292" t="s">
        <v>8682</v>
      </c>
      <c r="H7292" s="9">
        <v>44883</v>
      </c>
      <c r="I7292" t="s">
        <v>8634</v>
      </c>
      <c r="J7292" t="s">
        <v>5181</v>
      </c>
      <c r="K7292" s="9">
        <v>44883.776967592603</v>
      </c>
      <c r="L7292" t="s">
        <v>29</v>
      </c>
      <c r="M7292"/>
      <c r="N7292"/>
      <c r="O7292"/>
      <c r="P7292"/>
      <c r="Q7292"/>
      <c r="R7292"/>
      <c r="S7292"/>
      <c r="T7292"/>
      <c r="U7292"/>
    </row>
    <row r="7293" spans="1:21" hidden="1">
      <c r="A7293" s="7" t="s">
        <v>8758</v>
      </c>
      <c r="B7293" s="7" t="s">
        <v>5405</v>
      </c>
      <c r="C7293" s="8" t="s">
        <v>5327</v>
      </c>
      <c r="D7293" t="s">
        <v>24</v>
      </c>
      <c r="E7293" t="s">
        <v>25</v>
      </c>
      <c r="F7293" t="s">
        <v>493</v>
      </c>
      <c r="G7293" t="s">
        <v>8681</v>
      </c>
      <c r="H7293" s="9">
        <v>44883</v>
      </c>
      <c r="I7293" t="s">
        <v>8634</v>
      </c>
      <c r="J7293" t="s">
        <v>5181</v>
      </c>
      <c r="K7293" s="9">
        <v>44883.776967592603</v>
      </c>
      <c r="L7293" t="s">
        <v>29</v>
      </c>
      <c r="M7293"/>
      <c r="N7293"/>
      <c r="O7293"/>
      <c r="P7293"/>
      <c r="Q7293"/>
      <c r="R7293"/>
      <c r="S7293"/>
      <c r="T7293"/>
      <c r="U7293"/>
    </row>
    <row r="7294" spans="1:21" hidden="1">
      <c r="A7294" s="7" t="s">
        <v>8758</v>
      </c>
      <c r="B7294" s="7" t="s">
        <v>5405</v>
      </c>
      <c r="C7294" s="8" t="s">
        <v>5327</v>
      </c>
      <c r="D7294" t="s">
        <v>266</v>
      </c>
      <c r="E7294" t="s">
        <v>25</v>
      </c>
      <c r="F7294" t="s">
        <v>493</v>
      </c>
      <c r="G7294" t="s">
        <v>8681</v>
      </c>
      <c r="H7294" s="9">
        <v>44883</v>
      </c>
      <c r="I7294" t="s">
        <v>8634</v>
      </c>
      <c r="J7294" t="s">
        <v>5181</v>
      </c>
      <c r="K7294" s="9">
        <v>44883.776967592603</v>
      </c>
      <c r="L7294" t="s">
        <v>29</v>
      </c>
      <c r="M7294"/>
      <c r="N7294"/>
      <c r="O7294"/>
      <c r="P7294"/>
      <c r="Q7294"/>
      <c r="R7294"/>
      <c r="S7294"/>
      <c r="T7294"/>
      <c r="U7294"/>
    </row>
    <row r="7295" spans="1:21" hidden="1">
      <c r="A7295" s="7" t="s">
        <v>8758</v>
      </c>
      <c r="B7295" s="7" t="s">
        <v>5405</v>
      </c>
      <c r="C7295" s="8" t="s">
        <v>5327</v>
      </c>
      <c r="D7295" t="s">
        <v>266</v>
      </c>
      <c r="E7295" t="s">
        <v>25</v>
      </c>
      <c r="F7295" t="s">
        <v>493</v>
      </c>
      <c r="G7295" t="s">
        <v>8682</v>
      </c>
      <c r="H7295" s="9">
        <v>44883</v>
      </c>
      <c r="I7295" t="s">
        <v>8634</v>
      </c>
      <c r="J7295" t="s">
        <v>5181</v>
      </c>
      <c r="K7295" s="9">
        <v>44883.776967592603</v>
      </c>
      <c r="L7295" t="s">
        <v>29</v>
      </c>
      <c r="M7295"/>
      <c r="N7295"/>
      <c r="O7295"/>
      <c r="P7295"/>
      <c r="Q7295"/>
      <c r="R7295"/>
      <c r="S7295"/>
      <c r="T7295"/>
      <c r="U7295"/>
    </row>
    <row r="7296" spans="1:21" hidden="1">
      <c r="A7296" s="7" t="s">
        <v>8758</v>
      </c>
      <c r="B7296" s="7" t="s">
        <v>5405</v>
      </c>
      <c r="C7296" s="8" t="s">
        <v>5327</v>
      </c>
      <c r="D7296" t="s">
        <v>266</v>
      </c>
      <c r="E7296" t="s">
        <v>25</v>
      </c>
      <c r="F7296" t="s">
        <v>493</v>
      </c>
      <c r="G7296" t="s">
        <v>8683</v>
      </c>
      <c r="H7296" s="9">
        <v>44883</v>
      </c>
      <c r="I7296" t="s">
        <v>8634</v>
      </c>
      <c r="J7296" t="s">
        <v>5181</v>
      </c>
      <c r="K7296" s="9">
        <v>44883.776967592603</v>
      </c>
      <c r="L7296" t="s">
        <v>29</v>
      </c>
      <c r="M7296"/>
      <c r="N7296"/>
      <c r="O7296"/>
      <c r="P7296"/>
      <c r="Q7296"/>
      <c r="R7296"/>
      <c r="S7296"/>
      <c r="T7296"/>
      <c r="U7296"/>
    </row>
    <row r="7297" spans="1:21" hidden="1">
      <c r="A7297" s="7" t="s">
        <v>8977</v>
      </c>
      <c r="B7297" s="7" t="s">
        <v>7772</v>
      </c>
      <c r="C7297" s="8" t="s">
        <v>5327</v>
      </c>
      <c r="D7297" t="s">
        <v>1655</v>
      </c>
      <c r="E7297" t="s">
        <v>7771</v>
      </c>
      <c r="F7297" t="s">
        <v>117</v>
      </c>
      <c r="G7297" t="s">
        <v>8684</v>
      </c>
      <c r="H7297" s="9">
        <v>44883</v>
      </c>
      <c r="I7297" t="s">
        <v>8685</v>
      </c>
      <c r="J7297" t="s">
        <v>5181</v>
      </c>
      <c r="K7297" s="9">
        <v>44883.777314814797</v>
      </c>
      <c r="L7297" t="s">
        <v>29</v>
      </c>
      <c r="M7297"/>
      <c r="N7297"/>
      <c r="O7297"/>
      <c r="P7297"/>
      <c r="Q7297"/>
      <c r="R7297"/>
      <c r="S7297"/>
      <c r="T7297"/>
      <c r="U7297"/>
    </row>
    <row r="7298" spans="1:21" hidden="1">
      <c r="A7298" s="7" t="s">
        <v>8977</v>
      </c>
      <c r="B7298" s="7" t="s">
        <v>7772</v>
      </c>
      <c r="C7298" s="8" t="s">
        <v>5327</v>
      </c>
      <c r="D7298" t="s">
        <v>1655</v>
      </c>
      <c r="E7298" t="s">
        <v>7771</v>
      </c>
      <c r="F7298" t="s">
        <v>117</v>
      </c>
      <c r="G7298" t="s">
        <v>8686</v>
      </c>
      <c r="H7298" s="9">
        <v>44883</v>
      </c>
      <c r="I7298" t="s">
        <v>8685</v>
      </c>
      <c r="J7298" t="s">
        <v>5181</v>
      </c>
      <c r="K7298" s="9">
        <v>44883.777314814797</v>
      </c>
      <c r="L7298" t="s">
        <v>29</v>
      </c>
      <c r="M7298"/>
      <c r="N7298"/>
      <c r="O7298"/>
      <c r="P7298"/>
      <c r="Q7298"/>
      <c r="R7298"/>
      <c r="S7298"/>
      <c r="T7298"/>
      <c r="U7298"/>
    </row>
    <row r="7299" spans="1:21" hidden="1">
      <c r="A7299" s="7" t="s">
        <v>8826</v>
      </c>
      <c r="B7299" s="7" t="s">
        <v>5405</v>
      </c>
      <c r="C7299" s="8" t="s">
        <v>5327</v>
      </c>
      <c r="D7299" t="s">
        <v>1655</v>
      </c>
      <c r="E7299" t="s">
        <v>25</v>
      </c>
      <c r="F7299" t="s">
        <v>117</v>
      </c>
      <c r="G7299" t="s">
        <v>4069</v>
      </c>
      <c r="H7299" s="9">
        <v>44883</v>
      </c>
      <c r="I7299" t="s">
        <v>8634</v>
      </c>
      <c r="J7299" t="s">
        <v>5181</v>
      </c>
      <c r="K7299" s="9">
        <v>44883.776782407404</v>
      </c>
      <c r="L7299" t="s">
        <v>29</v>
      </c>
      <c r="M7299"/>
      <c r="N7299"/>
      <c r="O7299"/>
      <c r="P7299"/>
      <c r="Q7299"/>
      <c r="R7299"/>
      <c r="S7299"/>
      <c r="T7299"/>
      <c r="U7299"/>
    </row>
    <row r="7300" spans="1:21" hidden="1">
      <c r="A7300" s="7" t="s">
        <v>8826</v>
      </c>
      <c r="B7300" s="7" t="s">
        <v>5405</v>
      </c>
      <c r="C7300" s="8" t="s">
        <v>5327</v>
      </c>
      <c r="D7300" t="s">
        <v>1655</v>
      </c>
      <c r="E7300" t="s">
        <v>25</v>
      </c>
      <c r="F7300" t="s">
        <v>117</v>
      </c>
      <c r="G7300" t="s">
        <v>4112</v>
      </c>
      <c r="H7300" s="9">
        <v>44883</v>
      </c>
      <c r="I7300" t="s">
        <v>8634</v>
      </c>
      <c r="J7300" t="s">
        <v>5181</v>
      </c>
      <c r="K7300" s="9">
        <v>44883.776782407404</v>
      </c>
      <c r="L7300" t="s">
        <v>29</v>
      </c>
      <c r="M7300"/>
      <c r="N7300"/>
      <c r="O7300"/>
      <c r="P7300"/>
      <c r="Q7300"/>
      <c r="R7300"/>
      <c r="S7300"/>
      <c r="T7300"/>
      <c r="U7300"/>
    </row>
    <row r="7301" spans="1:21" hidden="1">
      <c r="A7301" s="7" t="s">
        <v>8978</v>
      </c>
      <c r="B7301" s="7" t="s">
        <v>8033</v>
      </c>
      <c r="C7301" s="8" t="s">
        <v>5327</v>
      </c>
      <c r="D7301" t="s">
        <v>1655</v>
      </c>
      <c r="E7301" t="s">
        <v>8032</v>
      </c>
      <c r="F7301" t="s">
        <v>117</v>
      </c>
      <c r="G7301" t="s">
        <v>8687</v>
      </c>
      <c r="H7301" s="9">
        <v>44883</v>
      </c>
      <c r="I7301" t="s">
        <v>8688</v>
      </c>
      <c r="J7301" t="s">
        <v>5181</v>
      </c>
      <c r="K7301" s="9">
        <v>44883.777430555601</v>
      </c>
      <c r="L7301" t="s">
        <v>29</v>
      </c>
      <c r="M7301"/>
      <c r="N7301"/>
      <c r="O7301"/>
      <c r="P7301"/>
      <c r="Q7301"/>
      <c r="R7301"/>
      <c r="S7301"/>
      <c r="T7301"/>
      <c r="U7301"/>
    </row>
    <row r="7302" spans="1:21" hidden="1">
      <c r="A7302" s="7" t="s">
        <v>8978</v>
      </c>
      <c r="B7302" s="7" t="s">
        <v>8033</v>
      </c>
      <c r="C7302" s="8" t="s">
        <v>5327</v>
      </c>
      <c r="D7302" t="s">
        <v>1655</v>
      </c>
      <c r="E7302" t="s">
        <v>8032</v>
      </c>
      <c r="F7302" t="s">
        <v>117</v>
      </c>
      <c r="G7302" t="s">
        <v>8689</v>
      </c>
      <c r="H7302" s="9">
        <v>44883</v>
      </c>
      <c r="I7302" t="s">
        <v>8688</v>
      </c>
      <c r="J7302" t="s">
        <v>5181</v>
      </c>
      <c r="K7302" s="9">
        <v>44883.777430555601</v>
      </c>
      <c r="L7302" t="s">
        <v>29</v>
      </c>
      <c r="M7302"/>
      <c r="N7302"/>
      <c r="O7302"/>
      <c r="P7302"/>
      <c r="Q7302"/>
      <c r="R7302"/>
      <c r="S7302"/>
      <c r="T7302"/>
      <c r="U7302"/>
    </row>
    <row r="7303" spans="1:21" hidden="1">
      <c r="A7303" s="7" t="s">
        <v>8979</v>
      </c>
      <c r="B7303" s="7" t="s">
        <v>8987</v>
      </c>
      <c r="C7303" s="8" t="s">
        <v>5327</v>
      </c>
      <c r="D7303" t="s">
        <v>1655</v>
      </c>
      <c r="E7303" t="s">
        <v>8690</v>
      </c>
      <c r="F7303" t="s">
        <v>117</v>
      </c>
      <c r="G7303" t="s">
        <v>8691</v>
      </c>
      <c r="H7303" s="9">
        <v>44886</v>
      </c>
      <c r="I7303" t="s">
        <v>4071</v>
      </c>
      <c r="J7303" t="s">
        <v>5181</v>
      </c>
      <c r="K7303" s="9">
        <v>44886.602164351898</v>
      </c>
      <c r="L7303" t="s">
        <v>29</v>
      </c>
      <c r="M7303"/>
      <c r="N7303"/>
      <c r="O7303"/>
      <c r="P7303"/>
      <c r="Q7303"/>
      <c r="R7303"/>
      <c r="S7303"/>
      <c r="T7303"/>
      <c r="U7303"/>
    </row>
    <row r="7304" spans="1:21" hidden="1">
      <c r="A7304" s="7" t="s">
        <v>8977</v>
      </c>
      <c r="B7304" s="7" t="s">
        <v>7772</v>
      </c>
      <c r="C7304" s="8" t="s">
        <v>5327</v>
      </c>
      <c r="D7304" t="s">
        <v>1655</v>
      </c>
      <c r="E7304" t="s">
        <v>7771</v>
      </c>
      <c r="F7304" t="s">
        <v>117</v>
      </c>
      <c r="G7304" t="s">
        <v>8692</v>
      </c>
      <c r="H7304" s="9">
        <v>44883</v>
      </c>
      <c r="I7304" t="s">
        <v>8685</v>
      </c>
      <c r="J7304" t="s">
        <v>5181</v>
      </c>
      <c r="K7304" s="9">
        <v>44883.777314814797</v>
      </c>
      <c r="L7304" t="s">
        <v>29</v>
      </c>
      <c r="M7304"/>
      <c r="N7304"/>
      <c r="O7304"/>
      <c r="P7304"/>
      <c r="Q7304"/>
      <c r="R7304"/>
      <c r="S7304"/>
      <c r="T7304"/>
      <c r="U7304"/>
    </row>
    <row r="7305" spans="1:21" hidden="1">
      <c r="A7305" s="7" t="s">
        <v>8826</v>
      </c>
      <c r="B7305" s="7" t="s">
        <v>5405</v>
      </c>
      <c r="C7305" s="8" t="s">
        <v>5327</v>
      </c>
      <c r="D7305" t="s">
        <v>1655</v>
      </c>
      <c r="E7305" t="s">
        <v>25</v>
      </c>
      <c r="F7305" t="s">
        <v>117</v>
      </c>
      <c r="G7305" t="s">
        <v>4889</v>
      </c>
      <c r="H7305" s="9">
        <v>44883</v>
      </c>
      <c r="I7305" t="s">
        <v>8634</v>
      </c>
      <c r="J7305" t="s">
        <v>5181</v>
      </c>
      <c r="K7305" s="9">
        <v>44883.776782407404</v>
      </c>
      <c r="L7305" t="s">
        <v>29</v>
      </c>
      <c r="M7305"/>
      <c r="N7305"/>
      <c r="O7305"/>
      <c r="P7305"/>
      <c r="Q7305"/>
      <c r="R7305"/>
      <c r="S7305"/>
      <c r="T7305"/>
      <c r="U7305"/>
    </row>
    <row r="7306" spans="1:21" hidden="1">
      <c r="A7306" s="7" t="s">
        <v>8977</v>
      </c>
      <c r="B7306" s="7" t="s">
        <v>7772</v>
      </c>
      <c r="C7306" s="8" t="s">
        <v>5327</v>
      </c>
      <c r="D7306" t="s">
        <v>1655</v>
      </c>
      <c r="E7306" t="s">
        <v>7771</v>
      </c>
      <c r="F7306" t="s">
        <v>117</v>
      </c>
      <c r="G7306" t="s">
        <v>8693</v>
      </c>
      <c r="H7306" s="9">
        <v>44883</v>
      </c>
      <c r="I7306" t="s">
        <v>8685</v>
      </c>
      <c r="J7306" t="s">
        <v>5181</v>
      </c>
      <c r="K7306" s="9">
        <v>44883.777314814797</v>
      </c>
      <c r="L7306" t="s">
        <v>29</v>
      </c>
      <c r="M7306"/>
      <c r="N7306"/>
      <c r="O7306"/>
      <c r="P7306"/>
      <c r="Q7306"/>
      <c r="R7306"/>
      <c r="S7306"/>
      <c r="T7306"/>
      <c r="U7306"/>
    </row>
    <row r="7307" spans="1:21" hidden="1">
      <c r="A7307" s="7" t="s">
        <v>8977</v>
      </c>
      <c r="B7307" s="7" t="s">
        <v>7772</v>
      </c>
      <c r="C7307" s="8" t="s">
        <v>5327</v>
      </c>
      <c r="D7307" t="s">
        <v>1655</v>
      </c>
      <c r="E7307" t="s">
        <v>7771</v>
      </c>
      <c r="F7307" t="s">
        <v>117</v>
      </c>
      <c r="G7307" t="s">
        <v>8694</v>
      </c>
      <c r="H7307" s="9">
        <v>44883</v>
      </c>
      <c r="I7307" t="s">
        <v>8685</v>
      </c>
      <c r="J7307" t="s">
        <v>5181</v>
      </c>
      <c r="K7307" s="9">
        <v>44883.777314814797</v>
      </c>
      <c r="L7307" t="s">
        <v>29</v>
      </c>
      <c r="M7307"/>
      <c r="N7307"/>
      <c r="O7307"/>
      <c r="P7307"/>
      <c r="Q7307"/>
      <c r="R7307"/>
      <c r="S7307"/>
      <c r="T7307"/>
      <c r="U7307"/>
    </row>
    <row r="7308" spans="1:21" hidden="1">
      <c r="A7308" s="7" t="s">
        <v>8977</v>
      </c>
      <c r="B7308" s="7" t="s">
        <v>7772</v>
      </c>
      <c r="C7308" s="8" t="s">
        <v>5327</v>
      </c>
      <c r="D7308" t="s">
        <v>1655</v>
      </c>
      <c r="E7308" t="s">
        <v>7771</v>
      </c>
      <c r="F7308" t="s">
        <v>117</v>
      </c>
      <c r="G7308" t="s">
        <v>8695</v>
      </c>
      <c r="H7308" s="9">
        <v>44883</v>
      </c>
      <c r="I7308" t="s">
        <v>8685</v>
      </c>
      <c r="J7308" t="s">
        <v>5181</v>
      </c>
      <c r="K7308" s="9">
        <v>44883.777314814797</v>
      </c>
      <c r="L7308" t="s">
        <v>29</v>
      </c>
      <c r="M7308"/>
      <c r="N7308"/>
      <c r="O7308"/>
      <c r="P7308"/>
      <c r="Q7308"/>
      <c r="R7308"/>
      <c r="S7308"/>
      <c r="T7308"/>
      <c r="U7308"/>
    </row>
    <row r="7309" spans="1:21" hidden="1">
      <c r="A7309" s="7" t="s">
        <v>8977</v>
      </c>
      <c r="B7309" s="7" t="s">
        <v>7772</v>
      </c>
      <c r="C7309" s="8" t="s">
        <v>5327</v>
      </c>
      <c r="D7309" t="s">
        <v>1655</v>
      </c>
      <c r="E7309" t="s">
        <v>7771</v>
      </c>
      <c r="F7309" t="s">
        <v>117</v>
      </c>
      <c r="G7309" t="s">
        <v>8696</v>
      </c>
      <c r="H7309" s="9">
        <v>44883</v>
      </c>
      <c r="I7309" t="s">
        <v>8685</v>
      </c>
      <c r="J7309" t="s">
        <v>5181</v>
      </c>
      <c r="K7309" s="9">
        <v>44883.777314814797</v>
      </c>
      <c r="L7309" t="s">
        <v>29</v>
      </c>
      <c r="M7309"/>
      <c r="N7309"/>
      <c r="O7309"/>
      <c r="P7309"/>
      <c r="Q7309"/>
      <c r="R7309"/>
      <c r="S7309"/>
      <c r="T7309"/>
      <c r="U7309"/>
    </row>
    <row r="7310" spans="1:21" hidden="1">
      <c r="A7310" s="7" t="s">
        <v>8955</v>
      </c>
      <c r="B7310" s="7" t="s">
        <v>8605</v>
      </c>
      <c r="C7310" s="8" t="s">
        <v>5327</v>
      </c>
      <c r="D7310" t="s">
        <v>1655</v>
      </c>
      <c r="E7310" t="s">
        <v>4916</v>
      </c>
      <c r="F7310" t="s">
        <v>117</v>
      </c>
      <c r="G7310" t="s">
        <v>4917</v>
      </c>
      <c r="H7310" s="9">
        <v>44883</v>
      </c>
      <c r="I7310" t="s">
        <v>4855</v>
      </c>
      <c r="J7310" t="s">
        <v>5181</v>
      </c>
      <c r="K7310" s="9">
        <v>44883.777453703697</v>
      </c>
      <c r="L7310" t="s">
        <v>29</v>
      </c>
      <c r="M7310"/>
      <c r="N7310"/>
      <c r="O7310"/>
      <c r="P7310"/>
      <c r="Q7310"/>
      <c r="R7310"/>
      <c r="S7310"/>
      <c r="T7310"/>
      <c r="U7310"/>
    </row>
    <row r="7311" spans="1:21" hidden="1">
      <c r="A7311" s="7" t="s">
        <v>8826</v>
      </c>
      <c r="B7311" s="7" t="s">
        <v>5405</v>
      </c>
      <c r="C7311" s="8" t="s">
        <v>5327</v>
      </c>
      <c r="D7311" t="s">
        <v>1655</v>
      </c>
      <c r="E7311" t="s">
        <v>25</v>
      </c>
      <c r="F7311" t="s">
        <v>117</v>
      </c>
      <c r="G7311" t="s">
        <v>4918</v>
      </c>
      <c r="H7311" s="9">
        <v>44883</v>
      </c>
      <c r="I7311" t="s">
        <v>8634</v>
      </c>
      <c r="J7311" t="s">
        <v>5181</v>
      </c>
      <c r="K7311" s="9">
        <v>44883.776782407404</v>
      </c>
      <c r="L7311" t="s">
        <v>29</v>
      </c>
      <c r="M7311"/>
      <c r="N7311"/>
      <c r="O7311"/>
      <c r="P7311"/>
      <c r="Q7311"/>
      <c r="R7311"/>
      <c r="S7311"/>
      <c r="T7311"/>
      <c r="U7311"/>
    </row>
    <row r="7312" spans="1:21" hidden="1">
      <c r="A7312" s="7" t="s">
        <v>8977</v>
      </c>
      <c r="B7312" s="7" t="s">
        <v>7772</v>
      </c>
      <c r="C7312" s="8" t="s">
        <v>5327</v>
      </c>
      <c r="D7312" t="s">
        <v>1655</v>
      </c>
      <c r="E7312" t="s">
        <v>7771</v>
      </c>
      <c r="F7312" t="s">
        <v>117</v>
      </c>
      <c r="G7312" t="s">
        <v>8697</v>
      </c>
      <c r="H7312" s="9">
        <v>44883</v>
      </c>
      <c r="I7312" t="s">
        <v>8685</v>
      </c>
      <c r="J7312" t="s">
        <v>5181</v>
      </c>
      <c r="K7312" s="9">
        <v>44883.777314814797</v>
      </c>
      <c r="L7312" t="s">
        <v>29</v>
      </c>
      <c r="M7312"/>
      <c r="N7312"/>
      <c r="O7312"/>
      <c r="P7312"/>
      <c r="Q7312"/>
      <c r="R7312"/>
      <c r="S7312"/>
      <c r="T7312"/>
      <c r="U7312"/>
    </row>
    <row r="7313" spans="1:21" hidden="1">
      <c r="A7313" s="7" t="s">
        <v>8977</v>
      </c>
      <c r="B7313" s="7" t="s">
        <v>7772</v>
      </c>
      <c r="C7313" s="8" t="s">
        <v>5327</v>
      </c>
      <c r="D7313" t="s">
        <v>1655</v>
      </c>
      <c r="E7313" t="s">
        <v>7771</v>
      </c>
      <c r="F7313" t="s">
        <v>117</v>
      </c>
      <c r="G7313" t="s">
        <v>8698</v>
      </c>
      <c r="H7313" s="9">
        <v>44883</v>
      </c>
      <c r="I7313" t="s">
        <v>8685</v>
      </c>
      <c r="J7313" t="s">
        <v>5181</v>
      </c>
      <c r="K7313" s="9">
        <v>44883.777314814797</v>
      </c>
      <c r="L7313" t="s">
        <v>29</v>
      </c>
      <c r="M7313"/>
      <c r="N7313"/>
      <c r="O7313"/>
      <c r="P7313"/>
      <c r="Q7313"/>
      <c r="R7313"/>
      <c r="S7313"/>
      <c r="T7313"/>
      <c r="U7313"/>
    </row>
    <row r="7314" spans="1:21" hidden="1">
      <c r="A7314" s="7" t="s">
        <v>8956</v>
      </c>
      <c r="B7314" s="7" t="s">
        <v>7626</v>
      </c>
      <c r="C7314" s="8" t="s">
        <v>5327</v>
      </c>
      <c r="D7314" t="s">
        <v>1655</v>
      </c>
      <c r="E7314" t="s">
        <v>4929</v>
      </c>
      <c r="F7314" t="s">
        <v>231</v>
      </c>
      <c r="G7314" t="s">
        <v>4931</v>
      </c>
      <c r="H7314" s="9">
        <v>44883</v>
      </c>
      <c r="I7314" t="s">
        <v>4930</v>
      </c>
      <c r="J7314" t="s">
        <v>5181</v>
      </c>
      <c r="K7314" s="9">
        <v>44883.777280092603</v>
      </c>
      <c r="L7314" t="s">
        <v>29</v>
      </c>
      <c r="M7314"/>
      <c r="N7314"/>
      <c r="O7314"/>
      <c r="P7314"/>
      <c r="Q7314"/>
      <c r="R7314"/>
      <c r="S7314"/>
      <c r="T7314"/>
      <c r="U7314"/>
    </row>
    <row r="7315" spans="1:21" hidden="1">
      <c r="A7315" s="7" t="s">
        <v>8751</v>
      </c>
      <c r="B7315" s="7" t="s">
        <v>5405</v>
      </c>
      <c r="C7315" s="8" t="s">
        <v>5327</v>
      </c>
      <c r="D7315" t="s">
        <v>1655</v>
      </c>
      <c r="E7315" t="s">
        <v>25</v>
      </c>
      <c r="F7315" t="s">
        <v>435</v>
      </c>
      <c r="G7315" t="s">
        <v>5113</v>
      </c>
      <c r="H7315" s="9">
        <v>44883</v>
      </c>
      <c r="I7315" t="s">
        <v>8634</v>
      </c>
      <c r="J7315" t="s">
        <v>5181</v>
      </c>
      <c r="K7315" s="9">
        <v>44883.777083333298</v>
      </c>
      <c r="L7315" t="s">
        <v>29</v>
      </c>
      <c r="M7315"/>
      <c r="N7315"/>
      <c r="O7315"/>
      <c r="P7315"/>
      <c r="Q7315"/>
      <c r="R7315"/>
      <c r="S7315"/>
      <c r="T7315"/>
      <c r="U7315"/>
    </row>
    <row r="7316" spans="1:21" hidden="1">
      <c r="A7316" s="7" t="s">
        <v>8763</v>
      </c>
      <c r="B7316" s="7" t="s">
        <v>5405</v>
      </c>
      <c r="C7316" s="8" t="s">
        <v>5327</v>
      </c>
      <c r="D7316" t="s">
        <v>164</v>
      </c>
      <c r="E7316" t="s">
        <v>25</v>
      </c>
      <c r="F7316" t="s">
        <v>280</v>
      </c>
      <c r="G7316" t="s">
        <v>8699</v>
      </c>
      <c r="H7316" s="9">
        <v>44883</v>
      </c>
      <c r="I7316" t="s">
        <v>8634</v>
      </c>
      <c r="J7316" t="s">
        <v>5181</v>
      </c>
      <c r="K7316" s="9">
        <v>44883.776840277802</v>
      </c>
      <c r="L7316" t="s">
        <v>29</v>
      </c>
      <c r="M7316"/>
      <c r="N7316"/>
      <c r="O7316"/>
      <c r="P7316"/>
      <c r="Q7316"/>
      <c r="R7316"/>
      <c r="S7316"/>
      <c r="T7316"/>
      <c r="U7316"/>
    </row>
    <row r="7317" spans="1:21" hidden="1">
      <c r="A7317" s="7" t="s">
        <v>8763</v>
      </c>
      <c r="B7317" s="7" t="s">
        <v>5405</v>
      </c>
      <c r="C7317" s="8" t="s">
        <v>5327</v>
      </c>
      <c r="D7317" t="s">
        <v>164</v>
      </c>
      <c r="E7317" t="s">
        <v>25</v>
      </c>
      <c r="F7317" t="s">
        <v>280</v>
      </c>
      <c r="G7317" t="s">
        <v>8700</v>
      </c>
      <c r="H7317" s="9">
        <v>44883</v>
      </c>
      <c r="I7317" t="s">
        <v>8634</v>
      </c>
      <c r="J7317" t="s">
        <v>5181</v>
      </c>
      <c r="K7317" s="9">
        <v>44883.776840277802</v>
      </c>
      <c r="L7317" t="s">
        <v>29</v>
      </c>
      <c r="M7317"/>
      <c r="N7317"/>
      <c r="O7317"/>
      <c r="P7317"/>
      <c r="Q7317"/>
      <c r="R7317"/>
      <c r="S7317"/>
      <c r="T7317"/>
      <c r="U7317"/>
    </row>
    <row r="7318" spans="1:21" hidden="1">
      <c r="A7318" s="7" t="s">
        <v>8763</v>
      </c>
      <c r="B7318" s="7" t="s">
        <v>5405</v>
      </c>
      <c r="C7318" s="8" t="s">
        <v>5327</v>
      </c>
      <c r="D7318" t="s">
        <v>164</v>
      </c>
      <c r="E7318" t="s">
        <v>25</v>
      </c>
      <c r="F7318" t="s">
        <v>280</v>
      </c>
      <c r="G7318" t="s">
        <v>8701</v>
      </c>
      <c r="H7318" s="9">
        <v>44883</v>
      </c>
      <c r="I7318" t="s">
        <v>8634</v>
      </c>
      <c r="J7318" t="s">
        <v>5181</v>
      </c>
      <c r="K7318" s="9">
        <v>44883.776840277802</v>
      </c>
      <c r="L7318" t="s">
        <v>29</v>
      </c>
      <c r="M7318"/>
      <c r="N7318"/>
      <c r="O7318"/>
      <c r="P7318"/>
      <c r="Q7318"/>
      <c r="R7318"/>
      <c r="S7318"/>
      <c r="T7318"/>
      <c r="U7318"/>
    </row>
    <row r="7319" spans="1:21" hidden="1">
      <c r="A7319" s="7" t="s">
        <v>8763</v>
      </c>
      <c r="B7319" s="7" t="s">
        <v>5405</v>
      </c>
      <c r="C7319" s="8" t="s">
        <v>5327</v>
      </c>
      <c r="D7319" t="s">
        <v>164</v>
      </c>
      <c r="E7319" t="s">
        <v>25</v>
      </c>
      <c r="F7319" t="s">
        <v>280</v>
      </c>
      <c r="G7319" t="s">
        <v>8702</v>
      </c>
      <c r="H7319" s="9">
        <v>44883</v>
      </c>
      <c r="I7319" t="s">
        <v>8634</v>
      </c>
      <c r="J7319" t="s">
        <v>5181</v>
      </c>
      <c r="K7319" s="9">
        <v>44883.776840277802</v>
      </c>
      <c r="L7319" t="s">
        <v>29</v>
      </c>
      <c r="M7319"/>
      <c r="N7319"/>
      <c r="O7319"/>
      <c r="P7319"/>
      <c r="Q7319"/>
      <c r="R7319"/>
      <c r="S7319"/>
      <c r="T7319"/>
      <c r="U7319"/>
    </row>
    <row r="7320" spans="1:21" hidden="1">
      <c r="A7320" s="7" t="s">
        <v>8763</v>
      </c>
      <c r="B7320" s="7" t="s">
        <v>5405</v>
      </c>
      <c r="C7320" s="8" t="s">
        <v>5327</v>
      </c>
      <c r="D7320" t="s">
        <v>164</v>
      </c>
      <c r="E7320" t="s">
        <v>25</v>
      </c>
      <c r="F7320" t="s">
        <v>280</v>
      </c>
      <c r="G7320" t="s">
        <v>8703</v>
      </c>
      <c r="H7320" s="9">
        <v>44883</v>
      </c>
      <c r="I7320" t="s">
        <v>8634</v>
      </c>
      <c r="J7320" t="s">
        <v>5181</v>
      </c>
      <c r="K7320" s="9">
        <v>44883.776840277802</v>
      </c>
      <c r="L7320" t="s">
        <v>29</v>
      </c>
      <c r="M7320"/>
      <c r="N7320"/>
      <c r="O7320"/>
      <c r="P7320"/>
      <c r="Q7320"/>
      <c r="R7320"/>
      <c r="S7320"/>
      <c r="T7320"/>
      <c r="U7320"/>
    </row>
    <row r="7321" spans="1:21" hidden="1">
      <c r="A7321" s="7" t="s">
        <v>8763</v>
      </c>
      <c r="B7321" s="7" t="s">
        <v>5405</v>
      </c>
      <c r="C7321" s="8" t="s">
        <v>5327</v>
      </c>
      <c r="D7321" t="s">
        <v>164</v>
      </c>
      <c r="E7321" t="s">
        <v>25</v>
      </c>
      <c r="F7321" t="s">
        <v>280</v>
      </c>
      <c r="G7321" t="s">
        <v>8704</v>
      </c>
      <c r="H7321" s="9">
        <v>44883</v>
      </c>
      <c r="I7321" t="s">
        <v>8634</v>
      </c>
      <c r="J7321" t="s">
        <v>5181</v>
      </c>
      <c r="K7321" s="9">
        <v>44883.776840277802</v>
      </c>
      <c r="L7321" t="s">
        <v>29</v>
      </c>
      <c r="M7321"/>
      <c r="N7321"/>
      <c r="O7321"/>
      <c r="P7321"/>
      <c r="Q7321"/>
      <c r="R7321"/>
      <c r="S7321"/>
      <c r="T7321"/>
      <c r="U7321"/>
    </row>
    <row r="7322" spans="1:21" hidden="1">
      <c r="A7322" s="7" t="s">
        <v>8763</v>
      </c>
      <c r="B7322" s="7" t="s">
        <v>5405</v>
      </c>
      <c r="C7322" s="8" t="s">
        <v>5327</v>
      </c>
      <c r="D7322" t="s">
        <v>164</v>
      </c>
      <c r="E7322" t="s">
        <v>25</v>
      </c>
      <c r="F7322" t="s">
        <v>280</v>
      </c>
      <c r="G7322" t="s">
        <v>8705</v>
      </c>
      <c r="H7322" s="9">
        <v>44883</v>
      </c>
      <c r="I7322" t="s">
        <v>8634</v>
      </c>
      <c r="J7322" t="s">
        <v>5181</v>
      </c>
      <c r="K7322" s="9">
        <v>44883.776840277802</v>
      </c>
      <c r="L7322" t="s">
        <v>29</v>
      </c>
      <c r="M7322"/>
      <c r="N7322"/>
      <c r="O7322"/>
      <c r="P7322"/>
      <c r="Q7322"/>
      <c r="R7322"/>
      <c r="S7322"/>
      <c r="T7322"/>
      <c r="U7322"/>
    </row>
    <row r="7323" spans="1:21" hidden="1">
      <c r="A7323" s="7" t="s">
        <v>8763</v>
      </c>
      <c r="B7323" s="7" t="s">
        <v>5405</v>
      </c>
      <c r="C7323" s="8" t="s">
        <v>5327</v>
      </c>
      <c r="D7323" t="s">
        <v>164</v>
      </c>
      <c r="E7323" t="s">
        <v>25</v>
      </c>
      <c r="F7323" t="s">
        <v>280</v>
      </c>
      <c r="G7323" t="s">
        <v>8706</v>
      </c>
      <c r="H7323" s="9">
        <v>44883</v>
      </c>
      <c r="I7323" t="s">
        <v>8634</v>
      </c>
      <c r="J7323" t="s">
        <v>5181</v>
      </c>
      <c r="K7323" s="9">
        <v>44883.776840277802</v>
      </c>
      <c r="L7323" t="s">
        <v>29</v>
      </c>
      <c r="M7323"/>
      <c r="N7323"/>
      <c r="O7323"/>
      <c r="P7323"/>
      <c r="Q7323"/>
      <c r="R7323"/>
      <c r="S7323"/>
      <c r="T7323"/>
      <c r="U7323"/>
    </row>
    <row r="7324" spans="1:21" hidden="1">
      <c r="A7324" s="7" t="s">
        <v>8763</v>
      </c>
      <c r="B7324" s="7" t="s">
        <v>5405</v>
      </c>
      <c r="C7324" s="8" t="s">
        <v>5327</v>
      </c>
      <c r="D7324" t="s">
        <v>164</v>
      </c>
      <c r="E7324" t="s">
        <v>25</v>
      </c>
      <c r="F7324" t="s">
        <v>280</v>
      </c>
      <c r="G7324" t="s">
        <v>8707</v>
      </c>
      <c r="H7324" s="9">
        <v>44883</v>
      </c>
      <c r="I7324" t="s">
        <v>8634</v>
      </c>
      <c r="J7324" t="s">
        <v>5181</v>
      </c>
      <c r="K7324" s="9">
        <v>44883.776840277802</v>
      </c>
      <c r="L7324" t="s">
        <v>29</v>
      </c>
      <c r="M7324"/>
      <c r="N7324"/>
      <c r="O7324"/>
      <c r="P7324"/>
      <c r="Q7324"/>
      <c r="R7324"/>
      <c r="S7324"/>
      <c r="T7324"/>
      <c r="U7324"/>
    </row>
    <row r="7325" spans="1:21" hidden="1">
      <c r="A7325" s="7" t="s">
        <v>8763</v>
      </c>
      <c r="B7325" s="7" t="s">
        <v>5405</v>
      </c>
      <c r="C7325" s="8" t="s">
        <v>5327</v>
      </c>
      <c r="D7325" t="s">
        <v>164</v>
      </c>
      <c r="E7325" t="s">
        <v>25</v>
      </c>
      <c r="F7325" t="s">
        <v>280</v>
      </c>
      <c r="G7325" t="s">
        <v>8708</v>
      </c>
      <c r="H7325" s="9">
        <v>44883</v>
      </c>
      <c r="I7325" t="s">
        <v>8634</v>
      </c>
      <c r="J7325" t="s">
        <v>5181</v>
      </c>
      <c r="K7325" s="9">
        <v>44883.776840277802</v>
      </c>
      <c r="L7325" t="s">
        <v>29</v>
      </c>
      <c r="M7325"/>
      <c r="N7325"/>
      <c r="O7325"/>
      <c r="P7325"/>
      <c r="Q7325"/>
      <c r="R7325"/>
      <c r="S7325"/>
      <c r="T7325"/>
      <c r="U7325"/>
    </row>
    <row r="7326" spans="1:21" hidden="1">
      <c r="A7326" s="7" t="s">
        <v>8816</v>
      </c>
      <c r="B7326" s="7" t="s">
        <v>7729</v>
      </c>
      <c r="C7326" s="8" t="s">
        <v>5327</v>
      </c>
      <c r="D7326" t="s">
        <v>272</v>
      </c>
      <c r="E7326" t="s">
        <v>1072</v>
      </c>
      <c r="F7326" t="s">
        <v>117</v>
      </c>
      <c r="G7326" t="s">
        <v>8709</v>
      </c>
      <c r="H7326" s="9">
        <v>44889</v>
      </c>
      <c r="I7326" t="s">
        <v>1070</v>
      </c>
      <c r="J7326" t="s">
        <v>5181</v>
      </c>
      <c r="K7326" s="9">
        <v>44889.468402777798</v>
      </c>
      <c r="L7326" t="s">
        <v>29</v>
      </c>
      <c r="M7326"/>
      <c r="N7326"/>
      <c r="O7326"/>
      <c r="P7326"/>
      <c r="Q7326"/>
      <c r="R7326"/>
      <c r="S7326"/>
      <c r="T7326"/>
      <c r="U7326"/>
    </row>
    <row r="7327" spans="1:21" hidden="1">
      <c r="A7327" s="7" t="s">
        <v>8832</v>
      </c>
      <c r="B7327" s="7" t="s">
        <v>8356</v>
      </c>
      <c r="C7327" s="8" t="s">
        <v>5327</v>
      </c>
      <c r="D7327" t="s">
        <v>272</v>
      </c>
      <c r="E7327" t="s">
        <v>1780</v>
      </c>
      <c r="F7327" t="s">
        <v>117</v>
      </c>
      <c r="G7327" t="s">
        <v>8710</v>
      </c>
      <c r="H7327" s="9">
        <v>44889</v>
      </c>
      <c r="I7327" t="s">
        <v>330</v>
      </c>
      <c r="J7327" t="s">
        <v>5181</v>
      </c>
      <c r="K7327" s="9">
        <v>44889.468368055597</v>
      </c>
      <c r="L7327" t="s">
        <v>29</v>
      </c>
      <c r="M7327"/>
      <c r="N7327"/>
      <c r="O7327"/>
      <c r="P7327"/>
      <c r="Q7327" s="9">
        <v>44889</v>
      </c>
      <c r="R7327"/>
      <c r="S7327"/>
      <c r="T7327"/>
      <c r="U7327"/>
    </row>
    <row r="7328" spans="1:21" hidden="1">
      <c r="A7328" s="7" t="s">
        <v>8948</v>
      </c>
      <c r="B7328" s="7" t="s">
        <v>6775</v>
      </c>
      <c r="C7328" s="8" t="s">
        <v>5327</v>
      </c>
      <c r="D7328" t="s">
        <v>216</v>
      </c>
      <c r="E7328" t="s">
        <v>240</v>
      </c>
      <c r="F7328" t="s">
        <v>231</v>
      </c>
      <c r="G7328" t="s">
        <v>8711</v>
      </c>
      <c r="H7328" s="9">
        <v>44889</v>
      </c>
      <c r="I7328" t="s">
        <v>5299</v>
      </c>
      <c r="J7328" t="s">
        <v>5181</v>
      </c>
      <c r="K7328" s="9">
        <v>44889.589270833298</v>
      </c>
      <c r="L7328" t="s">
        <v>29</v>
      </c>
      <c r="M7328"/>
      <c r="N7328"/>
      <c r="O7328"/>
      <c r="P7328"/>
      <c r="Q7328"/>
      <c r="R7328"/>
      <c r="S7328"/>
      <c r="T7328"/>
      <c r="U7328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K1:O58"/>
  <sheetViews>
    <sheetView zoomScale="120" zoomScaleNormal="120" workbookViewId="0"/>
  </sheetViews>
  <sheetFormatPr baseColWidth="10" defaultRowHeight="13"/>
  <sheetData>
    <row r="1" spans="11:15">
      <c r="K1" s="32"/>
      <c r="N1" s="40"/>
      <c r="O1" s="40"/>
    </row>
    <row r="51" spans="11:11">
      <c r="K51" s="40"/>
    </row>
    <row r="52" spans="11:11">
      <c r="K52" s="40"/>
    </row>
    <row r="53" spans="11:11">
      <c r="K53" s="40"/>
    </row>
    <row r="54" spans="11:11">
      <c r="K54" s="40"/>
    </row>
    <row r="55" spans="11:11">
      <c r="K55" s="40"/>
    </row>
    <row r="56" spans="11:11">
      <c r="K56" s="40"/>
    </row>
    <row r="57" spans="11:11">
      <c r="K57" s="40"/>
    </row>
    <row r="58" spans="11:11">
      <c r="K58" s="40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2695312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26953125" style="16" customWidth="1"/>
    <col min="13" max="13" width="10.54296875" style="16" customWidth="1"/>
    <col min="14" max="14" width="11" style="16" customWidth="1"/>
    <col min="15" max="16" width="7.81640625" style="29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5" customFormat="1" ht="27.65" customHeight="1">
      <c r="A1" s="34" t="s">
        <v>5399</v>
      </c>
      <c r="B1" s="34"/>
      <c r="J1" s="34" t="s">
        <v>5398</v>
      </c>
      <c r="K1" s="34"/>
      <c r="O1" s="36"/>
      <c r="P1" s="36"/>
      <c r="S1" s="34" t="s">
        <v>5397</v>
      </c>
      <c r="T1" s="34"/>
      <c r="W1" s="39"/>
    </row>
    <row r="2" spans="1:27">
      <c r="A2" s="26" t="s">
        <v>8988</v>
      </c>
      <c r="B2" s="17"/>
      <c r="J2" s="26" t="s">
        <v>8988</v>
      </c>
      <c r="K2" s="17"/>
      <c r="S2" s="26" t="s">
        <v>8988</v>
      </c>
      <c r="T2" s="1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30" t="s">
        <v>5324</v>
      </c>
      <c r="P3" s="30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COUNTIFS(E_Suivi_Eans!$C:$C,"01/2022",E_Suivi_Eans!$D:$D,"Taxes Supports d enregistrement",E_Suivi_Eans!$J:$J,"Retour OK",E_Suivi_Eans!$K:$K,"&gt;31/12/2021",E_Suivi_Eans!K:K,"&lt;01/02/2022")</f>
        <v>0</v>
      </c>
      <c r="D4" s="21">
        <f>COUNTIFS(E_Suivi_Eans!$C:$C,"01/2022",E_Suivi_Eans!$D:$D,"Taxes Supports d enregistrement",E_Suivi_Eans!$J:$J,"Rejet 0",E_Suivi_Eans!$K:$K,"&gt;31/12/2021",E_Suivi_Eans!$K:$K,"&lt;01/02/2022")+ COUNTIFS(E_Suivi_Eans!$C:$C,"01/2022",E_Suivi_Eans!$D:$D,"Taxes Supports d enregistrement",E_Suivi_Eans!$J:$J,"Rejet 1",E_Suivi_Eans!$K:$K,"&gt;31/12/2021",E_Suivi_Eans!$K:$K,"&lt;01/02/2022")+COUNTIFS(E_Suivi_Eans!$C:$C,"01/2022",E_Suivi_Eans!$D:$D,"Taxes Supports d enregistrement",E_Suivi_Eans!$J:$J,"Rejet 2",E_Suivi_Eans!$K:$K,"&gt;31/12/2021",E_Suivi_Eans!$K:$K,"&lt;01/02/2022")+COUNTIFS(E_Suivi_Eans!$C:$C,"01/2022",E_Suivi_Eans!$D:$D,"Taxes Supports d enregistrement",E_Suivi_Eans!$J:$J,"Rejet 3",E_Suivi_Eans!$K:$K,"&gt;31/12/2021",E_Suivi_Eans!$K:$K,"&lt;01/02/2022")+ COUNTIFS(E_Suivi_Eans!$C:$C,"01/2022",E_Suivi_Eans!$D:$D,"Taxes Supports d enregistrement",E_Suivi_Eans!$J:$J,"Rejet 4",E_Suivi_Eans!$K:$K,"&gt;31/12/2021",E_Suivi_Eans!$K:$K,"&lt;01/02/2022")+COUNTIFS(E_Suivi_Eans!$C:$C,"01/2022",E_Suivi_Eans!$D:$D,"Taxes Supports d enregistrement",E_Suivi_Eans!$J:$J,"Relance 1",E_Suivi_Eans!$K:$K,"&gt;31/12/2021",E_Suivi_Eans!$K:$K,"&lt;01/02/2022")+COUNTIFS(E_Suivi_Eans!$C:$C,"01/2022",E_Suivi_Eans!$D:$D,"Taxes Supports d enregistrement",E_Suivi_Eans!$J:$J,"Relance 2",E_Suivi_Eans!$K:$K,"&gt;31/12/2021",E_Suivi_Eans!$K:$K,"&lt;01/02/2022")+COUNTIFS(E_Suivi_Eans!$C:$C,"01/2022",E_Suivi_Eans!$D:$D,"Taxes Supports d enregistrement",E_Suivi_Eans!$J:$J,"Relance 3",E_Suivi_Eans!$K:$K,"&gt;31/12/2021",E_Suivi_Eans!$K:$K,"&lt;01/02/2022")</f>
        <v>0</v>
      </c>
      <c r="E4" s="21">
        <f>COUNTIFS(E_Suivi_Eans!$C:$C,"01/2022",E_Suivi_Eans!$D:$D,"Taxes Supports d enregistrement",E_Suivi_Eans!$J:$J,"Abandon",E_Suivi_Eans!$K:$K,"&gt;31/12/2021",E_Suivi_Eans!K:K,"&lt;01/02/2022")</f>
        <v>0</v>
      </c>
      <c r="F4" s="21">
        <f>COUNTIFS(E_Suivi_Eans!$C:$C,"01/2022",E_Suivi_Eans!$D:$D,"Taxes Supports d enregistrement")</f>
        <v>0</v>
      </c>
      <c r="G4" s="21">
        <f>F4-E4</f>
        <v>0</v>
      </c>
      <c r="J4" s="20" t="s">
        <v>5314</v>
      </c>
      <c r="K4" s="20" t="s">
        <v>5314</v>
      </c>
      <c r="L4" s="28" t="e">
        <f>C4/$G4</f>
        <v>#DIV/0!</v>
      </c>
      <c r="M4" s="28" t="e">
        <f t="shared" ref="M4:N14" si="0">D4/$G4</f>
        <v>#DIV/0!</v>
      </c>
      <c r="N4" s="28" t="e">
        <f t="shared" si="0"/>
        <v>#DIV/0!</v>
      </c>
      <c r="O4" s="28">
        <v>1</v>
      </c>
      <c r="P4" s="28" t="e">
        <f>O4-N4</f>
        <v>#DIV/0!</v>
      </c>
      <c r="S4" s="20" t="s">
        <v>5314</v>
      </c>
      <c r="T4" s="20" t="s">
        <v>5314</v>
      </c>
      <c r="U4" s="38"/>
      <c r="V4" s="21"/>
      <c r="W4" s="21"/>
      <c r="X4" s="38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COUNTIFS(E_Suivi_Eans!$C:$C,"01/2022",E_Suivi_Eans!$D:$D,"Taxes Supports d enregistrement",E_Suivi_Eans!$J:$J,"Retour OK",E_Suivi_Eans!$K:$K,"&gt;31/12/2021",E_Suivi_Eans!$K:$K,"&lt;01/03/2022")</f>
        <v>0</v>
      </c>
      <c r="D5" s="21">
        <f>COUNTIFS(E_Suivi_Eans!$C:$C,"01/2022",E_Suivi_Eans!$D:$D,"Taxes Supports d enregistrement",E_Suivi_Eans!$J:$J,"Rejet 0",E_Suivi_Eans!$K:$K,"&gt;31/12/2021",E_Suivi_Eans!$K:$K,"&lt;01/03/2022")+ COUNTIFS(E_Suivi_Eans!$C:$C,"01/2022",E_Suivi_Eans!$D:$D,"Taxes Supports d enregistrement",E_Suivi_Eans!$J:$J,"Rejet 1",E_Suivi_Eans!$K:$K,"&gt;31/12/2021",E_Suivi_Eans!$K:$K,"&lt;01/03/2022")+COUNTIFS(E_Suivi_Eans!$C:$C,"01/2022",E_Suivi_Eans!$D:$D,"Taxes Supports d enregistrement",E_Suivi_Eans!$J:$J,"Rejet 2",E_Suivi_Eans!$K:$K,"&gt;31/12/2021",E_Suivi_Eans!$K:$K,"&lt;01/03/2022")+COUNTIFS(E_Suivi_Eans!$C:$C,"01/2022",E_Suivi_Eans!$D:$D,"Taxes Supports d enregistrement",E_Suivi_Eans!$J:$J,"Rejet 3",E_Suivi_Eans!$K:$K,"&gt;31/12/2021",E_Suivi_Eans!$K:$K,"&lt;01/03/2022")+ COUNTIFS(E_Suivi_Eans!$C:$C,"01/2022",E_Suivi_Eans!$D:$D,"Taxes Supports d enregistrement",E_Suivi_Eans!$J:$J,"Rejet 4",E_Suivi_Eans!$K:$K,"&gt;31/12/2021",E_Suivi_Eans!$K:$K,"&lt;01/03/2022")+COUNTIFS(E_Suivi_Eans!$C:$C,"01/2022",E_Suivi_Eans!$D:$D,"Taxes Supports d enregistrement",E_Suivi_Eans!$J:$J,"Relance 1",E_Suivi_Eans!$K:$K,"&gt;31/12/2021",E_Suivi_Eans!$K:$K,"&lt;01/03/2022")+COUNTIFS(E_Suivi_Eans!$C:$C,"01/2022",E_Suivi_Eans!$D:$D,"Taxes Supports d enregistrement",E_Suivi_Eans!$J:$J,"Relance 2",E_Suivi_Eans!$K:$K,"&gt;31/12/2021",E_Suivi_Eans!$K:$K,"&lt;01/03/2022")+COUNTIFS(E_Suivi_Eans!$C:$C,"01/2022",E_Suivi_Eans!$D:$D,"Taxes Supports d enregistrement",E_Suivi_Eans!$J:$J,"Relance 3",E_Suivi_Eans!$K:$K,"&gt;31/12/2021",E_Suivi_Eans!$K:$K,"&lt;01/03/2022")</f>
        <v>0</v>
      </c>
      <c r="E5" s="21">
        <f>COUNTIFS(E_Suivi_Eans!$C:$C,"01/2022",E_Suivi_Eans!$D:$D,"Taxes Supports d enregistrement",E_Suivi_Eans!$J:$J,"Abandon",E_Suivi_Eans!$K:$K,"&gt;31/12/2021",E_Suivi_Eans!K:K,"&lt;01/03/2022")</f>
        <v>0</v>
      </c>
      <c r="F5" s="21">
        <f>COUNTIFS(E_Suivi_Eans!$C:$C,"01/2022",E_Suivi_Eans!$D:$D,"Taxes Supports d enregistrement")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8" t="e">
        <f t="shared" ref="L5:L14" si="2">C5/$G5</f>
        <v>#DIV/0!</v>
      </c>
      <c r="M5" s="28" t="e">
        <f t="shared" si="0"/>
        <v>#DIV/0!</v>
      </c>
      <c r="N5" s="28" t="e">
        <f t="shared" si="0"/>
        <v>#DIV/0!</v>
      </c>
      <c r="O5" s="28">
        <v>1</v>
      </c>
      <c r="P5" s="28" t="e">
        <f t="shared" ref="P5:P14" si="3">O5-N5</f>
        <v>#DIV/0!</v>
      </c>
      <c r="S5" s="20" t="s">
        <v>5314</v>
      </c>
      <c r="T5" s="20" t="s">
        <v>5315</v>
      </c>
      <c r="U5" s="38"/>
      <c r="V5" s="21"/>
      <c r="W5" s="21"/>
      <c r="X5" s="38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COUNTIFS(E_Suivi_Eans!$C:$C,"01/2022",E_Suivi_Eans!$D:$D,"Taxes Supports d enregistrement",E_Suivi_Eans!$J:$J,"Retour OK",E_Suivi_Eans!$K:$K,"&gt;31/12/2021",E_Suivi_Eans!$K:$K,"&lt;01/04/2022")</f>
        <v>0</v>
      </c>
      <c r="D6" s="21">
        <f>COUNTIFS(E_Suivi_Eans!$C:$C,"01/2022",E_Suivi_Eans!$D:$D,"Taxes Supports d enregistrement",E_Suivi_Eans!$J:$J,"Rejet 0",E_Suivi_Eans!$K:$K,"&gt;31/12/2021",E_Suivi_Eans!$K:$K,"&lt;01/04/2022")+ COUNTIFS(E_Suivi_Eans!$C:$C,"01/2022",E_Suivi_Eans!$D:$D,"Taxes Supports d enregistrement",E_Suivi_Eans!$J:$J,"Rejet 1",E_Suivi_Eans!$K:$K,"&gt;31/12/2021",E_Suivi_Eans!$K:$K,"&lt;01/04/2022")+COUNTIFS(E_Suivi_Eans!$C:$C,"01/2022",E_Suivi_Eans!$D:$D,"Taxes Supports d enregistrement",E_Suivi_Eans!$J:$J,"Rejet 2",E_Suivi_Eans!$K:$K,"&gt;31/12/2021",E_Suivi_Eans!$K:$K,"&lt;01/04/2022")+COUNTIFS(E_Suivi_Eans!$C:$C,"01/2022",E_Suivi_Eans!$D:$D,"Taxes Supports d enregistrement",E_Suivi_Eans!$J:$J,"Rejet 3",E_Suivi_Eans!$K:$K,"&gt;31/12/2021",E_Suivi_Eans!$K:$K,"&lt;01/04/2022")+ COUNTIFS(E_Suivi_Eans!$C:$C,"01/2022",E_Suivi_Eans!$D:$D,"Taxes Supports d enregistrement",E_Suivi_Eans!$J:$J,"Rejet 4",E_Suivi_Eans!$K:$K,"&gt;31/12/2021",E_Suivi_Eans!$K:$K,"&lt;01/04/2022")+COUNTIFS(E_Suivi_Eans!$C:$C,"01/2022",E_Suivi_Eans!$D:$D,"Taxes Supports d enregistrement",E_Suivi_Eans!$J:$J,"Relance 1",E_Suivi_Eans!$K:$K,"&gt;31/12/2021",E_Suivi_Eans!$K:$K,"&lt;01/04/2022")+COUNTIFS(E_Suivi_Eans!$C:$C,"01/2022",E_Suivi_Eans!$D:$D,"Taxes Supports d enregistrement",E_Suivi_Eans!$J:$J,"Relance 2",E_Suivi_Eans!$K:$K,"&gt;31/12/2021",E_Suivi_Eans!$K:$K,"&lt;01/04/2022")+COUNTIFS(E_Suivi_Eans!$C:$C,"01/2022",E_Suivi_Eans!$D:$D,"Taxes Supports d enregistrement",E_Suivi_Eans!$J:$J,"Relance 3",E_Suivi_Eans!$K:$K,"&gt;31/12/2021",E_Suivi_Eans!$K:$K,"&lt;01/04/2022")</f>
        <v>0</v>
      </c>
      <c r="E6" s="21">
        <f>COUNTIFS(E_Suivi_Eans!$C:$C,"01/2022",E_Suivi_Eans!$D:$D,"Taxes Supports d enregistrement",E_Suivi_Eans!$J:$J,"Abandon",E_Suivi_Eans!$K:$K,"&gt;31/12/2021",E_Suivi_Eans!K:K,"&lt;01/04/2022")</f>
        <v>0</v>
      </c>
      <c r="F6" s="21">
        <f>COUNTIFS(E_Suivi_Eans!$C:$C,"01/2022",E_Suivi_Eans!$D:$D,"Taxes Supports d enregistrement")</f>
        <v>0</v>
      </c>
      <c r="G6" s="21">
        <f t="shared" si="1"/>
        <v>0</v>
      </c>
      <c r="J6" s="20" t="s">
        <v>5314</v>
      </c>
      <c r="K6" s="20" t="s">
        <v>5316</v>
      </c>
      <c r="L6" s="28" t="e">
        <f t="shared" si="2"/>
        <v>#DIV/0!</v>
      </c>
      <c r="M6" s="28" t="e">
        <f t="shared" si="0"/>
        <v>#DIV/0!</v>
      </c>
      <c r="N6" s="28" t="e">
        <f t="shared" si="0"/>
        <v>#DIV/0!</v>
      </c>
      <c r="O6" s="28">
        <v>1</v>
      </c>
      <c r="P6" s="28" t="e">
        <f t="shared" si="3"/>
        <v>#DIV/0!</v>
      </c>
      <c r="S6" s="20" t="s">
        <v>5314</v>
      </c>
      <c r="T6" s="20" t="s">
        <v>5316</v>
      </c>
      <c r="U6" s="38"/>
      <c r="V6" s="21"/>
      <c r="W6" s="21"/>
      <c r="X6" s="38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COUNTIFS(E_Suivi_Eans!$C:$C,"01/2022",E_Suivi_Eans!$D:$D,"Taxes Supports d enregistrement",E_Suivi_Eans!$J:$J,"Retour OK",E_Suivi_Eans!$K:$K,"&gt;31/12/2021",E_Suivi_Eans!$K:$K,"&lt;01/05/2022")</f>
        <v>0</v>
      </c>
      <c r="D7" s="21">
        <f>COUNTIFS(E_Suivi_Eans!$C:$C,"01/2022",E_Suivi_Eans!$D:$D,"Taxes Supports d enregistrement",E_Suivi_Eans!$J:$J,"Rejet 0",E_Suivi_Eans!$K:$K,"&gt;31/12/2021",E_Suivi_Eans!$K:$K,"&lt;01/05/2022")+ COUNTIFS(E_Suivi_Eans!$C:$C,"01/2022",E_Suivi_Eans!$D:$D,"Taxes Supports d enregistrement",E_Suivi_Eans!$J:$J,"Rejet 1",E_Suivi_Eans!$K:$K,"&gt;31/12/2021",E_Suivi_Eans!$K:$K,"&lt;01/05/2022")+COUNTIFS(E_Suivi_Eans!$C:$C,"01/2022",E_Suivi_Eans!$D:$D,"Taxes Supports d enregistrement",E_Suivi_Eans!$J:$J,"Rejet 2",E_Suivi_Eans!$K:$K,"&gt;31/12/2021",E_Suivi_Eans!$K:$K,"&lt;01/05/2022")+COUNTIFS(E_Suivi_Eans!$C:$C,"01/2022",E_Suivi_Eans!$D:$D,"Taxes Supports d enregistrement",E_Suivi_Eans!$J:$J,"Rejet 3",E_Suivi_Eans!$K:$K,"&gt;31/12/2021",E_Suivi_Eans!$K:$K,"&lt;01/05/2022")+ COUNTIFS(E_Suivi_Eans!$C:$C,"01/2022",E_Suivi_Eans!$D:$D,"Taxes Supports d enregistrement",E_Suivi_Eans!$J:$J,"Rejet 4",E_Suivi_Eans!$K:$K,"&gt;31/12/2021",E_Suivi_Eans!$K:$K,"&lt;01/05/2022")+COUNTIFS(E_Suivi_Eans!$C:$C,"01/2022",E_Suivi_Eans!$D:$D,"Taxes Supports d enregistrement",E_Suivi_Eans!$J:$J,"Relance 1",E_Suivi_Eans!$K:$K,"&gt;31/12/2021",E_Suivi_Eans!$K:$K,"&lt;01/05/2022")+COUNTIFS(E_Suivi_Eans!$C:$C,"01/2022",E_Suivi_Eans!$D:$D,"Taxes Supports d enregistrement",E_Suivi_Eans!$J:$J,"Relance 2",E_Suivi_Eans!$K:$K,"&gt;31/12/2021",E_Suivi_Eans!$K:$K,"&lt;01/05/2022")+COUNTIFS(E_Suivi_Eans!$C:$C,"01/2022",E_Suivi_Eans!$D:$D,"Taxes Supports d enregistrement",E_Suivi_Eans!$J:$J,"Relance 3",E_Suivi_Eans!$K:$K,"&gt;31/12/2021",E_Suivi_Eans!$K:$K,"&lt;01/05/2022")</f>
        <v>0</v>
      </c>
      <c r="E7" s="21">
        <f>COUNTIFS(E_Suivi_Eans!$C:$C,"01/2022",E_Suivi_Eans!$D:$D,"Taxes Supports d enregistrement",E_Suivi_Eans!$J:$J,"Abandon",E_Suivi_Eans!$K:$K,"&gt;31/12/2021",E_Suivi_Eans!K:K,"&lt;01/05/2022")</f>
        <v>0</v>
      </c>
      <c r="F7" s="21">
        <f>COUNTIFS(E_Suivi_Eans!$C:$C,"01/2022",E_Suivi_Eans!$D:$D,"Taxes Supports d enregistrement")</f>
        <v>0</v>
      </c>
      <c r="G7" s="21">
        <f t="shared" si="1"/>
        <v>0</v>
      </c>
      <c r="J7" s="20" t="s">
        <v>5314</v>
      </c>
      <c r="K7" s="20" t="s">
        <v>5317</v>
      </c>
      <c r="L7" s="28" t="e">
        <f t="shared" si="2"/>
        <v>#DIV/0!</v>
      </c>
      <c r="M7" s="28" t="e">
        <f t="shared" si="0"/>
        <v>#DIV/0!</v>
      </c>
      <c r="N7" s="28" t="e">
        <f t="shared" si="0"/>
        <v>#DIV/0!</v>
      </c>
      <c r="O7" s="28">
        <v>1</v>
      </c>
      <c r="P7" s="28" t="e">
        <f t="shared" si="3"/>
        <v>#DIV/0!</v>
      </c>
      <c r="S7" s="20" t="s">
        <v>5314</v>
      </c>
      <c r="T7" s="20" t="s">
        <v>5317</v>
      </c>
      <c r="U7" s="38"/>
      <c r="V7" s="21"/>
      <c r="W7" s="21"/>
      <c r="X7" s="38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COUNTIFS(E_Suivi_Eans!$C:$C,"01/2022",E_Suivi_Eans!$D:$D,"Taxes Supports d enregistrement",E_Suivi_Eans!$J:$J,"Retour OK",E_Suivi_Eans!$K:$K,"&gt;31/12/2021",E_Suivi_Eans!$K:$K,"&lt;01/06/2022")</f>
        <v>0</v>
      </c>
      <c r="D8" s="21">
        <f>COUNTIFS(E_Suivi_Eans!$C:$C,"01/2022",E_Suivi_Eans!$D:$D,"Taxes Supports d enregistrement",E_Suivi_Eans!$J:$J,"Rejet 0",E_Suivi_Eans!$K:$K,"&gt;31/12/2021",E_Suivi_Eans!$K:$K,"&lt;01/06/2022")+ COUNTIFS(E_Suivi_Eans!$C:$C,"01/2022",E_Suivi_Eans!$D:$D,"Taxes Supports d enregistrement",E_Suivi_Eans!$J:$J,"Rejet 1",E_Suivi_Eans!$K:$K,"&gt;31/12/2021",E_Suivi_Eans!$K:$K,"&lt;01/06/2022")+COUNTIFS(E_Suivi_Eans!$C:$C,"01/2022",E_Suivi_Eans!$D:$D,"Taxes Supports d enregistrement",E_Suivi_Eans!$J:$J,"Rejet 2",E_Suivi_Eans!$K:$K,"&gt;31/12/2021",E_Suivi_Eans!$K:$K,"&lt;01/06/2022")+COUNTIFS(E_Suivi_Eans!$C:$C,"01/2022",E_Suivi_Eans!$D:$D,"Taxes Supports d enregistrement",E_Suivi_Eans!$J:$J,"Rejet 3",E_Suivi_Eans!$K:$K,"&gt;31/12/2021",E_Suivi_Eans!$K:$K,"&lt;01/06/2022")+ COUNTIFS(E_Suivi_Eans!$C:$C,"01/2022",E_Suivi_Eans!$D:$D,"Taxes Supports d enregistrement",E_Suivi_Eans!$J:$J,"Rejet 4",E_Suivi_Eans!$K:$K,"&gt;31/12/2021",E_Suivi_Eans!$K:$K,"&lt;01/06/2022")+COUNTIFS(E_Suivi_Eans!$C:$C,"01/2022",E_Suivi_Eans!$D:$D,"Taxes Supports d enregistrement",E_Suivi_Eans!$J:$J,"Relance 1",E_Suivi_Eans!$K:$K,"&gt;31/12/2021",E_Suivi_Eans!$K:$K,"&lt;01/06/2022")+COUNTIFS(E_Suivi_Eans!$C:$C,"01/2022",E_Suivi_Eans!$D:$D,"Taxes Supports d enregistrement",E_Suivi_Eans!$J:$J,"Relance 2",E_Suivi_Eans!$K:$K,"&gt;31/12/2021",E_Suivi_Eans!$K:$K,"&lt;01/06/2022")+COUNTIFS(E_Suivi_Eans!$C:$C,"01/2022",E_Suivi_Eans!$D:$D,"Taxes Supports d enregistrement",E_Suivi_Eans!$J:$J,"Relance 3",E_Suivi_Eans!$K:$K,"&gt;31/12/2021",E_Suivi_Eans!$K:$K,"&lt;01/06/2022")</f>
        <v>0</v>
      </c>
      <c r="E8" s="21">
        <f>COUNTIFS(E_Suivi_Eans!$C:$C,"01/2022",E_Suivi_Eans!$D:$D,"Taxes Supports d enregistrement",E_Suivi_Eans!$J:$J,"Abandon",E_Suivi_Eans!$K:$K,"&gt;31/12/2021",E_Suivi_Eans!K:K,"&lt;01/06/2022")</f>
        <v>0</v>
      </c>
      <c r="F8" s="21">
        <f>COUNTIFS(E_Suivi_Eans!$C:$C,"01/2022",E_Suivi_Eans!$D:$D,"Taxes Supports d enregistrement")</f>
        <v>0</v>
      </c>
      <c r="G8" s="21">
        <f t="shared" si="1"/>
        <v>0</v>
      </c>
      <c r="J8" s="20" t="s">
        <v>5314</v>
      </c>
      <c r="K8" s="20" t="s">
        <v>5318</v>
      </c>
      <c r="L8" s="28" t="e">
        <f t="shared" si="2"/>
        <v>#DIV/0!</v>
      </c>
      <c r="M8" s="28" t="e">
        <f t="shared" si="0"/>
        <v>#DIV/0!</v>
      </c>
      <c r="N8" s="28" t="e">
        <f t="shared" si="0"/>
        <v>#DIV/0!</v>
      </c>
      <c r="O8" s="28">
        <v>1</v>
      </c>
      <c r="P8" s="28" t="e">
        <f t="shared" si="3"/>
        <v>#DIV/0!</v>
      </c>
      <c r="S8" s="20" t="s">
        <v>5314</v>
      </c>
      <c r="T8" s="20" t="s">
        <v>5318</v>
      </c>
      <c r="U8" s="38"/>
      <c r="V8" s="21"/>
      <c r="W8" s="21"/>
      <c r="X8" s="38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COUNTIFS(E_Suivi_Eans!$C:$C,"01/2022",E_Suivi_Eans!$D:$D,"Taxes Supports d enregistrement",E_Suivi_Eans!$J:$J,"Retour OK",E_Suivi_Eans!$K:$K,"&gt;31/12/2021",E_Suivi_Eans!$K:$K,"&lt;01/07/2022")</f>
        <v>0</v>
      </c>
      <c r="D9" s="21">
        <f>COUNTIFS(E_Suivi_Eans!$C:$C,"01/2022",E_Suivi_Eans!$D:$D,"Taxes Supports d enregistrement",E_Suivi_Eans!$J:$J,"Rejet 0",E_Suivi_Eans!$K:$K,"&gt;31/12/2021",E_Suivi_Eans!$K:$K,"&lt;01/07/2022")+ COUNTIFS(E_Suivi_Eans!$C:$C,"01/2022",E_Suivi_Eans!$D:$D,"Taxes Supports d enregistrement",E_Suivi_Eans!$J:$J,"Rejet 1",E_Suivi_Eans!$K:$K,"&gt;31/12/2021",E_Suivi_Eans!$K:$K,"&lt;01/07/2022")+COUNTIFS(E_Suivi_Eans!$C:$C,"01/2022",E_Suivi_Eans!$D:$D,"Taxes Supports d enregistrement",E_Suivi_Eans!$J:$J,"Rejet 2",E_Suivi_Eans!$K:$K,"&gt;31/12/2021",E_Suivi_Eans!$K:$K,"&lt;01/07/2022")+COUNTIFS(E_Suivi_Eans!$C:$C,"01/2022",E_Suivi_Eans!$D:$D,"Taxes Supports d enregistrement",E_Suivi_Eans!$J:$J,"Rejet 3",E_Suivi_Eans!$K:$K,"&gt;31/12/2021",E_Suivi_Eans!$K:$K,"&lt;01/07/2022")+ COUNTIFS(E_Suivi_Eans!$C:$C,"01/2022",E_Suivi_Eans!$D:$D,"Taxes Supports d enregistrement",E_Suivi_Eans!$J:$J,"Rejet 4",E_Suivi_Eans!$K:$K,"&gt;31/12/2021",E_Suivi_Eans!$K:$K,"&lt;01/07/2022")+COUNTIFS(E_Suivi_Eans!$C:$C,"01/2022",E_Suivi_Eans!$D:$D,"Taxes Supports d enregistrement",E_Suivi_Eans!$J:$J,"Relance 1",E_Suivi_Eans!$K:$K,"&gt;31/12/2021",E_Suivi_Eans!$K:$K,"&lt;01/07/2022")+COUNTIFS(E_Suivi_Eans!$C:$C,"01/2022",E_Suivi_Eans!$D:$D,"Taxes Supports d enregistrement",E_Suivi_Eans!$J:$J,"Relance 2",E_Suivi_Eans!$K:$K,"&gt;31/12/2021",E_Suivi_Eans!$K:$K,"&lt;01/07/2022")+COUNTIFS(E_Suivi_Eans!$C:$C,"01/2022",E_Suivi_Eans!$D:$D,"Taxes Supports d enregistrement",E_Suivi_Eans!$J:$J,"Relance 3",E_Suivi_Eans!$K:$K,"&gt;31/12/2021",E_Suivi_Eans!$K:$K,"&lt;01/07/2022")</f>
        <v>0</v>
      </c>
      <c r="E9" s="21">
        <f>COUNTIFS(E_Suivi_Eans!$C:$C,"01/2022",E_Suivi_Eans!$D:$D,"Taxes Supports d enregistrement",E_Suivi_Eans!$J:$J,"Abandon",E_Suivi_Eans!$K:$K,"&gt;31/12/2021",E_Suivi_Eans!K:K,"&lt;01/07/2022")</f>
        <v>0</v>
      </c>
      <c r="F9" s="21">
        <f>COUNTIFS(E_Suivi_Eans!$C:$C,"01/2022",E_Suivi_Eans!$D:$D,"Taxes Supports d enregistrement")</f>
        <v>0</v>
      </c>
      <c r="G9" s="21">
        <f t="shared" si="1"/>
        <v>0</v>
      </c>
      <c r="J9" s="20" t="s">
        <v>5314</v>
      </c>
      <c r="K9" s="20" t="s">
        <v>5319</v>
      </c>
      <c r="L9" s="28" t="e">
        <f t="shared" si="2"/>
        <v>#DIV/0!</v>
      </c>
      <c r="M9" s="28" t="e">
        <f t="shared" si="0"/>
        <v>#DIV/0!</v>
      </c>
      <c r="N9" s="28" t="e">
        <f t="shared" si="0"/>
        <v>#DIV/0!</v>
      </c>
      <c r="O9" s="28">
        <v>1</v>
      </c>
      <c r="P9" s="28" t="e">
        <f t="shared" si="3"/>
        <v>#DIV/0!</v>
      </c>
      <c r="S9" s="20" t="s">
        <v>5314</v>
      </c>
      <c r="T9" s="20" t="s">
        <v>5319</v>
      </c>
      <c r="U9" s="38"/>
      <c r="V9" s="21"/>
      <c r="W9" s="21"/>
      <c r="X9" s="38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COUNTIFS(E_Suivi_Eans!$C:$C,"01/2022",E_Suivi_Eans!$D:$D,"Taxes Supports d enregistrement",E_Suivi_Eans!$J:$J,"Retour OK",E_Suivi_Eans!$K:$K,"&gt;31/12/2021",E_Suivi_Eans!$K:$K,"&lt;01/08/2022")</f>
        <v>0</v>
      </c>
      <c r="D10" s="21">
        <f>COUNTIFS(E_Suivi_Eans!$C:$C,"01/2022",E_Suivi_Eans!$D:$D,"Taxes Supports d enregistrement",E_Suivi_Eans!$J:$J,"Rejet 0",E_Suivi_Eans!$K:$K,"&gt;31/12/2021",E_Suivi_Eans!$K:$K,"&lt;01/08/2022")+ COUNTIFS(E_Suivi_Eans!$C:$C,"01/2022",E_Suivi_Eans!$D:$D,"Taxes Supports d enregistrement",E_Suivi_Eans!$J:$J,"Rejet 1",E_Suivi_Eans!$K:$K,"&gt;31/12/2021",E_Suivi_Eans!$K:$K,"&lt;01/08/2022")+COUNTIFS(E_Suivi_Eans!$C:$C,"01/2022",E_Suivi_Eans!$D:$D,"Taxes Supports d enregistrement",E_Suivi_Eans!$J:$J,"Rejet 2",E_Suivi_Eans!$K:$K,"&gt;31/12/2021",E_Suivi_Eans!$K:$K,"&lt;01/08/2022")+COUNTIFS(E_Suivi_Eans!$C:$C,"01/2022",E_Suivi_Eans!$D:$D,"Taxes Supports d enregistrement",E_Suivi_Eans!$J:$J,"Rejet 3",E_Suivi_Eans!$K:$K,"&gt;31/12/2021",E_Suivi_Eans!$K:$K,"&lt;01/08/2022")+ COUNTIFS(E_Suivi_Eans!$C:$C,"01/2022",E_Suivi_Eans!$D:$D,"Taxes Supports d enregistrement",E_Suivi_Eans!$J:$J,"Rejet 4",E_Suivi_Eans!$K:$K,"&gt;31/12/2021",E_Suivi_Eans!$K:$K,"&lt;01/08/2022")+COUNTIFS(E_Suivi_Eans!$C:$C,"01/2022",E_Suivi_Eans!$D:$D,"Taxes Supports d enregistrement",E_Suivi_Eans!$J:$J,"Relance 1",E_Suivi_Eans!$K:$K,"&gt;31/12/2021",E_Suivi_Eans!$K:$K,"&lt;01/08/2022")+COUNTIFS(E_Suivi_Eans!$C:$C,"01/2022",E_Suivi_Eans!$D:$D,"Taxes Supports d enregistrement",E_Suivi_Eans!$J:$J,"Relance 2",E_Suivi_Eans!$K:$K,"&gt;31/12/2021",E_Suivi_Eans!$K:$K,"&lt;01/08/2022")+COUNTIFS(E_Suivi_Eans!$C:$C,"01/2022",E_Suivi_Eans!$D:$D,"Taxes Supports d enregistrement",E_Suivi_Eans!$J:$J,"Relance 3",E_Suivi_Eans!$K:$K,"&gt;31/12/2021",E_Suivi_Eans!$K:$K,"&lt;01/08/2022")</f>
        <v>0</v>
      </c>
      <c r="E10" s="21">
        <f>COUNTIFS(E_Suivi_Eans!$C:$C,"01/2022",E_Suivi_Eans!$D:$D,"Taxes Supports d enregistrement",E_Suivi_Eans!$J:$J,"Abandon",E_Suivi_Eans!$K:$K,"&gt;31/12/2021",E_Suivi_Eans!K:K,"&lt;01/08/2022")</f>
        <v>0</v>
      </c>
      <c r="F10" s="21">
        <f>COUNTIFS(E_Suivi_Eans!$C:$C,"01/2022",E_Suivi_Eans!$D:$D,"Taxes Supports d enregistrement")</f>
        <v>0</v>
      </c>
      <c r="G10" s="21">
        <f t="shared" si="1"/>
        <v>0</v>
      </c>
      <c r="J10" s="20" t="s">
        <v>5314</v>
      </c>
      <c r="K10" s="20" t="s">
        <v>5320</v>
      </c>
      <c r="L10" s="28" t="e">
        <f t="shared" si="2"/>
        <v>#DIV/0!</v>
      </c>
      <c r="M10" s="28" t="e">
        <f t="shared" si="0"/>
        <v>#DIV/0!</v>
      </c>
      <c r="N10" s="28" t="e">
        <f t="shared" si="0"/>
        <v>#DIV/0!</v>
      </c>
      <c r="O10" s="28">
        <v>1</v>
      </c>
      <c r="P10" s="28" t="e">
        <f t="shared" si="3"/>
        <v>#DIV/0!</v>
      </c>
      <c r="S10" s="20" t="s">
        <v>5314</v>
      </c>
      <c r="T10" s="20" t="s">
        <v>5320</v>
      </c>
      <c r="U10" s="38"/>
      <c r="V10" s="21"/>
      <c r="W10" s="21"/>
      <c r="X10" s="38"/>
      <c r="Y10" s="21"/>
      <c r="AA10" s="37"/>
    </row>
    <row r="11" spans="1:27">
      <c r="A11" s="20" t="s">
        <v>5314</v>
      </c>
      <c r="B11" s="20" t="s">
        <v>5321</v>
      </c>
      <c r="C11" s="21">
        <f>COUNTIFS(E_Suivi_Eans!$C:$C,"01/2022",E_Suivi_Eans!$D:$D,"Taxes Supports d enregistrement",E_Suivi_Eans!$J:$J,"Retour OK",E_Suivi_Eans!$K:$K,"&gt;31/12/2021",E_Suivi_Eans!$K:$K,"&lt;01/09/2022")</f>
        <v>0</v>
      </c>
      <c r="D11" s="21">
        <f>COUNTIFS(E_Suivi_Eans!$C:$C,"01/2022",E_Suivi_Eans!$D:$D,"Taxes Supports d enregistrement",E_Suivi_Eans!$J:$J,"Rejet 0",E_Suivi_Eans!$K:$K,"&gt;31/12/2021",E_Suivi_Eans!$K:$K,"&lt;01/09/2022")+ COUNTIFS(E_Suivi_Eans!$C:$C,"01/2022",E_Suivi_Eans!$D:$D,"Taxes Supports d enregistrement",E_Suivi_Eans!$J:$J,"Rejet 1",E_Suivi_Eans!$K:$K,"&gt;31/12/2021",E_Suivi_Eans!$K:$K,"&lt;01/09/2022")+COUNTIFS(E_Suivi_Eans!$C:$C,"01/2022",E_Suivi_Eans!$D:$D,"Taxes Supports d enregistrement",E_Suivi_Eans!$J:$J,"Rejet 2",E_Suivi_Eans!$K:$K,"&gt;31/12/2021",E_Suivi_Eans!$K:$K,"&lt;01/09/2022")+COUNTIFS(E_Suivi_Eans!$C:$C,"01/2022",E_Suivi_Eans!$D:$D,"Taxes Supports d enregistrement",E_Suivi_Eans!$J:$J,"Rejet 3",E_Suivi_Eans!$K:$K,"&gt;31/12/2021",E_Suivi_Eans!$K:$K,"&lt;01/09/2022")+ COUNTIFS(E_Suivi_Eans!$C:$C,"01/2022",E_Suivi_Eans!$D:$D,"Taxes Supports d enregistrement",E_Suivi_Eans!$J:$J,"Rejet 4",E_Suivi_Eans!$K:$K,"&gt;31/12/2021",E_Suivi_Eans!$K:$K,"&lt;01/09/2022")+COUNTIFS(E_Suivi_Eans!$C:$C,"01/2022",E_Suivi_Eans!$D:$D,"Taxes Supports d enregistrement",E_Suivi_Eans!$J:$J,"Relance 1",E_Suivi_Eans!$K:$K,"&gt;31/12/2021",E_Suivi_Eans!$K:$K,"&lt;01/09/2022")+COUNTIFS(E_Suivi_Eans!$C:$C,"01/2022",E_Suivi_Eans!$D:$D,"Taxes Supports d enregistrement",E_Suivi_Eans!$J:$J,"Relance 2",E_Suivi_Eans!$K:$K,"&gt;31/12/2021",E_Suivi_Eans!$K:$K,"&lt;01/09/2022")+COUNTIFS(E_Suivi_Eans!$C:$C,"01/2022",E_Suivi_Eans!$D:$D,"Taxes Supports d enregistrement",E_Suivi_Eans!$J:$J,"Relance 3",E_Suivi_Eans!$K:$K,"&gt;31/12/2021",E_Suivi_Eans!$K:$K,"&lt;01/09/2022")</f>
        <v>0</v>
      </c>
      <c r="E11" s="21">
        <f>COUNTIFS(E_Suivi_Eans!$C:$C,"01/2022",E_Suivi_Eans!$D:$D,"Taxes Supports d enregistrement",E_Suivi_Eans!$J:$J,"Abandon",E_Suivi_Eans!$K:$K,"&gt;31/12/2021",E_Suivi_Eans!K:K,"&lt;01/09/2022")</f>
        <v>0</v>
      </c>
      <c r="F11" s="21">
        <f>COUNTIFS(E_Suivi_Eans!$C:$C,"01/2022",E_Suivi_Eans!$D:$D,"Taxes Supports d enregistrement")</f>
        <v>0</v>
      </c>
      <c r="G11" s="21">
        <f t="shared" si="1"/>
        <v>0</v>
      </c>
      <c r="J11" s="20" t="s">
        <v>5314</v>
      </c>
      <c r="K11" s="20" t="s">
        <v>5321</v>
      </c>
      <c r="L11" s="28" t="e">
        <f t="shared" si="2"/>
        <v>#DIV/0!</v>
      </c>
      <c r="M11" s="28" t="e">
        <f t="shared" si="0"/>
        <v>#DIV/0!</v>
      </c>
      <c r="N11" s="28" t="e">
        <f t="shared" si="0"/>
        <v>#DIV/0!</v>
      </c>
      <c r="O11" s="28">
        <v>1</v>
      </c>
      <c r="P11" s="28" t="e">
        <f t="shared" si="3"/>
        <v>#DIV/0!</v>
      </c>
      <c r="S11" s="20" t="s">
        <v>5314</v>
      </c>
      <c r="T11" s="20" t="s">
        <v>5321</v>
      </c>
      <c r="U11" s="38"/>
      <c r="V11" s="21"/>
      <c r="W11" s="21"/>
      <c r="X11" s="38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COUNTIFS(E_Suivi_Eans!$C:$C,"01/2022",E_Suivi_Eans!$D:$D,"Taxes Supports d enregistrement",E_Suivi_Eans!$J:$J,"Retour OK",E_Suivi_Eans!$K:$K,"&gt;31/12/2021",E_Suivi_Eans!$K:$K,"&lt;01/10/2022")</f>
        <v>0</v>
      </c>
      <c r="D12" s="21">
        <f>COUNTIFS(E_Suivi_Eans!$C:$C,"01/2022",E_Suivi_Eans!$D:$D,"Taxes Supports d enregistrement",E_Suivi_Eans!$J:$J,"Rejet 0",E_Suivi_Eans!$K:$K,"&gt;31/12/2021",E_Suivi_Eans!$K:$K,"&lt;01/10/2022")+ COUNTIFS(E_Suivi_Eans!$C:$C,"01/2022",E_Suivi_Eans!$D:$D,"Taxes Supports d enregistrement",E_Suivi_Eans!$J:$J,"Rejet 1",E_Suivi_Eans!$K:$K,"&gt;31/12/2021",E_Suivi_Eans!$K:$K,"&lt;01/10/2022")+COUNTIFS(E_Suivi_Eans!$C:$C,"01/2022",E_Suivi_Eans!$D:$D,"Taxes Supports d enregistrement",E_Suivi_Eans!$J:$J,"Rejet 2",E_Suivi_Eans!$K:$K,"&gt;31/12/2021",E_Suivi_Eans!$K:$K,"&lt;01/10/2022")+COUNTIFS(E_Suivi_Eans!$C:$C,"01/2022",E_Suivi_Eans!$D:$D,"Taxes Supports d enregistrement",E_Suivi_Eans!$J:$J,"Rejet 3",E_Suivi_Eans!$K:$K,"&gt;31/12/2021",E_Suivi_Eans!$K:$K,"&lt;01/10/2022")+ COUNTIFS(E_Suivi_Eans!$C:$C,"01/2022",E_Suivi_Eans!$D:$D,"Taxes Supports d enregistrement",E_Suivi_Eans!$J:$J,"Rejet 4",E_Suivi_Eans!$K:$K,"&gt;31/12/2021",E_Suivi_Eans!$K:$K,"&lt;01/10/2022")+COUNTIFS(E_Suivi_Eans!$C:$C,"01/2022",E_Suivi_Eans!$D:$D,"Taxes Supports d enregistrement",E_Suivi_Eans!$J:$J,"Relance 1",E_Suivi_Eans!$K:$K,"&gt;31/12/2021",E_Suivi_Eans!$K:$K,"&lt;01/10/2022")+COUNTIFS(E_Suivi_Eans!$C:$C,"01/2022",E_Suivi_Eans!$D:$D,"Taxes Supports d enregistrement",E_Suivi_Eans!$J:$J,"Relance 2",E_Suivi_Eans!$K:$K,"&gt;31/12/2021",E_Suivi_Eans!$K:$K,"&lt;01/10/2022")+COUNTIFS(E_Suivi_Eans!$C:$C,"01/2022",E_Suivi_Eans!$D:$D,"Taxes Supports d enregistrement",E_Suivi_Eans!$J:$J,"Relance 3",E_Suivi_Eans!$K:$K,"&gt;31/12/2021",E_Suivi_Eans!$K:$K,"&lt;01/10/2022")</f>
        <v>0</v>
      </c>
      <c r="E12" s="21">
        <f>COUNTIFS(E_Suivi_Eans!$C:$C,"01/2022",E_Suivi_Eans!$D:$D,"Taxes Supports d enregistrement",E_Suivi_Eans!$J:$J,"Abandon",E_Suivi_Eans!$K:$K,"&gt;31/12/2021",E_Suivi_Eans!K:K,"&lt;01/10/2022")</f>
        <v>0</v>
      </c>
      <c r="F12" s="21">
        <f>COUNTIFS(E_Suivi_Eans!$C:$C,"01/2022",E_Suivi_Eans!$D:$D,"Taxes Supports d enregistrement")</f>
        <v>0</v>
      </c>
      <c r="G12" s="21">
        <f t="shared" si="1"/>
        <v>0</v>
      </c>
      <c r="J12" s="20" t="s">
        <v>5314</v>
      </c>
      <c r="K12" s="20" t="s">
        <v>5325</v>
      </c>
      <c r="L12" s="28" t="e">
        <f t="shared" si="2"/>
        <v>#DIV/0!</v>
      </c>
      <c r="M12" s="28" t="e">
        <f t="shared" si="0"/>
        <v>#DIV/0!</v>
      </c>
      <c r="N12" s="28" t="e">
        <f t="shared" si="0"/>
        <v>#DIV/0!</v>
      </c>
      <c r="O12" s="28">
        <v>1</v>
      </c>
      <c r="P12" s="28" t="e">
        <f t="shared" si="3"/>
        <v>#DIV/0!</v>
      </c>
      <c r="S12" s="20" t="s">
        <v>5314</v>
      </c>
      <c r="T12" s="20" t="s">
        <v>5325</v>
      </c>
      <c r="U12" s="38"/>
      <c r="V12" s="21"/>
      <c r="W12" s="21"/>
      <c r="X12" s="38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COUNTIFS(E_Suivi_Eans!$C:$C,"01/2022",E_Suivi_Eans!$D:$D,"Taxes Supports d enregistrement",E_Suivi_Eans!$J:$J,"Retour OK",E_Suivi_Eans!$K:$K,"&gt;31/12/2021",E_Suivi_Eans!$K:$K,"&lt;01/11/2022")</f>
        <v>0</v>
      </c>
      <c r="D13" s="21">
        <f>COUNTIFS(E_Suivi_Eans!$C:$C,"01/2022",E_Suivi_Eans!$D:$D,"Taxes Supports d enregistrement",E_Suivi_Eans!$J:$J,"Rejet 0",E_Suivi_Eans!$K:$K,"&gt;31/12/2021",E_Suivi_Eans!$K:$K,"&lt;01/11/2022")+ COUNTIFS(E_Suivi_Eans!$C:$C,"01/2022",E_Suivi_Eans!$D:$D,"Taxes Supports d enregistrement",E_Suivi_Eans!$J:$J,"Rejet 1",E_Suivi_Eans!$K:$K,"&gt;31/12/2021",E_Suivi_Eans!$K:$K,"&lt;01/11/2022")+COUNTIFS(E_Suivi_Eans!$C:$C,"01/2022",E_Suivi_Eans!$D:$D,"Taxes Supports d enregistrement",E_Suivi_Eans!$J:$J,"Rejet 2",E_Suivi_Eans!$K:$K,"&gt;31/12/2021",E_Suivi_Eans!$K:$K,"&lt;01/11/2022")+COUNTIFS(E_Suivi_Eans!$C:$C,"01/2022",E_Suivi_Eans!$D:$D,"Taxes Supports d enregistrement",E_Suivi_Eans!$J:$J,"Rejet 3",E_Suivi_Eans!$K:$K,"&gt;31/12/2021",E_Suivi_Eans!$K:$K,"&lt;01/11/2022")+ COUNTIFS(E_Suivi_Eans!$C:$C,"01/2022",E_Suivi_Eans!$D:$D,"Taxes Supports d enregistrement",E_Suivi_Eans!$J:$J,"Rejet 4",E_Suivi_Eans!$K:$K,"&gt;31/12/2021",E_Suivi_Eans!$K:$K,"&lt;01/11/2022")+COUNTIFS(E_Suivi_Eans!$C:$C,"01/2022",E_Suivi_Eans!$D:$D,"Taxes Supports d enregistrement",E_Suivi_Eans!$J:$J,"Relance 1",E_Suivi_Eans!$K:$K,"&gt;31/12/2021",E_Suivi_Eans!$K:$K,"&lt;01/11/2022")+COUNTIFS(E_Suivi_Eans!$C:$C,"01/2022",E_Suivi_Eans!$D:$D,"Taxes Supports d enregistrement",E_Suivi_Eans!$J:$J,"Relance 2",E_Suivi_Eans!$K:$K,"&gt;31/12/2021",E_Suivi_Eans!$K:$K,"&lt;01/11/2022")+COUNTIFS(E_Suivi_Eans!$C:$C,"01/2022",E_Suivi_Eans!$D:$D,"Taxes Supports d enregistrement",E_Suivi_Eans!$J:$J,"Relance 3",E_Suivi_Eans!$K:$K,"&gt;31/12/2021",E_Suivi_Eans!$K:$K,"&lt;01/11/2022")</f>
        <v>0</v>
      </c>
      <c r="E13" s="21">
        <f>COUNTIFS(E_Suivi_Eans!$C:$C,"01/2022",E_Suivi_Eans!$D:$D,"Taxes Supports d enregistrement",E_Suivi_Eans!$J:$J,"Abandon",E_Suivi_Eans!$K:$K,"&gt;31/12/2021",E_Suivi_Eans!K:K,"&lt;01/11/2022")</f>
        <v>0</v>
      </c>
      <c r="F13" s="21">
        <f>COUNTIFS(E_Suivi_Eans!$C:$C,"01/2022",E_Suivi_Eans!$D:$D,"Taxes Supports d enregistrement")</f>
        <v>0</v>
      </c>
      <c r="G13" s="21">
        <f t="shared" si="1"/>
        <v>0</v>
      </c>
      <c r="J13" s="20" t="s">
        <v>5314</v>
      </c>
      <c r="K13" s="20" t="s">
        <v>5326</v>
      </c>
      <c r="L13" s="28" t="e">
        <f t="shared" si="2"/>
        <v>#DIV/0!</v>
      </c>
      <c r="M13" s="28" t="e">
        <f t="shared" si="0"/>
        <v>#DIV/0!</v>
      </c>
      <c r="N13" s="28" t="e">
        <f t="shared" si="0"/>
        <v>#DIV/0!</v>
      </c>
      <c r="O13" s="28">
        <v>1</v>
      </c>
      <c r="P13" s="28" t="e">
        <f t="shared" si="3"/>
        <v>#DIV/0!</v>
      </c>
      <c r="S13" s="20" t="s">
        <v>5314</v>
      </c>
      <c r="T13" s="20" t="s">
        <v>5326</v>
      </c>
      <c r="U13" s="38"/>
      <c r="V13" s="21"/>
      <c r="W13" s="21"/>
      <c r="X13" s="38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COUNTIFS(E_Suivi_Eans!$C:$C,"01/2022",E_Suivi_Eans!$D:$D,"Taxes Supports d enregistrement",E_Suivi_Eans!$J:$J,"Retour OK",E_Suivi_Eans!$K:$K,"&gt;31/12/2021",E_Suivi_Eans!$K:$K,"&lt;01/12/2022")</f>
        <v>0</v>
      </c>
      <c r="D14" s="21">
        <f>COUNTIFS(E_Suivi_Eans!$C:$C,"01/2022",E_Suivi_Eans!$D:$D,"Taxes Supports d enregistrement",E_Suivi_Eans!$J:$J,"Rejet 0",E_Suivi_Eans!$K:$K,"&gt;31/12/2021",E_Suivi_Eans!$K:$K,"&lt;01/12/2022")+ COUNTIFS(E_Suivi_Eans!$C:$C,"01/2022",E_Suivi_Eans!$D:$D,"Taxes Supports d enregistrement",E_Suivi_Eans!$J:$J,"Rejet 1",E_Suivi_Eans!$K:$K,"&gt;31/12/2021",E_Suivi_Eans!$K:$K,"&lt;01/12/2022")+COUNTIFS(E_Suivi_Eans!$C:$C,"01/2022",E_Suivi_Eans!$D:$D,"Taxes Supports d enregistrement",E_Suivi_Eans!$J:$J,"Rejet 2",E_Suivi_Eans!$K:$K,"&gt;31/12/2021",E_Suivi_Eans!$K:$K,"&lt;01/12/2022")+COUNTIFS(E_Suivi_Eans!$C:$C,"01/2022",E_Suivi_Eans!$D:$D,"Taxes Supports d enregistrement",E_Suivi_Eans!$J:$J,"Rejet 3",E_Suivi_Eans!$K:$K,"&gt;31/12/2021",E_Suivi_Eans!$K:$K,"&lt;01/12/2022")+ COUNTIFS(E_Suivi_Eans!$C:$C,"01/2022",E_Suivi_Eans!$D:$D,"Taxes Supports d enregistrement",E_Suivi_Eans!$J:$J,"Rejet 4",E_Suivi_Eans!$K:$K,"&gt;31/12/2021",E_Suivi_Eans!$K:$K,"&lt;01/12/2022")+COUNTIFS(E_Suivi_Eans!$C:$C,"01/2022",E_Suivi_Eans!$D:$D,"Taxes Supports d enregistrement",E_Suivi_Eans!$J:$J,"Relance 1",E_Suivi_Eans!$K:$K,"&gt;31/12/2021",E_Suivi_Eans!$K:$K,"&lt;01/12/2022")+COUNTIFS(E_Suivi_Eans!$C:$C,"01/2022",E_Suivi_Eans!$D:$D,"Taxes Supports d enregistrement",E_Suivi_Eans!$J:$J,"Relance 2",E_Suivi_Eans!$K:$K,"&gt;31/12/2021",E_Suivi_Eans!$K:$K,"&lt;01/12/2022")+COUNTIFS(E_Suivi_Eans!$C:$C,"01/2022",E_Suivi_Eans!$D:$D,"Taxes Supports d enregistrement",E_Suivi_Eans!$J:$J,"Relance 3",E_Suivi_Eans!$K:$K,"&gt;31/12/2021",E_Suivi_Eans!$K:$K,"&lt;01/12/2022")</f>
        <v>0</v>
      </c>
      <c r="E14" s="21">
        <f>COUNTIFS(E_Suivi_Eans!$C:$C,"01/2022",E_Suivi_Eans!$D:$D,"Taxes Supports d enregistrement",E_Suivi_Eans!$J:$J,"Abandon",E_Suivi_Eans!$K:$K,"&gt;31/12/2021",E_Suivi_Eans!K:K,"&lt;01/12/2022")</f>
        <v>0</v>
      </c>
      <c r="F14" s="21">
        <f>COUNTIFS(E_Suivi_Eans!$C:$C,"01/2022",E_Suivi_Eans!$D:$D,"Taxes Supports d enregistrement")</f>
        <v>0</v>
      </c>
      <c r="G14" s="21">
        <f t="shared" si="1"/>
        <v>0</v>
      </c>
      <c r="J14" s="20" t="s">
        <v>5314</v>
      </c>
      <c r="K14" s="20" t="s">
        <v>5327</v>
      </c>
      <c r="L14" s="28" t="e">
        <f t="shared" si="2"/>
        <v>#DIV/0!</v>
      </c>
      <c r="M14" s="28" t="e">
        <f t="shared" si="0"/>
        <v>#DIV/0!</v>
      </c>
      <c r="N14" s="28" t="e">
        <f t="shared" si="0"/>
        <v>#DIV/0!</v>
      </c>
      <c r="O14" s="28">
        <v>1</v>
      </c>
      <c r="P14" s="28" t="e">
        <f t="shared" si="3"/>
        <v>#DIV/0!</v>
      </c>
      <c r="S14" s="20" t="s">
        <v>5314</v>
      </c>
      <c r="T14" s="20" t="s">
        <v>5327</v>
      </c>
      <c r="U14" s="38"/>
      <c r="V14" s="21"/>
      <c r="W14" s="21"/>
      <c r="X14" s="38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8"/>
      <c r="P15" s="28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5"/>
      <c r="F16" s="25"/>
      <c r="G16" s="25"/>
      <c r="J16" s="22"/>
      <c r="K16" s="22"/>
      <c r="L16" s="23"/>
      <c r="M16" s="24"/>
      <c r="N16" s="25"/>
      <c r="O16" s="31"/>
      <c r="P16" s="31"/>
      <c r="S16" s="22"/>
      <c r="T16" s="22"/>
      <c r="U16" s="23"/>
      <c r="V16" s="24"/>
      <c r="W16" s="25"/>
      <c r="X16" s="25"/>
      <c r="Y16" s="25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8"/>
      <c r="P17" s="28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COUNTIFS(E_Suivi_Eans!$C:$C,"02/2022",E_Suivi_Eans!$D:$D,"Taxes Supports d enregistrement",E_Suivi_Eans!$J:$J,"Retour OK",E_Suivi_Eans!$K:$K,"&gt;31/12/2021",E_Suivi_Eans!K:K,"&lt;01/03/2022")</f>
        <v>0</v>
      </c>
      <c r="D18" s="21">
        <f>COUNTIFS(E_Suivi_Eans!$C:$C,"02/2022",E_Suivi_Eans!$D:$D,"Taxes Supports d enregistrement",E_Suivi_Eans!$J:$J,"Rejet 0",E_Suivi_Eans!$K:$K,"&gt;31/12/2021",E_Suivi_Eans!$K:$K,"&lt;01/03/2022")+ COUNTIFS(E_Suivi_Eans!$C:$C,"02/2022",E_Suivi_Eans!$D:$D,"Taxes Supports d enregistrement",E_Suivi_Eans!$J:$J,"Rejet 1",E_Suivi_Eans!$K:$K,"&gt;31/12/2021",E_Suivi_Eans!$K:$K,"&lt;01/03/2022")+COUNTIFS(E_Suivi_Eans!$C:$C,"02/2022",E_Suivi_Eans!$D:$D,"Taxes Supports d enregistrement",E_Suivi_Eans!$J:$J,"Rejet 2",E_Suivi_Eans!$K:$K,"&gt;31/12/2021",E_Suivi_Eans!$K:$K,"&lt;01/03/2022")+COUNTIFS(E_Suivi_Eans!$C:$C,"02/2022",E_Suivi_Eans!$D:$D,"Taxes Supports d enregistrement",E_Suivi_Eans!$J:$J,"Rejet 3",E_Suivi_Eans!$K:$K,"&gt;31/12/2021",E_Suivi_Eans!$K:$K,"&lt;01/03/2022")+ COUNTIFS(E_Suivi_Eans!$C:$C,"02/2022",E_Suivi_Eans!$D:$D,"Taxes Supports d enregistrement",E_Suivi_Eans!$J:$J,"Rejet 4",E_Suivi_Eans!$K:$K,"&gt;31/12/2021",E_Suivi_Eans!$K:$K,"&lt;01/03/2022")+COUNTIFS(E_Suivi_Eans!$C:$C,"02/2022",E_Suivi_Eans!$D:$D,"Taxes Supports d enregistrement",E_Suivi_Eans!$J:$J,"Relance 1",E_Suivi_Eans!$K:$K,"&gt;31/12/2021",E_Suivi_Eans!$K:$K,"&lt;01/03/2022")+COUNTIFS(E_Suivi_Eans!$C:$C,"02/2022",E_Suivi_Eans!$D:$D,"Taxes Supports d enregistrement",E_Suivi_Eans!$J:$J,"Relance 2",E_Suivi_Eans!$K:$K,"&gt;31/12/2021",E_Suivi_Eans!$K:$K,"&lt;01/03/2022")+COUNTIFS(E_Suivi_Eans!$C:$C,"02/2022",E_Suivi_Eans!$D:$D,"Taxes Supports d enregistrement",E_Suivi_Eans!$J:$J,"Relance 3",E_Suivi_Eans!$K:$K,"&gt;31/12/2021",E_Suivi_Eans!$K:$K,"&lt;01/03/2022")</f>
        <v>0</v>
      </c>
      <c r="E18" s="21">
        <f>COUNTIFS(E_Suivi_Eans!$C:$C,"02/2022",E_Suivi_Eans!$D:$D,"Taxes Supports d enregistrement",E_Suivi_Eans!$J:$J,"Abandon",E_Suivi_Eans!$K:$K,"&gt;31/12/2021",E_Suivi_Eans!K:K,"&lt;01/03/2022")</f>
        <v>0</v>
      </c>
      <c r="F18" s="21">
        <f>COUNTIFS(E_Suivi_Eans!$C:$C,"02/2022",E_Suivi_Eans!$D:$D,"Taxes Supports d enregistrement")</f>
        <v>1</v>
      </c>
      <c r="G18" s="21">
        <f t="shared" ref="G18:G27" si="4">F18-E18</f>
        <v>1</v>
      </c>
      <c r="J18" s="20" t="s">
        <v>5315</v>
      </c>
      <c r="K18" s="20" t="s">
        <v>5315</v>
      </c>
      <c r="L18" s="28">
        <f t="shared" ref="L18:N27" si="5">C18/$G18</f>
        <v>0</v>
      </c>
      <c r="M18" s="28">
        <f t="shared" si="5"/>
        <v>0</v>
      </c>
      <c r="N18" s="28">
        <f t="shared" si="5"/>
        <v>0</v>
      </c>
      <c r="O18" s="28">
        <v>1</v>
      </c>
      <c r="P18" s="28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COUNTIFS(E_Suivi_Eans!$C:$C,"02/2022",E_Suivi_Eans!$D:$D,"Taxes Supports d enregistrement",E_Suivi_Eans!$J:$J,"Retour OK",E_Suivi_Eans!$K:$K,"&gt;31/12/2021",E_Suivi_Eans!K:K,"&lt;01/04/2022")</f>
        <v>1</v>
      </c>
      <c r="D19" s="21">
        <f>COUNTIFS(E_Suivi_Eans!$C:$C,"02/2022",E_Suivi_Eans!$D:$D,"Taxes Supports d enregistrement",E_Suivi_Eans!$J:$J,"Rejet 0",E_Suivi_Eans!$K:$K,"&gt;31/12/2021",E_Suivi_Eans!$K:$K,"&lt;01/04/2022")+ COUNTIFS(E_Suivi_Eans!$C:$C,"02/2022",E_Suivi_Eans!$D:$D,"Taxes Supports d enregistrement",E_Suivi_Eans!$J:$J,"Rejet 1",E_Suivi_Eans!$K:$K,"&gt;31/12/2021",E_Suivi_Eans!$K:$K,"&lt;01/04/2022")+COUNTIFS(E_Suivi_Eans!$C:$C,"02/2022",E_Suivi_Eans!$D:$D,"Taxes Supports d enregistrement",E_Suivi_Eans!$J:$J,"Rejet 2",E_Suivi_Eans!$K:$K,"&gt;31/12/2021",E_Suivi_Eans!$K:$K,"&lt;01/04/2022")+COUNTIFS(E_Suivi_Eans!$C:$C,"02/2022",E_Suivi_Eans!$D:$D,"Taxes Supports d enregistrement",E_Suivi_Eans!$J:$J,"Rejet 3",E_Suivi_Eans!$K:$K,"&gt;31/12/2021",E_Suivi_Eans!$K:$K,"&lt;01/04/2022")+ COUNTIFS(E_Suivi_Eans!$C:$C,"02/2022",E_Suivi_Eans!$D:$D,"Taxes Supports d enregistrement",E_Suivi_Eans!$J:$J,"Rejet 4",E_Suivi_Eans!$K:$K,"&gt;31/12/2021",E_Suivi_Eans!$K:$K,"&lt;01/04/2022")+COUNTIFS(E_Suivi_Eans!$C:$C,"02/2022",E_Suivi_Eans!$D:$D,"Taxes Supports d enregistrement",E_Suivi_Eans!$J:$J,"Relance 1",E_Suivi_Eans!$K:$K,"&gt;31/12/2021",E_Suivi_Eans!$K:$K,"&lt;01/04/2022")+COUNTIFS(E_Suivi_Eans!$C:$C,"02/2022",E_Suivi_Eans!$D:$D,"Taxes Supports d enregistrement",E_Suivi_Eans!$J:$J,"Relance 2",E_Suivi_Eans!$K:$K,"&gt;31/12/2021",E_Suivi_Eans!$K:$K,"&lt;01/04/2022")+COUNTIFS(E_Suivi_Eans!$C:$C,"02/2022",E_Suivi_Eans!$D:$D,"Taxes Supports d enregistrement",E_Suivi_Eans!$J:$J,"Relance 3",E_Suivi_Eans!$K:$K,"&gt;31/12/2021",E_Suivi_Eans!$K:$K,"&lt;01/04/2022")</f>
        <v>0</v>
      </c>
      <c r="E19" s="21">
        <f>COUNTIFS(E_Suivi_Eans!$C:$C,"02/2022",E_Suivi_Eans!$D:$D,"Taxes Supports d enregistrement",E_Suivi_Eans!$J:$J,"Abandon",E_Suivi_Eans!$K:$K,"&gt;31/12/2021",E_Suivi_Eans!K:K,"&lt;01/04/2022")</f>
        <v>0</v>
      </c>
      <c r="F19" s="21">
        <f>COUNTIFS(E_Suivi_Eans!$C:$C,"02/2022",E_Suivi_Eans!$D:$D,"Taxes Supports d enregistrement")</f>
        <v>1</v>
      </c>
      <c r="G19" s="21">
        <f t="shared" si="4"/>
        <v>1</v>
      </c>
      <c r="J19" s="20" t="s">
        <v>5315</v>
      </c>
      <c r="K19" s="20" t="s">
        <v>5316</v>
      </c>
      <c r="L19" s="28">
        <f t="shared" si="5"/>
        <v>1</v>
      </c>
      <c r="M19" s="28">
        <f t="shared" si="5"/>
        <v>0</v>
      </c>
      <c r="N19" s="28">
        <f t="shared" si="5"/>
        <v>0</v>
      </c>
      <c r="O19" s="28">
        <v>1</v>
      </c>
      <c r="P19" s="28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COUNTIFS(E_Suivi_Eans!$C:$C,"02/2022",E_Suivi_Eans!$D:$D,"Taxes Supports d enregistrement",E_Suivi_Eans!$J:$J,"Retour OK",E_Suivi_Eans!$K:$K,"&gt;31/12/2021",E_Suivi_Eans!K:K,"&lt;01/05/2022")</f>
        <v>1</v>
      </c>
      <c r="D20" s="21">
        <f>COUNTIFS(E_Suivi_Eans!$C:$C,"02/2022",E_Suivi_Eans!$D:$D,"Taxes Supports d enregistrement",E_Suivi_Eans!$J:$J,"Rejet 0",E_Suivi_Eans!$K:$K,"&gt;31/12/2021",E_Suivi_Eans!$K:$K,"&lt;01/05/2022")+ COUNTIFS(E_Suivi_Eans!$C:$C,"02/2022",E_Suivi_Eans!$D:$D,"Taxes Supports d enregistrement",E_Suivi_Eans!$J:$J,"Rejet 1",E_Suivi_Eans!$K:$K,"&gt;31/12/2021",E_Suivi_Eans!$K:$K,"&lt;01/05/2022")+COUNTIFS(E_Suivi_Eans!$C:$C,"02/2022",E_Suivi_Eans!$D:$D,"Taxes Supports d enregistrement",E_Suivi_Eans!$J:$J,"Rejet 2",E_Suivi_Eans!$K:$K,"&gt;31/12/2021",E_Suivi_Eans!$K:$K,"&lt;01/05/2022")+COUNTIFS(E_Suivi_Eans!$C:$C,"02/2022",E_Suivi_Eans!$D:$D,"Taxes Supports d enregistrement",E_Suivi_Eans!$J:$J,"Rejet 3",E_Suivi_Eans!$K:$K,"&gt;31/12/2021",E_Suivi_Eans!$K:$K,"&lt;01/05/2022")+ COUNTIFS(E_Suivi_Eans!$C:$C,"02/2022",E_Suivi_Eans!$D:$D,"Taxes Supports d enregistrement",E_Suivi_Eans!$J:$J,"Rejet 4",E_Suivi_Eans!$K:$K,"&gt;31/12/2021",E_Suivi_Eans!$K:$K,"&lt;01/05/2022")+COUNTIFS(E_Suivi_Eans!$C:$C,"02/2022",E_Suivi_Eans!$D:$D,"Taxes Supports d enregistrement",E_Suivi_Eans!$J:$J,"Relance 1",E_Suivi_Eans!$K:$K,"&gt;31/12/2021",E_Suivi_Eans!$K:$K,"&lt;01/05/2022")+COUNTIFS(E_Suivi_Eans!$C:$C,"02/2022",E_Suivi_Eans!$D:$D,"Taxes Supports d enregistrement",E_Suivi_Eans!$J:$J,"Relance 2",E_Suivi_Eans!$K:$K,"&gt;31/12/2021",E_Suivi_Eans!$K:$K,"&lt;01/05/2022")+COUNTIFS(E_Suivi_Eans!$C:$C,"02/2022",E_Suivi_Eans!$D:$D,"Taxes Supports d enregistrement",E_Suivi_Eans!$J:$J,"Relance 3",E_Suivi_Eans!$K:$K,"&gt;31/12/2021",E_Suivi_Eans!$K:$K,"&lt;01/05/2022")</f>
        <v>0</v>
      </c>
      <c r="E20" s="21">
        <f>COUNTIFS(E_Suivi_Eans!$C:$C,"02/2022",E_Suivi_Eans!$D:$D,"Taxes Supports d enregistrement",E_Suivi_Eans!$J:$J,"Abandon",E_Suivi_Eans!$K:$K,"&gt;31/12/2021",E_Suivi_Eans!K:K,"&lt;01/05/2022")</f>
        <v>0</v>
      </c>
      <c r="F20" s="21">
        <f>COUNTIFS(E_Suivi_Eans!$C:$C,"02/2022",E_Suivi_Eans!$D:$D,"Taxes Supports d enregistrement")</f>
        <v>1</v>
      </c>
      <c r="G20" s="21">
        <f t="shared" si="4"/>
        <v>1</v>
      </c>
      <c r="J20" s="20" t="s">
        <v>5315</v>
      </c>
      <c r="K20" s="20" t="s">
        <v>5317</v>
      </c>
      <c r="L20" s="28">
        <f t="shared" si="5"/>
        <v>1</v>
      </c>
      <c r="M20" s="28">
        <f t="shared" si="5"/>
        <v>0</v>
      </c>
      <c r="N20" s="28">
        <f t="shared" si="5"/>
        <v>0</v>
      </c>
      <c r="O20" s="28">
        <v>1</v>
      </c>
      <c r="P20" s="28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COUNTIFS(E_Suivi_Eans!$C:$C,"02/2022",E_Suivi_Eans!$D:$D,"Taxes Supports d enregistrement",E_Suivi_Eans!$J:$J,"Retour OK",E_Suivi_Eans!$K:$K,"&gt;31/12/2021",E_Suivi_Eans!K:K,"&lt;01/06/2022")</f>
        <v>1</v>
      </c>
      <c r="D21" s="21">
        <f>COUNTIFS(E_Suivi_Eans!$C:$C,"02/2022",E_Suivi_Eans!$D:$D,"Taxes Supports d enregistrement",E_Suivi_Eans!$J:$J,"Rejet 0",E_Suivi_Eans!$K:$K,"&gt;31/12/2021",E_Suivi_Eans!$K:$K,"&lt;01/06/2022")+ COUNTIFS(E_Suivi_Eans!$C:$C,"02/2022",E_Suivi_Eans!$D:$D,"Taxes Supports d enregistrement",E_Suivi_Eans!$J:$J,"Rejet 1",E_Suivi_Eans!$K:$K,"&gt;31/12/2021",E_Suivi_Eans!$K:$K,"&lt;01/06/2022")+COUNTIFS(E_Suivi_Eans!$C:$C,"02/2022",E_Suivi_Eans!$D:$D,"Taxes Supports d enregistrement",E_Suivi_Eans!$J:$J,"Rejet 2",E_Suivi_Eans!$K:$K,"&gt;31/12/2021",E_Suivi_Eans!$K:$K,"&lt;01/06/2022")+COUNTIFS(E_Suivi_Eans!$C:$C,"02/2022",E_Suivi_Eans!$D:$D,"Taxes Supports d enregistrement",E_Suivi_Eans!$J:$J,"Rejet 3",E_Suivi_Eans!$K:$K,"&gt;31/12/2021",E_Suivi_Eans!$K:$K,"&lt;01/06/2022")+ COUNTIFS(E_Suivi_Eans!$C:$C,"02/2022",E_Suivi_Eans!$D:$D,"Taxes Supports d enregistrement",E_Suivi_Eans!$J:$J,"Rejet 4",E_Suivi_Eans!$K:$K,"&gt;31/12/2021",E_Suivi_Eans!$K:$K,"&lt;01/06/2022")+COUNTIFS(E_Suivi_Eans!$C:$C,"02/2022",E_Suivi_Eans!$D:$D,"Taxes Supports d enregistrement",E_Suivi_Eans!$J:$J,"Relance 1",E_Suivi_Eans!$K:$K,"&gt;31/12/2021",E_Suivi_Eans!$K:$K,"&lt;01/06/2022")+COUNTIFS(E_Suivi_Eans!$C:$C,"02/2022",E_Suivi_Eans!$D:$D,"Taxes Supports d enregistrement",E_Suivi_Eans!$J:$J,"Relance 2",E_Suivi_Eans!$K:$K,"&gt;31/12/2021",E_Suivi_Eans!$K:$K,"&lt;01/06/2022")+COUNTIFS(E_Suivi_Eans!$C:$C,"02/2022",E_Suivi_Eans!$D:$D,"Taxes Supports d enregistrement",E_Suivi_Eans!$J:$J,"Relance 3",E_Suivi_Eans!$K:$K,"&gt;31/12/2021",E_Suivi_Eans!$K:$K,"&lt;01/06/2022")</f>
        <v>0</v>
      </c>
      <c r="E21" s="21">
        <f>COUNTIFS(E_Suivi_Eans!$C:$C,"02/2022",E_Suivi_Eans!$D:$D,"Taxes Supports d enregistrement",E_Suivi_Eans!$J:$J,"Abandon",E_Suivi_Eans!$K:$K,"&gt;31/12/2021",E_Suivi_Eans!K:K,"&lt;01/06/2022")</f>
        <v>0</v>
      </c>
      <c r="F21" s="21">
        <f>COUNTIFS(E_Suivi_Eans!$C:$C,"02/2022",E_Suivi_Eans!$D:$D,"Taxes Supports d enregistrement")</f>
        <v>1</v>
      </c>
      <c r="G21" s="21">
        <f t="shared" si="4"/>
        <v>1</v>
      </c>
      <c r="J21" s="20" t="s">
        <v>5315</v>
      </c>
      <c r="K21" s="20" t="s">
        <v>5318</v>
      </c>
      <c r="L21" s="28">
        <f t="shared" si="5"/>
        <v>1</v>
      </c>
      <c r="M21" s="28">
        <f t="shared" si="5"/>
        <v>0</v>
      </c>
      <c r="N21" s="28">
        <f t="shared" si="5"/>
        <v>0</v>
      </c>
      <c r="O21" s="28">
        <v>1</v>
      </c>
      <c r="P21" s="28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COUNTIFS(E_Suivi_Eans!$C:$C,"02/2022",E_Suivi_Eans!$D:$D,"Taxes Supports d enregistrement",E_Suivi_Eans!$J:$J,"Retour OK",E_Suivi_Eans!$K:$K,"&gt;31/12/2021",E_Suivi_Eans!K:K,"&lt;01/07/2022")</f>
        <v>1</v>
      </c>
      <c r="D22" s="21">
        <f>COUNTIFS(E_Suivi_Eans!$C:$C,"02/2022",E_Suivi_Eans!$D:$D,"Taxes Supports d enregistrement",E_Suivi_Eans!$J:$J,"Rejet 0",E_Suivi_Eans!$K:$K,"&gt;31/12/2021",E_Suivi_Eans!$K:$K,"&lt;01/07/2022")+ COUNTIFS(E_Suivi_Eans!$C:$C,"02/2022",E_Suivi_Eans!$D:$D,"Taxes Supports d enregistrement",E_Suivi_Eans!$J:$J,"Rejet 1",E_Suivi_Eans!$K:$K,"&gt;31/12/2021",E_Suivi_Eans!$K:$K,"&lt;01/07/2022")+COUNTIFS(E_Suivi_Eans!$C:$C,"02/2022",E_Suivi_Eans!$D:$D,"Taxes Supports d enregistrement",E_Suivi_Eans!$J:$J,"Rejet 2",E_Suivi_Eans!$K:$K,"&gt;31/12/2021",E_Suivi_Eans!$K:$K,"&lt;01/07/2022")+COUNTIFS(E_Suivi_Eans!$C:$C,"02/2022",E_Suivi_Eans!$D:$D,"Taxes Supports d enregistrement",E_Suivi_Eans!$J:$J,"Rejet 3",E_Suivi_Eans!$K:$K,"&gt;31/12/2021",E_Suivi_Eans!$K:$K,"&lt;01/07/2022")+ COUNTIFS(E_Suivi_Eans!$C:$C,"02/2022",E_Suivi_Eans!$D:$D,"Taxes Supports d enregistrement",E_Suivi_Eans!$J:$J,"Rejet 4",E_Suivi_Eans!$K:$K,"&gt;31/12/2021",E_Suivi_Eans!$K:$K,"&lt;01/07/2022")+COUNTIFS(E_Suivi_Eans!$C:$C,"02/2022",E_Suivi_Eans!$D:$D,"Taxes Supports d enregistrement",E_Suivi_Eans!$J:$J,"Relance 1",E_Suivi_Eans!$K:$K,"&gt;31/12/2021",E_Suivi_Eans!$K:$K,"&lt;01/07/2022")+COUNTIFS(E_Suivi_Eans!$C:$C,"02/2022",E_Suivi_Eans!$D:$D,"Taxes Supports d enregistrement",E_Suivi_Eans!$J:$J,"Relance 2",E_Suivi_Eans!$K:$K,"&gt;31/12/2021",E_Suivi_Eans!$K:$K,"&lt;01/07/2022")+COUNTIFS(E_Suivi_Eans!$C:$C,"02/2022",E_Suivi_Eans!$D:$D,"Taxes Supports d enregistrement",E_Suivi_Eans!$J:$J,"Relance 3",E_Suivi_Eans!$K:$K,"&gt;31/12/2021",E_Suivi_Eans!$K:$K,"&lt;01/07/2022")</f>
        <v>0</v>
      </c>
      <c r="E22" s="21">
        <f>COUNTIFS(E_Suivi_Eans!$C:$C,"02/2022",E_Suivi_Eans!$D:$D,"Taxes Supports d enregistrement",E_Suivi_Eans!$J:$J,"Abandon",E_Suivi_Eans!$K:$K,"&gt;31/12/2021",E_Suivi_Eans!K:K,"&lt;01/07/2022")</f>
        <v>0</v>
      </c>
      <c r="F22" s="21">
        <f>COUNTIFS(E_Suivi_Eans!$C:$C,"02/2022",E_Suivi_Eans!$D:$D,"Taxes Supports d enregistrement")</f>
        <v>1</v>
      </c>
      <c r="G22" s="21">
        <f t="shared" si="4"/>
        <v>1</v>
      </c>
      <c r="J22" s="20" t="s">
        <v>5315</v>
      </c>
      <c r="K22" s="20" t="s">
        <v>5319</v>
      </c>
      <c r="L22" s="28">
        <f t="shared" si="5"/>
        <v>1</v>
      </c>
      <c r="M22" s="28">
        <f t="shared" si="5"/>
        <v>0</v>
      </c>
      <c r="N22" s="28">
        <f t="shared" si="5"/>
        <v>0</v>
      </c>
      <c r="O22" s="28">
        <v>1</v>
      </c>
      <c r="P22" s="28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COUNTIFS(E_Suivi_Eans!$C:$C,"02/2022",E_Suivi_Eans!$D:$D,"Taxes Supports d enregistrement",E_Suivi_Eans!$J:$J,"Retour OK",E_Suivi_Eans!$K:$K,"&gt;31/12/2021",E_Suivi_Eans!K:K,"&lt;01/08/2022")</f>
        <v>1</v>
      </c>
      <c r="D23" s="21">
        <f>COUNTIFS(E_Suivi_Eans!$C:$C,"02/2022",E_Suivi_Eans!$D:$D,"Taxes Supports d enregistrement",E_Suivi_Eans!$J:$J,"Rejet 0",E_Suivi_Eans!$K:$K,"&gt;31/12/2021",E_Suivi_Eans!$K:$K,"&lt;01/08/2022")+ COUNTIFS(E_Suivi_Eans!$C:$C,"02/2022",E_Suivi_Eans!$D:$D,"Taxes Supports d enregistrement",E_Suivi_Eans!$J:$J,"Rejet 1",E_Suivi_Eans!$K:$K,"&gt;31/12/2021",E_Suivi_Eans!$K:$K,"&lt;01/08/2022")+COUNTIFS(E_Suivi_Eans!$C:$C,"02/2022",E_Suivi_Eans!$D:$D,"Taxes Supports d enregistrement",E_Suivi_Eans!$J:$J,"Rejet 2",E_Suivi_Eans!$K:$K,"&gt;31/12/2021",E_Suivi_Eans!$K:$K,"&lt;01/08/2022")+COUNTIFS(E_Suivi_Eans!$C:$C,"02/2022",E_Suivi_Eans!$D:$D,"Taxes Supports d enregistrement",E_Suivi_Eans!$J:$J,"Rejet 3",E_Suivi_Eans!$K:$K,"&gt;31/12/2021",E_Suivi_Eans!$K:$K,"&lt;01/08/2022")+ COUNTIFS(E_Suivi_Eans!$C:$C,"02/2022",E_Suivi_Eans!$D:$D,"Taxes Supports d enregistrement",E_Suivi_Eans!$J:$J,"Rejet 4",E_Suivi_Eans!$K:$K,"&gt;31/12/2021",E_Suivi_Eans!$K:$K,"&lt;01/08/2022")+COUNTIFS(E_Suivi_Eans!$C:$C,"02/2022",E_Suivi_Eans!$D:$D,"Taxes Supports d enregistrement",E_Suivi_Eans!$J:$J,"Relance 1",E_Suivi_Eans!$K:$K,"&gt;31/12/2021",E_Suivi_Eans!$K:$K,"&lt;01/08/2022")+COUNTIFS(E_Suivi_Eans!$C:$C,"02/2022",E_Suivi_Eans!$D:$D,"Taxes Supports d enregistrement",E_Suivi_Eans!$J:$J,"Relance 2",E_Suivi_Eans!$K:$K,"&gt;31/12/2021",E_Suivi_Eans!$K:$K,"&lt;01/08/2022")+COUNTIFS(E_Suivi_Eans!$C:$C,"02/2022",E_Suivi_Eans!$D:$D,"Taxes Supports d enregistrement",E_Suivi_Eans!$J:$J,"Relance 3",E_Suivi_Eans!$K:$K,"&gt;31/12/2021",E_Suivi_Eans!$K:$K,"&lt;01/08/2022")</f>
        <v>0</v>
      </c>
      <c r="E23" s="21">
        <f>COUNTIFS(E_Suivi_Eans!$C:$C,"02/2022",E_Suivi_Eans!$D:$D,"Taxes Supports d enregistrement",E_Suivi_Eans!$J:$J,"Abandon",E_Suivi_Eans!$K:$K,"&gt;31/12/2021",E_Suivi_Eans!K:K,"&lt;01/08/2022")</f>
        <v>0</v>
      </c>
      <c r="F23" s="21">
        <f>COUNTIFS(E_Suivi_Eans!$C:$C,"02/2022",E_Suivi_Eans!$D:$D,"Taxes Supports d enregistrement")</f>
        <v>1</v>
      </c>
      <c r="G23" s="21">
        <f t="shared" si="4"/>
        <v>1</v>
      </c>
      <c r="J23" s="20" t="s">
        <v>5315</v>
      </c>
      <c r="K23" s="20" t="s">
        <v>5320</v>
      </c>
      <c r="L23" s="28">
        <f t="shared" si="5"/>
        <v>1</v>
      </c>
      <c r="M23" s="28">
        <f t="shared" si="5"/>
        <v>0</v>
      </c>
      <c r="N23" s="28">
        <f t="shared" si="5"/>
        <v>0</v>
      </c>
      <c r="O23" s="28">
        <v>1</v>
      </c>
      <c r="P23" s="28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7"/>
    </row>
    <row r="24" spans="1:27">
      <c r="A24" s="20" t="s">
        <v>5315</v>
      </c>
      <c r="B24" s="20" t="s">
        <v>5321</v>
      </c>
      <c r="C24" s="21">
        <f>COUNTIFS(E_Suivi_Eans!$C:$C,"02/2022",E_Suivi_Eans!$D:$D,"Taxes Supports d enregistrement",E_Suivi_Eans!$J:$J,"Retour OK",E_Suivi_Eans!$K:$K,"&gt;31/12/2021",E_Suivi_Eans!K:K,"&lt;01/09/2022")</f>
        <v>1</v>
      </c>
      <c r="D24" s="21">
        <f>COUNTIFS(E_Suivi_Eans!$C:$C,"02/2022",E_Suivi_Eans!$D:$D,"Taxes Supports d enregistrement",E_Suivi_Eans!$J:$J,"Rejet 0",E_Suivi_Eans!$K:$K,"&gt;31/12/2021",E_Suivi_Eans!$K:$K,"&lt;01/09/2022")+ COUNTIFS(E_Suivi_Eans!$C:$C,"02/2022",E_Suivi_Eans!$D:$D,"Taxes Supports d enregistrement",E_Suivi_Eans!$J:$J,"Rejet 1",E_Suivi_Eans!$K:$K,"&gt;31/12/2021",E_Suivi_Eans!$K:$K,"&lt;01/09/2022")+COUNTIFS(E_Suivi_Eans!$C:$C,"02/2022",E_Suivi_Eans!$D:$D,"Taxes Supports d enregistrement",E_Suivi_Eans!$J:$J,"Rejet 2",E_Suivi_Eans!$K:$K,"&gt;31/12/2021",E_Suivi_Eans!$K:$K,"&lt;01/09/2022")+COUNTIFS(E_Suivi_Eans!$C:$C,"02/2022",E_Suivi_Eans!$D:$D,"Taxes Supports d enregistrement",E_Suivi_Eans!$J:$J,"Rejet 3",E_Suivi_Eans!$K:$K,"&gt;31/12/2021",E_Suivi_Eans!$K:$K,"&lt;01/09/2022")+ COUNTIFS(E_Suivi_Eans!$C:$C,"02/2022",E_Suivi_Eans!$D:$D,"Taxes Supports d enregistrement",E_Suivi_Eans!$J:$J,"Rejet 4",E_Suivi_Eans!$K:$K,"&gt;31/12/2021",E_Suivi_Eans!$K:$K,"&lt;01/09/2022")+COUNTIFS(E_Suivi_Eans!$C:$C,"02/2022",E_Suivi_Eans!$D:$D,"Taxes Supports d enregistrement",E_Suivi_Eans!$J:$J,"Relance 1",E_Suivi_Eans!$K:$K,"&gt;31/12/2021",E_Suivi_Eans!$K:$K,"&lt;01/09/2022")+COUNTIFS(E_Suivi_Eans!$C:$C,"02/2022",E_Suivi_Eans!$D:$D,"Taxes Supports d enregistrement",E_Suivi_Eans!$J:$J,"Relance 2",E_Suivi_Eans!$K:$K,"&gt;31/12/2021",E_Suivi_Eans!$K:$K,"&lt;01/09/2022")+COUNTIFS(E_Suivi_Eans!$C:$C,"02/2022",E_Suivi_Eans!$D:$D,"Taxes Supports d enregistrement",E_Suivi_Eans!$J:$J,"Relance 3",E_Suivi_Eans!$K:$K,"&gt;31/12/2021",E_Suivi_Eans!$K:$K,"&lt;01/09/2022")</f>
        <v>0</v>
      </c>
      <c r="E24" s="21">
        <f>COUNTIFS(E_Suivi_Eans!$C:$C,"02/2022",E_Suivi_Eans!$D:$D,"Taxes Supports d enregistrement",E_Suivi_Eans!$J:$J,"Abandon",E_Suivi_Eans!$K:$K,"&gt;31/12/2021",E_Suivi_Eans!K:K,"&lt;01/09/2022")</f>
        <v>0</v>
      </c>
      <c r="F24" s="21">
        <f>COUNTIFS(E_Suivi_Eans!$C:$C,"02/2022",E_Suivi_Eans!$D:$D,"Taxes Supports d enregistrement")</f>
        <v>1</v>
      </c>
      <c r="G24" s="21">
        <f t="shared" si="4"/>
        <v>1</v>
      </c>
      <c r="J24" s="20" t="s">
        <v>5315</v>
      </c>
      <c r="K24" s="20" t="s">
        <v>5321</v>
      </c>
      <c r="L24" s="28">
        <f t="shared" si="5"/>
        <v>1</v>
      </c>
      <c r="M24" s="28">
        <f t="shared" si="5"/>
        <v>0</v>
      </c>
      <c r="N24" s="28">
        <f t="shared" si="5"/>
        <v>0</v>
      </c>
      <c r="O24" s="28">
        <v>1</v>
      </c>
      <c r="P24" s="28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COUNTIFS(E_Suivi_Eans!$C:$C,"02/2022",E_Suivi_Eans!$D:$D,"Taxes Supports d enregistrement",E_Suivi_Eans!$J:$J,"Retour OK",E_Suivi_Eans!$K:$K,"&gt;31/12/2021",E_Suivi_Eans!K:K,"&lt;01/10/2022")</f>
        <v>1</v>
      </c>
      <c r="D25" s="21">
        <f>COUNTIFS(E_Suivi_Eans!$C:$C,"02/2022",E_Suivi_Eans!$D:$D,"Taxes Supports d enregistrement",E_Suivi_Eans!$J:$J,"Rejet 0",E_Suivi_Eans!$K:$K,"&gt;31/12/2021",E_Suivi_Eans!$K:$K,"&lt;01/10/2022")+ COUNTIFS(E_Suivi_Eans!$C:$C,"02/2022",E_Suivi_Eans!$D:$D,"Taxes Supports d enregistrement",E_Suivi_Eans!$J:$J,"Rejet 1",E_Suivi_Eans!$K:$K,"&gt;31/12/2021",E_Suivi_Eans!$K:$K,"&lt;01/10/2022")+COUNTIFS(E_Suivi_Eans!$C:$C,"02/2022",E_Suivi_Eans!$D:$D,"Taxes Supports d enregistrement",E_Suivi_Eans!$J:$J,"Rejet 2",E_Suivi_Eans!$K:$K,"&gt;31/12/2021",E_Suivi_Eans!$K:$K,"&lt;01/10/2022")+COUNTIFS(E_Suivi_Eans!$C:$C,"02/2022",E_Suivi_Eans!$D:$D,"Taxes Supports d enregistrement",E_Suivi_Eans!$J:$J,"Rejet 3",E_Suivi_Eans!$K:$K,"&gt;31/12/2021",E_Suivi_Eans!$K:$K,"&lt;01/10/2022")+ COUNTIFS(E_Suivi_Eans!$C:$C,"02/2022",E_Suivi_Eans!$D:$D,"Taxes Supports d enregistrement",E_Suivi_Eans!$J:$J,"Rejet 4",E_Suivi_Eans!$K:$K,"&gt;31/12/2021",E_Suivi_Eans!$K:$K,"&lt;01/10/2022")+COUNTIFS(E_Suivi_Eans!$C:$C,"02/2022",E_Suivi_Eans!$D:$D,"Taxes Supports d enregistrement",E_Suivi_Eans!$J:$J,"Relance 1",E_Suivi_Eans!$K:$K,"&gt;31/12/2021",E_Suivi_Eans!$K:$K,"&lt;01/10/2022")+COUNTIFS(E_Suivi_Eans!$C:$C,"02/2022",E_Suivi_Eans!$D:$D,"Taxes Supports d enregistrement",E_Suivi_Eans!$J:$J,"Relance 2",E_Suivi_Eans!$K:$K,"&gt;31/12/2021",E_Suivi_Eans!$K:$K,"&lt;01/10/2022")+COUNTIFS(E_Suivi_Eans!$C:$C,"02/2022",E_Suivi_Eans!$D:$D,"Taxes Supports d enregistrement",E_Suivi_Eans!$J:$J,"Relance 3",E_Suivi_Eans!$K:$K,"&gt;31/12/2021",E_Suivi_Eans!$K:$K,"&lt;01/10/2022")</f>
        <v>0</v>
      </c>
      <c r="E25" s="21">
        <f>COUNTIFS(E_Suivi_Eans!$C:$C,"02/2022",E_Suivi_Eans!$D:$D,"Taxes Supports d enregistrement",E_Suivi_Eans!$J:$J,"Abandon",E_Suivi_Eans!$K:$K,"&gt;31/12/2021",E_Suivi_Eans!K:K,"&lt;01/10/2022")</f>
        <v>0</v>
      </c>
      <c r="F25" s="21">
        <f>COUNTIFS(E_Suivi_Eans!$C:$C,"02/2022",E_Suivi_Eans!$D:$D,"Taxes Supports d enregistrement")</f>
        <v>1</v>
      </c>
      <c r="G25" s="21">
        <f t="shared" si="4"/>
        <v>1</v>
      </c>
      <c r="J25" s="20" t="s">
        <v>5315</v>
      </c>
      <c r="K25" s="20" t="s">
        <v>5325</v>
      </c>
      <c r="L25" s="28">
        <f t="shared" si="5"/>
        <v>1</v>
      </c>
      <c r="M25" s="28">
        <f t="shared" si="5"/>
        <v>0</v>
      </c>
      <c r="N25" s="28">
        <f t="shared" si="5"/>
        <v>0</v>
      </c>
      <c r="O25" s="28">
        <v>1</v>
      </c>
      <c r="P25" s="28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COUNTIFS(E_Suivi_Eans!$C:$C,"02/2022",E_Suivi_Eans!$D:$D,"Taxes Supports d enregistrement",E_Suivi_Eans!$J:$J,"Retour OK",E_Suivi_Eans!$K:$K,"&gt;31/12/2021",E_Suivi_Eans!K:K,"&lt;01/11/2022")</f>
        <v>1</v>
      </c>
      <c r="D26" s="21">
        <f>COUNTIFS(E_Suivi_Eans!$C:$C,"02/2022",E_Suivi_Eans!$D:$D,"Taxes Supports d enregistrement",E_Suivi_Eans!$J:$J,"Rejet 0",E_Suivi_Eans!$K:$K,"&gt;31/12/2021",E_Suivi_Eans!$K:$K,"&lt;01/11/2022")+ COUNTIFS(E_Suivi_Eans!$C:$C,"02/2022",E_Suivi_Eans!$D:$D,"Taxes Supports d enregistrement",E_Suivi_Eans!$J:$J,"Rejet 1",E_Suivi_Eans!$K:$K,"&gt;31/12/2021",E_Suivi_Eans!$K:$K,"&lt;01/11/2022")+COUNTIFS(E_Suivi_Eans!$C:$C,"02/2022",E_Suivi_Eans!$D:$D,"Taxes Supports d enregistrement",E_Suivi_Eans!$J:$J,"Rejet 2",E_Suivi_Eans!$K:$K,"&gt;31/12/2021",E_Suivi_Eans!$K:$K,"&lt;01/11/2022")+COUNTIFS(E_Suivi_Eans!$C:$C,"02/2022",E_Suivi_Eans!$D:$D,"Taxes Supports d enregistrement",E_Suivi_Eans!$J:$J,"Rejet 3",E_Suivi_Eans!$K:$K,"&gt;31/12/2021",E_Suivi_Eans!$K:$K,"&lt;01/11/2022")+ COUNTIFS(E_Suivi_Eans!$C:$C,"02/2022",E_Suivi_Eans!$D:$D,"Taxes Supports d enregistrement",E_Suivi_Eans!$J:$J,"Rejet 4",E_Suivi_Eans!$K:$K,"&gt;31/12/2021",E_Suivi_Eans!$K:$K,"&lt;01/11/2022")+COUNTIFS(E_Suivi_Eans!$C:$C,"02/2022",E_Suivi_Eans!$D:$D,"Taxes Supports d enregistrement",E_Suivi_Eans!$J:$J,"Relance 1",E_Suivi_Eans!$K:$K,"&gt;31/12/2021",E_Suivi_Eans!$K:$K,"&lt;01/11/2022")+COUNTIFS(E_Suivi_Eans!$C:$C,"02/2022",E_Suivi_Eans!$D:$D,"Taxes Supports d enregistrement",E_Suivi_Eans!$J:$J,"Relance 2",E_Suivi_Eans!$K:$K,"&gt;31/12/2021",E_Suivi_Eans!$K:$K,"&lt;01/11/2022")+COUNTIFS(E_Suivi_Eans!$C:$C,"02/2022",E_Suivi_Eans!$D:$D,"Taxes Supports d enregistrement",E_Suivi_Eans!$J:$J,"Relance 3",E_Suivi_Eans!$K:$K,"&gt;31/12/2021",E_Suivi_Eans!$K:$K,"&lt;01/11/2022")</f>
        <v>0</v>
      </c>
      <c r="E26" s="21">
        <f>COUNTIFS(E_Suivi_Eans!$C:$C,"02/2022",E_Suivi_Eans!$D:$D,"Taxes Supports d enregistrement",E_Suivi_Eans!$J:$J,"Abandon",E_Suivi_Eans!$K:$K,"&gt;31/12/2021",E_Suivi_Eans!K:K,"&lt;01/11/2022")</f>
        <v>0</v>
      </c>
      <c r="F26" s="21">
        <f>COUNTIFS(E_Suivi_Eans!$C:$C,"02/2022",E_Suivi_Eans!$D:$D,"Taxes Supports d enregistrement")</f>
        <v>1</v>
      </c>
      <c r="G26" s="21">
        <f t="shared" si="4"/>
        <v>1</v>
      </c>
      <c r="J26" s="20" t="s">
        <v>5315</v>
      </c>
      <c r="K26" s="20" t="s">
        <v>5326</v>
      </c>
      <c r="L26" s="28">
        <f t="shared" si="5"/>
        <v>1</v>
      </c>
      <c r="M26" s="28">
        <f t="shared" si="5"/>
        <v>0</v>
      </c>
      <c r="N26" s="28">
        <f t="shared" si="5"/>
        <v>0</v>
      </c>
      <c r="O26" s="28">
        <v>1</v>
      </c>
      <c r="P26" s="28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COUNTIFS(E_Suivi_Eans!$C:$C,"02/2022",E_Suivi_Eans!$D:$D,"Taxes Supports d enregistrement",E_Suivi_Eans!$J:$J,"Retour OK",E_Suivi_Eans!$K:$K,"&gt;31/12/2021",E_Suivi_Eans!K:K,"&lt;01/12/2022")</f>
        <v>1</v>
      </c>
      <c r="D27" s="21">
        <f>COUNTIFS(E_Suivi_Eans!$C:$C,"02/2022",E_Suivi_Eans!$D:$D,"Taxes Supports d enregistrement",E_Suivi_Eans!$J:$J,"Rejet 0",E_Suivi_Eans!$K:$K,"&gt;31/12/2021",E_Suivi_Eans!$K:$K,"&lt;01/12/2022")+ COUNTIFS(E_Suivi_Eans!$C:$C,"02/2022",E_Suivi_Eans!$D:$D,"Taxes Supports d enregistrement",E_Suivi_Eans!$J:$J,"Rejet 1",E_Suivi_Eans!$K:$K,"&gt;31/12/2021",E_Suivi_Eans!$K:$K,"&lt;01/12/2022")+COUNTIFS(E_Suivi_Eans!$C:$C,"02/2022",E_Suivi_Eans!$D:$D,"Taxes Supports d enregistrement",E_Suivi_Eans!$J:$J,"Rejet 2",E_Suivi_Eans!$K:$K,"&gt;31/12/2021",E_Suivi_Eans!$K:$K,"&lt;01/12/2022")+COUNTIFS(E_Suivi_Eans!$C:$C,"02/2022",E_Suivi_Eans!$D:$D,"Taxes Supports d enregistrement",E_Suivi_Eans!$J:$J,"Rejet 3",E_Suivi_Eans!$K:$K,"&gt;31/12/2021",E_Suivi_Eans!$K:$K,"&lt;01/12/2022")+ COUNTIFS(E_Suivi_Eans!$C:$C,"02/2022",E_Suivi_Eans!$D:$D,"Taxes Supports d enregistrement",E_Suivi_Eans!$J:$J,"Rejet 4",E_Suivi_Eans!$K:$K,"&gt;31/12/2021",E_Suivi_Eans!$K:$K,"&lt;01/12/2022")+COUNTIFS(E_Suivi_Eans!$C:$C,"02/2022",E_Suivi_Eans!$D:$D,"Taxes Supports d enregistrement",E_Suivi_Eans!$J:$J,"Relance 1",E_Suivi_Eans!$K:$K,"&gt;31/12/2021",E_Suivi_Eans!$K:$K,"&lt;01/12/2022")+COUNTIFS(E_Suivi_Eans!$C:$C,"02/2022",E_Suivi_Eans!$D:$D,"Taxes Supports d enregistrement",E_Suivi_Eans!$J:$J,"Relance 2",E_Suivi_Eans!$K:$K,"&gt;31/12/2021",E_Suivi_Eans!$K:$K,"&lt;01/12/2022")+COUNTIFS(E_Suivi_Eans!$C:$C,"02/2022",E_Suivi_Eans!$D:$D,"Taxes Supports d enregistrement",E_Suivi_Eans!$J:$J,"Relance 3",E_Suivi_Eans!$K:$K,"&gt;31/12/2021",E_Suivi_Eans!$K:$K,"&lt;01/12/2022")</f>
        <v>0</v>
      </c>
      <c r="E27" s="21">
        <f>COUNTIFS(E_Suivi_Eans!$C:$C,"02/2022",E_Suivi_Eans!$D:$D,"Taxes Supports d enregistrement",E_Suivi_Eans!$J:$J,"Abandon",E_Suivi_Eans!$K:$K,"&gt;31/12/2021",E_Suivi_Eans!K:K,"&lt;01/12/2022")</f>
        <v>0</v>
      </c>
      <c r="F27" s="21">
        <f>COUNTIFS(E_Suivi_Eans!$C:$C,"02/2022",E_Suivi_Eans!$D:$D,"Taxes Supports d enregistrement")</f>
        <v>1</v>
      </c>
      <c r="G27" s="21">
        <f t="shared" si="4"/>
        <v>1</v>
      </c>
      <c r="J27" s="20" t="s">
        <v>5315</v>
      </c>
      <c r="K27" s="20" t="s">
        <v>5327</v>
      </c>
      <c r="L27" s="28">
        <f t="shared" si="5"/>
        <v>1</v>
      </c>
      <c r="M27" s="28">
        <f t="shared" si="5"/>
        <v>0</v>
      </c>
      <c r="N27" s="28">
        <f t="shared" si="5"/>
        <v>0</v>
      </c>
      <c r="O27" s="28">
        <v>1</v>
      </c>
      <c r="P27" s="28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8"/>
      <c r="P28" s="28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5"/>
      <c r="F29" s="25"/>
      <c r="G29" s="25"/>
      <c r="J29" s="22"/>
      <c r="K29" s="22"/>
      <c r="L29" s="23"/>
      <c r="M29" s="24"/>
      <c r="N29" s="25"/>
      <c r="O29" s="31"/>
      <c r="P29" s="31"/>
      <c r="S29" s="22"/>
      <c r="T29" s="22"/>
      <c r="U29" s="23"/>
      <c r="V29" s="24"/>
      <c r="W29" s="25"/>
      <c r="X29" s="25"/>
      <c r="Y29" s="25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8"/>
      <c r="P30" s="28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8"/>
      <c r="P31" s="28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COUNTIFS(E_Suivi_Eans!$C:$C,"03/2022",E_Suivi_Eans!$D:$D,"Taxes Supports d enregistrement",E_Suivi_Eans!$J:$J,"Retour OK",E_Suivi_Eans!$K:$K,"&gt;31/12/2021",E_Suivi_Eans!K:K,"&lt;01/04/2022")</f>
        <v>0</v>
      </c>
      <c r="D32" s="21">
        <f>COUNTIFS(E_Suivi_Eans!$C:$C,"03/2022",E_Suivi_Eans!$D:$D,"Taxes Supports d enregistrement",E_Suivi_Eans!$J:$J,"Rejet 0",E_Suivi_Eans!$K:$K,"&gt;31/12/2021",E_Suivi_Eans!$K:$K,"&lt;01/04/2022")+ COUNTIFS(E_Suivi_Eans!$C:$C,"03/2022",E_Suivi_Eans!$D:$D,"Taxes Supports d enregistrement",E_Suivi_Eans!$J:$J,"Rejet 1",E_Suivi_Eans!$K:$K,"&gt;31/12/2021",E_Suivi_Eans!$K:$K,"&lt;01/04/2022")+COUNTIFS(E_Suivi_Eans!$C:$C,"03/2022",E_Suivi_Eans!$D:$D,"Taxes Supports d enregistrement",E_Suivi_Eans!$J:$J,"Rejet 2",E_Suivi_Eans!$K:$K,"&gt;31/12/2021",E_Suivi_Eans!$K:$K,"&lt;01/04/2022")+COUNTIFS(E_Suivi_Eans!$C:$C,"03/2022",E_Suivi_Eans!$D:$D,"Taxes Supports d enregistrement",E_Suivi_Eans!$J:$J,"Rejet 3",E_Suivi_Eans!$K:$K,"&gt;31/12/2021",E_Suivi_Eans!$K:$K,"&lt;01/04/2022")+ COUNTIFS(E_Suivi_Eans!$C:$C,"03/2022",E_Suivi_Eans!$D:$D,"Taxes Supports d enregistrement",E_Suivi_Eans!$J:$J,"Rejet 4",E_Suivi_Eans!$K:$K,"&gt;31/12/2021",E_Suivi_Eans!$K:$K,"&lt;01/04/2022")+COUNTIFS(E_Suivi_Eans!$C:$C,"03/2022",E_Suivi_Eans!$D:$D,"Taxes Supports d enregistrement",E_Suivi_Eans!$J:$J,"Relance 1",E_Suivi_Eans!$K:$K,"&gt;31/12/2021",E_Suivi_Eans!$K:$K,"&lt;01/04/2022")+COUNTIFS(E_Suivi_Eans!$C:$C,"03/2022",E_Suivi_Eans!$D:$D,"Taxes Supports d enregistrement",E_Suivi_Eans!$J:$J,"Relance 2",E_Suivi_Eans!$K:$K,"&gt;31/12/2021",E_Suivi_Eans!$K:$K,"&lt;01/04/2022")+COUNTIFS(E_Suivi_Eans!$C:$C,"03/2022",E_Suivi_Eans!$D:$D,"Taxes Supports d enregistrement",E_Suivi_Eans!$J:$J,"Relance 3",E_Suivi_Eans!$K:$K,"&gt;31/12/2021",E_Suivi_Eans!$K:$K,"&lt;01/04/2022")</f>
        <v>0</v>
      </c>
      <c r="E32" s="21">
        <f>COUNTIFS(E_Suivi_Eans!$C:$C,"03/2022",E_Suivi_Eans!$D:$D,"Taxes Supports d enregistrement",E_Suivi_Eans!$J:$J,"Abandon",E_Suivi_Eans!$K:$K,"&gt;31/12/2021",E_Suivi_Eans!K:K,"&lt;01/04/2022")</f>
        <v>0</v>
      </c>
      <c r="F32" s="21">
        <f>COUNTIFS(E_Suivi_Eans!$C:$C,"03/2022",E_Suivi_Eans!$D:$D,"Taxes Supports d enregistrement")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8" t="e">
        <f t="shared" ref="L32:N40" si="7">C32/$G32</f>
        <v>#DIV/0!</v>
      </c>
      <c r="M32" s="28" t="e">
        <f t="shared" si="7"/>
        <v>#DIV/0!</v>
      </c>
      <c r="N32" s="28" t="e">
        <f t="shared" si="7"/>
        <v>#DIV/0!</v>
      </c>
      <c r="O32" s="28">
        <v>1</v>
      </c>
      <c r="P32" s="28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COUNTIFS(E_Suivi_Eans!$C:$C,"03/2022",E_Suivi_Eans!$D:$D,"Taxes Supports d enregistrement",E_Suivi_Eans!$J:$J,"Retour OK",E_Suivi_Eans!$K:$K,"&gt;31/12/2021",E_Suivi_Eans!K:K,"&lt;01/05/2022")</f>
        <v>0</v>
      </c>
      <c r="D33" s="21">
        <f>COUNTIFS(E_Suivi_Eans!$C:$C,"03/2022",E_Suivi_Eans!$D:$D,"Taxes Supports d enregistrement",E_Suivi_Eans!$J:$J,"Rejet 0",E_Suivi_Eans!$K:$K,"&gt;31/12/2021",E_Suivi_Eans!$K:$K,"&lt;01/05/2022")+ COUNTIFS(E_Suivi_Eans!$C:$C,"03/2022",E_Suivi_Eans!$D:$D,"Taxes Supports d enregistrement",E_Suivi_Eans!$J:$J,"Rejet 1",E_Suivi_Eans!$K:$K,"&gt;31/12/2021",E_Suivi_Eans!$K:$K,"&lt;01/05/2022")+COUNTIFS(E_Suivi_Eans!$C:$C,"03/2022",E_Suivi_Eans!$D:$D,"Taxes Supports d enregistrement",E_Suivi_Eans!$J:$J,"Rejet 2",E_Suivi_Eans!$K:$K,"&gt;31/12/2021",E_Suivi_Eans!$K:$K,"&lt;01/05/2022")+COUNTIFS(E_Suivi_Eans!$C:$C,"03/2022",E_Suivi_Eans!$D:$D,"Taxes Supports d enregistrement",E_Suivi_Eans!$J:$J,"Rejet 3",E_Suivi_Eans!$K:$K,"&gt;31/12/2021",E_Suivi_Eans!$K:$K,"&lt;01/05/2022")+ COUNTIFS(E_Suivi_Eans!$C:$C,"03/2022",E_Suivi_Eans!$D:$D,"Taxes Supports d enregistrement",E_Suivi_Eans!$J:$J,"Rejet 4",E_Suivi_Eans!$K:$K,"&gt;31/12/2021",E_Suivi_Eans!$K:$K,"&lt;01/05/2022")+COUNTIFS(E_Suivi_Eans!$C:$C,"03/2022",E_Suivi_Eans!$D:$D,"Taxes Supports d enregistrement",E_Suivi_Eans!$J:$J,"Relance 1",E_Suivi_Eans!$K:$K,"&gt;31/12/2021",E_Suivi_Eans!$K:$K,"&lt;01/05/2022")+COUNTIFS(E_Suivi_Eans!$C:$C,"03/2022",E_Suivi_Eans!$D:$D,"Taxes Supports d enregistrement",E_Suivi_Eans!$J:$J,"Relance 2",E_Suivi_Eans!$K:$K,"&gt;31/12/2021",E_Suivi_Eans!$K:$K,"&lt;01/05/2022")+COUNTIFS(E_Suivi_Eans!$C:$C,"03/2022",E_Suivi_Eans!$D:$D,"Taxes Supports d enregistrement",E_Suivi_Eans!$J:$J,"Relance 3",E_Suivi_Eans!$K:$K,"&gt;31/12/2021",E_Suivi_Eans!$K:$K,"&lt;01/05/2022")</f>
        <v>0</v>
      </c>
      <c r="E33" s="21">
        <f>COUNTIFS(E_Suivi_Eans!$C:$C,"03/2022",E_Suivi_Eans!$D:$D,"Taxes Supports d enregistrement",E_Suivi_Eans!$J:$J,"Abandon",E_Suivi_Eans!$K:$K,"&gt;31/12/2021",E_Suivi_Eans!K:K,"&lt;01/05/2022")</f>
        <v>0</v>
      </c>
      <c r="F33" s="21">
        <f>COUNTIFS(E_Suivi_Eans!$C:$C,"03/2022",E_Suivi_Eans!$D:$D,"Taxes Supports d enregistrement")</f>
        <v>0</v>
      </c>
      <c r="G33" s="21">
        <f t="shared" si="6"/>
        <v>0</v>
      </c>
      <c r="J33" s="20" t="s">
        <v>5316</v>
      </c>
      <c r="K33" s="20" t="s">
        <v>5317</v>
      </c>
      <c r="L33" s="28" t="e">
        <f t="shared" si="7"/>
        <v>#DIV/0!</v>
      </c>
      <c r="M33" s="28" t="e">
        <f t="shared" si="7"/>
        <v>#DIV/0!</v>
      </c>
      <c r="N33" s="28" t="e">
        <f t="shared" si="7"/>
        <v>#DIV/0!</v>
      </c>
      <c r="O33" s="28">
        <v>1</v>
      </c>
      <c r="P33" s="28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COUNTIFS(E_Suivi_Eans!$C:$C,"03/2022",E_Suivi_Eans!$D:$D,"Taxes Supports d enregistrement",E_Suivi_Eans!$J:$J,"Retour OK",E_Suivi_Eans!$K:$K,"&gt;31/12/2021",E_Suivi_Eans!K:K,"&lt;01/06/2022")</f>
        <v>0</v>
      </c>
      <c r="D34" s="21">
        <f>COUNTIFS(E_Suivi_Eans!$C:$C,"03/2022",E_Suivi_Eans!$D:$D,"Taxes Supports d enregistrement",E_Suivi_Eans!$J:$J,"Rejet 0",E_Suivi_Eans!$K:$K,"&gt;31/12/2021",E_Suivi_Eans!$K:$K,"&lt;01/06/2022")+ COUNTIFS(E_Suivi_Eans!$C:$C,"03/2022",E_Suivi_Eans!$D:$D,"Taxes Supports d enregistrement",E_Suivi_Eans!$J:$J,"Rejet 1",E_Suivi_Eans!$K:$K,"&gt;31/12/2021",E_Suivi_Eans!$K:$K,"&lt;01/06/2022")+COUNTIFS(E_Suivi_Eans!$C:$C,"03/2022",E_Suivi_Eans!$D:$D,"Taxes Supports d enregistrement",E_Suivi_Eans!$J:$J,"Rejet 2",E_Suivi_Eans!$K:$K,"&gt;31/12/2021",E_Suivi_Eans!$K:$K,"&lt;01/06/2022")+COUNTIFS(E_Suivi_Eans!$C:$C,"03/2022",E_Suivi_Eans!$D:$D,"Taxes Supports d enregistrement",E_Suivi_Eans!$J:$J,"Rejet 3",E_Suivi_Eans!$K:$K,"&gt;31/12/2021",E_Suivi_Eans!$K:$K,"&lt;01/06/2022")+ COUNTIFS(E_Suivi_Eans!$C:$C,"03/2022",E_Suivi_Eans!$D:$D,"Taxes Supports d enregistrement",E_Suivi_Eans!$J:$J,"Rejet 4",E_Suivi_Eans!$K:$K,"&gt;31/12/2021",E_Suivi_Eans!$K:$K,"&lt;01/06/2022")+COUNTIFS(E_Suivi_Eans!$C:$C,"03/2022",E_Suivi_Eans!$D:$D,"Taxes Supports d enregistrement",E_Suivi_Eans!$J:$J,"Relance 1",E_Suivi_Eans!$K:$K,"&gt;31/12/2021",E_Suivi_Eans!$K:$K,"&lt;01/06/2022")+COUNTIFS(E_Suivi_Eans!$C:$C,"03/2022",E_Suivi_Eans!$D:$D,"Taxes Supports d enregistrement",E_Suivi_Eans!$J:$J,"Relance 2",E_Suivi_Eans!$K:$K,"&gt;31/12/2021",E_Suivi_Eans!$K:$K,"&lt;01/06/2022")+COUNTIFS(E_Suivi_Eans!$C:$C,"03/2022",E_Suivi_Eans!$D:$D,"Taxes Supports d enregistrement",E_Suivi_Eans!$J:$J,"Relance 3",E_Suivi_Eans!$K:$K,"&gt;31/12/2021",E_Suivi_Eans!$K:$K,"&lt;01/06/2022")</f>
        <v>0</v>
      </c>
      <c r="E34" s="21">
        <f>COUNTIFS(E_Suivi_Eans!$C:$C,"03/2022",E_Suivi_Eans!$D:$D,"Taxes Supports d enregistrement",E_Suivi_Eans!$J:$J,"Abandon",E_Suivi_Eans!$K:$K,"&gt;31/12/2021",E_Suivi_Eans!K:K,"&lt;01/06/2022")</f>
        <v>0</v>
      </c>
      <c r="F34" s="21">
        <f>COUNTIFS(E_Suivi_Eans!$C:$C,"03/2022",E_Suivi_Eans!$D:$D,"Taxes Supports d enregistrement")</f>
        <v>0</v>
      </c>
      <c r="G34" s="21">
        <f t="shared" si="6"/>
        <v>0</v>
      </c>
      <c r="J34" s="20" t="s">
        <v>5316</v>
      </c>
      <c r="K34" s="20" t="s">
        <v>5318</v>
      </c>
      <c r="L34" s="28" t="e">
        <f t="shared" si="7"/>
        <v>#DIV/0!</v>
      </c>
      <c r="M34" s="28" t="e">
        <f t="shared" si="7"/>
        <v>#DIV/0!</v>
      </c>
      <c r="N34" s="28" t="e">
        <f t="shared" si="7"/>
        <v>#DIV/0!</v>
      </c>
      <c r="O34" s="28">
        <v>1</v>
      </c>
      <c r="P34" s="28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COUNTIFS(E_Suivi_Eans!$C:$C,"03/2022",E_Suivi_Eans!$D:$D,"Taxes Supports d enregistrement",E_Suivi_Eans!$J:$J,"Retour OK",E_Suivi_Eans!$K:$K,"&gt;31/12/2021",E_Suivi_Eans!K:K,"&lt;01/07/2022")</f>
        <v>0</v>
      </c>
      <c r="D35" s="21">
        <f>COUNTIFS(E_Suivi_Eans!$C:$C,"03/2022",E_Suivi_Eans!$D:$D,"Taxes Supports d enregistrement",E_Suivi_Eans!$J:$J,"Rejet 0",E_Suivi_Eans!$K:$K,"&gt;31/12/2021",E_Suivi_Eans!$K:$K,"&lt;01/07/2022")+ COUNTIFS(E_Suivi_Eans!$C:$C,"03/2022",E_Suivi_Eans!$D:$D,"Taxes Supports d enregistrement",E_Suivi_Eans!$J:$J,"Rejet 1",E_Suivi_Eans!$K:$K,"&gt;31/12/2021",E_Suivi_Eans!$K:$K,"&lt;01/07/2022")+COUNTIFS(E_Suivi_Eans!$C:$C,"03/2022",E_Suivi_Eans!$D:$D,"Taxes Supports d enregistrement",E_Suivi_Eans!$J:$J,"Rejet 2",E_Suivi_Eans!$K:$K,"&gt;31/12/2021",E_Suivi_Eans!$K:$K,"&lt;01/07/2022")+COUNTIFS(E_Suivi_Eans!$C:$C,"03/2022",E_Suivi_Eans!$D:$D,"Taxes Supports d enregistrement",E_Suivi_Eans!$J:$J,"Rejet 3",E_Suivi_Eans!$K:$K,"&gt;31/12/2021",E_Suivi_Eans!$K:$K,"&lt;01/07/2022")+ COUNTIFS(E_Suivi_Eans!$C:$C,"03/2022",E_Suivi_Eans!$D:$D,"Taxes Supports d enregistrement",E_Suivi_Eans!$J:$J,"Rejet 4",E_Suivi_Eans!$K:$K,"&gt;31/12/2021",E_Suivi_Eans!$K:$K,"&lt;01/07/2022")+COUNTIFS(E_Suivi_Eans!$C:$C,"03/2022",E_Suivi_Eans!$D:$D,"Taxes Supports d enregistrement",E_Suivi_Eans!$J:$J,"Relance 1",E_Suivi_Eans!$K:$K,"&gt;31/12/2021",E_Suivi_Eans!$K:$K,"&lt;01/07/2022")+COUNTIFS(E_Suivi_Eans!$C:$C,"03/2022",E_Suivi_Eans!$D:$D,"Taxes Supports d enregistrement",E_Suivi_Eans!$J:$J,"Relance 2",E_Suivi_Eans!$K:$K,"&gt;31/12/2021",E_Suivi_Eans!$K:$K,"&lt;01/07/2022")+COUNTIFS(E_Suivi_Eans!$C:$C,"03/2022",E_Suivi_Eans!$D:$D,"Taxes Supports d enregistrement",E_Suivi_Eans!$J:$J,"Relance 3",E_Suivi_Eans!$K:$K,"&gt;31/12/2021",E_Suivi_Eans!$K:$K,"&lt;01/07/2022")</f>
        <v>0</v>
      </c>
      <c r="E35" s="21">
        <f>COUNTIFS(E_Suivi_Eans!$C:$C,"03/2022",E_Suivi_Eans!$D:$D,"Taxes Supports d enregistrement",E_Suivi_Eans!$J:$J,"Abandon",E_Suivi_Eans!$K:$K,"&gt;31/12/2021",E_Suivi_Eans!K:K,"&lt;01/07/2022")</f>
        <v>0</v>
      </c>
      <c r="F35" s="21">
        <f>COUNTIFS(E_Suivi_Eans!$C:$C,"03/2022",E_Suivi_Eans!$D:$D,"Taxes Supports d enregistrement")</f>
        <v>0</v>
      </c>
      <c r="G35" s="21">
        <f t="shared" si="6"/>
        <v>0</v>
      </c>
      <c r="J35" s="20" t="s">
        <v>5316</v>
      </c>
      <c r="K35" s="20" t="s">
        <v>5319</v>
      </c>
      <c r="L35" s="28" t="e">
        <f t="shared" si="7"/>
        <v>#DIV/0!</v>
      </c>
      <c r="M35" s="28" t="e">
        <f t="shared" si="7"/>
        <v>#DIV/0!</v>
      </c>
      <c r="N35" s="28" t="e">
        <f t="shared" si="7"/>
        <v>#DIV/0!</v>
      </c>
      <c r="O35" s="28">
        <v>1</v>
      </c>
      <c r="P35" s="28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COUNTIFS(E_Suivi_Eans!$C:$C,"03/2022",E_Suivi_Eans!$D:$D,"Taxes Supports d enregistrement",E_Suivi_Eans!$J:$J,"Retour OK",E_Suivi_Eans!$K:$K,"&gt;31/12/2021",E_Suivi_Eans!K:K,"&lt;01/08/2022")</f>
        <v>0</v>
      </c>
      <c r="D36" s="21">
        <f>COUNTIFS(E_Suivi_Eans!$C:$C,"03/2022",E_Suivi_Eans!$D:$D,"Taxes Supports d enregistrement",E_Suivi_Eans!$J:$J,"Rejet 0",E_Suivi_Eans!$K:$K,"&gt;31/12/2021",E_Suivi_Eans!$K:$K,"&lt;01/08/2022")+ COUNTIFS(E_Suivi_Eans!$C:$C,"03/2022",E_Suivi_Eans!$D:$D,"Taxes Supports d enregistrement",E_Suivi_Eans!$J:$J,"Rejet 1",E_Suivi_Eans!$K:$K,"&gt;31/12/2021",E_Suivi_Eans!$K:$K,"&lt;01/08/2022")+COUNTIFS(E_Suivi_Eans!$C:$C,"03/2022",E_Suivi_Eans!$D:$D,"Taxes Supports d enregistrement",E_Suivi_Eans!$J:$J,"Rejet 2",E_Suivi_Eans!$K:$K,"&gt;31/12/2021",E_Suivi_Eans!$K:$K,"&lt;01/08/2022")+COUNTIFS(E_Suivi_Eans!$C:$C,"03/2022",E_Suivi_Eans!$D:$D,"Taxes Supports d enregistrement",E_Suivi_Eans!$J:$J,"Rejet 3",E_Suivi_Eans!$K:$K,"&gt;31/12/2021",E_Suivi_Eans!$K:$K,"&lt;01/08/2022")+ COUNTIFS(E_Suivi_Eans!$C:$C,"03/2022",E_Suivi_Eans!$D:$D,"Taxes Supports d enregistrement",E_Suivi_Eans!$J:$J,"Rejet 4",E_Suivi_Eans!$K:$K,"&gt;31/12/2021",E_Suivi_Eans!$K:$K,"&lt;01/08/2022")+COUNTIFS(E_Suivi_Eans!$C:$C,"03/2022",E_Suivi_Eans!$D:$D,"Taxes Supports d enregistrement",E_Suivi_Eans!$J:$J,"Relance 1",E_Suivi_Eans!$K:$K,"&gt;31/12/2021",E_Suivi_Eans!$K:$K,"&lt;01/08/2022")+COUNTIFS(E_Suivi_Eans!$C:$C,"03/2022",E_Suivi_Eans!$D:$D,"Taxes Supports d enregistrement",E_Suivi_Eans!$J:$J,"Relance 2",E_Suivi_Eans!$K:$K,"&gt;31/12/2021",E_Suivi_Eans!$K:$K,"&lt;01/08/2022")+COUNTIFS(E_Suivi_Eans!$C:$C,"03/2022",E_Suivi_Eans!$D:$D,"Taxes Supports d enregistrement",E_Suivi_Eans!$J:$J,"Relance 3",E_Suivi_Eans!$K:$K,"&gt;31/12/2021",E_Suivi_Eans!$K:$K,"&lt;01/08/2022")</f>
        <v>0</v>
      </c>
      <c r="E36" s="21">
        <f>COUNTIFS(E_Suivi_Eans!$C:$C,"03/2022",E_Suivi_Eans!$D:$D,"Taxes Supports d enregistrement",E_Suivi_Eans!$J:$J,"Abandon",E_Suivi_Eans!$K:$K,"&gt;31/12/2021",E_Suivi_Eans!K:K,"&lt;01/08/2022")</f>
        <v>0</v>
      </c>
      <c r="F36" s="21">
        <f>COUNTIFS(E_Suivi_Eans!$C:$C,"03/2022",E_Suivi_Eans!$D:$D,"Taxes Supports d enregistrement")</f>
        <v>0</v>
      </c>
      <c r="G36" s="21">
        <f t="shared" si="6"/>
        <v>0</v>
      </c>
      <c r="J36" s="20" t="s">
        <v>5316</v>
      </c>
      <c r="K36" s="20" t="s">
        <v>5320</v>
      </c>
      <c r="L36" s="28" t="e">
        <f t="shared" si="7"/>
        <v>#DIV/0!</v>
      </c>
      <c r="M36" s="28" t="e">
        <f t="shared" si="7"/>
        <v>#DIV/0!</v>
      </c>
      <c r="N36" s="28" t="e">
        <f t="shared" si="7"/>
        <v>#DIV/0!</v>
      </c>
      <c r="O36" s="28">
        <v>1</v>
      </c>
      <c r="P36" s="28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COUNTIFS(E_Suivi_Eans!$C:$C,"03/2022",E_Suivi_Eans!$D:$D,"Taxes Supports d enregistrement",E_Suivi_Eans!$J:$J,"Retour OK",E_Suivi_Eans!$K:$K,"&gt;31/12/2021",E_Suivi_Eans!K:K,"&lt;01/09/2022")</f>
        <v>0</v>
      </c>
      <c r="D37" s="21">
        <f>COUNTIFS(E_Suivi_Eans!$C:$C,"03/2022",E_Suivi_Eans!$D:$D,"Taxes Supports d enregistrement",E_Suivi_Eans!$J:$J,"Rejet 0",E_Suivi_Eans!$K:$K,"&gt;31/12/2021",E_Suivi_Eans!$K:$K,"&lt;01/09/2022")+ COUNTIFS(E_Suivi_Eans!$C:$C,"03/2022",E_Suivi_Eans!$D:$D,"Taxes Supports d enregistrement",E_Suivi_Eans!$J:$J,"Rejet 1",E_Suivi_Eans!$K:$K,"&gt;31/12/2021",E_Suivi_Eans!$K:$K,"&lt;01/09/2022")+COUNTIFS(E_Suivi_Eans!$C:$C,"03/2022",E_Suivi_Eans!$D:$D,"Taxes Supports d enregistrement",E_Suivi_Eans!$J:$J,"Rejet 2",E_Suivi_Eans!$K:$K,"&gt;31/12/2021",E_Suivi_Eans!$K:$K,"&lt;01/09/2022")+COUNTIFS(E_Suivi_Eans!$C:$C,"03/2022",E_Suivi_Eans!$D:$D,"Taxes Supports d enregistrement",E_Suivi_Eans!$J:$J,"Rejet 3",E_Suivi_Eans!$K:$K,"&gt;31/12/2021",E_Suivi_Eans!$K:$K,"&lt;01/09/2022")+ COUNTIFS(E_Suivi_Eans!$C:$C,"03/2022",E_Suivi_Eans!$D:$D,"Taxes Supports d enregistrement",E_Suivi_Eans!$J:$J,"Rejet 4",E_Suivi_Eans!$K:$K,"&gt;31/12/2021",E_Suivi_Eans!$K:$K,"&lt;01/09/2022")+COUNTIFS(E_Suivi_Eans!$C:$C,"03/2022",E_Suivi_Eans!$D:$D,"Taxes Supports d enregistrement",E_Suivi_Eans!$J:$J,"Relance 1",E_Suivi_Eans!$K:$K,"&gt;31/12/2021",E_Suivi_Eans!$K:$K,"&lt;01/09/2022")+COUNTIFS(E_Suivi_Eans!$C:$C,"03/2022",E_Suivi_Eans!$D:$D,"Taxes Supports d enregistrement",E_Suivi_Eans!$J:$J,"Relance 2",E_Suivi_Eans!$K:$K,"&gt;31/12/2021",E_Suivi_Eans!$K:$K,"&lt;01/09/2022")+COUNTIFS(E_Suivi_Eans!$C:$C,"03/2022",E_Suivi_Eans!$D:$D,"Taxes Supports d enregistrement",E_Suivi_Eans!$J:$J,"Relance 3",E_Suivi_Eans!$K:$K,"&gt;31/12/2021",E_Suivi_Eans!$K:$K,"&lt;01/09/2022")</f>
        <v>0</v>
      </c>
      <c r="E37" s="21">
        <f>COUNTIFS(E_Suivi_Eans!$C:$C,"03/2022",E_Suivi_Eans!$D:$D,"Taxes Supports d enregistrement",E_Suivi_Eans!$J:$J,"Abandon",E_Suivi_Eans!$K:$K,"&gt;31/12/2021",E_Suivi_Eans!K:K,"&lt;01/09/2022")</f>
        <v>0</v>
      </c>
      <c r="F37" s="21">
        <f>COUNTIFS(E_Suivi_Eans!$C:$C,"03/2022",E_Suivi_Eans!$D:$D,"Taxes Supports d enregistrement")</f>
        <v>0</v>
      </c>
      <c r="G37" s="21">
        <f t="shared" si="6"/>
        <v>0</v>
      </c>
      <c r="J37" s="20" t="s">
        <v>5316</v>
      </c>
      <c r="K37" s="20" t="s">
        <v>5321</v>
      </c>
      <c r="L37" s="28" t="e">
        <f t="shared" si="7"/>
        <v>#DIV/0!</v>
      </c>
      <c r="M37" s="28" t="e">
        <f t="shared" si="7"/>
        <v>#DIV/0!</v>
      </c>
      <c r="N37" s="28" t="e">
        <f t="shared" si="7"/>
        <v>#DIV/0!</v>
      </c>
      <c r="O37" s="28">
        <v>1</v>
      </c>
      <c r="P37" s="28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COUNTIFS(E_Suivi_Eans!$C:$C,"03/2022",E_Suivi_Eans!$D:$D,"Taxes Supports d enregistrement",E_Suivi_Eans!$J:$J,"Retour OK",E_Suivi_Eans!$K:$K,"&gt;31/12/2021",E_Suivi_Eans!K:K,"&lt;01/10/2022")</f>
        <v>0</v>
      </c>
      <c r="D38" s="21">
        <f>COUNTIFS(E_Suivi_Eans!$C:$C,"03/2022",E_Suivi_Eans!$D:$D,"Taxes Supports d enregistrement",E_Suivi_Eans!$J:$J,"Rejet 0",E_Suivi_Eans!$K:$K,"&gt;31/12/2021",E_Suivi_Eans!$K:$K,"&lt;01/10/2022")+ COUNTIFS(E_Suivi_Eans!$C:$C,"03/2022",E_Suivi_Eans!$D:$D,"Taxes Supports d enregistrement",E_Suivi_Eans!$J:$J,"Rejet 1",E_Suivi_Eans!$K:$K,"&gt;31/12/2021",E_Suivi_Eans!$K:$K,"&lt;01/10/2022")+COUNTIFS(E_Suivi_Eans!$C:$C,"03/2022",E_Suivi_Eans!$D:$D,"Taxes Supports d enregistrement",E_Suivi_Eans!$J:$J,"Rejet 2",E_Suivi_Eans!$K:$K,"&gt;31/12/2021",E_Suivi_Eans!$K:$K,"&lt;01/10/2022")+COUNTIFS(E_Suivi_Eans!$C:$C,"03/2022",E_Suivi_Eans!$D:$D,"Taxes Supports d enregistrement",E_Suivi_Eans!$J:$J,"Rejet 3",E_Suivi_Eans!$K:$K,"&gt;31/12/2021",E_Suivi_Eans!$K:$K,"&lt;01/10/2022")+ COUNTIFS(E_Suivi_Eans!$C:$C,"03/2022",E_Suivi_Eans!$D:$D,"Taxes Supports d enregistrement",E_Suivi_Eans!$J:$J,"Rejet 4",E_Suivi_Eans!$K:$K,"&gt;31/12/2021",E_Suivi_Eans!$K:$K,"&lt;01/10/2022")+COUNTIFS(E_Suivi_Eans!$C:$C,"03/2022",E_Suivi_Eans!$D:$D,"Taxes Supports d enregistrement",E_Suivi_Eans!$J:$J,"Relance 1",E_Suivi_Eans!$K:$K,"&gt;31/12/2021",E_Suivi_Eans!$K:$K,"&lt;01/10/2022")+COUNTIFS(E_Suivi_Eans!$C:$C,"03/2022",E_Suivi_Eans!$D:$D,"Taxes Supports d enregistrement",E_Suivi_Eans!$J:$J,"Relance 2",E_Suivi_Eans!$K:$K,"&gt;31/12/2021",E_Suivi_Eans!$K:$K,"&lt;01/10/2022")+COUNTIFS(E_Suivi_Eans!$C:$C,"03/2022",E_Suivi_Eans!$D:$D,"Taxes Supports d enregistrement",E_Suivi_Eans!$J:$J,"Relance 3",E_Suivi_Eans!$K:$K,"&gt;31/12/2021",E_Suivi_Eans!$K:$K,"&lt;01/10/2022")</f>
        <v>0</v>
      </c>
      <c r="E38" s="21">
        <f>COUNTIFS(E_Suivi_Eans!$C:$C,"03/2022",E_Suivi_Eans!$D:$D,"Taxes Supports d enregistrement",E_Suivi_Eans!$J:$J,"Abandon",E_Suivi_Eans!$K:$K,"&gt;31/12/2021",E_Suivi_Eans!K:K,"&lt;01/10/2022")</f>
        <v>0</v>
      </c>
      <c r="F38" s="21">
        <f>COUNTIFS(E_Suivi_Eans!$C:$C,"03/2022",E_Suivi_Eans!$D:$D,"Taxes Supports d enregistrement")</f>
        <v>0</v>
      </c>
      <c r="G38" s="21">
        <f t="shared" si="6"/>
        <v>0</v>
      </c>
      <c r="J38" s="20" t="s">
        <v>5316</v>
      </c>
      <c r="K38" s="20" t="s">
        <v>5325</v>
      </c>
      <c r="L38" s="28" t="e">
        <f t="shared" si="7"/>
        <v>#DIV/0!</v>
      </c>
      <c r="M38" s="28" t="e">
        <f t="shared" si="7"/>
        <v>#DIV/0!</v>
      </c>
      <c r="N38" s="28" t="e">
        <f t="shared" si="7"/>
        <v>#DIV/0!</v>
      </c>
      <c r="O38" s="28">
        <v>1</v>
      </c>
      <c r="P38" s="28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COUNTIFS(E_Suivi_Eans!$C:$C,"03/2022",E_Suivi_Eans!$D:$D,"Taxes Supports d enregistrement",E_Suivi_Eans!$J:$J,"Retour OK",E_Suivi_Eans!$K:$K,"&gt;31/12/2021",E_Suivi_Eans!K:K,"&lt;01/11/2022")</f>
        <v>0</v>
      </c>
      <c r="D39" s="21">
        <f>COUNTIFS(E_Suivi_Eans!$C:$C,"03/2022",E_Suivi_Eans!$D:$D,"Taxes Supports d enregistrement",E_Suivi_Eans!$J:$J,"Rejet 0",E_Suivi_Eans!$K:$K,"&gt;31/12/2021",E_Suivi_Eans!$K:$K,"&lt;01/11/2022")+ COUNTIFS(E_Suivi_Eans!$C:$C,"03/2022",E_Suivi_Eans!$D:$D,"Taxes Supports d enregistrement",E_Suivi_Eans!$J:$J,"Rejet 1",E_Suivi_Eans!$K:$K,"&gt;31/12/2021",E_Suivi_Eans!$K:$K,"&lt;01/11/2022")+COUNTIFS(E_Suivi_Eans!$C:$C,"03/2022",E_Suivi_Eans!$D:$D,"Taxes Supports d enregistrement",E_Suivi_Eans!$J:$J,"Rejet 2",E_Suivi_Eans!$K:$K,"&gt;31/12/2021",E_Suivi_Eans!$K:$K,"&lt;01/11/2022")+COUNTIFS(E_Suivi_Eans!$C:$C,"03/2022",E_Suivi_Eans!$D:$D,"Taxes Supports d enregistrement",E_Suivi_Eans!$J:$J,"Rejet 3",E_Suivi_Eans!$K:$K,"&gt;31/12/2021",E_Suivi_Eans!$K:$K,"&lt;01/11/2022")+ COUNTIFS(E_Suivi_Eans!$C:$C,"03/2022",E_Suivi_Eans!$D:$D,"Taxes Supports d enregistrement",E_Suivi_Eans!$J:$J,"Rejet 4",E_Suivi_Eans!$K:$K,"&gt;31/12/2021",E_Suivi_Eans!$K:$K,"&lt;01/11/2022")+COUNTIFS(E_Suivi_Eans!$C:$C,"03/2022",E_Suivi_Eans!$D:$D,"Taxes Supports d enregistrement",E_Suivi_Eans!$J:$J,"Relance 1",E_Suivi_Eans!$K:$K,"&gt;31/12/2021",E_Suivi_Eans!$K:$K,"&lt;01/11/2022")+COUNTIFS(E_Suivi_Eans!$C:$C,"03/2022",E_Suivi_Eans!$D:$D,"Taxes Supports d enregistrement",E_Suivi_Eans!$J:$J,"Relance 2",E_Suivi_Eans!$K:$K,"&gt;31/12/2021",E_Suivi_Eans!$K:$K,"&lt;01/11/2022")+COUNTIFS(E_Suivi_Eans!$C:$C,"03/2022",E_Suivi_Eans!$D:$D,"Taxes Supports d enregistrement",E_Suivi_Eans!$J:$J,"Relance 3",E_Suivi_Eans!$K:$K,"&gt;31/12/2021",E_Suivi_Eans!$K:$K,"&lt;01/11/2022")</f>
        <v>0</v>
      </c>
      <c r="E39" s="21">
        <f>COUNTIFS(E_Suivi_Eans!$C:$C,"03/2022",E_Suivi_Eans!$D:$D,"Taxes Supports d enregistrement",E_Suivi_Eans!$J:$J,"Abandon",E_Suivi_Eans!$K:$K,"&gt;31/12/2021",E_Suivi_Eans!K:K,"&lt;01/11/2022")</f>
        <v>0</v>
      </c>
      <c r="F39" s="21">
        <f>COUNTIFS(E_Suivi_Eans!$C:$C,"03/2022",E_Suivi_Eans!$D:$D,"Taxes Supports d enregistrement")</f>
        <v>0</v>
      </c>
      <c r="G39" s="21">
        <f t="shared" si="6"/>
        <v>0</v>
      </c>
      <c r="J39" s="20" t="s">
        <v>5316</v>
      </c>
      <c r="K39" s="20" t="s">
        <v>5326</v>
      </c>
      <c r="L39" s="28" t="e">
        <f t="shared" si="7"/>
        <v>#DIV/0!</v>
      </c>
      <c r="M39" s="28" t="e">
        <f t="shared" si="7"/>
        <v>#DIV/0!</v>
      </c>
      <c r="N39" s="28" t="e">
        <f t="shared" si="7"/>
        <v>#DIV/0!</v>
      </c>
      <c r="O39" s="28">
        <v>1</v>
      </c>
      <c r="P39" s="28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COUNTIFS(E_Suivi_Eans!$C:$C,"03/2022",E_Suivi_Eans!$D:$D,"Taxes Supports d enregistrement",E_Suivi_Eans!$J:$J,"Retour OK",E_Suivi_Eans!$K:$K,"&gt;31/12/2021",E_Suivi_Eans!K:K,"&lt;01/12/2022")</f>
        <v>0</v>
      </c>
      <c r="D40" s="21">
        <f>COUNTIFS(E_Suivi_Eans!$C:$C,"03/2022",E_Suivi_Eans!$D:$D,"Taxes Supports d enregistrement",E_Suivi_Eans!$J:$J,"Rejet 0",E_Suivi_Eans!$K:$K,"&gt;31/12/2021",E_Suivi_Eans!$K:$K,"&lt;01/12/2022")+ COUNTIFS(E_Suivi_Eans!$C:$C,"03/2022",E_Suivi_Eans!$D:$D,"Taxes Supports d enregistrement",E_Suivi_Eans!$J:$J,"Rejet 1",E_Suivi_Eans!$K:$K,"&gt;31/12/2021",E_Suivi_Eans!$K:$K,"&lt;01/12/2022")+COUNTIFS(E_Suivi_Eans!$C:$C,"03/2022",E_Suivi_Eans!$D:$D,"Taxes Supports d enregistrement",E_Suivi_Eans!$J:$J,"Rejet 2",E_Suivi_Eans!$K:$K,"&gt;31/12/2021",E_Suivi_Eans!$K:$K,"&lt;01/12/2022")+COUNTIFS(E_Suivi_Eans!$C:$C,"03/2022",E_Suivi_Eans!$D:$D,"Taxes Supports d enregistrement",E_Suivi_Eans!$J:$J,"Rejet 3",E_Suivi_Eans!$K:$K,"&gt;31/12/2021",E_Suivi_Eans!$K:$K,"&lt;01/12/2022")+ COUNTIFS(E_Suivi_Eans!$C:$C,"03/2022",E_Suivi_Eans!$D:$D,"Taxes Supports d enregistrement",E_Suivi_Eans!$J:$J,"Rejet 4",E_Suivi_Eans!$K:$K,"&gt;31/12/2021",E_Suivi_Eans!$K:$K,"&lt;01/12/2022")+COUNTIFS(E_Suivi_Eans!$C:$C,"03/2022",E_Suivi_Eans!$D:$D,"Taxes Supports d enregistrement",E_Suivi_Eans!$J:$J,"Relance 1",E_Suivi_Eans!$K:$K,"&gt;31/12/2021",E_Suivi_Eans!$K:$K,"&lt;01/12/2022")+COUNTIFS(E_Suivi_Eans!$C:$C,"03/2022",E_Suivi_Eans!$D:$D,"Taxes Supports d enregistrement",E_Suivi_Eans!$J:$J,"Relance 2",E_Suivi_Eans!$K:$K,"&gt;31/12/2021",E_Suivi_Eans!$K:$K,"&lt;01/12/2022")+COUNTIFS(E_Suivi_Eans!$C:$C,"03/2022",E_Suivi_Eans!$D:$D,"Taxes Supports d enregistrement",E_Suivi_Eans!$J:$J,"Relance 3",E_Suivi_Eans!$K:$K,"&gt;31/12/2021",E_Suivi_Eans!$K:$K,"&lt;01/12/2022")</f>
        <v>0</v>
      </c>
      <c r="E40" s="21">
        <f>COUNTIFS(E_Suivi_Eans!$C:$C,"03/2022",E_Suivi_Eans!$D:$D,"Taxes Supports d enregistrement",E_Suivi_Eans!$J:$J,"Abandon",E_Suivi_Eans!$K:$K,"&gt;31/12/2021",E_Suivi_Eans!K:K,"&lt;01/12/2022")</f>
        <v>0</v>
      </c>
      <c r="F40" s="21">
        <f>COUNTIFS(E_Suivi_Eans!$C:$C,"03/2022",E_Suivi_Eans!$D:$D,"Taxes Supports d enregistrement")</f>
        <v>0</v>
      </c>
      <c r="G40" s="21">
        <f t="shared" si="6"/>
        <v>0</v>
      </c>
      <c r="J40" s="20" t="s">
        <v>5316</v>
      </c>
      <c r="K40" s="20" t="s">
        <v>5327</v>
      </c>
      <c r="L40" s="28" t="e">
        <f t="shared" si="7"/>
        <v>#DIV/0!</v>
      </c>
      <c r="M40" s="28" t="e">
        <f t="shared" si="7"/>
        <v>#DIV/0!</v>
      </c>
      <c r="N40" s="28" t="e">
        <f t="shared" si="7"/>
        <v>#DIV/0!</v>
      </c>
      <c r="O40" s="28">
        <v>1</v>
      </c>
      <c r="P40" s="28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8"/>
      <c r="P41" s="28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5"/>
      <c r="E42" s="25"/>
      <c r="F42" s="25"/>
      <c r="G42" s="25"/>
      <c r="J42" s="22"/>
      <c r="K42" s="22"/>
      <c r="L42" s="23"/>
      <c r="M42" s="25"/>
      <c r="N42" s="25"/>
      <c r="O42" s="31"/>
      <c r="P42" s="31"/>
      <c r="S42" s="22"/>
      <c r="T42" s="22"/>
      <c r="U42" s="23"/>
      <c r="V42" s="25"/>
      <c r="W42" s="25"/>
      <c r="X42" s="25"/>
      <c r="Y42" s="25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8"/>
      <c r="P43" s="28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8"/>
      <c r="P44" s="28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8"/>
      <c r="P45" s="28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COUNTIFS(E_Suivi_Eans!$C:$C,"04/2022",E_Suivi_Eans!$D:$D,"Taxes Supports d enregistrement",E_Suivi_Eans!$J:$J,"Retour OK",E_Suivi_Eans!$K:$K,"&gt;31/12/2021",E_Suivi_Eans!K:K,"&lt;01/05/2022")</f>
        <v>17</v>
      </c>
      <c r="D46" s="21">
        <f>COUNTIFS(E_Suivi_Eans!$C:$C,"04/2022",E_Suivi_Eans!$D:$D,"Taxes Supports d enregistrement",E_Suivi_Eans!$J:$J,"Rejet 0",E_Suivi_Eans!$K:$K,"&gt;31/12/2021",E_Suivi_Eans!$K:$K,"&lt;01/05/2022")+ COUNTIFS(E_Suivi_Eans!$C:$C,"04/2022",E_Suivi_Eans!$D:$D,"Taxes Supports d enregistrement",E_Suivi_Eans!$J:$J,"Rejet 1",E_Suivi_Eans!$K:$K,"&gt;31/12/2021",E_Suivi_Eans!$K:$K,"&lt;01/05/2022")+COUNTIFS(E_Suivi_Eans!$C:$C,"04/2022",E_Suivi_Eans!$D:$D,"Taxes Supports d enregistrement",E_Suivi_Eans!$J:$J,"Rejet 2",E_Suivi_Eans!$K:$K,"&gt;31/12/2021",E_Suivi_Eans!$K:$K,"&lt;01/05/2022")+COUNTIFS(E_Suivi_Eans!$C:$C,"04/2022",E_Suivi_Eans!$D:$D,"Taxes Supports d enregistrement",E_Suivi_Eans!$J:$J,"Rejet 3",E_Suivi_Eans!$K:$K,"&gt;31/12/2021",E_Suivi_Eans!$K:$K,"&lt;01/05/2022")+ COUNTIFS(E_Suivi_Eans!$C:$C,"04/2022",E_Suivi_Eans!$D:$D,"Taxes Supports d enregistrement",E_Suivi_Eans!$J:$J,"Rejet 4",E_Suivi_Eans!$K:$K,"&gt;31/12/2021",E_Suivi_Eans!$K:$K,"&lt;01/05/2022")+COUNTIFS(E_Suivi_Eans!$C:$C,"04/2022",E_Suivi_Eans!$D:$D,"Taxes Supports d enregistrement",E_Suivi_Eans!$J:$J,"Relance 1",E_Suivi_Eans!$K:$K,"&gt;31/12/2021",E_Suivi_Eans!$K:$K,"&lt;01/05/2022")+COUNTIFS(E_Suivi_Eans!$C:$C,"04/2022",E_Suivi_Eans!$D:$D,"Taxes Supports d enregistrement",E_Suivi_Eans!$J:$J,"Relance 2",E_Suivi_Eans!$K:$K,"&gt;31/12/2021",E_Suivi_Eans!$K:$K,"&lt;01/05/2022")+COUNTIFS(E_Suivi_Eans!$C:$C,"04/2022",E_Suivi_Eans!$D:$D,"Taxes Supports d enregistrement",E_Suivi_Eans!$J:$J,"Relance 3",E_Suivi_Eans!$K:$K,"&gt;31/12/2021",E_Suivi_Eans!$K:$K,"&lt;01/05/2022")</f>
        <v>0</v>
      </c>
      <c r="E46" s="21">
        <f>COUNTIFS(E_Suivi_Eans!$C:$C,"04/2022",E_Suivi_Eans!$D:$D,"Taxes Supports d enregistrement",E_Suivi_Eans!$J:$J,"Abandon",E_Suivi_Eans!$K:$K,"&gt;31/12/2021",E_Suivi_Eans!K:K,"&lt;01/05/2022")</f>
        <v>0</v>
      </c>
      <c r="F46" s="21">
        <f>COUNTIFS(E_Suivi_Eans!$C:$C,"04/2022",E_Suivi_Eans!$D:$D,"Taxes Supports d enregistrement")</f>
        <v>475</v>
      </c>
      <c r="G46" s="21">
        <f t="shared" ref="G46:G53" si="9">F46-E46</f>
        <v>475</v>
      </c>
      <c r="J46" s="20" t="s">
        <v>5317</v>
      </c>
      <c r="K46" s="20" t="s">
        <v>5317</v>
      </c>
      <c r="L46" s="28">
        <f t="shared" ref="L46:N53" si="10">C46/$G46</f>
        <v>3.5789473684210524E-2</v>
      </c>
      <c r="M46" s="28">
        <f t="shared" si="10"/>
        <v>0</v>
      </c>
      <c r="N46" s="28">
        <f t="shared" si="10"/>
        <v>0</v>
      </c>
      <c r="O46" s="28">
        <v>1</v>
      </c>
      <c r="P46" s="28">
        <f t="shared" ref="P46:P53" si="11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COUNTIFS(E_Suivi_Eans!$C:$C,"04/2022",E_Suivi_Eans!$D:$D,"Taxes Supports d enregistrement",E_Suivi_Eans!$J:$J,"Retour OK",E_Suivi_Eans!$K:$K,"&gt;31/12/2021",E_Suivi_Eans!K:K,"&lt;01/06/2022")</f>
        <v>251</v>
      </c>
      <c r="D47" s="21">
        <f>COUNTIFS(E_Suivi_Eans!$C:$C,"04/2022",E_Suivi_Eans!$D:$D,"Taxes Supports d enregistrement",E_Suivi_Eans!$J:$J,"Rejet 0",E_Suivi_Eans!$K:$K,"&gt;31/12/2021",E_Suivi_Eans!$K:$K,"&lt;01/06/2022")+ COUNTIFS(E_Suivi_Eans!$C:$C,"04/2022",E_Suivi_Eans!$D:$D,"Taxes Supports d enregistrement",E_Suivi_Eans!$J:$J,"Rejet 1",E_Suivi_Eans!$K:$K,"&gt;31/12/2021",E_Suivi_Eans!$K:$K,"&lt;01/06/2022")+COUNTIFS(E_Suivi_Eans!$C:$C,"04/2022",E_Suivi_Eans!$D:$D,"Taxes Supports d enregistrement",E_Suivi_Eans!$J:$J,"Rejet 2",E_Suivi_Eans!$K:$K,"&gt;31/12/2021",E_Suivi_Eans!$K:$K,"&lt;01/06/2022")+COUNTIFS(E_Suivi_Eans!$C:$C,"04/2022",E_Suivi_Eans!$D:$D,"Taxes Supports d enregistrement",E_Suivi_Eans!$J:$J,"Rejet 3",E_Suivi_Eans!$K:$K,"&gt;31/12/2021",E_Suivi_Eans!$K:$K,"&lt;01/06/2022")+ COUNTIFS(E_Suivi_Eans!$C:$C,"04/2022",E_Suivi_Eans!$D:$D,"Taxes Supports d enregistrement",E_Suivi_Eans!$J:$J,"Rejet 4",E_Suivi_Eans!$K:$K,"&gt;31/12/2021",E_Suivi_Eans!$K:$K,"&lt;01/06/2022")+COUNTIFS(E_Suivi_Eans!$C:$C,"04/2022",E_Suivi_Eans!$D:$D,"Taxes Supports d enregistrement",E_Suivi_Eans!$J:$J,"Relance 1",E_Suivi_Eans!$K:$K,"&gt;31/12/2021",E_Suivi_Eans!$K:$K,"&lt;01/06/2022")+COUNTIFS(E_Suivi_Eans!$C:$C,"04/2022",E_Suivi_Eans!$D:$D,"Taxes Supports d enregistrement",E_Suivi_Eans!$J:$J,"Relance 2",E_Suivi_Eans!$K:$K,"&gt;31/12/2021",E_Suivi_Eans!$K:$K,"&lt;01/06/2022")+COUNTIFS(E_Suivi_Eans!$C:$C,"04/2022",E_Suivi_Eans!$D:$D,"Taxes Supports d enregistrement",E_Suivi_Eans!$J:$J,"Relance 3",E_Suivi_Eans!$K:$K,"&gt;31/12/2021",E_Suivi_Eans!$K:$K,"&lt;01/06/2022")</f>
        <v>15</v>
      </c>
      <c r="E47" s="21">
        <f>COUNTIFS(E_Suivi_Eans!$C:$C,"04/2022",E_Suivi_Eans!$D:$D,"Taxes Supports d enregistrement",E_Suivi_Eans!$J:$J,"Abandon",E_Suivi_Eans!$K:$K,"&gt;31/12/2021",E_Suivi_Eans!K:K,"&lt;01/06/2022")</f>
        <v>0</v>
      </c>
      <c r="F47" s="21">
        <f>COUNTIFS(E_Suivi_Eans!$C:$C,"04/2022",E_Suivi_Eans!$D:$D,"Taxes Supports d enregistrement")</f>
        <v>475</v>
      </c>
      <c r="G47" s="21">
        <f t="shared" si="9"/>
        <v>475</v>
      </c>
      <c r="J47" s="20" t="s">
        <v>5317</v>
      </c>
      <c r="K47" s="20" t="s">
        <v>5318</v>
      </c>
      <c r="L47" s="28">
        <f t="shared" si="10"/>
        <v>0.5284210526315789</v>
      </c>
      <c r="M47" s="28">
        <f t="shared" si="10"/>
        <v>3.1578947368421054E-2</v>
      </c>
      <c r="N47" s="28">
        <f t="shared" si="10"/>
        <v>0</v>
      </c>
      <c r="O47" s="28">
        <v>1</v>
      </c>
      <c r="P47" s="28">
        <f t="shared" si="11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COUNTIFS(E_Suivi_Eans!$C:$C,"04/2022",E_Suivi_Eans!$D:$D,"Taxes Supports d enregistrement",E_Suivi_Eans!$J:$J,"Retour OK",E_Suivi_Eans!$K:$K,"&gt;31/12/2021",E_Suivi_Eans!K:K,"&lt;01/07/2022")</f>
        <v>251</v>
      </c>
      <c r="D48" s="21">
        <f>COUNTIFS(E_Suivi_Eans!$C:$C,"04/2022",E_Suivi_Eans!$D:$D,"Taxes Supports d enregistrement",E_Suivi_Eans!$J:$J,"Rejet 0",E_Suivi_Eans!$K:$K,"&gt;31/12/2021",E_Suivi_Eans!$K:$K,"&lt;01/07/2022")+ COUNTIFS(E_Suivi_Eans!$C:$C,"04/2022",E_Suivi_Eans!$D:$D,"Taxes Supports d enregistrement",E_Suivi_Eans!$J:$J,"Rejet 1",E_Suivi_Eans!$K:$K,"&gt;31/12/2021",E_Suivi_Eans!$K:$K,"&lt;01/07/2022")+COUNTIFS(E_Suivi_Eans!$C:$C,"04/2022",E_Suivi_Eans!$D:$D,"Taxes Supports d enregistrement",E_Suivi_Eans!$J:$J,"Rejet 2",E_Suivi_Eans!$K:$K,"&gt;31/12/2021",E_Suivi_Eans!$K:$K,"&lt;01/07/2022")+COUNTIFS(E_Suivi_Eans!$C:$C,"04/2022",E_Suivi_Eans!$D:$D,"Taxes Supports d enregistrement",E_Suivi_Eans!$J:$J,"Rejet 3",E_Suivi_Eans!$K:$K,"&gt;31/12/2021",E_Suivi_Eans!$K:$K,"&lt;01/07/2022")+ COUNTIFS(E_Suivi_Eans!$C:$C,"04/2022",E_Suivi_Eans!$D:$D,"Taxes Supports d enregistrement",E_Suivi_Eans!$J:$J,"Rejet 4",E_Suivi_Eans!$K:$K,"&gt;31/12/2021",E_Suivi_Eans!$K:$K,"&lt;01/07/2022")+COUNTIFS(E_Suivi_Eans!$C:$C,"04/2022",E_Suivi_Eans!$D:$D,"Taxes Supports d enregistrement",E_Suivi_Eans!$J:$J,"Relance 1",E_Suivi_Eans!$K:$K,"&gt;31/12/2021",E_Suivi_Eans!$K:$K,"&lt;01/07/2022")+COUNTIFS(E_Suivi_Eans!$C:$C,"04/2022",E_Suivi_Eans!$D:$D,"Taxes Supports d enregistrement",E_Suivi_Eans!$J:$J,"Relance 2",E_Suivi_Eans!$K:$K,"&gt;31/12/2021",E_Suivi_Eans!$K:$K,"&lt;01/07/2022")+COUNTIFS(E_Suivi_Eans!$C:$C,"04/2022",E_Suivi_Eans!$D:$D,"Taxes Supports d enregistrement",E_Suivi_Eans!$J:$J,"Relance 3",E_Suivi_Eans!$K:$K,"&gt;31/12/2021",E_Suivi_Eans!$K:$K,"&lt;01/07/2022")</f>
        <v>15</v>
      </c>
      <c r="E48" s="21">
        <f>COUNTIFS(E_Suivi_Eans!$C:$C,"04/2022",E_Suivi_Eans!$D:$D,"Taxes Supports d enregistrement",E_Suivi_Eans!$J:$J,"Abandon",E_Suivi_Eans!$K:$K,"&gt;31/12/2021",E_Suivi_Eans!K:K,"&lt;01/07/2022")</f>
        <v>126</v>
      </c>
      <c r="F48" s="21">
        <f>COUNTIFS(E_Suivi_Eans!$C:$C,"04/2022",E_Suivi_Eans!$D:$D,"Taxes Supports d enregistrement")</f>
        <v>475</v>
      </c>
      <c r="G48" s="21">
        <f t="shared" si="9"/>
        <v>349</v>
      </c>
      <c r="J48" s="20" t="s">
        <v>5317</v>
      </c>
      <c r="K48" s="20" t="s">
        <v>5319</v>
      </c>
      <c r="L48" s="28">
        <f t="shared" si="10"/>
        <v>0.71919770773638969</v>
      </c>
      <c r="M48" s="28">
        <f t="shared" si="10"/>
        <v>4.2979942693409739E-2</v>
      </c>
      <c r="N48" s="28">
        <f t="shared" si="10"/>
        <v>0.36103151862464183</v>
      </c>
      <c r="O48" s="28">
        <v>1</v>
      </c>
      <c r="P48" s="28">
        <f t="shared" si="11"/>
        <v>0.63896848137535822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COUNTIFS(E_Suivi_Eans!$C:$C,"04/2022",E_Suivi_Eans!$D:$D,"Taxes Supports d enregistrement",E_Suivi_Eans!$J:$J,"Retour OK",E_Suivi_Eans!$K:$K,"&gt;31/12/2021",E_Suivi_Eans!K:K,"&lt;01/08/2022")</f>
        <v>251</v>
      </c>
      <c r="D49" s="21">
        <f>COUNTIFS(E_Suivi_Eans!$C:$C,"04/2022",E_Suivi_Eans!$D:$D,"Taxes Supports d enregistrement",E_Suivi_Eans!$J:$J,"Rejet 0",E_Suivi_Eans!$K:$K,"&gt;31/12/2021",E_Suivi_Eans!$K:$K,"&lt;01/08/2022")+ COUNTIFS(E_Suivi_Eans!$C:$C,"04/2022",E_Suivi_Eans!$D:$D,"Taxes Supports d enregistrement",E_Suivi_Eans!$J:$J,"Rejet 1",E_Suivi_Eans!$K:$K,"&gt;31/12/2021",E_Suivi_Eans!$K:$K,"&lt;01/08/2022")+COUNTIFS(E_Suivi_Eans!$C:$C,"04/2022",E_Suivi_Eans!$D:$D,"Taxes Supports d enregistrement",E_Suivi_Eans!$J:$J,"Rejet 2",E_Suivi_Eans!$K:$K,"&gt;31/12/2021",E_Suivi_Eans!$K:$K,"&lt;01/08/2022")+COUNTIFS(E_Suivi_Eans!$C:$C,"04/2022",E_Suivi_Eans!$D:$D,"Taxes Supports d enregistrement",E_Suivi_Eans!$J:$J,"Rejet 3",E_Suivi_Eans!$K:$K,"&gt;31/12/2021",E_Suivi_Eans!$K:$K,"&lt;01/08/2022")+ COUNTIFS(E_Suivi_Eans!$C:$C,"04/2022",E_Suivi_Eans!$D:$D,"Taxes Supports d enregistrement",E_Suivi_Eans!$J:$J,"Rejet 4",E_Suivi_Eans!$K:$K,"&gt;31/12/2021",E_Suivi_Eans!$K:$K,"&lt;01/08/2022")+COUNTIFS(E_Suivi_Eans!$C:$C,"04/2022",E_Suivi_Eans!$D:$D,"Taxes Supports d enregistrement",E_Suivi_Eans!$J:$J,"Relance 1",E_Suivi_Eans!$K:$K,"&gt;31/12/2021",E_Suivi_Eans!$K:$K,"&lt;01/08/2022")+COUNTIFS(E_Suivi_Eans!$C:$C,"04/2022",E_Suivi_Eans!$D:$D,"Taxes Supports d enregistrement",E_Suivi_Eans!$J:$J,"Relance 2",E_Suivi_Eans!$K:$K,"&gt;31/12/2021",E_Suivi_Eans!$K:$K,"&lt;01/08/2022")+COUNTIFS(E_Suivi_Eans!$C:$C,"04/2022",E_Suivi_Eans!$D:$D,"Taxes Supports d enregistrement",E_Suivi_Eans!$J:$J,"Relance 3",E_Suivi_Eans!$K:$K,"&gt;31/12/2021",E_Suivi_Eans!$K:$K,"&lt;01/08/2022")</f>
        <v>15</v>
      </c>
      <c r="E49" s="21">
        <f>COUNTIFS(E_Suivi_Eans!$C:$C,"04/2022",E_Suivi_Eans!$D:$D,"Taxes Supports d enregistrement",E_Suivi_Eans!$J:$J,"Abandon",E_Suivi_Eans!$K:$K,"&gt;31/12/2021",E_Suivi_Eans!K:K,"&lt;01/08/2022")</f>
        <v>139</v>
      </c>
      <c r="F49" s="21">
        <f>COUNTIFS(E_Suivi_Eans!$C:$C,"04/2022",E_Suivi_Eans!$D:$D,"Taxes Supports d enregistrement")</f>
        <v>475</v>
      </c>
      <c r="G49" s="21">
        <f t="shared" si="9"/>
        <v>336</v>
      </c>
      <c r="J49" s="20" t="s">
        <v>5317</v>
      </c>
      <c r="K49" s="20" t="s">
        <v>5320</v>
      </c>
      <c r="L49" s="28">
        <f t="shared" si="10"/>
        <v>0.74702380952380953</v>
      </c>
      <c r="M49" s="28">
        <f t="shared" si="10"/>
        <v>4.4642857142857144E-2</v>
      </c>
      <c r="N49" s="28">
        <f t="shared" si="10"/>
        <v>0.41369047619047616</v>
      </c>
      <c r="O49" s="28">
        <v>1</v>
      </c>
      <c r="P49" s="28">
        <f t="shared" si="11"/>
        <v>0.58630952380952384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COUNTIFS(E_Suivi_Eans!$C:$C,"04/2022",E_Suivi_Eans!$D:$D,"Taxes Supports d enregistrement",E_Suivi_Eans!$J:$J,"Retour OK",E_Suivi_Eans!$K:$K,"&gt;31/12/2021",E_Suivi_Eans!K:K,"&lt;01/09/2022")</f>
        <v>251</v>
      </c>
      <c r="D50" s="21">
        <f>COUNTIFS(E_Suivi_Eans!$C:$C,"04/2022",E_Suivi_Eans!$D:$D,"Taxes Supports d enregistrement",E_Suivi_Eans!$J:$J,"Rejet 0",E_Suivi_Eans!$K:$K,"&gt;31/12/2021",E_Suivi_Eans!$K:$K,"&lt;01/09/2022")+ COUNTIFS(E_Suivi_Eans!$C:$C,"04/2022",E_Suivi_Eans!$D:$D,"Taxes Supports d enregistrement",E_Suivi_Eans!$J:$J,"Rejet 1",E_Suivi_Eans!$K:$K,"&gt;31/12/2021",E_Suivi_Eans!$K:$K,"&lt;01/09/2022")+COUNTIFS(E_Suivi_Eans!$C:$C,"04/2022",E_Suivi_Eans!$D:$D,"Taxes Supports d enregistrement",E_Suivi_Eans!$J:$J,"Rejet 2",E_Suivi_Eans!$K:$K,"&gt;31/12/2021",E_Suivi_Eans!$K:$K,"&lt;01/09/2022")+COUNTIFS(E_Suivi_Eans!$C:$C,"04/2022",E_Suivi_Eans!$D:$D,"Taxes Supports d enregistrement",E_Suivi_Eans!$J:$J,"Rejet 3",E_Suivi_Eans!$K:$K,"&gt;31/12/2021",E_Suivi_Eans!$K:$K,"&lt;01/09/2022")+ COUNTIFS(E_Suivi_Eans!$C:$C,"04/2022",E_Suivi_Eans!$D:$D,"Taxes Supports d enregistrement",E_Suivi_Eans!$J:$J,"Rejet 4",E_Suivi_Eans!$K:$K,"&gt;31/12/2021",E_Suivi_Eans!$K:$K,"&lt;01/09/2022")+COUNTIFS(E_Suivi_Eans!$C:$C,"04/2022",E_Suivi_Eans!$D:$D,"Taxes Supports d enregistrement",E_Suivi_Eans!$J:$J,"Relance 1",E_Suivi_Eans!$K:$K,"&gt;31/12/2021",E_Suivi_Eans!$K:$K,"&lt;01/09/2022")+COUNTIFS(E_Suivi_Eans!$C:$C,"04/2022",E_Suivi_Eans!$D:$D,"Taxes Supports d enregistrement",E_Suivi_Eans!$J:$J,"Relance 2",E_Suivi_Eans!$K:$K,"&gt;31/12/2021",E_Suivi_Eans!$K:$K,"&lt;01/09/2022")+COUNTIFS(E_Suivi_Eans!$C:$C,"04/2022",E_Suivi_Eans!$D:$D,"Taxes Supports d enregistrement",E_Suivi_Eans!$J:$J,"Relance 3",E_Suivi_Eans!$K:$K,"&gt;31/12/2021",E_Suivi_Eans!$K:$K,"&lt;01/09/2022")</f>
        <v>15</v>
      </c>
      <c r="E50" s="21">
        <f>COUNTIFS(E_Suivi_Eans!$C:$C,"04/2022",E_Suivi_Eans!$D:$D,"Taxes Supports d enregistrement",E_Suivi_Eans!$J:$J,"Abandon",E_Suivi_Eans!$K:$K,"&gt;31/12/2021",E_Suivi_Eans!K:K,"&lt;01/09/2022")</f>
        <v>139</v>
      </c>
      <c r="F50" s="21">
        <f>COUNTIFS(E_Suivi_Eans!$C:$C,"04/2022",E_Suivi_Eans!$D:$D,"Taxes Supports d enregistrement")</f>
        <v>475</v>
      </c>
      <c r="G50" s="21">
        <f t="shared" si="9"/>
        <v>336</v>
      </c>
      <c r="J50" s="20" t="s">
        <v>5317</v>
      </c>
      <c r="K50" s="20" t="s">
        <v>5321</v>
      </c>
      <c r="L50" s="28">
        <f t="shared" si="10"/>
        <v>0.74702380952380953</v>
      </c>
      <c r="M50" s="28">
        <f t="shared" si="10"/>
        <v>4.4642857142857144E-2</v>
      </c>
      <c r="N50" s="28">
        <f t="shared" si="10"/>
        <v>0.41369047619047616</v>
      </c>
      <c r="O50" s="28">
        <v>1</v>
      </c>
      <c r="P50" s="28">
        <f t="shared" si="11"/>
        <v>0.58630952380952384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COUNTIFS(E_Suivi_Eans!$C:$C,"04/2022",E_Suivi_Eans!$D:$D,"Taxes Supports d enregistrement",E_Suivi_Eans!$J:$J,"Retour OK",E_Suivi_Eans!$K:$K,"&gt;31/12/2021",E_Suivi_Eans!K:K,"&lt;01/10/2022")</f>
        <v>251</v>
      </c>
      <c r="D51" s="21">
        <f>COUNTIFS(E_Suivi_Eans!$C:$C,"04/2022",E_Suivi_Eans!$D:$D,"Taxes Supports d enregistrement",E_Suivi_Eans!$J:$J,"Rejet 0",E_Suivi_Eans!$K:$K,"&gt;31/12/2021",E_Suivi_Eans!$K:$K,"&lt;01/10/2022")+ COUNTIFS(E_Suivi_Eans!$C:$C,"04/2022",E_Suivi_Eans!$D:$D,"Taxes Supports d enregistrement",E_Suivi_Eans!$J:$J,"Rejet 1",E_Suivi_Eans!$K:$K,"&gt;31/12/2021",E_Suivi_Eans!$K:$K,"&lt;01/10/2022")+COUNTIFS(E_Suivi_Eans!$C:$C,"04/2022",E_Suivi_Eans!$D:$D,"Taxes Supports d enregistrement",E_Suivi_Eans!$J:$J,"Rejet 2",E_Suivi_Eans!$K:$K,"&gt;31/12/2021",E_Suivi_Eans!$K:$K,"&lt;01/10/2022")+COUNTIFS(E_Suivi_Eans!$C:$C,"04/2022",E_Suivi_Eans!$D:$D,"Taxes Supports d enregistrement",E_Suivi_Eans!$J:$J,"Rejet 3",E_Suivi_Eans!$K:$K,"&gt;31/12/2021",E_Suivi_Eans!$K:$K,"&lt;01/10/2022")+ COUNTIFS(E_Suivi_Eans!$C:$C,"04/2022",E_Suivi_Eans!$D:$D,"Taxes Supports d enregistrement",E_Suivi_Eans!$J:$J,"Rejet 4",E_Suivi_Eans!$K:$K,"&gt;31/12/2021",E_Suivi_Eans!$K:$K,"&lt;01/10/2022")+COUNTIFS(E_Suivi_Eans!$C:$C,"04/2022",E_Suivi_Eans!$D:$D,"Taxes Supports d enregistrement",E_Suivi_Eans!$J:$J,"Relance 1",E_Suivi_Eans!$K:$K,"&gt;31/12/2021",E_Suivi_Eans!$K:$K,"&lt;01/10/2022")+COUNTIFS(E_Suivi_Eans!$C:$C,"04/2022",E_Suivi_Eans!$D:$D,"Taxes Supports d enregistrement",E_Suivi_Eans!$J:$J,"Relance 2",E_Suivi_Eans!$K:$K,"&gt;31/12/2021",E_Suivi_Eans!$K:$K,"&lt;01/10/2022")+COUNTIFS(E_Suivi_Eans!$C:$C,"04/2022",E_Suivi_Eans!$D:$D,"Taxes Supports d enregistrement",E_Suivi_Eans!$J:$J,"Relance 3",E_Suivi_Eans!$K:$K,"&gt;31/12/2021",E_Suivi_Eans!$K:$K,"&lt;01/10/2022")</f>
        <v>15</v>
      </c>
      <c r="E51" s="21">
        <f>COUNTIFS(E_Suivi_Eans!$C:$C,"04/2022",E_Suivi_Eans!$D:$D,"Taxes Supports d enregistrement",E_Suivi_Eans!$J:$J,"Abandon",E_Suivi_Eans!$K:$K,"&gt;31/12/2021",E_Suivi_Eans!K:K,"&lt;01/10/2022")</f>
        <v>139</v>
      </c>
      <c r="F51" s="21">
        <f>COUNTIFS(E_Suivi_Eans!$C:$C,"04/2022",E_Suivi_Eans!$D:$D,"Taxes Supports d enregistrement")</f>
        <v>475</v>
      </c>
      <c r="G51" s="21">
        <f t="shared" si="9"/>
        <v>336</v>
      </c>
      <c r="J51" s="20" t="s">
        <v>5317</v>
      </c>
      <c r="K51" s="20" t="s">
        <v>5325</v>
      </c>
      <c r="L51" s="28">
        <f t="shared" si="10"/>
        <v>0.74702380952380953</v>
      </c>
      <c r="M51" s="28">
        <f t="shared" si="10"/>
        <v>4.4642857142857144E-2</v>
      </c>
      <c r="N51" s="28">
        <f t="shared" si="10"/>
        <v>0.41369047619047616</v>
      </c>
      <c r="O51" s="28">
        <v>1</v>
      </c>
      <c r="P51" s="28">
        <f t="shared" si="11"/>
        <v>0.58630952380952384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COUNTIFS(E_Suivi_Eans!$C:$C,"04/2022",E_Suivi_Eans!$D:$D,"Taxes Supports d enregistrement",E_Suivi_Eans!$J:$J,"Retour OK",E_Suivi_Eans!$K:$K,"&gt;31/12/2021",E_Suivi_Eans!K:K,"&lt;01/11/2022")</f>
        <v>280</v>
      </c>
      <c r="D52" s="21">
        <f>COUNTIFS(E_Suivi_Eans!$C:$C,"04/2022",E_Suivi_Eans!$D:$D,"Taxes Supports d enregistrement",E_Suivi_Eans!$J:$J,"Rejet 0",E_Suivi_Eans!$K:$K,"&gt;31/12/2021",E_Suivi_Eans!$K:$K,"&lt;01/11/2022")+ COUNTIFS(E_Suivi_Eans!$C:$C,"04/2022",E_Suivi_Eans!$D:$D,"Taxes Supports d enregistrement",E_Suivi_Eans!$J:$J,"Rejet 1",E_Suivi_Eans!$K:$K,"&gt;31/12/2021",E_Suivi_Eans!$K:$K,"&lt;01/11/2022")+COUNTIFS(E_Suivi_Eans!$C:$C,"04/2022",E_Suivi_Eans!$D:$D,"Taxes Supports d enregistrement",E_Suivi_Eans!$J:$J,"Rejet 2",E_Suivi_Eans!$K:$K,"&gt;31/12/2021",E_Suivi_Eans!$K:$K,"&lt;01/11/2022")+COUNTIFS(E_Suivi_Eans!$C:$C,"04/2022",E_Suivi_Eans!$D:$D,"Taxes Supports d enregistrement",E_Suivi_Eans!$J:$J,"Rejet 3",E_Suivi_Eans!$K:$K,"&gt;31/12/2021",E_Suivi_Eans!$K:$K,"&lt;01/11/2022")+ COUNTIFS(E_Suivi_Eans!$C:$C,"04/2022",E_Suivi_Eans!$D:$D,"Taxes Supports d enregistrement",E_Suivi_Eans!$J:$J,"Rejet 4",E_Suivi_Eans!$K:$K,"&gt;31/12/2021",E_Suivi_Eans!$K:$K,"&lt;01/11/2022")+COUNTIFS(E_Suivi_Eans!$C:$C,"04/2022",E_Suivi_Eans!$D:$D,"Taxes Supports d enregistrement",E_Suivi_Eans!$J:$J,"Relance 1",E_Suivi_Eans!$K:$K,"&gt;31/12/2021",E_Suivi_Eans!$K:$K,"&lt;01/11/2022")+COUNTIFS(E_Suivi_Eans!$C:$C,"04/2022",E_Suivi_Eans!$D:$D,"Taxes Supports d enregistrement",E_Suivi_Eans!$J:$J,"Relance 2",E_Suivi_Eans!$K:$K,"&gt;31/12/2021",E_Suivi_Eans!$K:$K,"&lt;01/11/2022")+COUNTIFS(E_Suivi_Eans!$C:$C,"04/2022",E_Suivi_Eans!$D:$D,"Taxes Supports d enregistrement",E_Suivi_Eans!$J:$J,"Relance 3",E_Suivi_Eans!$K:$K,"&gt;31/12/2021",E_Suivi_Eans!$K:$K,"&lt;01/11/2022")</f>
        <v>15</v>
      </c>
      <c r="E52" s="21">
        <f>COUNTIFS(E_Suivi_Eans!$C:$C,"04/2022",E_Suivi_Eans!$D:$D,"Taxes Supports d enregistrement",E_Suivi_Eans!$J:$J,"Abandon",E_Suivi_Eans!$K:$K,"&gt;31/12/2021",E_Suivi_Eans!K:K,"&lt;01/11/2022")</f>
        <v>140</v>
      </c>
      <c r="F52" s="21">
        <f>COUNTIFS(E_Suivi_Eans!$C:$C,"04/2022",E_Suivi_Eans!$D:$D,"Taxes Supports d enregistrement")</f>
        <v>475</v>
      </c>
      <c r="G52" s="21">
        <f t="shared" si="9"/>
        <v>335</v>
      </c>
      <c r="J52" s="20" t="s">
        <v>5317</v>
      </c>
      <c r="K52" s="20" t="s">
        <v>5326</v>
      </c>
      <c r="L52" s="28">
        <f t="shared" si="10"/>
        <v>0.83582089552238803</v>
      </c>
      <c r="M52" s="28">
        <f t="shared" si="10"/>
        <v>4.4776119402985072E-2</v>
      </c>
      <c r="N52" s="28">
        <f t="shared" si="10"/>
        <v>0.41791044776119401</v>
      </c>
      <c r="O52" s="28">
        <v>1</v>
      </c>
      <c r="P52" s="28">
        <f t="shared" si="11"/>
        <v>0.58208955223880599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COUNTIFS(E_Suivi_Eans!$C:$C,"04/2022",E_Suivi_Eans!$D:$D,"Taxes Supports d enregistrement",E_Suivi_Eans!$J:$J,"Retour OK",E_Suivi_Eans!$K:$K,"&gt;31/12/2021",E_Suivi_Eans!K:K,"&lt;01/12/2022")</f>
        <v>280</v>
      </c>
      <c r="D53" s="21">
        <f>COUNTIFS(E_Suivi_Eans!$C:$C,"04/2022",E_Suivi_Eans!$D:$D,"Taxes Supports d enregistrement",E_Suivi_Eans!$J:$J,"Rejet 0",E_Suivi_Eans!$K:$K,"&gt;31/12/2021",E_Suivi_Eans!$K:$K,"&lt;01/12/2022")+ COUNTIFS(E_Suivi_Eans!$C:$C,"04/2022",E_Suivi_Eans!$D:$D,"Taxes Supports d enregistrement",E_Suivi_Eans!$J:$J,"Rejet 1",E_Suivi_Eans!$K:$K,"&gt;31/12/2021",E_Suivi_Eans!$K:$K,"&lt;01/12/2022")+COUNTIFS(E_Suivi_Eans!$C:$C,"04/2022",E_Suivi_Eans!$D:$D,"Taxes Supports d enregistrement",E_Suivi_Eans!$J:$J,"Rejet 2",E_Suivi_Eans!$K:$K,"&gt;31/12/2021",E_Suivi_Eans!$K:$K,"&lt;01/12/2022")+COUNTIFS(E_Suivi_Eans!$C:$C,"04/2022",E_Suivi_Eans!$D:$D,"Taxes Supports d enregistrement",E_Suivi_Eans!$J:$J,"Rejet 3",E_Suivi_Eans!$K:$K,"&gt;31/12/2021",E_Suivi_Eans!$K:$K,"&lt;01/12/2022")+ COUNTIFS(E_Suivi_Eans!$C:$C,"04/2022",E_Suivi_Eans!$D:$D,"Taxes Supports d enregistrement",E_Suivi_Eans!$J:$J,"Rejet 4",E_Suivi_Eans!$K:$K,"&gt;31/12/2021",E_Suivi_Eans!$K:$K,"&lt;01/12/2022")+COUNTIFS(E_Suivi_Eans!$C:$C,"04/2022",E_Suivi_Eans!$D:$D,"Taxes Supports d enregistrement",E_Suivi_Eans!$J:$J,"Relance 1",E_Suivi_Eans!$K:$K,"&gt;31/12/2021",E_Suivi_Eans!$K:$K,"&lt;01/12/2022")+COUNTIFS(E_Suivi_Eans!$C:$C,"04/2022",E_Suivi_Eans!$D:$D,"Taxes Supports d enregistrement",E_Suivi_Eans!$J:$J,"Relance 2",E_Suivi_Eans!$K:$K,"&gt;31/12/2021",E_Suivi_Eans!$K:$K,"&lt;01/12/2022")+COUNTIFS(E_Suivi_Eans!$C:$C,"04/2022",E_Suivi_Eans!$D:$D,"Taxes Supports d enregistrement",E_Suivi_Eans!$J:$J,"Relance 3",E_Suivi_Eans!$K:$K,"&gt;31/12/2021",E_Suivi_Eans!$K:$K,"&lt;01/12/2022")</f>
        <v>15</v>
      </c>
      <c r="E53" s="21">
        <f>COUNTIFS(E_Suivi_Eans!$C:$C,"04/2022",E_Suivi_Eans!$D:$D,"Taxes Supports d enregistrement",E_Suivi_Eans!$J:$J,"Abandon",E_Suivi_Eans!$K:$K,"&gt;31/12/2021",E_Suivi_Eans!K:K,"&lt;01/12/2022")</f>
        <v>180</v>
      </c>
      <c r="F53" s="21">
        <f>COUNTIFS(E_Suivi_Eans!$C:$C,"04/2022",E_Suivi_Eans!$D:$D,"Taxes Supports d enregistrement")</f>
        <v>475</v>
      </c>
      <c r="G53" s="21">
        <f t="shared" si="9"/>
        <v>295</v>
      </c>
      <c r="J53" s="20" t="s">
        <v>5317</v>
      </c>
      <c r="K53" s="20" t="s">
        <v>5327</v>
      </c>
      <c r="L53" s="28">
        <f t="shared" si="10"/>
        <v>0.94915254237288138</v>
      </c>
      <c r="M53" s="28">
        <f t="shared" si="10"/>
        <v>5.0847457627118647E-2</v>
      </c>
      <c r="N53" s="28">
        <f t="shared" si="10"/>
        <v>0.61016949152542377</v>
      </c>
      <c r="O53" s="28">
        <v>1</v>
      </c>
      <c r="P53" s="28">
        <f t="shared" si="11"/>
        <v>0.38983050847457623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8"/>
      <c r="P54" s="28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5"/>
      <c r="E55" s="25"/>
      <c r="F55" s="25"/>
      <c r="G55" s="25"/>
      <c r="J55" s="22"/>
      <c r="K55" s="22"/>
      <c r="L55" s="23"/>
      <c r="M55" s="25"/>
      <c r="N55" s="25"/>
      <c r="O55" s="31"/>
      <c r="P55" s="31"/>
      <c r="S55" s="22"/>
      <c r="T55" s="22"/>
      <c r="U55" s="23"/>
      <c r="V55" s="25"/>
      <c r="W55" s="25"/>
      <c r="X55" s="25"/>
      <c r="Y55" s="25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8"/>
      <c r="P56" s="28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8"/>
      <c r="P57" s="28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8"/>
      <c r="P58" s="28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3"/>
      <c r="J59" s="20" t="s">
        <v>5318</v>
      </c>
      <c r="K59" s="20" t="s">
        <v>5317</v>
      </c>
      <c r="L59" s="21"/>
      <c r="M59" s="21"/>
      <c r="N59" s="21"/>
      <c r="O59" s="28"/>
      <c r="P59" s="28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COUNTIFS(E_Suivi_Eans!$C:$C,"05/2022",E_Suivi_Eans!$D:$D,"Taxes Supports d enregistrement",E_Suivi_Eans!$J:$J,"Retour OK",E_Suivi_Eans!$K:$K,"&gt;31/12/2021",E_Suivi_Eans!K:K,"&lt;01/06/2022")</f>
        <v>0</v>
      </c>
      <c r="D60" s="21">
        <f>COUNTIFS(E_Suivi_Eans!$C:$C,"05/2022",E_Suivi_Eans!$D:$D,"Taxes Supports d enregistrement",E_Suivi_Eans!$J:$J,"Rejet 0",E_Suivi_Eans!$K:$K,"&gt;31/12/2021",E_Suivi_Eans!$K:$K,"&lt;01/06/2022")+ COUNTIFS(E_Suivi_Eans!$C:$C,"05/2022",E_Suivi_Eans!$D:$D,"Taxes Supports d enregistrement",E_Suivi_Eans!$J:$J,"Rejet 1",E_Suivi_Eans!$K:$K,"&gt;31/12/2021",E_Suivi_Eans!$K:$K,"&lt;01/06/2022")+COUNTIFS(E_Suivi_Eans!$C:$C,"05/2022",E_Suivi_Eans!$D:$D,"Taxes Supports d enregistrement",E_Suivi_Eans!$J:$J,"Rejet 2",E_Suivi_Eans!$K:$K,"&gt;31/12/2021",E_Suivi_Eans!$K:$K,"&lt;01/06/2022")+COUNTIFS(E_Suivi_Eans!$C:$C,"05/2022",E_Suivi_Eans!$D:$D,"Taxes Supports d enregistrement",E_Suivi_Eans!$J:$J,"Rejet 3",E_Suivi_Eans!$K:$K,"&gt;31/12/2021",E_Suivi_Eans!$K:$K,"&lt;01/06/2022")+ COUNTIFS(E_Suivi_Eans!$C:$C,"05/2022",E_Suivi_Eans!$D:$D,"Taxes Supports d enregistrement",E_Suivi_Eans!$J:$J,"Rejet 4",E_Suivi_Eans!$K:$K,"&gt;31/12/2021",E_Suivi_Eans!$K:$K,"&lt;01/06/2022")+COUNTIFS(E_Suivi_Eans!$C:$C,"05/2022",E_Suivi_Eans!$D:$D,"Taxes Supports d enregistrement",E_Suivi_Eans!$J:$J,"Relance 1",E_Suivi_Eans!$K:$K,"&gt;31/12/2021",E_Suivi_Eans!$K:$K,"&lt;01/06/2022")+COUNTIFS(E_Suivi_Eans!$C:$C,"05/2022",E_Suivi_Eans!$D:$D,"Taxes Supports d enregistrement",E_Suivi_Eans!$J:$J,"Relance 2",E_Suivi_Eans!$K:$K,"&gt;31/12/2021",E_Suivi_Eans!$K:$K,"&lt;01/06/2022")+COUNTIFS(E_Suivi_Eans!$C:$C,"05/2022",E_Suivi_Eans!$D:$D,"Taxes Supports d enregistrement",E_Suivi_Eans!$J:$J,"Relance 3",E_Suivi_Eans!$K:$K,"&gt;31/12/2021",E_Suivi_Eans!$K:$K,"&lt;01/06/2022")</f>
        <v>4</v>
      </c>
      <c r="E60" s="21">
        <f>COUNTIFS(E_Suivi_Eans!$C:$C,"05/2022",E_Suivi_Eans!$D:$D,"Taxes Supports d enregistrement",E_Suivi_Eans!$J:$J,"Abandon",E_Suivi_Eans!$K:$K,"&gt;31/12/2021",E_Suivi_Eans!K:K,"&lt;01/06/2022")</f>
        <v>0</v>
      </c>
      <c r="F60" s="21">
        <f>COUNTIFS(E_Suivi_Eans!$C:$C,"05/2022",E_Suivi_Eans!$D:$D,"Taxes Supports d enregistrement")</f>
        <v>13</v>
      </c>
      <c r="G60" s="21">
        <f t="shared" ref="G60:G66" si="12">F60-E60</f>
        <v>13</v>
      </c>
      <c r="J60" s="20" t="s">
        <v>5318</v>
      </c>
      <c r="K60" s="20" t="s">
        <v>5318</v>
      </c>
      <c r="L60" s="28">
        <f>IF($G60=0,0,C60/$G60)</f>
        <v>0</v>
      </c>
      <c r="M60" s="28">
        <f t="shared" ref="M60:N66" si="13">IF($G60=0,0,D60/$G60)</f>
        <v>0.30769230769230771</v>
      </c>
      <c r="N60" s="28">
        <f t="shared" si="13"/>
        <v>0</v>
      </c>
      <c r="O60" s="28">
        <v>1</v>
      </c>
      <c r="P60" s="28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COUNTIFS(E_Suivi_Eans!$C:$C,"05/2022",E_Suivi_Eans!$D:$D,"Taxes Supports d enregistrement",E_Suivi_Eans!$J:$J,"Retour OK",E_Suivi_Eans!$K:$K,"&gt;31/12/2021",E_Suivi_Eans!K:K,"&lt;01/07/2022")</f>
        <v>2</v>
      </c>
      <c r="D61" s="21">
        <f>COUNTIFS(E_Suivi_Eans!$C:$C,"05/2022",E_Suivi_Eans!$D:$D,"Taxes Supports d enregistrement",E_Suivi_Eans!$J:$J,"Rejet 0",E_Suivi_Eans!$K:$K,"&gt;31/12/2021",E_Suivi_Eans!$K:$K,"&lt;01/07/2022")+ COUNTIFS(E_Suivi_Eans!$C:$C,"05/2022",E_Suivi_Eans!$D:$D,"Taxes Supports d enregistrement",E_Suivi_Eans!$J:$J,"Rejet 1",E_Suivi_Eans!$K:$K,"&gt;31/12/2021",E_Suivi_Eans!$K:$K,"&lt;01/07/2022")+COUNTIFS(E_Suivi_Eans!$C:$C,"05/2022",E_Suivi_Eans!$D:$D,"Taxes Supports d enregistrement",E_Suivi_Eans!$J:$J,"Rejet 2",E_Suivi_Eans!$K:$K,"&gt;31/12/2021",E_Suivi_Eans!$K:$K,"&lt;01/07/2022")+COUNTIFS(E_Suivi_Eans!$C:$C,"05/2022",E_Suivi_Eans!$D:$D,"Taxes Supports d enregistrement",E_Suivi_Eans!$J:$J,"Rejet 3",E_Suivi_Eans!$K:$K,"&gt;31/12/2021",E_Suivi_Eans!$K:$K,"&lt;01/07/2022")+ COUNTIFS(E_Suivi_Eans!$C:$C,"05/2022",E_Suivi_Eans!$D:$D,"Taxes Supports d enregistrement",E_Suivi_Eans!$J:$J,"Rejet 4",E_Suivi_Eans!$K:$K,"&gt;31/12/2021",E_Suivi_Eans!$K:$K,"&lt;01/07/2022")+COUNTIFS(E_Suivi_Eans!$C:$C,"05/2022",E_Suivi_Eans!$D:$D,"Taxes Supports d enregistrement",E_Suivi_Eans!$J:$J,"Relance 1",E_Suivi_Eans!$K:$K,"&gt;31/12/2021",E_Suivi_Eans!$K:$K,"&lt;01/07/2022")+COUNTIFS(E_Suivi_Eans!$C:$C,"05/2022",E_Suivi_Eans!$D:$D,"Taxes Supports d enregistrement",E_Suivi_Eans!$J:$J,"Relance 2",E_Suivi_Eans!$K:$K,"&gt;31/12/2021",E_Suivi_Eans!$K:$K,"&lt;01/07/2022")+COUNTIFS(E_Suivi_Eans!$C:$C,"05/2022",E_Suivi_Eans!$D:$D,"Taxes Supports d enregistrement",E_Suivi_Eans!$J:$J,"Relance 3",E_Suivi_Eans!$K:$K,"&gt;31/12/2021",E_Suivi_Eans!$K:$K,"&lt;01/07/2022")</f>
        <v>5</v>
      </c>
      <c r="E61" s="21">
        <f>COUNTIFS(E_Suivi_Eans!$C:$C,"05/2022",E_Suivi_Eans!$D:$D,"Taxes Supports d enregistrement",E_Suivi_Eans!$J:$J,"Abandon",E_Suivi_Eans!$K:$K,"&gt;31/12/2021",E_Suivi_Eans!K:K,"&lt;01/07/2022")</f>
        <v>6</v>
      </c>
      <c r="F61" s="21">
        <f>COUNTIFS(E_Suivi_Eans!$C:$C,"05/2022",E_Suivi_Eans!$D:$D,"Taxes Supports d enregistrement")</f>
        <v>13</v>
      </c>
      <c r="G61" s="21">
        <f t="shared" si="12"/>
        <v>7</v>
      </c>
      <c r="J61" s="20" t="s">
        <v>5318</v>
      </c>
      <c r="K61" s="20" t="s">
        <v>5319</v>
      </c>
      <c r="L61" s="28">
        <f t="shared" ref="L61:L66" si="15">IF($G61=0,0,C61/$G61)</f>
        <v>0.2857142857142857</v>
      </c>
      <c r="M61" s="28">
        <f t="shared" si="13"/>
        <v>0.7142857142857143</v>
      </c>
      <c r="N61" s="28">
        <f t="shared" si="13"/>
        <v>0.8571428571428571</v>
      </c>
      <c r="O61" s="28">
        <v>1</v>
      </c>
      <c r="P61" s="28">
        <f t="shared" si="14"/>
        <v>0.1428571428571429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COUNTIFS(E_Suivi_Eans!$C:$C,"05/2022",E_Suivi_Eans!$D:$D,"Taxes Supports d enregistrement",E_Suivi_Eans!$J:$J,"Retour OK",E_Suivi_Eans!$K:$K,"&gt;31/12/2021",E_Suivi_Eans!K:K,"&lt;01/08/2022")</f>
        <v>2</v>
      </c>
      <c r="D62" s="21">
        <f>COUNTIFS(E_Suivi_Eans!$C:$C,"05/2022",E_Suivi_Eans!$D:$D,"Taxes Supports d enregistrement",E_Suivi_Eans!$J:$J,"Rejet 0",E_Suivi_Eans!$K:$K,"&gt;31/12/2021",E_Suivi_Eans!$K:$K,"&lt;01/08/2022")+ COUNTIFS(E_Suivi_Eans!$C:$C,"05/2022",E_Suivi_Eans!$D:$D,"Taxes Supports d enregistrement",E_Suivi_Eans!$J:$J,"Rejet 1",E_Suivi_Eans!$K:$K,"&gt;31/12/2021",E_Suivi_Eans!$K:$K,"&lt;01/08/2022")+COUNTIFS(E_Suivi_Eans!$C:$C,"05/2022",E_Suivi_Eans!$D:$D,"Taxes Supports d enregistrement",E_Suivi_Eans!$J:$J,"Rejet 2",E_Suivi_Eans!$K:$K,"&gt;31/12/2021",E_Suivi_Eans!$K:$K,"&lt;01/08/2022")+COUNTIFS(E_Suivi_Eans!$C:$C,"05/2022",E_Suivi_Eans!$D:$D,"Taxes Supports d enregistrement",E_Suivi_Eans!$J:$J,"Rejet 3",E_Suivi_Eans!$K:$K,"&gt;31/12/2021",E_Suivi_Eans!$K:$K,"&lt;01/08/2022")+ COUNTIFS(E_Suivi_Eans!$C:$C,"05/2022",E_Suivi_Eans!$D:$D,"Taxes Supports d enregistrement",E_Suivi_Eans!$J:$J,"Rejet 4",E_Suivi_Eans!$K:$K,"&gt;31/12/2021",E_Suivi_Eans!$K:$K,"&lt;01/08/2022")+COUNTIFS(E_Suivi_Eans!$C:$C,"05/2022",E_Suivi_Eans!$D:$D,"Taxes Supports d enregistrement",E_Suivi_Eans!$J:$J,"Relance 1",E_Suivi_Eans!$K:$K,"&gt;31/12/2021",E_Suivi_Eans!$K:$K,"&lt;01/08/2022")+COUNTIFS(E_Suivi_Eans!$C:$C,"05/2022",E_Suivi_Eans!$D:$D,"Taxes Supports d enregistrement",E_Suivi_Eans!$J:$J,"Relance 2",E_Suivi_Eans!$K:$K,"&gt;31/12/2021",E_Suivi_Eans!$K:$K,"&lt;01/08/2022")+COUNTIFS(E_Suivi_Eans!$C:$C,"05/2022",E_Suivi_Eans!$D:$D,"Taxes Supports d enregistrement",E_Suivi_Eans!$J:$J,"Relance 3",E_Suivi_Eans!$K:$K,"&gt;31/12/2021",E_Suivi_Eans!$K:$K,"&lt;01/08/2022")</f>
        <v>5</v>
      </c>
      <c r="E62" s="21">
        <f>COUNTIFS(E_Suivi_Eans!$C:$C,"05/2022",E_Suivi_Eans!$D:$D,"Taxes Supports d enregistrement",E_Suivi_Eans!$J:$J,"Abandon",E_Suivi_Eans!$K:$K,"&gt;31/12/2021",E_Suivi_Eans!K:K,"&lt;01/08/2022")</f>
        <v>6</v>
      </c>
      <c r="F62" s="21">
        <f>COUNTIFS(E_Suivi_Eans!$C:$C,"05/2022",E_Suivi_Eans!$D:$D,"Taxes Supports d enregistrement")</f>
        <v>13</v>
      </c>
      <c r="G62" s="21">
        <f t="shared" si="12"/>
        <v>7</v>
      </c>
      <c r="J62" s="20" t="s">
        <v>5318</v>
      </c>
      <c r="K62" s="20" t="s">
        <v>5320</v>
      </c>
      <c r="L62" s="28">
        <f t="shared" si="15"/>
        <v>0.2857142857142857</v>
      </c>
      <c r="M62" s="28">
        <f t="shared" si="13"/>
        <v>0.7142857142857143</v>
      </c>
      <c r="N62" s="28">
        <f t="shared" si="13"/>
        <v>0.8571428571428571</v>
      </c>
      <c r="O62" s="28">
        <v>1</v>
      </c>
      <c r="P62" s="28">
        <f t="shared" si="14"/>
        <v>0.1428571428571429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COUNTIFS(E_Suivi_Eans!$C:$C,"05/2022",E_Suivi_Eans!$D:$D,"Taxes Supports d enregistrement",E_Suivi_Eans!$J:$J,"Retour OK",E_Suivi_Eans!$K:$K,"&gt;31/12/2021",E_Suivi_Eans!K:K,"&lt;01/09/2022")</f>
        <v>2</v>
      </c>
      <c r="D63" s="21">
        <f>COUNTIFS(E_Suivi_Eans!$C:$C,"05/2022",E_Suivi_Eans!$D:$D,"Taxes Supports d enregistrement",E_Suivi_Eans!$J:$J,"Rejet 0",E_Suivi_Eans!$K:$K,"&gt;31/12/2021",E_Suivi_Eans!$K:$K,"&lt;01/09/2022")+ COUNTIFS(E_Suivi_Eans!$C:$C,"05/2022",E_Suivi_Eans!$D:$D,"Taxes Supports d enregistrement",E_Suivi_Eans!$J:$J,"Rejet 1",E_Suivi_Eans!$K:$K,"&gt;31/12/2021",E_Suivi_Eans!$K:$K,"&lt;01/09/2022")+COUNTIFS(E_Suivi_Eans!$C:$C,"05/2022",E_Suivi_Eans!$D:$D,"Taxes Supports d enregistrement",E_Suivi_Eans!$J:$J,"Rejet 2",E_Suivi_Eans!$K:$K,"&gt;31/12/2021",E_Suivi_Eans!$K:$K,"&lt;01/09/2022")+COUNTIFS(E_Suivi_Eans!$C:$C,"05/2022",E_Suivi_Eans!$D:$D,"Taxes Supports d enregistrement",E_Suivi_Eans!$J:$J,"Rejet 3",E_Suivi_Eans!$K:$K,"&gt;31/12/2021",E_Suivi_Eans!$K:$K,"&lt;01/09/2022")+ COUNTIFS(E_Suivi_Eans!$C:$C,"05/2022",E_Suivi_Eans!$D:$D,"Taxes Supports d enregistrement",E_Suivi_Eans!$J:$J,"Rejet 4",E_Suivi_Eans!$K:$K,"&gt;31/12/2021",E_Suivi_Eans!$K:$K,"&lt;01/09/2022")+COUNTIFS(E_Suivi_Eans!$C:$C,"05/2022",E_Suivi_Eans!$D:$D,"Taxes Supports d enregistrement",E_Suivi_Eans!$J:$J,"Relance 1",E_Suivi_Eans!$K:$K,"&gt;31/12/2021",E_Suivi_Eans!$K:$K,"&lt;01/09/2022")+COUNTIFS(E_Suivi_Eans!$C:$C,"05/2022",E_Suivi_Eans!$D:$D,"Taxes Supports d enregistrement",E_Suivi_Eans!$J:$J,"Relance 2",E_Suivi_Eans!$K:$K,"&gt;31/12/2021",E_Suivi_Eans!$K:$K,"&lt;01/09/2022")+COUNTIFS(E_Suivi_Eans!$C:$C,"05/2022",E_Suivi_Eans!$D:$D,"Taxes Supports d enregistrement",E_Suivi_Eans!$J:$J,"Relance 3",E_Suivi_Eans!$K:$K,"&gt;31/12/2021",E_Suivi_Eans!$K:$K,"&lt;01/09/2022")</f>
        <v>5</v>
      </c>
      <c r="E63" s="21">
        <f>COUNTIFS(E_Suivi_Eans!$C:$C,"05/2022",E_Suivi_Eans!$D:$D,"Taxes Supports d enregistrement",E_Suivi_Eans!$J:$J,"Abandon",E_Suivi_Eans!$K:$K,"&gt;31/12/2021",E_Suivi_Eans!K:K,"&lt;01/09/2022")</f>
        <v>6</v>
      </c>
      <c r="F63" s="21">
        <f>COUNTIFS(E_Suivi_Eans!$C:$C,"05/2022",E_Suivi_Eans!$D:$D,"Taxes Supports d enregistrement")</f>
        <v>13</v>
      </c>
      <c r="G63" s="21">
        <f t="shared" si="12"/>
        <v>7</v>
      </c>
      <c r="J63" s="20" t="s">
        <v>5318</v>
      </c>
      <c r="K63" s="20" t="s">
        <v>5321</v>
      </c>
      <c r="L63" s="28">
        <f t="shared" si="15"/>
        <v>0.2857142857142857</v>
      </c>
      <c r="M63" s="28">
        <f t="shared" si="13"/>
        <v>0.7142857142857143</v>
      </c>
      <c r="N63" s="28">
        <f t="shared" si="13"/>
        <v>0.8571428571428571</v>
      </c>
      <c r="O63" s="28">
        <v>1</v>
      </c>
      <c r="P63" s="28">
        <f t="shared" si="14"/>
        <v>0.1428571428571429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COUNTIFS(E_Suivi_Eans!$C:$C,"05/2022",E_Suivi_Eans!$D:$D,"Taxes Supports d enregistrement",E_Suivi_Eans!$J:$J,"Retour OK",E_Suivi_Eans!$K:$K,"&gt;31/12/2021",E_Suivi_Eans!K:K,"&lt;01/10/2022")</f>
        <v>2</v>
      </c>
      <c r="D64" s="21">
        <f>COUNTIFS(E_Suivi_Eans!$C:$C,"05/2022",E_Suivi_Eans!$D:$D,"Taxes Supports d enregistrement",E_Suivi_Eans!$J:$J,"Rejet 0",E_Suivi_Eans!$K:$K,"&gt;31/12/2021",E_Suivi_Eans!$K:$K,"&lt;01/10/2022")+ COUNTIFS(E_Suivi_Eans!$C:$C,"05/2022",E_Suivi_Eans!$D:$D,"Taxes Supports d enregistrement",E_Suivi_Eans!$J:$J,"Rejet 1",E_Suivi_Eans!$K:$K,"&gt;31/12/2021",E_Suivi_Eans!$K:$K,"&lt;01/10/2022")+COUNTIFS(E_Suivi_Eans!$C:$C,"05/2022",E_Suivi_Eans!$D:$D,"Taxes Supports d enregistrement",E_Suivi_Eans!$J:$J,"Rejet 2",E_Suivi_Eans!$K:$K,"&gt;31/12/2021",E_Suivi_Eans!$K:$K,"&lt;01/10/2022")+COUNTIFS(E_Suivi_Eans!$C:$C,"05/2022",E_Suivi_Eans!$D:$D,"Taxes Supports d enregistrement",E_Suivi_Eans!$J:$J,"Rejet 3",E_Suivi_Eans!$K:$K,"&gt;31/12/2021",E_Suivi_Eans!$K:$K,"&lt;01/10/2022")+ COUNTIFS(E_Suivi_Eans!$C:$C,"05/2022",E_Suivi_Eans!$D:$D,"Taxes Supports d enregistrement",E_Suivi_Eans!$J:$J,"Rejet 4",E_Suivi_Eans!$K:$K,"&gt;31/12/2021",E_Suivi_Eans!$K:$K,"&lt;01/10/2022")+COUNTIFS(E_Suivi_Eans!$C:$C,"05/2022",E_Suivi_Eans!$D:$D,"Taxes Supports d enregistrement",E_Suivi_Eans!$J:$J,"Relance 1",E_Suivi_Eans!$K:$K,"&gt;31/12/2021",E_Suivi_Eans!$K:$K,"&lt;01/10/2022")+COUNTIFS(E_Suivi_Eans!$C:$C,"05/2022",E_Suivi_Eans!$D:$D,"Taxes Supports d enregistrement",E_Suivi_Eans!$J:$J,"Relance 2",E_Suivi_Eans!$K:$K,"&gt;31/12/2021",E_Suivi_Eans!$K:$K,"&lt;01/10/2022")+COUNTIFS(E_Suivi_Eans!$C:$C,"05/2022",E_Suivi_Eans!$D:$D,"Taxes Supports d enregistrement",E_Suivi_Eans!$J:$J,"Relance 3",E_Suivi_Eans!$K:$K,"&gt;31/12/2021",E_Suivi_Eans!$K:$K,"&lt;01/10/2022")</f>
        <v>5</v>
      </c>
      <c r="E64" s="21">
        <f>COUNTIFS(E_Suivi_Eans!$C:$C,"05/2022",E_Suivi_Eans!$D:$D,"Taxes Supports d enregistrement",E_Suivi_Eans!$J:$J,"Abandon",E_Suivi_Eans!$K:$K,"&gt;31/12/2021",E_Suivi_Eans!K:K,"&lt;01/10/2022")</f>
        <v>6</v>
      </c>
      <c r="F64" s="21">
        <f>COUNTIFS(E_Suivi_Eans!$C:$C,"05/2022",E_Suivi_Eans!$D:$D,"Taxes Supports d enregistrement")</f>
        <v>13</v>
      </c>
      <c r="G64" s="21">
        <f t="shared" si="12"/>
        <v>7</v>
      </c>
      <c r="J64" s="20" t="s">
        <v>5318</v>
      </c>
      <c r="K64" s="20" t="s">
        <v>5325</v>
      </c>
      <c r="L64" s="28">
        <f t="shared" si="15"/>
        <v>0.2857142857142857</v>
      </c>
      <c r="M64" s="28">
        <f t="shared" si="13"/>
        <v>0.7142857142857143</v>
      </c>
      <c r="N64" s="28">
        <f t="shared" si="13"/>
        <v>0.8571428571428571</v>
      </c>
      <c r="O64" s="28">
        <v>1</v>
      </c>
      <c r="P64" s="28">
        <f t="shared" si="14"/>
        <v>0.1428571428571429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COUNTIFS(E_Suivi_Eans!$C:$C,"05/2022",E_Suivi_Eans!$D:$D,"Taxes Supports d enregistrement",E_Suivi_Eans!$J:$J,"Retour OK",E_Suivi_Eans!$K:$K,"&gt;31/12/2021",E_Suivi_Eans!K:K,"&lt;01/11/2022")</f>
        <v>2</v>
      </c>
      <c r="D65" s="21">
        <f>COUNTIFS(E_Suivi_Eans!$C:$C,"05/2022",E_Suivi_Eans!$D:$D,"Taxes Supports d enregistrement",E_Suivi_Eans!$J:$J,"Rejet 0",E_Suivi_Eans!$K:$K,"&gt;31/12/2021",E_Suivi_Eans!$K:$K,"&lt;01/11/2022")+ COUNTIFS(E_Suivi_Eans!$C:$C,"05/2022",E_Suivi_Eans!$D:$D,"Taxes Supports d enregistrement",E_Suivi_Eans!$J:$J,"Rejet 1",E_Suivi_Eans!$K:$K,"&gt;31/12/2021",E_Suivi_Eans!$K:$K,"&lt;01/11/2022")+COUNTIFS(E_Suivi_Eans!$C:$C,"05/2022",E_Suivi_Eans!$D:$D,"Taxes Supports d enregistrement",E_Suivi_Eans!$J:$J,"Rejet 2",E_Suivi_Eans!$K:$K,"&gt;31/12/2021",E_Suivi_Eans!$K:$K,"&lt;01/11/2022")+COUNTIFS(E_Suivi_Eans!$C:$C,"05/2022",E_Suivi_Eans!$D:$D,"Taxes Supports d enregistrement",E_Suivi_Eans!$J:$J,"Rejet 3",E_Suivi_Eans!$K:$K,"&gt;31/12/2021",E_Suivi_Eans!$K:$K,"&lt;01/11/2022")+ COUNTIFS(E_Suivi_Eans!$C:$C,"05/2022",E_Suivi_Eans!$D:$D,"Taxes Supports d enregistrement",E_Suivi_Eans!$J:$J,"Rejet 4",E_Suivi_Eans!$K:$K,"&gt;31/12/2021",E_Suivi_Eans!$K:$K,"&lt;01/11/2022")+COUNTIFS(E_Suivi_Eans!$C:$C,"05/2022",E_Suivi_Eans!$D:$D,"Taxes Supports d enregistrement",E_Suivi_Eans!$J:$J,"Relance 1",E_Suivi_Eans!$K:$K,"&gt;31/12/2021",E_Suivi_Eans!$K:$K,"&lt;01/11/2022")+COUNTIFS(E_Suivi_Eans!$C:$C,"05/2022",E_Suivi_Eans!$D:$D,"Taxes Supports d enregistrement",E_Suivi_Eans!$J:$J,"Relance 2",E_Suivi_Eans!$K:$K,"&gt;31/12/2021",E_Suivi_Eans!$K:$K,"&lt;01/11/2022")+COUNTIFS(E_Suivi_Eans!$C:$C,"05/2022",E_Suivi_Eans!$D:$D,"Taxes Supports d enregistrement",E_Suivi_Eans!$J:$J,"Relance 3",E_Suivi_Eans!$K:$K,"&gt;31/12/2021",E_Suivi_Eans!$K:$K,"&lt;01/11/2022")</f>
        <v>5</v>
      </c>
      <c r="E65" s="21">
        <f>COUNTIFS(E_Suivi_Eans!$C:$C,"05/2022",E_Suivi_Eans!$D:$D,"Taxes Supports d enregistrement",E_Suivi_Eans!$J:$J,"Abandon",E_Suivi_Eans!$K:$K,"&gt;31/12/2021",E_Suivi_Eans!K:K,"&lt;01/11/2022")</f>
        <v>6</v>
      </c>
      <c r="F65" s="21">
        <f>COUNTIFS(E_Suivi_Eans!$C:$C,"05/2022",E_Suivi_Eans!$D:$D,"Taxes Supports d enregistrement")</f>
        <v>13</v>
      </c>
      <c r="G65" s="21">
        <f t="shared" si="12"/>
        <v>7</v>
      </c>
      <c r="J65" s="20" t="s">
        <v>5318</v>
      </c>
      <c r="K65" s="20" t="s">
        <v>5326</v>
      </c>
      <c r="L65" s="28">
        <f t="shared" si="15"/>
        <v>0.2857142857142857</v>
      </c>
      <c r="M65" s="28">
        <f t="shared" si="13"/>
        <v>0.7142857142857143</v>
      </c>
      <c r="N65" s="28">
        <f t="shared" si="13"/>
        <v>0.8571428571428571</v>
      </c>
      <c r="O65" s="28">
        <v>1</v>
      </c>
      <c r="P65" s="28">
        <f t="shared" si="14"/>
        <v>0.1428571428571429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COUNTIFS(E_Suivi_Eans!$C:$C,"05/2022",E_Suivi_Eans!$D:$D,"Taxes Supports d enregistrement",E_Suivi_Eans!$J:$J,"Retour OK",E_Suivi_Eans!$K:$K,"&gt;31/12/2021",E_Suivi_Eans!K:K,"&lt;01/12/2022")</f>
        <v>2</v>
      </c>
      <c r="D66" s="21">
        <f>COUNTIFS(E_Suivi_Eans!$C:$C,"05/2022",E_Suivi_Eans!$D:$D,"Taxes Supports d enregistrement",E_Suivi_Eans!$J:$J,"Rejet 0",E_Suivi_Eans!$K:$K,"&gt;31/12/2021",E_Suivi_Eans!$K:$K,"&lt;01/12/2022")+ COUNTIFS(E_Suivi_Eans!$C:$C,"05/2022",E_Suivi_Eans!$D:$D,"Taxes Supports d enregistrement",E_Suivi_Eans!$J:$J,"Rejet 1",E_Suivi_Eans!$K:$K,"&gt;31/12/2021",E_Suivi_Eans!$K:$K,"&lt;01/12/2022")+COUNTIFS(E_Suivi_Eans!$C:$C,"05/2022",E_Suivi_Eans!$D:$D,"Taxes Supports d enregistrement",E_Suivi_Eans!$J:$J,"Rejet 2",E_Suivi_Eans!$K:$K,"&gt;31/12/2021",E_Suivi_Eans!$K:$K,"&lt;01/12/2022")+COUNTIFS(E_Suivi_Eans!$C:$C,"05/2022",E_Suivi_Eans!$D:$D,"Taxes Supports d enregistrement",E_Suivi_Eans!$J:$J,"Rejet 3",E_Suivi_Eans!$K:$K,"&gt;31/12/2021",E_Suivi_Eans!$K:$K,"&lt;01/12/2022")+ COUNTIFS(E_Suivi_Eans!$C:$C,"05/2022",E_Suivi_Eans!$D:$D,"Taxes Supports d enregistrement",E_Suivi_Eans!$J:$J,"Rejet 4",E_Suivi_Eans!$K:$K,"&gt;31/12/2021",E_Suivi_Eans!$K:$K,"&lt;01/12/2022")+COUNTIFS(E_Suivi_Eans!$C:$C,"05/2022",E_Suivi_Eans!$D:$D,"Taxes Supports d enregistrement",E_Suivi_Eans!$J:$J,"Relance 1",E_Suivi_Eans!$K:$K,"&gt;31/12/2021",E_Suivi_Eans!$K:$K,"&lt;01/12/2022")+COUNTIFS(E_Suivi_Eans!$C:$C,"05/2022",E_Suivi_Eans!$D:$D,"Taxes Supports d enregistrement",E_Suivi_Eans!$J:$J,"Relance 2",E_Suivi_Eans!$K:$K,"&gt;31/12/2021",E_Suivi_Eans!$K:$K,"&lt;01/12/2022")+COUNTIFS(E_Suivi_Eans!$C:$C,"05/2022",E_Suivi_Eans!$D:$D,"Taxes Supports d enregistrement",E_Suivi_Eans!$J:$J,"Relance 3",E_Suivi_Eans!$K:$K,"&gt;31/12/2021",E_Suivi_Eans!$K:$K,"&lt;01/12/2022")</f>
        <v>5</v>
      </c>
      <c r="E66" s="21">
        <f>COUNTIFS(E_Suivi_Eans!$C:$C,"05/2022",E_Suivi_Eans!$D:$D,"Taxes Supports d enregistrement",E_Suivi_Eans!$J:$J,"Abandon",E_Suivi_Eans!$K:$K,"&gt;31/12/2021",E_Suivi_Eans!K:K,"&lt;01/12/2022")</f>
        <v>6</v>
      </c>
      <c r="F66" s="21">
        <f>COUNTIFS(E_Suivi_Eans!$C:$C,"05/2022",E_Suivi_Eans!$D:$D,"Taxes Supports d enregistrement")</f>
        <v>13</v>
      </c>
      <c r="G66" s="21">
        <f t="shared" si="12"/>
        <v>7</v>
      </c>
      <c r="J66" s="20" t="s">
        <v>5318</v>
      </c>
      <c r="K66" s="20" t="s">
        <v>5327</v>
      </c>
      <c r="L66" s="28">
        <f t="shared" si="15"/>
        <v>0.2857142857142857</v>
      </c>
      <c r="M66" s="28">
        <f t="shared" si="13"/>
        <v>0.7142857142857143</v>
      </c>
      <c r="N66" s="28">
        <f t="shared" si="13"/>
        <v>0.8571428571428571</v>
      </c>
      <c r="O66" s="28">
        <v>1</v>
      </c>
      <c r="P66" s="28">
        <f t="shared" si="14"/>
        <v>0.1428571428571429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8"/>
      <c r="P67" s="28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5"/>
      <c r="E68" s="25"/>
      <c r="F68" s="25"/>
      <c r="G68" s="25"/>
      <c r="J68" s="22"/>
      <c r="K68" s="22"/>
      <c r="L68" s="23"/>
      <c r="M68" s="25"/>
      <c r="N68" s="25"/>
      <c r="O68" s="31"/>
      <c r="P68" s="31"/>
      <c r="S68" s="22"/>
      <c r="T68" s="22"/>
      <c r="U68" s="23"/>
      <c r="V68" s="25"/>
      <c r="W68" s="25"/>
      <c r="X68" s="25"/>
      <c r="Y68" s="25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8"/>
      <c r="P69" s="28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8"/>
      <c r="P70" s="28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8"/>
      <c r="P71" s="28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8"/>
      <c r="P72" s="28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8"/>
      <c r="P73" s="28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COUNTIFS(E_Suivi_Eans!$C:$C,"06/2022",E_Suivi_Eans!$D:$D,"Taxes Supports d enregistrement",E_Suivi_Eans!$J:$J,"Retour OK",E_Suivi_Eans!$K:$K,"&gt;31/12/2021",E_Suivi_Eans!K:K,"&lt;01/07/2022")</f>
        <v>0</v>
      </c>
      <c r="D74" s="21">
        <f>COUNTIFS(E_Suivi_Eans!$C:$C,"06/2022",E_Suivi_Eans!$D:$D,"Taxes Supports d enregistrement",E_Suivi_Eans!$J:$J,"Rejet 0",E_Suivi_Eans!$K:$K,"&gt;31/12/2021",E_Suivi_Eans!$K:$K,"&lt;01/07/2022")+ COUNTIFS(E_Suivi_Eans!$C:$C,"06/2022",E_Suivi_Eans!$D:$D,"Taxes Supports d enregistrement",E_Suivi_Eans!$J:$J,"Rejet 1",E_Suivi_Eans!$K:$K,"&gt;31/12/2021",E_Suivi_Eans!$K:$K,"&lt;01/07/2022")+COUNTIFS(E_Suivi_Eans!$C:$C,"06/2022",E_Suivi_Eans!$D:$D,"Taxes Supports d enregistrement",E_Suivi_Eans!$J:$J,"Rejet 2",E_Suivi_Eans!$K:$K,"&gt;31/12/2021",E_Suivi_Eans!$K:$K,"&lt;01/07/2022")+COUNTIFS(E_Suivi_Eans!$C:$C,"06/2022",E_Suivi_Eans!$D:$D,"Taxes Supports d enregistrement",E_Suivi_Eans!$J:$J,"Rejet 3",E_Suivi_Eans!$K:$K,"&gt;31/12/2021",E_Suivi_Eans!$K:$K,"&lt;01/07/2022")+ COUNTIFS(E_Suivi_Eans!$C:$C,"06/2022",E_Suivi_Eans!$D:$D,"Taxes Supports d enregistrement",E_Suivi_Eans!$J:$J,"Rejet 4",E_Suivi_Eans!$K:$K,"&gt;31/12/2021",E_Suivi_Eans!$K:$K,"&lt;01/07/2022")+COUNTIFS(E_Suivi_Eans!$C:$C,"06/2022",E_Suivi_Eans!$D:$D,"Taxes Supports d enregistrement",E_Suivi_Eans!$J:$J,"Relance 1",E_Suivi_Eans!$K:$K,"&gt;31/12/2021",E_Suivi_Eans!$K:$K,"&lt;01/07/2022")+COUNTIFS(E_Suivi_Eans!$C:$C,"06/2022",E_Suivi_Eans!$D:$D,"Taxes Supports d enregistrement",E_Suivi_Eans!$J:$J,"Relance 2",E_Suivi_Eans!$K:$K,"&gt;31/12/2021",E_Suivi_Eans!$K:$K,"&lt;01/07/2022")+COUNTIFS(E_Suivi_Eans!$C:$C,"06/2022",E_Suivi_Eans!$D:$D,"Taxes Supports d enregistrement",E_Suivi_Eans!$J:$J,"Relance 3",E_Suivi_Eans!$K:$K,"&gt;31/12/2021",E_Suivi_Eans!$K:$K,"&lt;01/07/2022")</f>
        <v>0</v>
      </c>
      <c r="E74" s="21">
        <f>COUNTIFS(E_Suivi_Eans!$C:$C,"06/2022",E_Suivi_Eans!$D:$D,"Taxes Supports d enregistrement",E_Suivi_Eans!$J:$J,"Abandon",E_Suivi_Eans!$K:$K,"&gt;31/12/2021",E_Suivi_Eans!K:K,"&lt;01/07/2022")</f>
        <v>0</v>
      </c>
      <c r="F74" s="21">
        <f>COUNTIFS(E_Suivi_Eans!$C:$C,"06/2022",E_Suivi_Eans!$D:$D,"Taxes Supports d enregistrement")</f>
        <v>2</v>
      </c>
      <c r="G74" s="21">
        <f t="shared" ref="G74:G79" si="16">F74-E74</f>
        <v>2</v>
      </c>
      <c r="J74" s="20" t="s">
        <v>5319</v>
      </c>
      <c r="K74" s="20" t="s">
        <v>5319</v>
      </c>
      <c r="L74" s="28">
        <f t="shared" ref="L74:N79" si="17">IF($G74=0,0,C74/$G74)</f>
        <v>0</v>
      </c>
      <c r="M74" s="28">
        <f t="shared" si="17"/>
        <v>0</v>
      </c>
      <c r="N74" s="28">
        <f t="shared" si="17"/>
        <v>0</v>
      </c>
      <c r="O74" s="28">
        <v>1</v>
      </c>
      <c r="P74" s="28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COUNTIFS(E_Suivi_Eans!$C:$C,"06/2022",E_Suivi_Eans!$D:$D,"Taxes Supports d enregistrement",E_Suivi_Eans!$J:$J,"Retour OK",E_Suivi_Eans!$K:$K,"&gt;31/12/2021",E_Suivi_Eans!K:K,"&lt;01/08/2022")</f>
        <v>0</v>
      </c>
      <c r="D75" s="21">
        <f>COUNTIFS(E_Suivi_Eans!$C:$C,"06/2022",E_Suivi_Eans!$D:$D,"Taxes Supports d enregistrement",E_Suivi_Eans!$J:$J,"Rejet 0",E_Suivi_Eans!$K:$K,"&gt;31/12/2021",E_Suivi_Eans!$K:$K,"&lt;01/08/2022")+ COUNTIFS(E_Suivi_Eans!$C:$C,"06/2022",E_Suivi_Eans!$D:$D,"Taxes Supports d enregistrement",E_Suivi_Eans!$J:$J,"Rejet 1",E_Suivi_Eans!$K:$K,"&gt;31/12/2021",E_Suivi_Eans!$K:$K,"&lt;01/08/2022")+COUNTIFS(E_Suivi_Eans!$C:$C,"06/2022",E_Suivi_Eans!$D:$D,"Taxes Supports d enregistrement",E_Suivi_Eans!$J:$J,"Rejet 2",E_Suivi_Eans!$K:$K,"&gt;31/12/2021",E_Suivi_Eans!$K:$K,"&lt;01/08/2022")+COUNTIFS(E_Suivi_Eans!$C:$C,"06/2022",E_Suivi_Eans!$D:$D,"Taxes Supports d enregistrement",E_Suivi_Eans!$J:$J,"Rejet 3",E_Suivi_Eans!$K:$K,"&gt;31/12/2021",E_Suivi_Eans!$K:$K,"&lt;01/08/2022")+ COUNTIFS(E_Suivi_Eans!$C:$C,"06/2022",E_Suivi_Eans!$D:$D,"Taxes Supports d enregistrement",E_Suivi_Eans!$J:$J,"Rejet 4",E_Suivi_Eans!$K:$K,"&gt;31/12/2021",E_Suivi_Eans!$K:$K,"&lt;01/08/2022")+COUNTIFS(E_Suivi_Eans!$C:$C,"06/2022",E_Suivi_Eans!$D:$D,"Taxes Supports d enregistrement",E_Suivi_Eans!$J:$J,"Relance 1",E_Suivi_Eans!$K:$K,"&gt;31/12/2021",E_Suivi_Eans!$K:$K,"&lt;01/08/2022")+COUNTIFS(E_Suivi_Eans!$C:$C,"06/2022",E_Suivi_Eans!$D:$D,"Taxes Supports d enregistrement",E_Suivi_Eans!$J:$J,"Relance 2",E_Suivi_Eans!$K:$K,"&gt;31/12/2021",E_Suivi_Eans!$K:$K,"&lt;01/08/2022")+COUNTIFS(E_Suivi_Eans!$C:$C,"06/2022",E_Suivi_Eans!$D:$D,"Taxes Supports d enregistrement",E_Suivi_Eans!$J:$J,"Relance 3",E_Suivi_Eans!$K:$K,"&gt;31/12/2021",E_Suivi_Eans!$K:$K,"&lt;01/08/2022")</f>
        <v>0</v>
      </c>
      <c r="E75" s="21">
        <f>COUNTIFS(E_Suivi_Eans!$C:$C,"06/2022",E_Suivi_Eans!$D:$D,"Taxes Supports d enregistrement",E_Suivi_Eans!$J:$J,"Abandon",E_Suivi_Eans!$K:$K,"&gt;31/12/2021",E_Suivi_Eans!K:K,"&lt;01/08/2022")</f>
        <v>0</v>
      </c>
      <c r="F75" s="21">
        <f>COUNTIFS(E_Suivi_Eans!$C:$C,"06/2022",E_Suivi_Eans!$D:$D,"Taxes Supports d enregistrement")</f>
        <v>2</v>
      </c>
      <c r="G75" s="21">
        <f t="shared" si="16"/>
        <v>2</v>
      </c>
      <c r="J75" s="20" t="s">
        <v>5319</v>
      </c>
      <c r="K75" s="20" t="s">
        <v>5320</v>
      </c>
      <c r="L75" s="28">
        <f t="shared" si="17"/>
        <v>0</v>
      </c>
      <c r="M75" s="28">
        <f t="shared" si="17"/>
        <v>0</v>
      </c>
      <c r="N75" s="28">
        <f t="shared" si="17"/>
        <v>0</v>
      </c>
      <c r="O75" s="28">
        <v>1</v>
      </c>
      <c r="P75" s="28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COUNTIFS(E_Suivi_Eans!$C:$C,"06/2022",E_Suivi_Eans!$D:$D,"Taxes Supports d enregistrement",E_Suivi_Eans!$J:$J,"Retour OK",E_Suivi_Eans!$K:$K,"&gt;31/12/2021",E_Suivi_Eans!K:K,"&lt;01/09/2022")</f>
        <v>0</v>
      </c>
      <c r="D76" s="21">
        <f>COUNTIFS(E_Suivi_Eans!$C:$C,"06/2022",E_Suivi_Eans!$D:$D,"Taxes Supports d enregistrement",E_Suivi_Eans!$J:$J,"Rejet 0",E_Suivi_Eans!$K:$K,"&gt;31/12/2021",E_Suivi_Eans!$K:$K,"&lt;01/09/2022")+ COUNTIFS(E_Suivi_Eans!$C:$C,"06/2022",E_Suivi_Eans!$D:$D,"Taxes Supports d enregistrement",E_Suivi_Eans!$J:$J,"Rejet 1",E_Suivi_Eans!$K:$K,"&gt;31/12/2021",E_Suivi_Eans!$K:$K,"&lt;01/09/2022")+COUNTIFS(E_Suivi_Eans!$C:$C,"06/2022",E_Suivi_Eans!$D:$D,"Taxes Supports d enregistrement",E_Suivi_Eans!$J:$J,"Rejet 2",E_Suivi_Eans!$K:$K,"&gt;31/12/2021",E_Suivi_Eans!$K:$K,"&lt;01/09/2022")+COUNTIFS(E_Suivi_Eans!$C:$C,"06/2022",E_Suivi_Eans!$D:$D,"Taxes Supports d enregistrement",E_Suivi_Eans!$J:$J,"Rejet 3",E_Suivi_Eans!$K:$K,"&gt;31/12/2021",E_Suivi_Eans!$K:$K,"&lt;01/09/2022")+ COUNTIFS(E_Suivi_Eans!$C:$C,"06/2022",E_Suivi_Eans!$D:$D,"Taxes Supports d enregistrement",E_Suivi_Eans!$J:$J,"Rejet 4",E_Suivi_Eans!$K:$K,"&gt;31/12/2021",E_Suivi_Eans!$K:$K,"&lt;01/09/2022")+COUNTIFS(E_Suivi_Eans!$C:$C,"06/2022",E_Suivi_Eans!$D:$D,"Taxes Supports d enregistrement",E_Suivi_Eans!$J:$J,"Relance 1",E_Suivi_Eans!$K:$K,"&gt;31/12/2021",E_Suivi_Eans!$K:$K,"&lt;01/09/2022")+COUNTIFS(E_Suivi_Eans!$C:$C,"06/2022",E_Suivi_Eans!$D:$D,"Taxes Supports d enregistrement",E_Suivi_Eans!$J:$J,"Relance 2",E_Suivi_Eans!$K:$K,"&gt;31/12/2021",E_Suivi_Eans!$K:$K,"&lt;01/09/2022")+COUNTIFS(E_Suivi_Eans!$C:$C,"06/2022",E_Suivi_Eans!$D:$D,"Taxes Supports d enregistrement",E_Suivi_Eans!$J:$J,"Relance 3",E_Suivi_Eans!$K:$K,"&gt;31/12/2021",E_Suivi_Eans!$K:$K,"&lt;01/09/2022")</f>
        <v>0</v>
      </c>
      <c r="E76" s="21">
        <f>COUNTIFS(E_Suivi_Eans!$C:$C,"06/2022",E_Suivi_Eans!$D:$D,"Taxes Supports d enregistrement",E_Suivi_Eans!$J:$J,"Abandon",E_Suivi_Eans!$K:$K,"&gt;31/12/2021",E_Suivi_Eans!K:K,"&lt;01/09/2022")</f>
        <v>0</v>
      </c>
      <c r="F76" s="21">
        <f>COUNTIFS(E_Suivi_Eans!$C:$C,"06/2022",E_Suivi_Eans!$D:$D,"Taxes Supports d enregistrement")</f>
        <v>2</v>
      </c>
      <c r="G76" s="21">
        <f t="shared" si="16"/>
        <v>2</v>
      </c>
      <c r="J76" s="20" t="s">
        <v>5319</v>
      </c>
      <c r="K76" s="20" t="s">
        <v>5321</v>
      </c>
      <c r="L76" s="28">
        <f t="shared" si="17"/>
        <v>0</v>
      </c>
      <c r="M76" s="28">
        <f t="shared" si="17"/>
        <v>0</v>
      </c>
      <c r="N76" s="28">
        <f t="shared" si="17"/>
        <v>0</v>
      </c>
      <c r="O76" s="28">
        <v>1</v>
      </c>
      <c r="P76" s="28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COUNTIFS(E_Suivi_Eans!$C:$C,"06/2022",E_Suivi_Eans!$D:$D,"Taxes Supports d enregistrement",E_Suivi_Eans!$J:$J,"Retour OK",E_Suivi_Eans!$K:$K,"&gt;31/12/2021",E_Suivi_Eans!K:K,"&lt;01/10/2022")</f>
        <v>0</v>
      </c>
      <c r="D77" s="21">
        <f>COUNTIFS(E_Suivi_Eans!$C:$C,"06/2022",E_Suivi_Eans!$D:$D,"Taxes Supports d enregistrement",E_Suivi_Eans!$J:$J,"Rejet 0",E_Suivi_Eans!$K:$K,"&gt;31/12/2021",E_Suivi_Eans!$K:$K,"&lt;01/10/2022")+ COUNTIFS(E_Suivi_Eans!$C:$C,"06/2022",E_Suivi_Eans!$D:$D,"Taxes Supports d enregistrement",E_Suivi_Eans!$J:$J,"Rejet 1",E_Suivi_Eans!$K:$K,"&gt;31/12/2021",E_Suivi_Eans!$K:$K,"&lt;01/10/2022")+COUNTIFS(E_Suivi_Eans!$C:$C,"06/2022",E_Suivi_Eans!$D:$D,"Taxes Supports d enregistrement",E_Suivi_Eans!$J:$J,"Rejet 2",E_Suivi_Eans!$K:$K,"&gt;31/12/2021",E_Suivi_Eans!$K:$K,"&lt;01/10/2022")+COUNTIFS(E_Suivi_Eans!$C:$C,"06/2022",E_Suivi_Eans!$D:$D,"Taxes Supports d enregistrement",E_Suivi_Eans!$J:$J,"Rejet 3",E_Suivi_Eans!$K:$K,"&gt;31/12/2021",E_Suivi_Eans!$K:$K,"&lt;01/10/2022")+ COUNTIFS(E_Suivi_Eans!$C:$C,"06/2022",E_Suivi_Eans!$D:$D,"Taxes Supports d enregistrement",E_Suivi_Eans!$J:$J,"Rejet 4",E_Suivi_Eans!$K:$K,"&gt;31/12/2021",E_Suivi_Eans!$K:$K,"&lt;01/10/2022")+COUNTIFS(E_Suivi_Eans!$C:$C,"06/2022",E_Suivi_Eans!$D:$D,"Taxes Supports d enregistrement",E_Suivi_Eans!$J:$J,"Relance 1",E_Suivi_Eans!$K:$K,"&gt;31/12/2021",E_Suivi_Eans!$K:$K,"&lt;01/10/2022")+COUNTIFS(E_Suivi_Eans!$C:$C,"06/2022",E_Suivi_Eans!$D:$D,"Taxes Supports d enregistrement",E_Suivi_Eans!$J:$J,"Relance 2",E_Suivi_Eans!$K:$K,"&gt;31/12/2021",E_Suivi_Eans!$K:$K,"&lt;01/10/2022")+COUNTIFS(E_Suivi_Eans!$C:$C,"06/2022",E_Suivi_Eans!$D:$D,"Taxes Supports d enregistrement",E_Suivi_Eans!$J:$J,"Relance 3",E_Suivi_Eans!$K:$K,"&gt;31/12/2021",E_Suivi_Eans!$K:$K,"&lt;01/10/2022")</f>
        <v>1</v>
      </c>
      <c r="E77" s="21">
        <f>COUNTIFS(E_Suivi_Eans!$C:$C,"06/2022",E_Suivi_Eans!$D:$D,"Taxes Supports d enregistrement",E_Suivi_Eans!$J:$J,"Abandon",E_Suivi_Eans!$K:$K,"&gt;31/12/2021",E_Suivi_Eans!K:K,"&lt;01/10/2022")</f>
        <v>1</v>
      </c>
      <c r="F77" s="21">
        <f>COUNTIFS(E_Suivi_Eans!$C:$C,"06/2022",E_Suivi_Eans!$D:$D,"Taxes Supports d enregistrement")</f>
        <v>2</v>
      </c>
      <c r="G77" s="21">
        <f t="shared" si="16"/>
        <v>1</v>
      </c>
      <c r="J77" s="20" t="s">
        <v>5319</v>
      </c>
      <c r="K77" s="20" t="s">
        <v>5325</v>
      </c>
      <c r="L77" s="28">
        <f t="shared" si="17"/>
        <v>0</v>
      </c>
      <c r="M77" s="28">
        <f t="shared" si="17"/>
        <v>1</v>
      </c>
      <c r="N77" s="28">
        <f t="shared" si="17"/>
        <v>1</v>
      </c>
      <c r="O77" s="28">
        <v>1</v>
      </c>
      <c r="P77" s="28">
        <f t="shared" si="18"/>
        <v>0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COUNTIFS(E_Suivi_Eans!$C:$C,"06/2022",E_Suivi_Eans!$D:$D,"Taxes Supports d enregistrement",E_Suivi_Eans!$J:$J,"Retour OK",E_Suivi_Eans!$K:$K,"&gt;31/12/2021",E_Suivi_Eans!K:K,"&lt;01/11/2022")</f>
        <v>0</v>
      </c>
      <c r="D78" s="21">
        <f>COUNTIFS(E_Suivi_Eans!$C:$C,"06/2022",E_Suivi_Eans!$D:$D,"Taxes Supports d enregistrement",E_Suivi_Eans!$J:$J,"Rejet 0",E_Suivi_Eans!$K:$K,"&gt;31/12/2021",E_Suivi_Eans!$K:$K,"&lt;01/11/2022")+ COUNTIFS(E_Suivi_Eans!$C:$C,"06/2022",E_Suivi_Eans!$D:$D,"Taxes Supports d enregistrement",E_Suivi_Eans!$J:$J,"Rejet 1",E_Suivi_Eans!$K:$K,"&gt;31/12/2021",E_Suivi_Eans!$K:$K,"&lt;01/11/2022")+COUNTIFS(E_Suivi_Eans!$C:$C,"06/2022",E_Suivi_Eans!$D:$D,"Taxes Supports d enregistrement",E_Suivi_Eans!$J:$J,"Rejet 2",E_Suivi_Eans!$K:$K,"&gt;31/12/2021",E_Suivi_Eans!$K:$K,"&lt;01/11/2022")+COUNTIFS(E_Suivi_Eans!$C:$C,"06/2022",E_Suivi_Eans!$D:$D,"Taxes Supports d enregistrement",E_Suivi_Eans!$J:$J,"Rejet 3",E_Suivi_Eans!$K:$K,"&gt;31/12/2021",E_Suivi_Eans!$K:$K,"&lt;01/11/2022")+ COUNTIFS(E_Suivi_Eans!$C:$C,"06/2022",E_Suivi_Eans!$D:$D,"Taxes Supports d enregistrement",E_Suivi_Eans!$J:$J,"Rejet 4",E_Suivi_Eans!$K:$K,"&gt;31/12/2021",E_Suivi_Eans!$K:$K,"&lt;01/11/2022")+COUNTIFS(E_Suivi_Eans!$C:$C,"06/2022",E_Suivi_Eans!$D:$D,"Taxes Supports d enregistrement",E_Suivi_Eans!$J:$J,"Relance 1",E_Suivi_Eans!$K:$K,"&gt;31/12/2021",E_Suivi_Eans!$K:$K,"&lt;01/11/2022")+COUNTIFS(E_Suivi_Eans!$C:$C,"06/2022",E_Suivi_Eans!$D:$D,"Taxes Supports d enregistrement",E_Suivi_Eans!$J:$J,"Relance 2",E_Suivi_Eans!$K:$K,"&gt;31/12/2021",E_Suivi_Eans!$K:$K,"&lt;01/11/2022")+COUNTIFS(E_Suivi_Eans!$C:$C,"06/2022",E_Suivi_Eans!$D:$D,"Taxes Supports d enregistrement",E_Suivi_Eans!$J:$J,"Relance 3",E_Suivi_Eans!$K:$K,"&gt;31/12/2021",E_Suivi_Eans!$K:$K,"&lt;01/11/2022")</f>
        <v>1</v>
      </c>
      <c r="E78" s="21">
        <f>COUNTIFS(E_Suivi_Eans!$C:$C,"06/2022",E_Suivi_Eans!$D:$D,"Taxes Supports d enregistrement",E_Suivi_Eans!$J:$J,"Abandon",E_Suivi_Eans!$K:$K,"&gt;31/12/2021",E_Suivi_Eans!K:K,"&lt;01/11/2022")</f>
        <v>1</v>
      </c>
      <c r="F78" s="21">
        <f>COUNTIFS(E_Suivi_Eans!$C:$C,"06/2022",E_Suivi_Eans!$D:$D,"Taxes Supports d enregistrement")</f>
        <v>2</v>
      </c>
      <c r="G78" s="21">
        <f t="shared" si="16"/>
        <v>1</v>
      </c>
      <c r="J78" s="20" t="s">
        <v>5319</v>
      </c>
      <c r="K78" s="20" t="s">
        <v>5326</v>
      </c>
      <c r="L78" s="28">
        <f t="shared" si="17"/>
        <v>0</v>
      </c>
      <c r="M78" s="28">
        <f t="shared" si="17"/>
        <v>1</v>
      </c>
      <c r="N78" s="28">
        <f t="shared" si="17"/>
        <v>1</v>
      </c>
      <c r="O78" s="28">
        <v>1</v>
      </c>
      <c r="P78" s="28">
        <f t="shared" si="18"/>
        <v>0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COUNTIFS(E_Suivi_Eans!$C:$C,"06/2022",E_Suivi_Eans!$D:$D,"Taxes Supports d enregistrement",E_Suivi_Eans!$J:$J,"Retour OK",E_Suivi_Eans!$K:$K,"&gt;31/12/2021",E_Suivi_Eans!K:K,"&lt;01/12/2022")</f>
        <v>0</v>
      </c>
      <c r="D79" s="21">
        <f>COUNTIFS(E_Suivi_Eans!$C:$C,"06/2022",E_Suivi_Eans!$D:$D,"Taxes Supports d enregistrement",E_Suivi_Eans!$J:$J,"Rejet 0",E_Suivi_Eans!$K:$K,"&gt;31/12/2021",E_Suivi_Eans!$K:$K,"&lt;01/12/2022")+ COUNTIFS(E_Suivi_Eans!$C:$C,"06/2022",E_Suivi_Eans!$D:$D,"Taxes Supports d enregistrement",E_Suivi_Eans!$J:$J,"Rejet 1",E_Suivi_Eans!$K:$K,"&gt;31/12/2021",E_Suivi_Eans!$K:$K,"&lt;01/12/2022")+COUNTIFS(E_Suivi_Eans!$C:$C,"06/2022",E_Suivi_Eans!$D:$D,"Taxes Supports d enregistrement",E_Suivi_Eans!$J:$J,"Rejet 2",E_Suivi_Eans!$K:$K,"&gt;31/12/2021",E_Suivi_Eans!$K:$K,"&lt;01/12/2022")+COUNTIFS(E_Suivi_Eans!$C:$C,"06/2022",E_Suivi_Eans!$D:$D,"Taxes Supports d enregistrement",E_Suivi_Eans!$J:$J,"Rejet 3",E_Suivi_Eans!$K:$K,"&gt;31/12/2021",E_Suivi_Eans!$K:$K,"&lt;01/12/2022")+ COUNTIFS(E_Suivi_Eans!$C:$C,"06/2022",E_Suivi_Eans!$D:$D,"Taxes Supports d enregistrement",E_Suivi_Eans!$J:$J,"Rejet 4",E_Suivi_Eans!$K:$K,"&gt;31/12/2021",E_Suivi_Eans!$K:$K,"&lt;01/12/2022")+COUNTIFS(E_Suivi_Eans!$C:$C,"06/2022",E_Suivi_Eans!$D:$D,"Taxes Supports d enregistrement",E_Suivi_Eans!$J:$J,"Relance 1",E_Suivi_Eans!$K:$K,"&gt;31/12/2021",E_Suivi_Eans!$K:$K,"&lt;01/12/2022")+COUNTIFS(E_Suivi_Eans!$C:$C,"06/2022",E_Suivi_Eans!$D:$D,"Taxes Supports d enregistrement",E_Suivi_Eans!$J:$J,"Relance 2",E_Suivi_Eans!$K:$K,"&gt;31/12/2021",E_Suivi_Eans!$K:$K,"&lt;01/12/2022")+COUNTIFS(E_Suivi_Eans!$C:$C,"06/2022",E_Suivi_Eans!$D:$D,"Taxes Supports d enregistrement",E_Suivi_Eans!$J:$J,"Relance 3",E_Suivi_Eans!$K:$K,"&gt;31/12/2021",E_Suivi_Eans!$K:$K,"&lt;01/12/2022")</f>
        <v>1</v>
      </c>
      <c r="E79" s="21">
        <f>COUNTIFS(E_Suivi_Eans!$C:$C,"06/2022",E_Suivi_Eans!$D:$D,"Taxes Supports d enregistrement",E_Suivi_Eans!$J:$J,"Abandon",E_Suivi_Eans!$K:$K,"&gt;31/12/2021",E_Suivi_Eans!K:K,"&lt;01/12/2022")</f>
        <v>1</v>
      </c>
      <c r="F79" s="21">
        <f>COUNTIFS(E_Suivi_Eans!$C:$C,"06/2022",E_Suivi_Eans!$D:$D,"Taxes Supports d enregistrement")</f>
        <v>2</v>
      </c>
      <c r="G79" s="21">
        <f t="shared" si="16"/>
        <v>1</v>
      </c>
      <c r="J79" s="20" t="s">
        <v>5319</v>
      </c>
      <c r="K79" s="20" t="s">
        <v>5327</v>
      </c>
      <c r="L79" s="28">
        <f t="shared" si="17"/>
        <v>0</v>
      </c>
      <c r="M79" s="28">
        <f t="shared" si="17"/>
        <v>1</v>
      </c>
      <c r="N79" s="28">
        <f t="shared" si="17"/>
        <v>1</v>
      </c>
      <c r="O79" s="28">
        <v>1</v>
      </c>
      <c r="P79" s="28">
        <f t="shared" si="18"/>
        <v>0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8"/>
      <c r="P80" s="28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5"/>
      <c r="E81" s="25"/>
      <c r="F81" s="25"/>
      <c r="G81" s="25"/>
      <c r="J81" s="22"/>
      <c r="K81" s="22"/>
      <c r="L81" s="23"/>
      <c r="M81" s="25"/>
      <c r="N81" s="25"/>
      <c r="O81" s="31"/>
      <c r="P81" s="31"/>
      <c r="S81" s="22"/>
      <c r="T81" s="22"/>
      <c r="U81" s="23"/>
      <c r="V81" s="25"/>
      <c r="W81" s="25"/>
      <c r="X81" s="25"/>
      <c r="Y81" s="25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8"/>
      <c r="P82" s="28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8"/>
      <c r="P83" s="28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8"/>
      <c r="P84" s="28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8"/>
      <c r="P85" s="28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8"/>
      <c r="P86" s="28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8"/>
      <c r="P87" s="28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COUNTIFS(E_Suivi_Eans!$C:$C,"07/2022",E_Suivi_Eans!$D:$D,"Taxes Supports d enregistrement",E_Suivi_Eans!$J:$J,"Retour OK",E_Suivi_Eans!$K:$K,"&gt;31/12/2021",E_Suivi_Eans!K:K,"&lt;01/08/2022")</f>
        <v>0</v>
      </c>
      <c r="D88" s="21">
        <f>COUNTIFS(E_Suivi_Eans!$C:$C,"07/2022",E_Suivi_Eans!$D:$D,"Taxes Supports d enregistrement",E_Suivi_Eans!$J:$J,"Rejet 0",E_Suivi_Eans!$K:$K,"&gt;31/12/2021",E_Suivi_Eans!$K:$K,"&lt;01/08/2022")+ COUNTIFS(E_Suivi_Eans!$C:$C,"07/2022",E_Suivi_Eans!$D:$D,"Taxes Supports d enregistrement",E_Suivi_Eans!$J:$J,"Rejet 1",E_Suivi_Eans!$K:$K,"&gt;31/12/2021",E_Suivi_Eans!$K:$K,"&lt;01/08/2022")+COUNTIFS(E_Suivi_Eans!$C:$C,"07/2022",E_Suivi_Eans!$D:$D,"Taxes Supports d enregistrement",E_Suivi_Eans!$J:$J,"Rejet 2",E_Suivi_Eans!$K:$K,"&gt;31/12/2021",E_Suivi_Eans!$K:$K,"&lt;01/08/2022")+COUNTIFS(E_Suivi_Eans!$C:$C,"07/2022",E_Suivi_Eans!$D:$D,"Taxes Supports d enregistrement",E_Suivi_Eans!$J:$J,"Rejet 3",E_Suivi_Eans!$K:$K,"&gt;31/12/2021",E_Suivi_Eans!$K:$K,"&lt;01/08/2022")+ COUNTIFS(E_Suivi_Eans!$C:$C,"07/2022",E_Suivi_Eans!$D:$D,"Taxes Supports d enregistrement",E_Suivi_Eans!$J:$J,"Rejet 4",E_Suivi_Eans!$K:$K,"&gt;31/12/2021",E_Suivi_Eans!$K:$K,"&lt;01/08/2022")+COUNTIFS(E_Suivi_Eans!$C:$C,"07/2022",E_Suivi_Eans!$D:$D,"Taxes Supports d enregistrement",E_Suivi_Eans!$J:$J,"Relance 1",E_Suivi_Eans!$K:$K,"&gt;31/12/2021",E_Suivi_Eans!$K:$K,"&lt;01/08/2022")+COUNTIFS(E_Suivi_Eans!$C:$C,"07/2022",E_Suivi_Eans!$D:$D,"Taxes Supports d enregistrement",E_Suivi_Eans!$J:$J,"Relance 2",E_Suivi_Eans!$K:$K,"&gt;31/12/2021",E_Suivi_Eans!$K:$K,"&lt;01/08/2022")+COUNTIFS(E_Suivi_Eans!$C:$C,"07/2022",E_Suivi_Eans!$D:$D,"Taxes Supports d enregistrement",E_Suivi_Eans!$J:$J,"Relance 3",E_Suivi_Eans!$K:$K,"&gt;31/12/2021",E_Suivi_Eans!$K:$K,"&lt;01/08/2022")</f>
        <v>0</v>
      </c>
      <c r="E88" s="21">
        <f>COUNTIFS(E_Suivi_Eans!$C:$C,"07/2022",E_Suivi_Eans!$D:$D,"Taxes Supports d enregistrement",E_Suivi_Eans!$J:$J,"Abandon",E_Suivi_Eans!$K:$K,"&gt;31/12/2021",E_Suivi_Eans!K:K,"&lt;01/08/2022")</f>
        <v>0</v>
      </c>
      <c r="F88" s="21">
        <f>COUNTIFS(E_Suivi_Eans!$C:$C,"07/2022",E_Suivi_Eans!$D:$D,"Taxes Supports d enregistrement")</f>
        <v>0</v>
      </c>
      <c r="G88" s="21">
        <f>F88-E88</f>
        <v>0</v>
      </c>
      <c r="J88" s="20" t="s">
        <v>5320</v>
      </c>
      <c r="K88" s="20" t="s">
        <v>5320</v>
      </c>
      <c r="L88" s="28">
        <f t="shared" ref="L88:N92" si="19">IF($G88=0,0,C88/$G88)</f>
        <v>0</v>
      </c>
      <c r="M88" s="28">
        <f t="shared" si="19"/>
        <v>0</v>
      </c>
      <c r="N88" s="28">
        <f t="shared" si="19"/>
        <v>0</v>
      </c>
      <c r="O88" s="28">
        <v>1</v>
      </c>
      <c r="P88" s="28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COUNTIFS(E_Suivi_Eans!$C:$C,"07/2022",E_Suivi_Eans!$D:$D,"Taxes Supports d enregistrement",E_Suivi_Eans!$J:$J,"Retour OK",E_Suivi_Eans!$K:$K,"&gt;31/12/2021",E_Suivi_Eans!K:K,"&lt;01/09/2022")</f>
        <v>0</v>
      </c>
      <c r="D89" s="21">
        <f>COUNTIFS(E_Suivi_Eans!$C:$C,"07/2022",E_Suivi_Eans!$D:$D,"Taxes Supports d enregistrement",E_Suivi_Eans!$J:$J,"Rejet 0",E_Suivi_Eans!$K:$K,"&gt;31/12/2021",E_Suivi_Eans!$K:$K,"&lt;01/09/2022")+ COUNTIFS(E_Suivi_Eans!$C:$C,"07/2022",E_Suivi_Eans!$D:$D,"Taxes Supports d enregistrement",E_Suivi_Eans!$J:$J,"Rejet 1",E_Suivi_Eans!$K:$K,"&gt;31/12/2021",E_Suivi_Eans!$K:$K,"&lt;01/09/2022")+COUNTIFS(E_Suivi_Eans!$C:$C,"07/2022",E_Suivi_Eans!$D:$D,"Taxes Supports d enregistrement",E_Suivi_Eans!$J:$J,"Rejet 2",E_Suivi_Eans!$K:$K,"&gt;31/12/2021",E_Suivi_Eans!$K:$K,"&lt;01/09/2022")+COUNTIFS(E_Suivi_Eans!$C:$C,"07/2022",E_Suivi_Eans!$D:$D,"Taxes Supports d enregistrement",E_Suivi_Eans!$J:$J,"Rejet 3",E_Suivi_Eans!$K:$K,"&gt;31/12/2021",E_Suivi_Eans!$K:$K,"&lt;01/09/2022")+ COUNTIFS(E_Suivi_Eans!$C:$C,"07/2022",E_Suivi_Eans!$D:$D,"Taxes Supports d enregistrement",E_Suivi_Eans!$J:$J,"Rejet 4",E_Suivi_Eans!$K:$K,"&gt;31/12/2021",E_Suivi_Eans!$K:$K,"&lt;01/09/2022")+COUNTIFS(E_Suivi_Eans!$C:$C,"07/2022",E_Suivi_Eans!$D:$D,"Taxes Supports d enregistrement",E_Suivi_Eans!$J:$J,"Relance 1",E_Suivi_Eans!$K:$K,"&gt;31/12/2021",E_Suivi_Eans!$K:$K,"&lt;01/09/2022")+COUNTIFS(E_Suivi_Eans!$C:$C,"07/2022",E_Suivi_Eans!$D:$D,"Taxes Supports d enregistrement",E_Suivi_Eans!$J:$J,"Relance 2",E_Suivi_Eans!$K:$K,"&gt;31/12/2021",E_Suivi_Eans!$K:$K,"&lt;01/09/2022")+COUNTIFS(E_Suivi_Eans!$C:$C,"07/2022",E_Suivi_Eans!$D:$D,"Taxes Supports d enregistrement",E_Suivi_Eans!$J:$J,"Relance 3",E_Suivi_Eans!$K:$K,"&gt;31/12/2021",E_Suivi_Eans!$K:$K,"&lt;01/09/2022")</f>
        <v>0</v>
      </c>
      <c r="E89" s="21">
        <f>COUNTIFS(E_Suivi_Eans!$C:$C,"07/2022",E_Suivi_Eans!$D:$D,"Taxes Supports d enregistrement",E_Suivi_Eans!$J:$J,"Abandon",E_Suivi_Eans!$K:$K,"&gt;31/12/2021",E_Suivi_Eans!K:K,"&lt;01/09/2022")</f>
        <v>0</v>
      </c>
      <c r="F89" s="21">
        <f>COUNTIFS(E_Suivi_Eans!$C:$C,"07/2022",E_Suivi_Eans!$D:$D,"Taxes Supports d enregistrement")</f>
        <v>0</v>
      </c>
      <c r="G89" s="21">
        <f t="shared" ref="G89:G92" si="21">F89-E89</f>
        <v>0</v>
      </c>
      <c r="J89" s="20" t="s">
        <v>5320</v>
      </c>
      <c r="K89" s="20" t="s">
        <v>5321</v>
      </c>
      <c r="L89" s="28">
        <f t="shared" si="19"/>
        <v>0</v>
      </c>
      <c r="M89" s="28">
        <f t="shared" si="19"/>
        <v>0</v>
      </c>
      <c r="N89" s="28">
        <f t="shared" si="19"/>
        <v>0</v>
      </c>
      <c r="O89" s="28">
        <v>1</v>
      </c>
      <c r="P89" s="28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COUNTIFS(E_Suivi_Eans!$C:$C,"07/2022",E_Suivi_Eans!$D:$D,"Taxes Supports d enregistrement",E_Suivi_Eans!$J:$J,"Retour OK",E_Suivi_Eans!$K:$K,"&gt;31/12/2021",E_Suivi_Eans!K:K,"&lt;01/10/2022")</f>
        <v>0</v>
      </c>
      <c r="D90" s="21">
        <f>COUNTIFS(E_Suivi_Eans!$C:$C,"07/2022",E_Suivi_Eans!$D:$D,"Taxes Supports d enregistrement",E_Suivi_Eans!$J:$J,"Rejet 0",E_Suivi_Eans!$K:$K,"&gt;31/12/2021",E_Suivi_Eans!$K:$K,"&lt;01/10/2022")+ COUNTIFS(E_Suivi_Eans!$C:$C,"07/2022",E_Suivi_Eans!$D:$D,"Taxes Supports d enregistrement",E_Suivi_Eans!$J:$J,"Rejet 1",E_Suivi_Eans!$K:$K,"&gt;31/12/2021",E_Suivi_Eans!$K:$K,"&lt;01/10/2022")+COUNTIFS(E_Suivi_Eans!$C:$C,"07/2022",E_Suivi_Eans!$D:$D,"Taxes Supports d enregistrement",E_Suivi_Eans!$J:$J,"Rejet 2",E_Suivi_Eans!$K:$K,"&gt;31/12/2021",E_Suivi_Eans!$K:$K,"&lt;01/10/2022")+COUNTIFS(E_Suivi_Eans!$C:$C,"07/2022",E_Suivi_Eans!$D:$D,"Taxes Supports d enregistrement",E_Suivi_Eans!$J:$J,"Rejet 3",E_Suivi_Eans!$K:$K,"&gt;31/12/2021",E_Suivi_Eans!$K:$K,"&lt;01/10/2022")+ COUNTIFS(E_Suivi_Eans!$C:$C,"07/2022",E_Suivi_Eans!$D:$D,"Taxes Supports d enregistrement",E_Suivi_Eans!$J:$J,"Rejet 4",E_Suivi_Eans!$K:$K,"&gt;31/12/2021",E_Suivi_Eans!$K:$K,"&lt;01/10/2022")+COUNTIFS(E_Suivi_Eans!$C:$C,"07/2022",E_Suivi_Eans!$D:$D,"Taxes Supports d enregistrement",E_Suivi_Eans!$J:$J,"Relance 1",E_Suivi_Eans!$K:$K,"&gt;31/12/2021",E_Suivi_Eans!$K:$K,"&lt;01/10/2022")+COUNTIFS(E_Suivi_Eans!$C:$C,"07/2022",E_Suivi_Eans!$D:$D,"Taxes Supports d enregistrement",E_Suivi_Eans!$J:$J,"Relance 2",E_Suivi_Eans!$K:$K,"&gt;31/12/2021",E_Suivi_Eans!$K:$K,"&lt;01/10/2022")+COUNTIFS(E_Suivi_Eans!$C:$C,"07/2022",E_Suivi_Eans!$D:$D,"Taxes Supports d enregistrement",E_Suivi_Eans!$J:$J,"Relance 3",E_Suivi_Eans!$K:$K,"&gt;31/12/2021",E_Suivi_Eans!$K:$K,"&lt;01/10/2022")</f>
        <v>0</v>
      </c>
      <c r="E90" s="21">
        <f>COUNTIFS(E_Suivi_Eans!$C:$C,"07/2022",E_Suivi_Eans!$D:$D,"Taxes Supports d enregistrement",E_Suivi_Eans!$J:$J,"Abandon",E_Suivi_Eans!$K:$K,"&gt;31/12/2021",E_Suivi_Eans!K:K,"&lt;01/10/2022")</f>
        <v>0</v>
      </c>
      <c r="F90" s="21">
        <f>COUNTIFS(E_Suivi_Eans!$C:$C,"07/2022",E_Suivi_Eans!$D:$D,"Taxes Supports d enregistrement")</f>
        <v>0</v>
      </c>
      <c r="G90" s="21">
        <f t="shared" si="21"/>
        <v>0</v>
      </c>
      <c r="J90" s="20" t="s">
        <v>5320</v>
      </c>
      <c r="K90" s="20" t="s">
        <v>5325</v>
      </c>
      <c r="L90" s="28">
        <f t="shared" si="19"/>
        <v>0</v>
      </c>
      <c r="M90" s="28">
        <f t="shared" si="19"/>
        <v>0</v>
      </c>
      <c r="N90" s="28">
        <f t="shared" si="19"/>
        <v>0</v>
      </c>
      <c r="O90" s="28">
        <v>1</v>
      </c>
      <c r="P90" s="28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COUNTIFS(E_Suivi_Eans!$C:$C,"07/2022",E_Suivi_Eans!$D:$D,"Taxes Supports d enregistrement",E_Suivi_Eans!$J:$J,"Retour OK",E_Suivi_Eans!$K:$K,"&gt;31/12/2021",E_Suivi_Eans!K:K,"&lt;01/11/2022")</f>
        <v>0</v>
      </c>
      <c r="D91" s="21">
        <f>COUNTIFS(E_Suivi_Eans!$C:$C,"07/2022",E_Suivi_Eans!$D:$D,"Taxes Supports d enregistrement",E_Suivi_Eans!$J:$J,"Rejet 0",E_Suivi_Eans!$K:$K,"&gt;31/12/2021",E_Suivi_Eans!$K:$K,"&lt;01/11/2022")+ COUNTIFS(E_Suivi_Eans!$C:$C,"07/2022",E_Suivi_Eans!$D:$D,"Taxes Supports d enregistrement",E_Suivi_Eans!$J:$J,"Rejet 1",E_Suivi_Eans!$K:$K,"&gt;31/12/2021",E_Suivi_Eans!$K:$K,"&lt;01/11/2022")+COUNTIFS(E_Suivi_Eans!$C:$C,"07/2022",E_Suivi_Eans!$D:$D,"Taxes Supports d enregistrement",E_Suivi_Eans!$J:$J,"Rejet 2",E_Suivi_Eans!$K:$K,"&gt;31/12/2021",E_Suivi_Eans!$K:$K,"&lt;01/11/2022")+COUNTIFS(E_Suivi_Eans!$C:$C,"07/2022",E_Suivi_Eans!$D:$D,"Taxes Supports d enregistrement",E_Suivi_Eans!$J:$J,"Rejet 3",E_Suivi_Eans!$K:$K,"&gt;31/12/2021",E_Suivi_Eans!$K:$K,"&lt;01/11/2022")+ COUNTIFS(E_Suivi_Eans!$C:$C,"07/2022",E_Suivi_Eans!$D:$D,"Taxes Supports d enregistrement",E_Suivi_Eans!$J:$J,"Rejet 4",E_Suivi_Eans!$K:$K,"&gt;31/12/2021",E_Suivi_Eans!$K:$K,"&lt;01/11/2022")+COUNTIFS(E_Suivi_Eans!$C:$C,"07/2022",E_Suivi_Eans!$D:$D,"Taxes Supports d enregistrement",E_Suivi_Eans!$J:$J,"Relance 1",E_Suivi_Eans!$K:$K,"&gt;31/12/2021",E_Suivi_Eans!$K:$K,"&lt;01/11/2022")+COUNTIFS(E_Suivi_Eans!$C:$C,"07/2022",E_Suivi_Eans!$D:$D,"Taxes Supports d enregistrement",E_Suivi_Eans!$J:$J,"Relance 2",E_Suivi_Eans!$K:$K,"&gt;31/12/2021",E_Suivi_Eans!$K:$K,"&lt;01/11/2022")+COUNTIFS(E_Suivi_Eans!$C:$C,"07/2022",E_Suivi_Eans!$D:$D,"Taxes Supports d enregistrement",E_Suivi_Eans!$J:$J,"Relance 3",E_Suivi_Eans!$K:$K,"&gt;31/12/2021",E_Suivi_Eans!$K:$K,"&lt;01/11/2022")</f>
        <v>0</v>
      </c>
      <c r="E91" s="21">
        <f>COUNTIFS(E_Suivi_Eans!$C:$C,"07/2022",E_Suivi_Eans!$D:$D,"Taxes Supports d enregistrement",E_Suivi_Eans!$J:$J,"Abandon",E_Suivi_Eans!$K:$K,"&gt;31/12/2021",E_Suivi_Eans!K:K,"&lt;01/11/2022")</f>
        <v>0</v>
      </c>
      <c r="F91" s="21">
        <f>COUNTIFS(E_Suivi_Eans!$C:$C,"07/2022",E_Suivi_Eans!$D:$D,"Taxes Supports d enregistrement")</f>
        <v>0</v>
      </c>
      <c r="G91" s="21">
        <f t="shared" si="21"/>
        <v>0</v>
      </c>
      <c r="J91" s="20" t="s">
        <v>5320</v>
      </c>
      <c r="K91" s="20" t="s">
        <v>5326</v>
      </c>
      <c r="L91" s="28">
        <f t="shared" si="19"/>
        <v>0</v>
      </c>
      <c r="M91" s="28">
        <f t="shared" si="19"/>
        <v>0</v>
      </c>
      <c r="N91" s="28">
        <f t="shared" si="19"/>
        <v>0</v>
      </c>
      <c r="O91" s="28">
        <v>1</v>
      </c>
      <c r="P91" s="28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COUNTIFS(E_Suivi_Eans!$C:$C,"07/2022",E_Suivi_Eans!$D:$D,"Taxes Supports d enregistrement",E_Suivi_Eans!$J:$J,"Retour OK",E_Suivi_Eans!$K:$K,"&gt;31/12/2021",E_Suivi_Eans!K:K,"&lt;01/12/2022")</f>
        <v>0</v>
      </c>
      <c r="D92" s="21">
        <f>COUNTIFS(E_Suivi_Eans!$C:$C,"07/2022",E_Suivi_Eans!$D:$D,"Taxes Supports d enregistrement",E_Suivi_Eans!$J:$J,"Rejet 0",E_Suivi_Eans!$K:$K,"&gt;31/12/2021",E_Suivi_Eans!$K:$K,"&lt;01/12/2022")+ COUNTIFS(E_Suivi_Eans!$C:$C,"07/2022",E_Suivi_Eans!$D:$D,"Taxes Supports d enregistrement",E_Suivi_Eans!$J:$J,"Rejet 1",E_Suivi_Eans!$K:$K,"&gt;31/12/2021",E_Suivi_Eans!$K:$K,"&lt;01/12/2022")+COUNTIFS(E_Suivi_Eans!$C:$C,"07/2022",E_Suivi_Eans!$D:$D,"Taxes Supports d enregistrement",E_Suivi_Eans!$J:$J,"Rejet 2",E_Suivi_Eans!$K:$K,"&gt;31/12/2021",E_Suivi_Eans!$K:$K,"&lt;01/12/2022")+COUNTIFS(E_Suivi_Eans!$C:$C,"07/2022",E_Suivi_Eans!$D:$D,"Taxes Supports d enregistrement",E_Suivi_Eans!$J:$J,"Rejet 3",E_Suivi_Eans!$K:$K,"&gt;31/12/2021",E_Suivi_Eans!$K:$K,"&lt;01/12/2022")+ COUNTIFS(E_Suivi_Eans!$C:$C,"07/2022",E_Suivi_Eans!$D:$D,"Taxes Supports d enregistrement",E_Suivi_Eans!$J:$J,"Rejet 4",E_Suivi_Eans!$K:$K,"&gt;31/12/2021",E_Suivi_Eans!$K:$K,"&lt;01/12/2022")+COUNTIFS(E_Suivi_Eans!$C:$C,"07/2022",E_Suivi_Eans!$D:$D,"Taxes Supports d enregistrement",E_Suivi_Eans!$J:$J,"Relance 1",E_Suivi_Eans!$K:$K,"&gt;31/12/2021",E_Suivi_Eans!$K:$K,"&lt;01/12/2022")+COUNTIFS(E_Suivi_Eans!$C:$C,"07/2022",E_Suivi_Eans!$D:$D,"Taxes Supports d enregistrement",E_Suivi_Eans!$J:$J,"Relance 2",E_Suivi_Eans!$K:$K,"&gt;31/12/2021",E_Suivi_Eans!$K:$K,"&lt;01/12/2022")+COUNTIFS(E_Suivi_Eans!$C:$C,"07/2022",E_Suivi_Eans!$D:$D,"Taxes Supports d enregistrement",E_Suivi_Eans!$J:$J,"Relance 3",E_Suivi_Eans!$K:$K,"&gt;31/12/2021",E_Suivi_Eans!$K:$K,"&lt;01/12/2022")</f>
        <v>0</v>
      </c>
      <c r="E92" s="21">
        <f>COUNTIFS(E_Suivi_Eans!$C:$C,"07/2022",E_Suivi_Eans!$D:$D,"Taxes Supports d enregistrement",E_Suivi_Eans!$J:$J,"Abandon",E_Suivi_Eans!$K:$K,"&gt;31/12/2021",E_Suivi_Eans!K:K,"&lt;01/12/2022")</f>
        <v>0</v>
      </c>
      <c r="F92" s="21">
        <f>COUNTIFS(E_Suivi_Eans!$C:$C,"07/2022",E_Suivi_Eans!$D:$D,"Taxes Supports d enregistrement")</f>
        <v>0</v>
      </c>
      <c r="G92" s="21">
        <f t="shared" si="21"/>
        <v>0</v>
      </c>
      <c r="J92" s="20" t="s">
        <v>5320</v>
      </c>
      <c r="K92" s="20" t="s">
        <v>5327</v>
      </c>
      <c r="L92" s="28">
        <f t="shared" si="19"/>
        <v>0</v>
      </c>
      <c r="M92" s="28">
        <f t="shared" si="19"/>
        <v>0</v>
      </c>
      <c r="N92" s="28">
        <f t="shared" si="19"/>
        <v>0</v>
      </c>
      <c r="O92" s="28">
        <v>1</v>
      </c>
      <c r="P92" s="28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8"/>
      <c r="P93" s="28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5"/>
      <c r="E94" s="25"/>
      <c r="F94" s="25"/>
      <c r="G94" s="25"/>
      <c r="J94" s="22"/>
      <c r="K94" s="22"/>
      <c r="L94" s="23"/>
      <c r="M94" s="25"/>
      <c r="N94" s="25"/>
      <c r="O94" s="31"/>
      <c r="P94" s="31"/>
      <c r="S94" s="22"/>
      <c r="T94" s="22"/>
      <c r="U94" s="23"/>
      <c r="V94" s="25"/>
      <c r="W94" s="25"/>
      <c r="X94" s="25"/>
      <c r="Y94" s="25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8"/>
      <c r="P95" s="28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8"/>
      <c r="P96" s="28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8"/>
      <c r="P97" s="28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8"/>
      <c r="P98" s="28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8"/>
      <c r="P99" s="28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8"/>
      <c r="P100" s="28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8"/>
      <c r="P101" s="28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COUNTIFS(E_Suivi_Eans!$C:$C,"08/2022",E_Suivi_Eans!$D:$D,"Taxes Supports d enregistrement",E_Suivi_Eans!$J:$J,"Retour OK",E_Suivi_Eans!$K:$K,"&gt;31/12/2021",E_Suivi_Eans!K:K,"&lt;01/09/2022")</f>
        <v>0</v>
      </c>
      <c r="D102" s="21">
        <f>COUNTIFS(E_Suivi_Eans!$C:$C,"08/2022",E_Suivi_Eans!$D:$D,"Taxes Supports d enregistrement",E_Suivi_Eans!$J:$J,"Rejet 0",E_Suivi_Eans!$K:$K,"&gt;31/12/2021",E_Suivi_Eans!$K:$K,"&lt;01/09/2022")+ COUNTIFS(E_Suivi_Eans!$C:$C,"08/2022",E_Suivi_Eans!$D:$D,"Taxes Supports d enregistrement",E_Suivi_Eans!$J:$J,"Rejet 1",E_Suivi_Eans!$K:$K,"&gt;31/12/2021",E_Suivi_Eans!$K:$K,"&lt;01/09/2022")+COUNTIFS(E_Suivi_Eans!$C:$C,"08/2022",E_Suivi_Eans!$D:$D,"Taxes Supports d enregistrement",E_Suivi_Eans!$J:$J,"Rejet 2",E_Suivi_Eans!$K:$K,"&gt;31/12/2021",E_Suivi_Eans!$K:$K,"&lt;01/09/2022")+COUNTIFS(E_Suivi_Eans!$C:$C,"08/2022",E_Suivi_Eans!$D:$D,"Taxes Supports d enregistrement",E_Suivi_Eans!$J:$J,"Rejet 3",E_Suivi_Eans!$K:$K,"&gt;31/12/2021",E_Suivi_Eans!$K:$K,"&lt;01/09/2022")+ COUNTIFS(E_Suivi_Eans!$C:$C,"08/2022",E_Suivi_Eans!$D:$D,"Taxes Supports d enregistrement",E_Suivi_Eans!$J:$J,"Rejet 4",E_Suivi_Eans!$K:$K,"&gt;31/12/2021",E_Suivi_Eans!$K:$K,"&lt;01/09/2022")+COUNTIFS(E_Suivi_Eans!$C:$C,"08/2022",E_Suivi_Eans!$D:$D,"Taxes Supports d enregistrement",E_Suivi_Eans!$J:$J,"Relance 1",E_Suivi_Eans!$K:$K,"&gt;31/12/2021",E_Suivi_Eans!$K:$K,"&lt;01/09/2022")+COUNTIFS(E_Suivi_Eans!$C:$C,"08/2022",E_Suivi_Eans!$D:$D,"Taxes Supports d enregistrement",E_Suivi_Eans!$J:$J,"Relance 2",E_Suivi_Eans!$K:$K,"&gt;31/12/2021",E_Suivi_Eans!$K:$K,"&lt;01/09/2022")+COUNTIFS(E_Suivi_Eans!$C:$C,"08/2022",E_Suivi_Eans!$D:$D,"Taxes Supports d enregistrement",E_Suivi_Eans!$J:$J,"Relance 3",E_Suivi_Eans!$K:$K,"&gt;31/12/2021",E_Suivi_Eans!$K:$K,"&lt;01/09/2022")</f>
        <v>0</v>
      </c>
      <c r="E102" s="21">
        <f>COUNTIFS(E_Suivi_Eans!$C:$C,"08/2022",E_Suivi_Eans!$D:$D,"Taxes Supports d enregistrement",E_Suivi_Eans!$J:$J,"Abandon",E_Suivi_Eans!$K:$K,"&gt;31/12/2021",E_Suivi_Eans!K:K,"&lt;01/09/2022")</f>
        <v>0</v>
      </c>
      <c r="F102" s="21">
        <f>COUNTIFS(E_Suivi_Eans!$C:$C,"08/2022",E_Suivi_Eans!$D:$D,"Taxes Supports d enregistrement")</f>
        <v>0</v>
      </c>
      <c r="G102" s="21">
        <f>F102-E102</f>
        <v>0</v>
      </c>
      <c r="J102" s="20" t="s">
        <v>5321</v>
      </c>
      <c r="K102" s="20" t="s">
        <v>5321</v>
      </c>
      <c r="L102" s="28">
        <f t="shared" ref="L102:N105" si="22">IF($G102=0,0,C102/$G102)</f>
        <v>0</v>
      </c>
      <c r="M102" s="28">
        <f t="shared" si="22"/>
        <v>0</v>
      </c>
      <c r="N102" s="28">
        <f t="shared" si="22"/>
        <v>0</v>
      </c>
      <c r="O102" s="28">
        <v>1</v>
      </c>
      <c r="P102" s="28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COUNTIFS(E_Suivi_Eans!$C:$C,"08/2022",E_Suivi_Eans!$D:$D,"Taxes Supports d enregistrement",E_Suivi_Eans!$J:$J,"Retour OK",E_Suivi_Eans!$K:$K,"&gt;31/12/2021",E_Suivi_Eans!K:K,"&lt;01/10/2022")</f>
        <v>0</v>
      </c>
      <c r="D103" s="21">
        <f>COUNTIFS(E_Suivi_Eans!$C:$C,"08/2022",E_Suivi_Eans!$D:$D,"Taxes Supports d enregistrement",E_Suivi_Eans!$J:$J,"Rejet 0",E_Suivi_Eans!$K:$K,"&gt;31/12/2021",E_Suivi_Eans!$K:$K,"&lt;01/10/2022")+ COUNTIFS(E_Suivi_Eans!$C:$C,"08/2022",E_Suivi_Eans!$D:$D,"Taxes Supports d enregistrement",E_Suivi_Eans!$J:$J,"Rejet 1",E_Suivi_Eans!$K:$K,"&gt;31/12/2021",E_Suivi_Eans!$K:$K,"&lt;01/10/2022")+COUNTIFS(E_Suivi_Eans!$C:$C,"08/2022",E_Suivi_Eans!$D:$D,"Taxes Supports d enregistrement",E_Suivi_Eans!$J:$J,"Rejet 2",E_Suivi_Eans!$K:$K,"&gt;31/12/2021",E_Suivi_Eans!$K:$K,"&lt;01/10/2022")+COUNTIFS(E_Suivi_Eans!$C:$C,"08/2022",E_Suivi_Eans!$D:$D,"Taxes Supports d enregistrement",E_Suivi_Eans!$J:$J,"Rejet 3",E_Suivi_Eans!$K:$K,"&gt;31/12/2021",E_Suivi_Eans!$K:$K,"&lt;01/10/2022")+ COUNTIFS(E_Suivi_Eans!$C:$C,"08/2022",E_Suivi_Eans!$D:$D,"Taxes Supports d enregistrement",E_Suivi_Eans!$J:$J,"Rejet 4",E_Suivi_Eans!$K:$K,"&gt;31/12/2021",E_Suivi_Eans!$K:$K,"&lt;01/10/2022")+COUNTIFS(E_Suivi_Eans!$C:$C,"08/2022",E_Suivi_Eans!$D:$D,"Taxes Supports d enregistrement",E_Suivi_Eans!$J:$J,"Relance 1",E_Suivi_Eans!$K:$K,"&gt;31/12/2021",E_Suivi_Eans!$K:$K,"&lt;01/10/2022")+COUNTIFS(E_Suivi_Eans!$C:$C,"08/2022",E_Suivi_Eans!$D:$D,"Taxes Supports d enregistrement",E_Suivi_Eans!$J:$J,"Relance 2",E_Suivi_Eans!$K:$K,"&gt;31/12/2021",E_Suivi_Eans!$K:$K,"&lt;01/10/2022")+COUNTIFS(E_Suivi_Eans!$C:$C,"08/2022",E_Suivi_Eans!$D:$D,"Taxes Supports d enregistrement",E_Suivi_Eans!$J:$J,"Relance 3",E_Suivi_Eans!$K:$K,"&gt;31/12/2021",E_Suivi_Eans!$K:$K,"&lt;01/10/2022")</f>
        <v>0</v>
      </c>
      <c r="E103" s="21">
        <f>COUNTIFS(E_Suivi_Eans!$C:$C,"08/2022",E_Suivi_Eans!$D:$D,"Taxes Supports d enregistrement",E_Suivi_Eans!$J:$J,"Abandon",E_Suivi_Eans!$K:$K,"&gt;31/12/2021",E_Suivi_Eans!K:K,"&lt;01/10/2022")</f>
        <v>0</v>
      </c>
      <c r="F103" s="21">
        <f>COUNTIFS(E_Suivi_Eans!$C:$C,"08/2022",E_Suivi_Eans!$D:$D,"Taxes Supports d enregistrement")</f>
        <v>0</v>
      </c>
      <c r="G103" s="21">
        <f t="shared" ref="G103:G105" si="24">F103-E103</f>
        <v>0</v>
      </c>
      <c r="J103" s="20" t="s">
        <v>5321</v>
      </c>
      <c r="K103" s="20" t="s">
        <v>5325</v>
      </c>
      <c r="L103" s="28">
        <f t="shared" si="22"/>
        <v>0</v>
      </c>
      <c r="M103" s="28">
        <f t="shared" si="22"/>
        <v>0</v>
      </c>
      <c r="N103" s="28">
        <f t="shared" si="22"/>
        <v>0</v>
      </c>
      <c r="O103" s="28">
        <v>1</v>
      </c>
      <c r="P103" s="28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COUNTIFS(E_Suivi_Eans!$C:$C,"08/2022",E_Suivi_Eans!$D:$D,"Taxes Supports d enregistrement",E_Suivi_Eans!$J:$J,"Retour OK",E_Suivi_Eans!$K:$K,"&gt;31/12/2021",E_Suivi_Eans!K:K,"&lt;01/11/2022")</f>
        <v>0</v>
      </c>
      <c r="D104" s="21">
        <f>COUNTIFS(E_Suivi_Eans!$C:$C,"08/2022",E_Suivi_Eans!$D:$D,"Taxes Supports d enregistrement",E_Suivi_Eans!$J:$J,"Rejet 0",E_Suivi_Eans!$K:$K,"&gt;31/12/2021",E_Suivi_Eans!$K:$K,"&lt;01/11/2022")+ COUNTIFS(E_Suivi_Eans!$C:$C,"08/2022",E_Suivi_Eans!$D:$D,"Taxes Supports d enregistrement",E_Suivi_Eans!$J:$J,"Rejet 1",E_Suivi_Eans!$K:$K,"&gt;31/12/2021",E_Suivi_Eans!$K:$K,"&lt;01/11/2022")+COUNTIFS(E_Suivi_Eans!$C:$C,"08/2022",E_Suivi_Eans!$D:$D,"Taxes Supports d enregistrement",E_Suivi_Eans!$J:$J,"Rejet 2",E_Suivi_Eans!$K:$K,"&gt;31/12/2021",E_Suivi_Eans!$K:$K,"&lt;01/11/2022")+COUNTIFS(E_Suivi_Eans!$C:$C,"08/2022",E_Suivi_Eans!$D:$D,"Taxes Supports d enregistrement",E_Suivi_Eans!$J:$J,"Rejet 3",E_Suivi_Eans!$K:$K,"&gt;31/12/2021",E_Suivi_Eans!$K:$K,"&lt;01/11/2022")+ COUNTIFS(E_Suivi_Eans!$C:$C,"08/2022",E_Suivi_Eans!$D:$D,"Taxes Supports d enregistrement",E_Suivi_Eans!$J:$J,"Rejet 4",E_Suivi_Eans!$K:$K,"&gt;31/12/2021",E_Suivi_Eans!$K:$K,"&lt;01/11/2022")+COUNTIFS(E_Suivi_Eans!$C:$C,"08/2022",E_Suivi_Eans!$D:$D,"Taxes Supports d enregistrement",E_Suivi_Eans!$J:$J,"Relance 1",E_Suivi_Eans!$K:$K,"&gt;31/12/2021",E_Suivi_Eans!$K:$K,"&lt;01/11/2022")+COUNTIFS(E_Suivi_Eans!$C:$C,"08/2022",E_Suivi_Eans!$D:$D,"Taxes Supports d enregistrement",E_Suivi_Eans!$J:$J,"Relance 2",E_Suivi_Eans!$K:$K,"&gt;31/12/2021",E_Suivi_Eans!$K:$K,"&lt;01/11/2022")+COUNTIFS(E_Suivi_Eans!$C:$C,"08/2022",E_Suivi_Eans!$D:$D,"Taxes Supports d enregistrement",E_Suivi_Eans!$J:$J,"Relance 3",E_Suivi_Eans!$K:$K,"&gt;31/12/2021",E_Suivi_Eans!$K:$K,"&lt;01/11/2022")</f>
        <v>0</v>
      </c>
      <c r="E104" s="21">
        <f>COUNTIFS(E_Suivi_Eans!$C:$C,"08/2022",E_Suivi_Eans!$D:$D,"Taxes Supports d enregistrement",E_Suivi_Eans!$J:$J,"Abandon",E_Suivi_Eans!$K:$K,"&gt;31/12/2021",E_Suivi_Eans!K:K,"&lt;01/11/2022")</f>
        <v>0</v>
      </c>
      <c r="F104" s="21">
        <f>COUNTIFS(E_Suivi_Eans!$C:$C,"08/2022",E_Suivi_Eans!$D:$D,"Taxes Supports d enregistrement")</f>
        <v>0</v>
      </c>
      <c r="G104" s="21">
        <f t="shared" si="24"/>
        <v>0</v>
      </c>
      <c r="J104" s="20" t="s">
        <v>5321</v>
      </c>
      <c r="K104" s="20" t="s">
        <v>5326</v>
      </c>
      <c r="L104" s="28">
        <f t="shared" si="22"/>
        <v>0</v>
      </c>
      <c r="M104" s="28">
        <f t="shared" si="22"/>
        <v>0</v>
      </c>
      <c r="N104" s="28">
        <f t="shared" si="22"/>
        <v>0</v>
      </c>
      <c r="O104" s="28">
        <v>1</v>
      </c>
      <c r="P104" s="28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COUNTIFS(E_Suivi_Eans!$C:$C,"08/2022",E_Suivi_Eans!$D:$D,"Taxes Supports d enregistrement",E_Suivi_Eans!$J:$J,"Retour OK",E_Suivi_Eans!$K:$K,"&gt;31/12/2021",E_Suivi_Eans!K:K,"&lt;01/12/2022")</f>
        <v>0</v>
      </c>
      <c r="D105" s="21">
        <f>COUNTIFS(E_Suivi_Eans!$C:$C,"08/2022",E_Suivi_Eans!$D:$D,"Taxes Supports d enregistrement",E_Suivi_Eans!$J:$J,"Rejet 0",E_Suivi_Eans!$K:$K,"&gt;31/12/2021",E_Suivi_Eans!$K:$K,"&lt;01/12/2022")+ COUNTIFS(E_Suivi_Eans!$C:$C,"08/2022",E_Suivi_Eans!$D:$D,"Taxes Supports d enregistrement",E_Suivi_Eans!$J:$J,"Rejet 1",E_Suivi_Eans!$K:$K,"&gt;31/12/2021",E_Suivi_Eans!$K:$K,"&lt;01/12/2022")+COUNTIFS(E_Suivi_Eans!$C:$C,"08/2022",E_Suivi_Eans!$D:$D,"Taxes Supports d enregistrement",E_Suivi_Eans!$J:$J,"Rejet 2",E_Suivi_Eans!$K:$K,"&gt;31/12/2021",E_Suivi_Eans!$K:$K,"&lt;01/12/2022")+COUNTIFS(E_Suivi_Eans!$C:$C,"08/2022",E_Suivi_Eans!$D:$D,"Taxes Supports d enregistrement",E_Suivi_Eans!$J:$J,"Rejet 3",E_Suivi_Eans!$K:$K,"&gt;31/12/2021",E_Suivi_Eans!$K:$K,"&lt;01/12/2022")+ COUNTIFS(E_Suivi_Eans!$C:$C,"08/2022",E_Suivi_Eans!$D:$D,"Taxes Supports d enregistrement",E_Suivi_Eans!$J:$J,"Rejet 4",E_Suivi_Eans!$K:$K,"&gt;31/12/2021",E_Suivi_Eans!$K:$K,"&lt;01/12/2022")+COUNTIFS(E_Suivi_Eans!$C:$C,"08/2022",E_Suivi_Eans!$D:$D,"Taxes Supports d enregistrement",E_Suivi_Eans!$J:$J,"Relance 1",E_Suivi_Eans!$K:$K,"&gt;31/12/2021",E_Suivi_Eans!$K:$K,"&lt;01/12/2022")+COUNTIFS(E_Suivi_Eans!$C:$C,"08/2022",E_Suivi_Eans!$D:$D,"Taxes Supports d enregistrement",E_Suivi_Eans!$J:$J,"Relance 2",E_Suivi_Eans!$K:$K,"&gt;31/12/2021",E_Suivi_Eans!$K:$K,"&lt;01/12/2022")+COUNTIFS(E_Suivi_Eans!$C:$C,"08/2022",E_Suivi_Eans!$D:$D,"Taxes Supports d enregistrement",E_Suivi_Eans!$J:$J,"Relance 3",E_Suivi_Eans!$K:$K,"&gt;31/12/2021",E_Suivi_Eans!$K:$K,"&lt;01/12/2022")</f>
        <v>0</v>
      </c>
      <c r="E105" s="21">
        <f>COUNTIFS(E_Suivi_Eans!$C:$C,"08/2022",E_Suivi_Eans!$D:$D,"Taxes Supports d enregistrement",E_Suivi_Eans!$J:$J,"Abandon",E_Suivi_Eans!$K:$K,"&gt;31/12/2021",E_Suivi_Eans!K:K,"&lt;01/12/2022")</f>
        <v>0</v>
      </c>
      <c r="F105" s="21">
        <f>COUNTIFS(E_Suivi_Eans!$C:$C,"08/2022",E_Suivi_Eans!$D:$D,"Taxes Supports d enregistrement")</f>
        <v>0</v>
      </c>
      <c r="G105" s="21">
        <f t="shared" si="24"/>
        <v>0</v>
      </c>
      <c r="J105" s="20" t="s">
        <v>5321</v>
      </c>
      <c r="K105" s="20" t="s">
        <v>5327</v>
      </c>
      <c r="L105" s="28">
        <f t="shared" si="22"/>
        <v>0</v>
      </c>
      <c r="M105" s="28">
        <f t="shared" si="22"/>
        <v>0</v>
      </c>
      <c r="N105" s="28">
        <f t="shared" si="22"/>
        <v>0</v>
      </c>
      <c r="O105" s="28">
        <v>1</v>
      </c>
      <c r="P105" s="28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8"/>
      <c r="P106" s="28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5"/>
      <c r="E107" s="25"/>
      <c r="F107" s="25"/>
      <c r="G107" s="25"/>
      <c r="J107" s="22"/>
      <c r="K107" s="22"/>
      <c r="L107" s="23"/>
      <c r="M107" s="25"/>
      <c r="N107" s="25"/>
      <c r="O107" s="31"/>
      <c r="P107" s="31"/>
      <c r="S107" s="22"/>
      <c r="T107" s="22"/>
      <c r="U107" s="23"/>
      <c r="V107" s="25"/>
      <c r="W107" s="25"/>
      <c r="X107" s="25"/>
      <c r="Y107" s="25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8"/>
      <c r="P108" s="28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8"/>
      <c r="P109" s="28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8"/>
      <c r="P110" s="28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8"/>
      <c r="P111" s="28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8"/>
      <c r="P112" s="28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8"/>
      <c r="P113" s="28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8"/>
      <c r="P114" s="28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8"/>
      <c r="P115" s="28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COUNTIFS(E_Suivi_Eans!$C:$C,"09/2022",E_Suivi_Eans!$D:$D,"Taxes Supports d enregistrement",E_Suivi_Eans!$J:$J,"Retour OK",E_Suivi_Eans!$K:$K,"&gt;31/12/2021",E_Suivi_Eans!K:K,"&lt;01/10/2022")</f>
        <v>0</v>
      </c>
      <c r="D116" s="21">
        <f>COUNTIFS(E_Suivi_Eans!$C:$C,"09/2022",E_Suivi_Eans!$D:$D,"Taxes Supports d enregistrement",E_Suivi_Eans!$J:$J,"Rejet 0",E_Suivi_Eans!$K:$K,"&gt;31/12/2021",E_Suivi_Eans!$K:$K,"&lt;01/10/2022")+ COUNTIFS(E_Suivi_Eans!$C:$C,"09/2022",E_Suivi_Eans!$D:$D,"Taxes Supports d enregistrement",E_Suivi_Eans!$J:$J,"Rejet 1",E_Suivi_Eans!$K:$K,"&gt;31/12/2021",E_Suivi_Eans!$K:$K,"&lt;01/10/2022")+COUNTIFS(E_Suivi_Eans!$C:$C,"09/2022",E_Suivi_Eans!$D:$D,"Taxes Supports d enregistrement",E_Suivi_Eans!$J:$J,"Rejet 2",E_Suivi_Eans!$K:$K,"&gt;31/12/2021",E_Suivi_Eans!$K:$K,"&lt;01/10/2022")+COUNTIFS(E_Suivi_Eans!$C:$C,"09/2022",E_Suivi_Eans!$D:$D,"Taxes Supports d enregistrement",E_Suivi_Eans!$J:$J,"Rejet 3",E_Suivi_Eans!$K:$K,"&gt;31/12/2021",E_Suivi_Eans!$K:$K,"&lt;01/10/2022")+ COUNTIFS(E_Suivi_Eans!$C:$C,"09/2022",E_Suivi_Eans!$D:$D,"Taxes Supports d enregistrement",E_Suivi_Eans!$J:$J,"Rejet 4",E_Suivi_Eans!$K:$K,"&gt;31/12/2021",E_Suivi_Eans!$K:$K,"&lt;01/10/2022")+COUNTIFS(E_Suivi_Eans!$C:$C,"09/2022",E_Suivi_Eans!$D:$D,"Taxes Supports d enregistrement",E_Suivi_Eans!$J:$J,"Relance 1",E_Suivi_Eans!$K:$K,"&gt;31/12/2021",E_Suivi_Eans!$K:$K,"&lt;01/10/2022")+COUNTIFS(E_Suivi_Eans!$C:$C,"09/2022",E_Suivi_Eans!$D:$D,"Taxes Supports d enregistrement",E_Suivi_Eans!$J:$J,"Relance 2",E_Suivi_Eans!$K:$K,"&gt;31/12/2021",E_Suivi_Eans!$K:$K,"&lt;01/10/2022")+COUNTIFS(E_Suivi_Eans!$C:$C,"09/2022",E_Suivi_Eans!$D:$D,"Taxes Supports d enregistrement",E_Suivi_Eans!$J:$J,"Relance 3",E_Suivi_Eans!$K:$K,"&gt;31/12/2021",E_Suivi_Eans!$K:$K,"&lt;01/10/2022")</f>
        <v>0</v>
      </c>
      <c r="E116" s="21">
        <f>COUNTIFS(E_Suivi_Eans!$C:$C,"09/2022",E_Suivi_Eans!$D:$D,"Taxes Supports d enregistrement",E_Suivi_Eans!$J:$J,"Abandon",E_Suivi_Eans!$K:$K,"&gt;31/12/2021",E_Suivi_Eans!K:K,"&lt;01/10/2022")</f>
        <v>0</v>
      </c>
      <c r="F116" s="21">
        <f>COUNTIFS(E_Suivi_Eans!$C:$C,"09/2022",E_Suivi_Eans!$D:$D,"Taxes Supports d enregistrement")</f>
        <v>3</v>
      </c>
      <c r="G116" s="21">
        <f t="shared" ref="G116:G118" si="25">F116-E116</f>
        <v>3</v>
      </c>
      <c r="J116" s="20" t="s">
        <v>5325</v>
      </c>
      <c r="K116" s="20" t="s">
        <v>5325</v>
      </c>
      <c r="L116" s="28">
        <f t="shared" ref="L116:N118" si="26">IF($G116=0,0,C116/$G116)</f>
        <v>0</v>
      </c>
      <c r="M116" s="28">
        <f t="shared" si="26"/>
        <v>0</v>
      </c>
      <c r="N116" s="28">
        <f t="shared" si="26"/>
        <v>0</v>
      </c>
      <c r="O116" s="28">
        <v>1</v>
      </c>
      <c r="P116" s="28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COUNTIFS(E_Suivi_Eans!$C:$C,"09/2022",E_Suivi_Eans!$D:$D,"Taxes Supports d enregistrement",E_Suivi_Eans!$J:$J,"Retour OK",E_Suivi_Eans!$K:$K,"&gt;31/12/2021",E_Suivi_Eans!K:K,"&lt;01/11/2022")</f>
        <v>0</v>
      </c>
      <c r="D117" s="21">
        <f>COUNTIFS(E_Suivi_Eans!$C:$C,"09/2022",E_Suivi_Eans!$D:$D,"Taxes Supports d enregistrement",E_Suivi_Eans!$J:$J,"Rejet 0",E_Suivi_Eans!$K:$K,"&gt;31/12/2021",E_Suivi_Eans!$K:$K,"&lt;01/11/2022")+ COUNTIFS(E_Suivi_Eans!$C:$C,"09/2022",E_Suivi_Eans!$D:$D,"Taxes Supports d enregistrement",E_Suivi_Eans!$J:$J,"Rejet 1",E_Suivi_Eans!$K:$K,"&gt;31/12/2021",E_Suivi_Eans!$K:$K,"&lt;01/11/2022")+COUNTIFS(E_Suivi_Eans!$C:$C,"09/2022",E_Suivi_Eans!$D:$D,"Taxes Supports d enregistrement",E_Suivi_Eans!$J:$J,"Rejet 2",E_Suivi_Eans!$K:$K,"&gt;31/12/2021",E_Suivi_Eans!$K:$K,"&lt;01/11/2022")+COUNTIFS(E_Suivi_Eans!$C:$C,"09/2022",E_Suivi_Eans!$D:$D,"Taxes Supports d enregistrement",E_Suivi_Eans!$J:$J,"Rejet 3",E_Suivi_Eans!$K:$K,"&gt;31/12/2021",E_Suivi_Eans!$K:$K,"&lt;01/11/2022")+ COUNTIFS(E_Suivi_Eans!$C:$C,"09/2022",E_Suivi_Eans!$D:$D,"Taxes Supports d enregistrement",E_Suivi_Eans!$J:$J,"Rejet 4",E_Suivi_Eans!$K:$K,"&gt;31/12/2021",E_Suivi_Eans!$K:$K,"&lt;01/11/2022")+COUNTIFS(E_Suivi_Eans!$C:$C,"09/2022",E_Suivi_Eans!$D:$D,"Taxes Supports d enregistrement",E_Suivi_Eans!$J:$J,"Relance 1",E_Suivi_Eans!$K:$K,"&gt;31/12/2021",E_Suivi_Eans!$K:$K,"&lt;01/11/2022")+COUNTIFS(E_Suivi_Eans!$C:$C,"09/2022",E_Suivi_Eans!$D:$D,"Taxes Supports d enregistrement",E_Suivi_Eans!$J:$J,"Relance 2",E_Suivi_Eans!$K:$K,"&gt;31/12/2021",E_Suivi_Eans!$K:$K,"&lt;01/11/2022")+COUNTIFS(E_Suivi_Eans!$C:$C,"09/2022",E_Suivi_Eans!$D:$D,"Taxes Supports d enregistrement",E_Suivi_Eans!$J:$J,"Relance 3",E_Suivi_Eans!$K:$K,"&gt;31/12/2021",E_Suivi_Eans!$K:$K,"&lt;01/11/2022")</f>
        <v>3</v>
      </c>
      <c r="E117" s="21">
        <f>COUNTIFS(E_Suivi_Eans!$C:$C,"09/2022",E_Suivi_Eans!$D:$D,"Taxes Supports d enregistrement",E_Suivi_Eans!$J:$J,"Abandon",E_Suivi_Eans!$K:$K,"&gt;31/12/2021",E_Suivi_Eans!K:K,"&lt;01/11/2022")</f>
        <v>0</v>
      </c>
      <c r="F117" s="21">
        <f>COUNTIFS(E_Suivi_Eans!$C:$C,"09/2022",E_Suivi_Eans!$D:$D,"Taxes Supports d enregistrement")</f>
        <v>3</v>
      </c>
      <c r="G117" s="21">
        <f t="shared" si="25"/>
        <v>3</v>
      </c>
      <c r="J117" s="20" t="s">
        <v>5325</v>
      </c>
      <c r="K117" s="20" t="s">
        <v>5326</v>
      </c>
      <c r="L117" s="28">
        <f t="shared" si="26"/>
        <v>0</v>
      </c>
      <c r="M117" s="28">
        <f t="shared" si="26"/>
        <v>1</v>
      </c>
      <c r="N117" s="28">
        <f t="shared" si="26"/>
        <v>0</v>
      </c>
      <c r="O117" s="28">
        <v>1</v>
      </c>
      <c r="P117" s="28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COUNTIFS(E_Suivi_Eans!$C:$C,"09/2022",E_Suivi_Eans!$D:$D,"Taxes Supports d enregistrement",E_Suivi_Eans!$J:$J,"Retour OK",E_Suivi_Eans!$K:$K,"&gt;31/12/2021",E_Suivi_Eans!K:K,"&lt;01/12/2022")</f>
        <v>0</v>
      </c>
      <c r="D118" s="21">
        <f>COUNTIFS(E_Suivi_Eans!$C:$C,"09/2022",E_Suivi_Eans!$D:$D,"Taxes Supports d enregistrement",E_Suivi_Eans!$J:$J,"Rejet 0",E_Suivi_Eans!$K:$K,"&gt;31/12/2021",E_Suivi_Eans!$K:$K,"&lt;01/12/2022")+ COUNTIFS(E_Suivi_Eans!$C:$C,"09/2022",E_Suivi_Eans!$D:$D,"Taxes Supports d enregistrement",E_Suivi_Eans!$J:$J,"Rejet 1",E_Suivi_Eans!$K:$K,"&gt;31/12/2021",E_Suivi_Eans!$K:$K,"&lt;01/12/2022")+COUNTIFS(E_Suivi_Eans!$C:$C,"09/2022",E_Suivi_Eans!$D:$D,"Taxes Supports d enregistrement",E_Suivi_Eans!$J:$J,"Rejet 2",E_Suivi_Eans!$K:$K,"&gt;31/12/2021",E_Suivi_Eans!$K:$K,"&lt;01/12/2022")+COUNTIFS(E_Suivi_Eans!$C:$C,"09/2022",E_Suivi_Eans!$D:$D,"Taxes Supports d enregistrement",E_Suivi_Eans!$J:$J,"Rejet 3",E_Suivi_Eans!$K:$K,"&gt;31/12/2021",E_Suivi_Eans!$K:$K,"&lt;01/12/2022")+ COUNTIFS(E_Suivi_Eans!$C:$C,"09/2022",E_Suivi_Eans!$D:$D,"Taxes Supports d enregistrement",E_Suivi_Eans!$J:$J,"Rejet 4",E_Suivi_Eans!$K:$K,"&gt;31/12/2021",E_Suivi_Eans!$K:$K,"&lt;01/12/2022")+COUNTIFS(E_Suivi_Eans!$C:$C,"09/2022",E_Suivi_Eans!$D:$D,"Taxes Supports d enregistrement",E_Suivi_Eans!$J:$J,"Relance 1",E_Suivi_Eans!$K:$K,"&gt;31/12/2021",E_Suivi_Eans!$K:$K,"&lt;01/12/2022")+COUNTIFS(E_Suivi_Eans!$C:$C,"09/2022",E_Suivi_Eans!$D:$D,"Taxes Supports d enregistrement",E_Suivi_Eans!$J:$J,"Relance 2",E_Suivi_Eans!$K:$K,"&gt;31/12/2021",E_Suivi_Eans!$K:$K,"&lt;01/12/2022")+COUNTIFS(E_Suivi_Eans!$C:$C,"09/2022",E_Suivi_Eans!$D:$D,"Taxes Supports d enregistrement",E_Suivi_Eans!$J:$J,"Relance 3",E_Suivi_Eans!$K:$K,"&gt;31/12/2021",E_Suivi_Eans!$K:$K,"&lt;01/12/2022")</f>
        <v>3</v>
      </c>
      <c r="E118" s="21">
        <f>COUNTIFS(E_Suivi_Eans!$C:$C,"09/2022",E_Suivi_Eans!$D:$D,"Taxes Supports d enregistrement",E_Suivi_Eans!$J:$J,"Abandon",E_Suivi_Eans!$K:$K,"&gt;31/12/2021",E_Suivi_Eans!K:K,"&lt;01/12/2022")</f>
        <v>0</v>
      </c>
      <c r="F118" s="21">
        <f>COUNTIFS(E_Suivi_Eans!$C:$C,"09/2022",E_Suivi_Eans!$D:$D,"Taxes Supports d enregistrement")</f>
        <v>3</v>
      </c>
      <c r="G118" s="21">
        <f t="shared" si="25"/>
        <v>3</v>
      </c>
      <c r="J118" s="20" t="s">
        <v>5325</v>
      </c>
      <c r="K118" s="20" t="s">
        <v>5327</v>
      </c>
      <c r="L118" s="28">
        <f t="shared" si="26"/>
        <v>0</v>
      </c>
      <c r="M118" s="28">
        <f t="shared" si="26"/>
        <v>1</v>
      </c>
      <c r="N118" s="28">
        <f t="shared" si="26"/>
        <v>0</v>
      </c>
      <c r="O118" s="28">
        <v>1</v>
      </c>
      <c r="P118" s="28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8"/>
      <c r="P119" s="28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5"/>
      <c r="E120" s="25"/>
      <c r="F120" s="25"/>
      <c r="G120" s="25"/>
      <c r="J120" s="22"/>
      <c r="K120" s="22"/>
      <c r="L120" s="23"/>
      <c r="M120" s="25"/>
      <c r="N120" s="25"/>
      <c r="O120" s="31"/>
      <c r="P120" s="31"/>
      <c r="S120" s="22"/>
      <c r="T120" s="22"/>
      <c r="U120" s="23"/>
      <c r="V120" s="25"/>
      <c r="W120" s="25"/>
      <c r="X120" s="25"/>
      <c r="Y120" s="25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8"/>
      <c r="P121" s="28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8"/>
      <c r="P122" s="28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8"/>
      <c r="P123" s="28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8"/>
      <c r="P124" s="28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8"/>
      <c r="P125" s="28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8"/>
      <c r="P126" s="28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8"/>
      <c r="P127" s="28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8"/>
      <c r="P128" s="28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8"/>
      <c r="P129" s="28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COUNTIFS(E_Suivi_Eans!$C:$C,"10/2022",E_Suivi_Eans!$D:$D,"Taxes Supports d enregistrement",E_Suivi_Eans!$J:$J,"Retour OK",E_Suivi_Eans!$K:$K,"&gt;31/12/2021",E_Suivi_Eans!K:K,"&lt;01/11/2022")</f>
        <v>2</v>
      </c>
      <c r="D130" s="21">
        <f>COUNTIFS(E_Suivi_Eans!$C:$C,"10/2022",E_Suivi_Eans!$D:$D,"Taxes Supports d enregistrement",E_Suivi_Eans!$J:$J,"Rejet 0",E_Suivi_Eans!$K:$K,"&gt;31/12/2021",E_Suivi_Eans!$K:$K,"&lt;01/11/2022")+ COUNTIFS(E_Suivi_Eans!$C:$C,"10/2022",E_Suivi_Eans!$D:$D,"Taxes Supports d enregistrement",E_Suivi_Eans!$J:$J,"Rejet 1",E_Suivi_Eans!$K:$K,"&gt;31/12/2021",E_Suivi_Eans!$K:$K,"&lt;01/11/2022")+COUNTIFS(E_Suivi_Eans!$C:$C,"10/2022",E_Suivi_Eans!$D:$D,"Taxes Supports d enregistrement",E_Suivi_Eans!$J:$J,"Rejet 2",E_Suivi_Eans!$K:$K,"&gt;31/12/2021",E_Suivi_Eans!$K:$K,"&lt;01/11/2022")+COUNTIFS(E_Suivi_Eans!$C:$C,"10/2022",E_Suivi_Eans!$D:$D,"Taxes Supports d enregistrement",E_Suivi_Eans!$J:$J,"Rejet 3",E_Suivi_Eans!$K:$K,"&gt;31/12/2021",E_Suivi_Eans!$K:$K,"&lt;01/11/2022")+ COUNTIFS(E_Suivi_Eans!$C:$C,"10/2022",E_Suivi_Eans!$D:$D,"Taxes Supports d enregistrement",E_Suivi_Eans!$J:$J,"Rejet 4",E_Suivi_Eans!$K:$K,"&gt;31/12/2021",E_Suivi_Eans!$K:$K,"&lt;01/11/2022")+COUNTIFS(E_Suivi_Eans!$C:$C,"10/2022",E_Suivi_Eans!$D:$D,"Taxes Supports d enregistrement",E_Suivi_Eans!$J:$J,"Relance 1",E_Suivi_Eans!$K:$K,"&gt;31/12/2021",E_Suivi_Eans!$K:$K,"&lt;01/11/2022")+COUNTIFS(E_Suivi_Eans!$C:$C,"10/2022",E_Suivi_Eans!$D:$D,"Taxes Supports d enregistrement",E_Suivi_Eans!$J:$J,"Relance 2",E_Suivi_Eans!$K:$K,"&gt;31/12/2021",E_Suivi_Eans!$K:$K,"&lt;01/11/2022")+COUNTIFS(E_Suivi_Eans!$C:$C,"10/2022",E_Suivi_Eans!$D:$D,"Taxes Supports d enregistrement",E_Suivi_Eans!$J:$J,"Relance 3",E_Suivi_Eans!$K:$K,"&gt;31/12/2021",E_Suivi_Eans!$K:$K,"&lt;01/11/2022")</f>
        <v>0</v>
      </c>
      <c r="E130" s="21">
        <f>COUNTIFS(E_Suivi_Eans!$C:$C,"10/2022",E_Suivi_Eans!$D:$D,"Taxes Supports d enregistrement",E_Suivi_Eans!$J:$J,"Abandon",E_Suivi_Eans!$K:$K,"&gt;31/12/2021",E_Suivi_Eans!K:K,"&lt;01/11/2022")</f>
        <v>0</v>
      </c>
      <c r="F130" s="21">
        <f>COUNTIFS(E_Suivi_Eans!$C:$C,"10/2022",E_Suivi_Eans!$D:$D,"Taxes Supports d enregistrement")</f>
        <v>2</v>
      </c>
      <c r="G130" s="21">
        <f>F130-E130</f>
        <v>2</v>
      </c>
      <c r="J130" s="20" t="s">
        <v>5326</v>
      </c>
      <c r="K130" s="20" t="s">
        <v>5326</v>
      </c>
      <c r="L130" s="28">
        <f t="shared" ref="L130:N131" si="28">IF($G130=0,0,C130/$G130)</f>
        <v>1</v>
      </c>
      <c r="M130" s="28">
        <f t="shared" si="28"/>
        <v>0</v>
      </c>
      <c r="N130" s="28">
        <f t="shared" si="28"/>
        <v>0</v>
      </c>
      <c r="O130" s="28">
        <v>1</v>
      </c>
      <c r="P130" s="28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COUNTIFS(E_Suivi_Eans!$C:$C,"10/2022",E_Suivi_Eans!$D:$D,"Taxes Supports d enregistrement",E_Suivi_Eans!$J:$J,"Retour OK",E_Suivi_Eans!$K:$K,"&gt;31/12/2021",E_Suivi_Eans!K:K,"&lt;01/12/2022")</f>
        <v>2</v>
      </c>
      <c r="D131" s="21">
        <f>COUNTIFS(E_Suivi_Eans!$C:$C,"10/2022",E_Suivi_Eans!$D:$D,"Taxes Supports d enregistrement",E_Suivi_Eans!$J:$J,"Rejet 0",E_Suivi_Eans!$K:$K,"&gt;31/12/2021",E_Suivi_Eans!$K:$K,"&lt;01/12/2022")+ COUNTIFS(E_Suivi_Eans!$C:$C,"10/2022",E_Suivi_Eans!$D:$D,"Taxes Supports d enregistrement",E_Suivi_Eans!$J:$J,"Rejet 1",E_Suivi_Eans!$K:$K,"&gt;31/12/2021",E_Suivi_Eans!$K:$K,"&lt;01/12/2022")+COUNTIFS(E_Suivi_Eans!$C:$C,"10/2022",E_Suivi_Eans!$D:$D,"Taxes Supports d enregistrement",E_Suivi_Eans!$J:$J,"Rejet 2",E_Suivi_Eans!$K:$K,"&gt;31/12/2021",E_Suivi_Eans!$K:$K,"&lt;01/12/2022")+COUNTIFS(E_Suivi_Eans!$C:$C,"10/2022",E_Suivi_Eans!$D:$D,"Taxes Supports d enregistrement",E_Suivi_Eans!$J:$J,"Rejet 3",E_Suivi_Eans!$K:$K,"&gt;31/12/2021",E_Suivi_Eans!$K:$K,"&lt;01/12/2022")+ COUNTIFS(E_Suivi_Eans!$C:$C,"10/2022",E_Suivi_Eans!$D:$D,"Taxes Supports d enregistrement",E_Suivi_Eans!$J:$J,"Rejet 4",E_Suivi_Eans!$K:$K,"&gt;31/12/2021",E_Suivi_Eans!$K:$K,"&lt;01/12/2022")+COUNTIFS(E_Suivi_Eans!$C:$C,"10/2022",E_Suivi_Eans!$D:$D,"Taxes Supports d enregistrement",E_Suivi_Eans!$J:$J,"Relance 1",E_Suivi_Eans!$K:$K,"&gt;31/12/2021",E_Suivi_Eans!$K:$K,"&lt;01/12/2022")+COUNTIFS(E_Suivi_Eans!$C:$C,"10/2022",E_Suivi_Eans!$D:$D,"Taxes Supports d enregistrement",E_Suivi_Eans!$J:$J,"Relance 2",E_Suivi_Eans!$K:$K,"&gt;31/12/2021",E_Suivi_Eans!$K:$K,"&lt;01/12/2022")+COUNTIFS(E_Suivi_Eans!$C:$C,"10/2022",E_Suivi_Eans!$D:$D,"Taxes Supports d enregistrement",E_Suivi_Eans!$J:$J,"Relance 3",E_Suivi_Eans!$K:$K,"&gt;31/12/2021",E_Suivi_Eans!$K:$K,"&lt;01/12/2022")</f>
        <v>0</v>
      </c>
      <c r="E131" s="21">
        <f>COUNTIFS(E_Suivi_Eans!$C:$C,"10/2022",E_Suivi_Eans!$D:$D,"Taxes Supports d enregistrement",E_Suivi_Eans!$J:$J,"Abandon",E_Suivi_Eans!$K:$K,"&gt;31/12/2021",E_Suivi_Eans!K:K,"&lt;01/12/2022")</f>
        <v>0</v>
      </c>
      <c r="F131" s="21">
        <f>COUNTIFS(E_Suivi_Eans!$C:$C,"10/2022",E_Suivi_Eans!$D:$D,"Taxes Supports d enregistrement")</f>
        <v>2</v>
      </c>
      <c r="G131" s="21">
        <f t="shared" ref="G131" si="30">F131-E131</f>
        <v>2</v>
      </c>
      <c r="J131" s="20" t="s">
        <v>5326</v>
      </c>
      <c r="K131" s="20" t="s">
        <v>5327</v>
      </c>
      <c r="L131" s="28">
        <f t="shared" si="28"/>
        <v>1</v>
      </c>
      <c r="M131" s="28">
        <f t="shared" si="28"/>
        <v>0</v>
      </c>
      <c r="N131" s="28">
        <f t="shared" si="28"/>
        <v>0</v>
      </c>
      <c r="O131" s="28">
        <v>1</v>
      </c>
      <c r="P131" s="28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8"/>
      <c r="P132" s="28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5"/>
      <c r="E133" s="25"/>
      <c r="F133" s="25"/>
      <c r="G133" s="25"/>
      <c r="J133" s="22"/>
      <c r="K133" s="22"/>
      <c r="L133" s="23"/>
      <c r="M133" s="25"/>
      <c r="N133" s="25"/>
      <c r="O133" s="31"/>
      <c r="P133" s="31"/>
      <c r="S133" s="22"/>
      <c r="T133" s="22"/>
      <c r="U133" s="23"/>
      <c r="V133" s="25"/>
      <c r="W133" s="25"/>
      <c r="X133" s="25"/>
      <c r="Y133" s="25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8"/>
      <c r="P134" s="28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8"/>
      <c r="P135" s="28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8"/>
      <c r="P136" s="28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8"/>
      <c r="P137" s="28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8"/>
      <c r="P138" s="28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8"/>
      <c r="P139" s="28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8"/>
      <c r="P140" s="28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8"/>
      <c r="P141" s="28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8"/>
      <c r="P142" s="28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8"/>
      <c r="P143" s="28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COUNTIFS(E_Suivi_Eans!$C:$C,"11/2022",E_Suivi_Eans!$D:$D,"Taxes Supports d enregistrement",E_Suivi_Eans!$J:$J,"Retour OK",E_Suivi_Eans!$K:$K,"&gt;31/12/2021",E_Suivi_Eans!K:K,"&lt;01/12/2022")</f>
        <v>0</v>
      </c>
      <c r="D144" s="21">
        <f>COUNTIFS(E_Suivi_Eans!$C:$C,"11/2022",E_Suivi_Eans!$D:$D,"Taxes Supports d enregistrement",E_Suivi_Eans!$J:$J,"Rejet 0",E_Suivi_Eans!$K:$K,"&gt;31/12/2021",E_Suivi_Eans!$K:$K,"&lt;01/12/2022")+ COUNTIFS(E_Suivi_Eans!$C:$C,"11/2022",E_Suivi_Eans!$D:$D,"Taxes Supports d enregistrement",E_Suivi_Eans!$J:$J,"Rejet 1",E_Suivi_Eans!$K:$K,"&gt;31/12/2021",E_Suivi_Eans!$K:$K,"&lt;01/12/2022")+COUNTIFS(E_Suivi_Eans!$C:$C,"11/2022",E_Suivi_Eans!$D:$D,"Taxes Supports d enregistrement",E_Suivi_Eans!$J:$J,"Rejet 2",E_Suivi_Eans!$K:$K,"&gt;31/12/2021",E_Suivi_Eans!$K:$K,"&lt;01/12/2022")+COUNTIFS(E_Suivi_Eans!$C:$C,"11/2022",E_Suivi_Eans!$D:$D,"Taxes Supports d enregistrement",E_Suivi_Eans!$J:$J,"Rejet 3",E_Suivi_Eans!$K:$K,"&gt;31/12/2021",E_Suivi_Eans!$K:$K,"&lt;01/12/2022")+ COUNTIFS(E_Suivi_Eans!$C:$C,"11/2022",E_Suivi_Eans!$D:$D,"Taxes Supports d enregistrement",E_Suivi_Eans!$J:$J,"Rejet 4",E_Suivi_Eans!$K:$K,"&gt;31/12/2021",E_Suivi_Eans!$K:$K,"&lt;01/12/2022")+COUNTIFS(E_Suivi_Eans!$C:$C,"11/2022",E_Suivi_Eans!$D:$D,"Taxes Supports d enregistrement",E_Suivi_Eans!$J:$J,"Relance 1",E_Suivi_Eans!$K:$K,"&gt;31/12/2021",E_Suivi_Eans!$K:$K,"&lt;01/12/2022")+COUNTIFS(E_Suivi_Eans!$C:$C,"11/2022",E_Suivi_Eans!$D:$D,"Taxes Supports d enregistrement",E_Suivi_Eans!$J:$J,"Relance 2",E_Suivi_Eans!$K:$K,"&gt;31/12/2021",E_Suivi_Eans!$K:$K,"&lt;01/12/2022")+COUNTIFS(E_Suivi_Eans!$C:$C,"11/2022",E_Suivi_Eans!$D:$D,"Taxes Supports d enregistrement",E_Suivi_Eans!$J:$J,"Relance 3",E_Suivi_Eans!$K:$K,"&gt;31/12/2021",E_Suivi_Eans!$K:$K,"&lt;01/12/2022")</f>
        <v>0</v>
      </c>
      <c r="E144" s="21">
        <f>COUNTIFS(E_Suivi_Eans!$C:$C,"11/2022",E_Suivi_Eans!$D:$D,"Taxes Supports d enregistrement",E_Suivi_Eans!$J:$J,"Abandon",E_Suivi_Eans!$K:$K,"&gt;31/12/2021",E_Suivi_Eans!K:K,"&lt;01/12/2022")</f>
        <v>0</v>
      </c>
      <c r="F144" s="21">
        <f>COUNTIFS(E_Suivi_Eans!$C:$C,"11/2022",E_Suivi_Eans!$D:$D,"Taxes Supports d enregistrement")</f>
        <v>10</v>
      </c>
      <c r="G144" s="21">
        <f>F144-E144</f>
        <v>10</v>
      </c>
      <c r="J144" s="20" t="s">
        <v>5327</v>
      </c>
      <c r="K144" s="20" t="s">
        <v>5327</v>
      </c>
      <c r="L144" s="28">
        <f>IF($G144=0,0,C144/$G144)</f>
        <v>0</v>
      </c>
      <c r="M144" s="28">
        <f t="shared" ref="M144:N144" si="31">IF($G144=0,0,D144/$G144)</f>
        <v>0</v>
      </c>
      <c r="N144" s="28">
        <f t="shared" si="31"/>
        <v>0</v>
      </c>
      <c r="O144" s="28">
        <v>1</v>
      </c>
      <c r="P144" s="28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8"/>
      <c r="P145" s="28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5"/>
      <c r="E146" s="25"/>
      <c r="F146" s="25"/>
      <c r="G146" s="25"/>
      <c r="J146" s="22"/>
      <c r="K146" s="22"/>
      <c r="L146" s="23"/>
      <c r="M146" s="25"/>
      <c r="N146" s="25"/>
      <c r="O146" s="31"/>
      <c r="P146" s="31"/>
      <c r="S146" s="22"/>
      <c r="T146" s="22"/>
      <c r="U146" s="23"/>
      <c r="V146" s="25"/>
      <c r="W146" s="25"/>
      <c r="X146" s="25"/>
      <c r="Y146" s="25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8"/>
      <c r="M147" s="28"/>
      <c r="N147" s="28"/>
      <c r="O147" s="28"/>
      <c r="P147" s="28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8"/>
      <c r="P148" s="28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8"/>
      <c r="P149" s="28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8"/>
      <c r="P150" s="28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8"/>
      <c r="P151" s="28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8"/>
      <c r="P152" s="28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8"/>
      <c r="P153" s="28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8"/>
      <c r="P154" s="28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8"/>
      <c r="P155" s="28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8"/>
      <c r="P156" s="28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8"/>
      <c r="P157" s="28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8"/>
      <c r="P158" s="28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5"/>
      <c r="E159" s="25"/>
      <c r="F159" s="25"/>
      <c r="G159" s="25"/>
      <c r="J159" s="22"/>
      <c r="K159" s="22"/>
      <c r="L159" s="23"/>
      <c r="M159" s="25"/>
      <c r="N159" s="25"/>
      <c r="O159" s="31"/>
      <c r="P159" s="31"/>
      <c r="S159" s="22"/>
      <c r="T159" s="22"/>
      <c r="U159" s="23"/>
      <c r="V159" s="25"/>
      <c r="W159" s="25"/>
      <c r="X159" s="25"/>
      <c r="Y159" s="25"/>
    </row>
    <row r="160" spans="1:25">
      <c r="A160" s="27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7" t="s">
        <v>5396</v>
      </c>
      <c r="K160" s="20" t="s">
        <v>5314</v>
      </c>
      <c r="L160" s="28">
        <f t="shared" ref="L160:N170" si="35">IF($G160=0,0,C160/$G160)</f>
        <v>0</v>
      </c>
      <c r="M160" s="28">
        <f t="shared" si="35"/>
        <v>0</v>
      </c>
      <c r="N160" s="28">
        <f t="shared" si="35"/>
        <v>0</v>
      </c>
      <c r="O160" s="28">
        <v>1</v>
      </c>
      <c r="P160" s="28">
        <f t="shared" ref="P160:P170" si="36">O160-N160</f>
        <v>1</v>
      </c>
      <c r="S160" s="27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7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1</v>
      </c>
      <c r="G161" s="21">
        <f t="shared" si="34"/>
        <v>1</v>
      </c>
      <c r="J161" s="27" t="s">
        <v>5396</v>
      </c>
      <c r="K161" s="20" t="s">
        <v>5315</v>
      </c>
      <c r="L161" s="28">
        <f t="shared" si="35"/>
        <v>0</v>
      </c>
      <c r="M161" s="28">
        <f t="shared" si="35"/>
        <v>0</v>
      </c>
      <c r="N161" s="28">
        <f t="shared" si="35"/>
        <v>0</v>
      </c>
      <c r="O161" s="28">
        <v>1</v>
      </c>
      <c r="P161" s="28">
        <f t="shared" si="36"/>
        <v>1</v>
      </c>
      <c r="S161" s="27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7" t="s">
        <v>5396</v>
      </c>
      <c r="B162" s="20" t="s">
        <v>5316</v>
      </c>
      <c r="C162" s="21">
        <f t="shared" si="37"/>
        <v>1</v>
      </c>
      <c r="D162" s="21">
        <f t="shared" si="37"/>
        <v>0</v>
      </c>
      <c r="E162" s="21">
        <f t="shared" si="37"/>
        <v>0</v>
      </c>
      <c r="F162" s="21">
        <f t="shared" si="37"/>
        <v>1</v>
      </c>
      <c r="G162" s="21">
        <f t="shared" si="34"/>
        <v>1</v>
      </c>
      <c r="J162" s="27" t="s">
        <v>5396</v>
      </c>
      <c r="K162" s="20" t="s">
        <v>5316</v>
      </c>
      <c r="L162" s="28">
        <f t="shared" si="35"/>
        <v>1</v>
      </c>
      <c r="M162" s="28">
        <f t="shared" si="35"/>
        <v>0</v>
      </c>
      <c r="N162" s="28">
        <f t="shared" si="35"/>
        <v>0</v>
      </c>
      <c r="O162" s="28">
        <v>1</v>
      </c>
      <c r="P162" s="28">
        <f t="shared" si="36"/>
        <v>1</v>
      </c>
      <c r="S162" s="27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7" t="s">
        <v>5396</v>
      </c>
      <c r="B163" s="20" t="s">
        <v>5317</v>
      </c>
      <c r="C163" s="21">
        <f t="shared" si="37"/>
        <v>18</v>
      </c>
      <c r="D163" s="21">
        <f t="shared" si="37"/>
        <v>0</v>
      </c>
      <c r="E163" s="21">
        <f t="shared" si="37"/>
        <v>0</v>
      </c>
      <c r="F163" s="21">
        <f t="shared" si="37"/>
        <v>476</v>
      </c>
      <c r="G163" s="21">
        <f t="shared" si="34"/>
        <v>476</v>
      </c>
      <c r="J163" s="27" t="s">
        <v>5396</v>
      </c>
      <c r="K163" s="20" t="s">
        <v>5317</v>
      </c>
      <c r="L163" s="28">
        <f t="shared" si="35"/>
        <v>3.7815126050420166E-2</v>
      </c>
      <c r="M163" s="28">
        <f t="shared" si="35"/>
        <v>0</v>
      </c>
      <c r="N163" s="28">
        <f t="shared" si="35"/>
        <v>0</v>
      </c>
      <c r="O163" s="28">
        <v>1</v>
      </c>
      <c r="P163" s="28">
        <f>O163-N163</f>
        <v>1</v>
      </c>
      <c r="S163" s="27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7" t="s">
        <v>5396</v>
      </c>
      <c r="B164" s="20" t="s">
        <v>5318</v>
      </c>
      <c r="C164" s="21">
        <f t="shared" si="37"/>
        <v>252</v>
      </c>
      <c r="D164" s="21">
        <f t="shared" si="37"/>
        <v>19</v>
      </c>
      <c r="E164" s="21">
        <f t="shared" si="37"/>
        <v>0</v>
      </c>
      <c r="F164" s="21">
        <f t="shared" si="37"/>
        <v>489</v>
      </c>
      <c r="G164" s="21">
        <f t="shared" si="34"/>
        <v>489</v>
      </c>
      <c r="J164" s="27" t="s">
        <v>5396</v>
      </c>
      <c r="K164" s="20" t="s">
        <v>5318</v>
      </c>
      <c r="L164" s="28">
        <f t="shared" si="35"/>
        <v>0.51533742331288346</v>
      </c>
      <c r="M164" s="28">
        <f t="shared" si="35"/>
        <v>3.8854805725971372E-2</v>
      </c>
      <c r="N164" s="28">
        <f t="shared" si="35"/>
        <v>0</v>
      </c>
      <c r="O164" s="28">
        <v>1</v>
      </c>
      <c r="P164" s="28">
        <f t="shared" si="36"/>
        <v>1</v>
      </c>
      <c r="S164" s="27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7" t="s">
        <v>5396</v>
      </c>
      <c r="B165" s="20" t="s">
        <v>5319</v>
      </c>
      <c r="C165" s="21">
        <f t="shared" si="37"/>
        <v>254</v>
      </c>
      <c r="D165" s="21">
        <f t="shared" si="37"/>
        <v>20</v>
      </c>
      <c r="E165" s="21">
        <f t="shared" si="37"/>
        <v>132</v>
      </c>
      <c r="F165" s="21">
        <f t="shared" si="37"/>
        <v>491</v>
      </c>
      <c r="G165" s="21">
        <f t="shared" si="34"/>
        <v>359</v>
      </c>
      <c r="I165" s="33"/>
      <c r="J165" s="27" t="s">
        <v>5396</v>
      </c>
      <c r="K165" s="20" t="s">
        <v>5319</v>
      </c>
      <c r="L165" s="28">
        <f t="shared" si="35"/>
        <v>0.70752089136490248</v>
      </c>
      <c r="M165" s="28">
        <f t="shared" si="35"/>
        <v>5.5710306406685235E-2</v>
      </c>
      <c r="N165" s="28">
        <f t="shared" si="35"/>
        <v>0.36768802228412256</v>
      </c>
      <c r="O165" s="28">
        <v>1</v>
      </c>
      <c r="P165" s="28">
        <f t="shared" si="36"/>
        <v>0.63231197771587744</v>
      </c>
      <c r="S165" s="27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7" t="s">
        <v>5396</v>
      </c>
      <c r="B166" s="20" t="s">
        <v>5320</v>
      </c>
      <c r="C166" s="21">
        <f t="shared" si="37"/>
        <v>254</v>
      </c>
      <c r="D166" s="21">
        <f t="shared" si="37"/>
        <v>20</v>
      </c>
      <c r="E166" s="21">
        <f t="shared" si="37"/>
        <v>145</v>
      </c>
      <c r="F166" s="21">
        <f t="shared" si="37"/>
        <v>491</v>
      </c>
      <c r="G166" s="21">
        <f t="shared" si="34"/>
        <v>346</v>
      </c>
      <c r="J166" s="27" t="s">
        <v>5396</v>
      </c>
      <c r="K166" s="20" t="s">
        <v>5320</v>
      </c>
      <c r="L166" s="28">
        <f t="shared" si="35"/>
        <v>0.73410404624277459</v>
      </c>
      <c r="M166" s="28">
        <f t="shared" si="35"/>
        <v>5.7803468208092484E-2</v>
      </c>
      <c r="N166" s="28">
        <f t="shared" si="35"/>
        <v>0.41907514450867051</v>
      </c>
      <c r="O166" s="28">
        <v>1</v>
      </c>
      <c r="P166" s="28">
        <f t="shared" si="36"/>
        <v>0.58092485549132955</v>
      </c>
      <c r="S166" s="27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7" t="s">
        <v>5396</v>
      </c>
      <c r="B167" s="20" t="s">
        <v>5321</v>
      </c>
      <c r="C167" s="21">
        <f t="shared" si="37"/>
        <v>254</v>
      </c>
      <c r="D167" s="21">
        <f t="shared" si="37"/>
        <v>20</v>
      </c>
      <c r="E167" s="21">
        <f t="shared" si="37"/>
        <v>145</v>
      </c>
      <c r="F167" s="21">
        <f t="shared" si="37"/>
        <v>491</v>
      </c>
      <c r="G167" s="21">
        <f t="shared" si="34"/>
        <v>346</v>
      </c>
      <c r="J167" s="27" t="s">
        <v>5396</v>
      </c>
      <c r="K167" s="20" t="s">
        <v>5321</v>
      </c>
      <c r="L167" s="28">
        <f t="shared" si="35"/>
        <v>0.73410404624277459</v>
      </c>
      <c r="M167" s="28">
        <f t="shared" si="35"/>
        <v>5.7803468208092484E-2</v>
      </c>
      <c r="N167" s="28">
        <f t="shared" si="35"/>
        <v>0.41907514450867051</v>
      </c>
      <c r="O167" s="28">
        <v>1</v>
      </c>
      <c r="P167" s="28">
        <f t="shared" si="36"/>
        <v>0.58092485549132955</v>
      </c>
      <c r="S167" s="27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7" t="s">
        <v>5396</v>
      </c>
      <c r="B168" s="20" t="s">
        <v>5325</v>
      </c>
      <c r="C168" s="21">
        <f t="shared" si="37"/>
        <v>254</v>
      </c>
      <c r="D168" s="21">
        <f t="shared" si="37"/>
        <v>21</v>
      </c>
      <c r="E168" s="21">
        <f t="shared" si="37"/>
        <v>146</v>
      </c>
      <c r="F168" s="21">
        <f t="shared" si="37"/>
        <v>494</v>
      </c>
      <c r="G168" s="21">
        <f t="shared" si="34"/>
        <v>348</v>
      </c>
      <c r="J168" s="27" t="s">
        <v>5396</v>
      </c>
      <c r="K168" s="20" t="s">
        <v>5325</v>
      </c>
      <c r="L168" s="28">
        <f t="shared" si="35"/>
        <v>0.72988505747126442</v>
      </c>
      <c r="M168" s="28">
        <f t="shared" si="35"/>
        <v>6.0344827586206899E-2</v>
      </c>
      <c r="N168" s="28">
        <f t="shared" si="35"/>
        <v>0.41954022988505746</v>
      </c>
      <c r="O168" s="28">
        <v>1</v>
      </c>
      <c r="P168" s="28">
        <f t="shared" si="36"/>
        <v>0.58045977011494254</v>
      </c>
      <c r="S168" s="27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7" t="s">
        <v>5396</v>
      </c>
      <c r="B169" s="20" t="s">
        <v>5326</v>
      </c>
      <c r="C169" s="21">
        <f t="shared" si="37"/>
        <v>285</v>
      </c>
      <c r="D169" s="21">
        <f t="shared" si="37"/>
        <v>24</v>
      </c>
      <c r="E169" s="21">
        <f t="shared" si="37"/>
        <v>147</v>
      </c>
      <c r="F169" s="21">
        <f t="shared" si="37"/>
        <v>496</v>
      </c>
      <c r="G169" s="21">
        <f t="shared" si="34"/>
        <v>349</v>
      </c>
      <c r="J169" s="27" t="s">
        <v>5396</v>
      </c>
      <c r="K169" s="20" t="s">
        <v>5326</v>
      </c>
      <c r="L169" s="28">
        <f t="shared" si="35"/>
        <v>0.81661891117478513</v>
      </c>
      <c r="M169" s="28">
        <f t="shared" si="35"/>
        <v>6.8767908309455589E-2</v>
      </c>
      <c r="N169" s="28">
        <f t="shared" si="35"/>
        <v>0.42120343839541546</v>
      </c>
      <c r="O169" s="28">
        <v>1</v>
      </c>
      <c r="P169" s="28">
        <f t="shared" si="36"/>
        <v>0.57879656160458448</v>
      </c>
      <c r="S169" s="27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7" t="s">
        <v>5396</v>
      </c>
      <c r="B170" s="20" t="s">
        <v>5327</v>
      </c>
      <c r="C170" s="21">
        <f t="shared" si="37"/>
        <v>285</v>
      </c>
      <c r="D170" s="21">
        <f t="shared" si="37"/>
        <v>24</v>
      </c>
      <c r="E170" s="21">
        <f t="shared" si="37"/>
        <v>187</v>
      </c>
      <c r="F170" s="21">
        <f t="shared" si="37"/>
        <v>506</v>
      </c>
      <c r="G170" s="21">
        <f t="shared" si="34"/>
        <v>319</v>
      </c>
      <c r="I170" s="33"/>
      <c r="J170" s="27" t="s">
        <v>5396</v>
      </c>
      <c r="K170" s="20" t="s">
        <v>5327</v>
      </c>
      <c r="L170" s="28">
        <f t="shared" si="35"/>
        <v>0.89341692789968652</v>
      </c>
      <c r="M170" s="28">
        <f t="shared" si="35"/>
        <v>7.5235109717868343E-2</v>
      </c>
      <c r="N170" s="28">
        <f t="shared" si="35"/>
        <v>0.58620689655172409</v>
      </c>
      <c r="O170" s="28">
        <v>1</v>
      </c>
      <c r="P170" s="28">
        <f t="shared" si="36"/>
        <v>0.41379310344827591</v>
      </c>
      <c r="S170" s="27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7" t="s">
        <v>5396</v>
      </c>
      <c r="B171" s="20" t="s">
        <v>5328</v>
      </c>
      <c r="C171" s="21"/>
      <c r="D171" s="21"/>
      <c r="E171" s="21"/>
      <c r="F171" s="21"/>
      <c r="G171" s="21"/>
      <c r="J171" s="27" t="s">
        <v>5396</v>
      </c>
      <c r="K171" s="20" t="s">
        <v>5328</v>
      </c>
      <c r="L171" s="21"/>
      <c r="M171" s="21"/>
      <c r="N171" s="21"/>
      <c r="O171" s="28"/>
      <c r="P171" s="28"/>
      <c r="S171" s="27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K1:O58"/>
  <sheetViews>
    <sheetView zoomScale="120" zoomScaleNormal="120" workbookViewId="0"/>
  </sheetViews>
  <sheetFormatPr baseColWidth="10" defaultRowHeight="13"/>
  <sheetData>
    <row r="1" spans="11:15">
      <c r="K1" s="32"/>
      <c r="N1" s="40"/>
      <c r="O1" s="40"/>
    </row>
    <row r="51" spans="11:11">
      <c r="K51" s="40"/>
    </row>
    <row r="52" spans="11:11">
      <c r="K52" s="40"/>
    </row>
    <row r="53" spans="11:11">
      <c r="K53" s="40"/>
    </row>
    <row r="54" spans="11:11">
      <c r="K54" s="40"/>
    </row>
    <row r="55" spans="11:11">
      <c r="K55" s="40"/>
    </row>
    <row r="56" spans="11:11">
      <c r="K56" s="40"/>
    </row>
    <row r="57" spans="11:11">
      <c r="K57" s="40"/>
    </row>
    <row r="58" spans="11:11">
      <c r="K58" s="40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2695312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26953125" style="16" customWidth="1"/>
    <col min="13" max="13" width="10.54296875" style="16" customWidth="1"/>
    <col min="14" max="14" width="11" style="16" customWidth="1"/>
    <col min="15" max="16" width="7.81640625" style="29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5" customFormat="1" ht="27.65" customHeight="1">
      <c r="A1" s="34" t="s">
        <v>5399</v>
      </c>
      <c r="B1" s="34"/>
      <c r="J1" s="34" t="s">
        <v>5398</v>
      </c>
      <c r="K1" s="34"/>
      <c r="O1" s="36"/>
      <c r="P1" s="36"/>
      <c r="S1" s="34" t="s">
        <v>5397</v>
      </c>
      <c r="T1" s="34"/>
      <c r="W1" s="39"/>
    </row>
    <row r="2" spans="1:27">
      <c r="A2" s="56" t="s">
        <v>5394</v>
      </c>
      <c r="B2" s="57"/>
      <c r="J2" s="56" t="s">
        <v>5394</v>
      </c>
      <c r="K2" s="57"/>
      <c r="S2" s="56" t="s">
        <v>5394</v>
      </c>
      <c r="T2" s="5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30" t="s">
        <v>5324</v>
      </c>
      <c r="P3" s="30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COUNTIFS(E_Suivi_Eans!$C:$C,"01/2022",E_Suivi_Eans!$D:$D,"Taxes Boissons",E_Suivi_Eans!$J:$J,"Retour OK",E_Suivi_Eans!$K:$K,"&gt;31/12/2021",E_Suivi_Eans!K:K,"&lt;01/02/2022")</f>
        <v>0</v>
      </c>
      <c r="D4" s="21">
        <f>COUNTIFS(E_Suivi_Eans!$C:$C,"01/2022",E_Suivi_Eans!$D:$D,"Taxes Boissons",E_Suivi_Eans!$J:$J,"Rejet 0",E_Suivi_Eans!$K:$K,"&gt;31/12/2021",E_Suivi_Eans!$K:$K,"&lt;01/02/2022")+ COUNTIFS(E_Suivi_Eans!$C:$C,"01/2022",E_Suivi_Eans!$D:$D,"Taxes Boissons",E_Suivi_Eans!$J:$J,"Rejet 1",E_Suivi_Eans!$K:$K,"&gt;31/12/2021",E_Suivi_Eans!$K:$K,"&lt;01/02/2022")+COUNTIFS(E_Suivi_Eans!$C:$C,"01/2022",E_Suivi_Eans!$D:$D,"Taxes Boissons",E_Suivi_Eans!$J:$J,"Rejet 2",E_Suivi_Eans!$K:$K,"&gt;31/12/2021",E_Suivi_Eans!$K:$K,"&lt;01/02/2022")+COUNTIFS(E_Suivi_Eans!$C:$C,"01/2022",E_Suivi_Eans!$D:$D,"Taxes Boissons",E_Suivi_Eans!$J:$J,"Rejet 3",E_Suivi_Eans!$K:$K,"&gt;31/12/2021",E_Suivi_Eans!$K:$K,"&lt;01/02/2022")+ COUNTIFS(E_Suivi_Eans!$C:$C,"01/2022",E_Suivi_Eans!$D:$D,"Taxes Boissons",E_Suivi_Eans!$J:$J,"Rejet 4",E_Suivi_Eans!$K:$K,"&gt;31/12/2021",E_Suivi_Eans!$K:$K,"&lt;01/02/2022")+COUNTIFS(E_Suivi_Eans!$C:$C,"01/2022",E_Suivi_Eans!$D:$D,"Taxes Boissons",E_Suivi_Eans!$J:$J,"Relance 1",E_Suivi_Eans!$K:$K,"&gt;31/12/2021",E_Suivi_Eans!$K:$K,"&lt;01/02/2022")+COUNTIFS(E_Suivi_Eans!$C:$C,"01/2022",E_Suivi_Eans!$D:$D,"Taxes Boissons",E_Suivi_Eans!$J:$J,"Relance 2",E_Suivi_Eans!$K:$K,"&gt;31/12/2021",E_Suivi_Eans!$K:$K,"&lt;01/02/2022")+COUNTIFS(E_Suivi_Eans!$C:$C,"01/2022",E_Suivi_Eans!$D:$D,"Taxes Boissons",E_Suivi_Eans!$J:$J,"Relance 3",E_Suivi_Eans!$K:$K,"&gt;31/12/2021",E_Suivi_Eans!$K:$K,"&lt;01/02/2022")</f>
        <v>0</v>
      </c>
      <c r="E4" s="21">
        <f>COUNTIFS(E_Suivi_Eans!$C:$C,"01/2022",E_Suivi_Eans!$D:$D,"Taxes Boissons",E_Suivi_Eans!$J:$J,"Abandon",E_Suivi_Eans!$K:$K,"&gt;31/12/2021",E_Suivi_Eans!K:K,"&lt;01/02/2022")</f>
        <v>0</v>
      </c>
      <c r="F4" s="21">
        <f>COUNTIFS(E_Suivi_Eans!$C:$C,"01/2022",E_Suivi_Eans!$D:$D,"Taxes Boissons")</f>
        <v>0</v>
      </c>
      <c r="G4" s="21">
        <f>F4-E4</f>
        <v>0</v>
      </c>
      <c r="J4" s="20" t="s">
        <v>5314</v>
      </c>
      <c r="K4" s="20" t="s">
        <v>5314</v>
      </c>
      <c r="L4" s="28" t="e">
        <f>C4/$G4</f>
        <v>#DIV/0!</v>
      </c>
      <c r="M4" s="28" t="e">
        <f t="shared" ref="M4:N14" si="0">D4/$G4</f>
        <v>#DIV/0!</v>
      </c>
      <c r="N4" s="28" t="e">
        <f t="shared" si="0"/>
        <v>#DIV/0!</v>
      </c>
      <c r="O4" s="28">
        <v>1</v>
      </c>
      <c r="P4" s="28" t="e">
        <f>O4-N4</f>
        <v>#DIV/0!</v>
      </c>
      <c r="S4" s="20" t="s">
        <v>5314</v>
      </c>
      <c r="T4" s="20" t="s">
        <v>5314</v>
      </c>
      <c r="U4" s="38"/>
      <c r="V4" s="21"/>
      <c r="W4" s="21"/>
      <c r="X4" s="38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COUNTIFS(E_Suivi_Eans!$C:$C,"01/2022",E_Suivi_Eans!$D:$D,"Taxes Boissons",E_Suivi_Eans!$J:$J,"Retour OK",E_Suivi_Eans!$K:$K,"&gt;31/12/2021",E_Suivi_Eans!$K:$K,"&lt;01/03/2022")</f>
        <v>0</v>
      </c>
      <c r="D5" s="21">
        <f>COUNTIFS(E_Suivi_Eans!$C:$C,"01/2022",E_Suivi_Eans!$D:$D,"Taxes Boissons",E_Suivi_Eans!$J:$J,"Rejet 0",E_Suivi_Eans!$K:$K,"&gt;31/12/2021",E_Suivi_Eans!$K:$K,"&lt;01/03/2022")+ COUNTIFS(E_Suivi_Eans!$C:$C,"01/2022",E_Suivi_Eans!$D:$D,"Taxes Boissons",E_Suivi_Eans!$J:$J,"Rejet 1",E_Suivi_Eans!$K:$K,"&gt;31/12/2021",E_Suivi_Eans!$K:$K,"&lt;01/03/2022")+COUNTIFS(E_Suivi_Eans!$C:$C,"01/2022",E_Suivi_Eans!$D:$D,"Taxes Boissons",E_Suivi_Eans!$J:$J,"Rejet 2",E_Suivi_Eans!$K:$K,"&gt;31/12/2021",E_Suivi_Eans!$K:$K,"&lt;01/03/2022")+COUNTIFS(E_Suivi_Eans!$C:$C,"01/2022",E_Suivi_Eans!$D:$D,"Taxes Boissons",E_Suivi_Eans!$J:$J,"Rejet 3",E_Suivi_Eans!$K:$K,"&gt;31/12/2021",E_Suivi_Eans!$K:$K,"&lt;01/03/2022")+ COUNTIFS(E_Suivi_Eans!$C:$C,"01/2022",E_Suivi_Eans!$D:$D,"Taxes Boissons",E_Suivi_Eans!$J:$J,"Rejet 4",E_Suivi_Eans!$K:$K,"&gt;31/12/2021",E_Suivi_Eans!$K:$K,"&lt;01/03/2022")+COUNTIFS(E_Suivi_Eans!$C:$C,"01/2022",E_Suivi_Eans!$D:$D,"Taxes Boissons",E_Suivi_Eans!$J:$J,"Relance 1",E_Suivi_Eans!$K:$K,"&gt;31/12/2021",E_Suivi_Eans!$K:$K,"&lt;01/03/2022")+COUNTIFS(E_Suivi_Eans!$C:$C,"01/2022",E_Suivi_Eans!$D:$D,"Taxes Boissons",E_Suivi_Eans!$J:$J,"Relance 2",E_Suivi_Eans!$K:$K,"&gt;31/12/2021",E_Suivi_Eans!$K:$K,"&lt;01/03/2022")+COUNTIFS(E_Suivi_Eans!$C:$C,"01/2022",E_Suivi_Eans!$D:$D,"Taxes Boissons",E_Suivi_Eans!$J:$J,"Relance 3",E_Suivi_Eans!$K:$K,"&gt;31/12/2021",E_Suivi_Eans!$K:$K,"&lt;01/03/2022")</f>
        <v>0</v>
      </c>
      <c r="E5" s="21">
        <f>COUNTIFS(E_Suivi_Eans!$C:$C,"01/2022",E_Suivi_Eans!$D:$D,"Taxes Boissons",E_Suivi_Eans!$J:$J,"Abandon",E_Suivi_Eans!$K:$K,"&gt;31/12/2021",E_Suivi_Eans!K:K,"&lt;01/03/2022")</f>
        <v>0</v>
      </c>
      <c r="F5" s="21">
        <f>COUNTIFS(E_Suivi_Eans!$C:$C,"01/2022",E_Suivi_Eans!$D:$D,"Taxes Boissons")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8" t="e">
        <f t="shared" ref="L5:L14" si="2">C5/$G5</f>
        <v>#DIV/0!</v>
      </c>
      <c r="M5" s="28" t="e">
        <f t="shared" si="0"/>
        <v>#DIV/0!</v>
      </c>
      <c r="N5" s="28" t="e">
        <f t="shared" si="0"/>
        <v>#DIV/0!</v>
      </c>
      <c r="O5" s="28">
        <v>1</v>
      </c>
      <c r="P5" s="28" t="e">
        <f t="shared" ref="P5:P14" si="3">O5-N5</f>
        <v>#DIV/0!</v>
      </c>
      <c r="S5" s="20" t="s">
        <v>5314</v>
      </c>
      <c r="T5" s="20" t="s">
        <v>5315</v>
      </c>
      <c r="U5" s="38"/>
      <c r="V5" s="21"/>
      <c r="W5" s="21"/>
      <c r="X5" s="38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COUNTIFS(E_Suivi_Eans!$C:$C,"01/2022",E_Suivi_Eans!$D:$D,"Taxes Boissons",E_Suivi_Eans!$J:$J,"Retour OK",E_Suivi_Eans!$K:$K,"&gt;31/12/2021",E_Suivi_Eans!$K:$K,"&lt;01/04/2022")</f>
        <v>0</v>
      </c>
      <c r="D6" s="21">
        <f>COUNTIFS(E_Suivi_Eans!$C:$C,"01/2022",E_Suivi_Eans!$D:$D,"Taxes Boissons",E_Suivi_Eans!$J:$J,"Rejet 0",E_Suivi_Eans!$K:$K,"&gt;31/12/2021",E_Suivi_Eans!$K:$K,"&lt;01/04/2022")+ COUNTIFS(E_Suivi_Eans!$C:$C,"01/2022",E_Suivi_Eans!$D:$D,"Taxes Boissons",E_Suivi_Eans!$J:$J,"Rejet 1",E_Suivi_Eans!$K:$K,"&gt;31/12/2021",E_Suivi_Eans!$K:$K,"&lt;01/04/2022")+COUNTIFS(E_Suivi_Eans!$C:$C,"01/2022",E_Suivi_Eans!$D:$D,"Taxes Boissons",E_Suivi_Eans!$J:$J,"Rejet 2",E_Suivi_Eans!$K:$K,"&gt;31/12/2021",E_Suivi_Eans!$K:$K,"&lt;01/04/2022")+COUNTIFS(E_Suivi_Eans!$C:$C,"01/2022",E_Suivi_Eans!$D:$D,"Taxes Boissons",E_Suivi_Eans!$J:$J,"Rejet 3",E_Suivi_Eans!$K:$K,"&gt;31/12/2021",E_Suivi_Eans!$K:$K,"&lt;01/04/2022")+ COUNTIFS(E_Suivi_Eans!$C:$C,"01/2022",E_Suivi_Eans!$D:$D,"Taxes Boissons",E_Suivi_Eans!$J:$J,"Rejet 4",E_Suivi_Eans!$K:$K,"&gt;31/12/2021",E_Suivi_Eans!$K:$K,"&lt;01/04/2022")+COUNTIFS(E_Suivi_Eans!$C:$C,"01/2022",E_Suivi_Eans!$D:$D,"Taxes Boissons",E_Suivi_Eans!$J:$J,"Relance 1",E_Suivi_Eans!$K:$K,"&gt;31/12/2021",E_Suivi_Eans!$K:$K,"&lt;01/04/2022")+COUNTIFS(E_Suivi_Eans!$C:$C,"01/2022",E_Suivi_Eans!$D:$D,"Taxes Boissons",E_Suivi_Eans!$J:$J,"Relance 2",E_Suivi_Eans!$K:$K,"&gt;31/12/2021",E_Suivi_Eans!$K:$K,"&lt;01/04/2022")+COUNTIFS(E_Suivi_Eans!$C:$C,"01/2022",E_Suivi_Eans!$D:$D,"Taxes Boissons",E_Suivi_Eans!$J:$J,"Relance 3",E_Suivi_Eans!$K:$K,"&gt;31/12/2021",E_Suivi_Eans!$K:$K,"&lt;01/04/2022")</f>
        <v>0</v>
      </c>
      <c r="E6" s="21">
        <f>COUNTIFS(E_Suivi_Eans!$C:$C,"01/2022",E_Suivi_Eans!$D:$D,"Taxes Boissons",E_Suivi_Eans!$J:$J,"Abandon",E_Suivi_Eans!$K:$K,"&gt;31/12/2021",E_Suivi_Eans!K:K,"&lt;01/04/2022")</f>
        <v>0</v>
      </c>
      <c r="F6" s="21">
        <f>COUNTIFS(E_Suivi_Eans!$C:$C,"01/2022",E_Suivi_Eans!$D:$D,"Taxes Boissons")</f>
        <v>0</v>
      </c>
      <c r="G6" s="21">
        <f t="shared" si="1"/>
        <v>0</v>
      </c>
      <c r="J6" s="20" t="s">
        <v>5314</v>
      </c>
      <c r="K6" s="20" t="s">
        <v>5316</v>
      </c>
      <c r="L6" s="28" t="e">
        <f t="shared" si="2"/>
        <v>#DIV/0!</v>
      </c>
      <c r="M6" s="28" t="e">
        <f t="shared" si="0"/>
        <v>#DIV/0!</v>
      </c>
      <c r="N6" s="28" t="e">
        <f t="shared" si="0"/>
        <v>#DIV/0!</v>
      </c>
      <c r="O6" s="28">
        <v>1</v>
      </c>
      <c r="P6" s="28" t="e">
        <f t="shared" si="3"/>
        <v>#DIV/0!</v>
      </c>
      <c r="S6" s="20" t="s">
        <v>5314</v>
      </c>
      <c r="T6" s="20" t="s">
        <v>5316</v>
      </c>
      <c r="U6" s="38"/>
      <c r="V6" s="21"/>
      <c r="W6" s="21"/>
      <c r="X6" s="38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COUNTIFS(E_Suivi_Eans!$C:$C,"01/2022",E_Suivi_Eans!$D:$D,"Taxes Boissons",E_Suivi_Eans!$J:$J,"Retour OK",E_Suivi_Eans!$K:$K,"&gt;31/12/2021",E_Suivi_Eans!$K:$K,"&lt;01/05/2022")</f>
        <v>0</v>
      </c>
      <c r="D7" s="21">
        <f>COUNTIFS(E_Suivi_Eans!$C:$C,"01/2022",E_Suivi_Eans!$D:$D,"Taxes Boissons",E_Suivi_Eans!$J:$J,"Rejet 0",E_Suivi_Eans!$K:$K,"&gt;31/12/2021",E_Suivi_Eans!$K:$K,"&lt;01/05/2022")+ COUNTIFS(E_Suivi_Eans!$C:$C,"01/2022",E_Suivi_Eans!$D:$D,"Taxes Boissons",E_Suivi_Eans!$J:$J,"Rejet 1",E_Suivi_Eans!$K:$K,"&gt;31/12/2021",E_Suivi_Eans!$K:$K,"&lt;01/05/2022")+COUNTIFS(E_Suivi_Eans!$C:$C,"01/2022",E_Suivi_Eans!$D:$D,"Taxes Boissons",E_Suivi_Eans!$J:$J,"Rejet 2",E_Suivi_Eans!$K:$K,"&gt;31/12/2021",E_Suivi_Eans!$K:$K,"&lt;01/05/2022")+COUNTIFS(E_Suivi_Eans!$C:$C,"01/2022",E_Suivi_Eans!$D:$D,"Taxes Boissons",E_Suivi_Eans!$J:$J,"Rejet 3",E_Suivi_Eans!$K:$K,"&gt;31/12/2021",E_Suivi_Eans!$K:$K,"&lt;01/05/2022")+ COUNTIFS(E_Suivi_Eans!$C:$C,"01/2022",E_Suivi_Eans!$D:$D,"Taxes Boissons",E_Suivi_Eans!$J:$J,"Rejet 4",E_Suivi_Eans!$K:$K,"&gt;31/12/2021",E_Suivi_Eans!$K:$K,"&lt;01/05/2022")+COUNTIFS(E_Suivi_Eans!$C:$C,"01/2022",E_Suivi_Eans!$D:$D,"Taxes Boissons",E_Suivi_Eans!$J:$J,"Relance 1",E_Suivi_Eans!$K:$K,"&gt;31/12/2021",E_Suivi_Eans!$K:$K,"&lt;01/05/2022")+COUNTIFS(E_Suivi_Eans!$C:$C,"01/2022",E_Suivi_Eans!$D:$D,"Taxes Boissons",E_Suivi_Eans!$J:$J,"Relance 2",E_Suivi_Eans!$K:$K,"&gt;31/12/2021",E_Suivi_Eans!$K:$K,"&lt;01/05/2022")+COUNTIFS(E_Suivi_Eans!$C:$C,"01/2022",E_Suivi_Eans!$D:$D,"Taxes Boissons",E_Suivi_Eans!$J:$J,"Relance 3",E_Suivi_Eans!$K:$K,"&gt;31/12/2021",E_Suivi_Eans!$K:$K,"&lt;01/05/2022")</f>
        <v>0</v>
      </c>
      <c r="E7" s="21">
        <f>COUNTIFS(E_Suivi_Eans!$C:$C,"01/2022",E_Suivi_Eans!$D:$D,"Taxes Boissons",E_Suivi_Eans!$J:$J,"Abandon",E_Suivi_Eans!$K:$K,"&gt;31/12/2021",E_Suivi_Eans!K:K,"&lt;01/05/2022")</f>
        <v>0</v>
      </c>
      <c r="F7" s="21">
        <f>COUNTIFS(E_Suivi_Eans!$C:$C,"01/2022",E_Suivi_Eans!$D:$D,"Taxes Boissons")</f>
        <v>0</v>
      </c>
      <c r="G7" s="21">
        <f t="shared" si="1"/>
        <v>0</v>
      </c>
      <c r="J7" s="20" t="s">
        <v>5314</v>
      </c>
      <c r="K7" s="20" t="s">
        <v>5317</v>
      </c>
      <c r="L7" s="28" t="e">
        <f t="shared" si="2"/>
        <v>#DIV/0!</v>
      </c>
      <c r="M7" s="28" t="e">
        <f t="shared" si="0"/>
        <v>#DIV/0!</v>
      </c>
      <c r="N7" s="28" t="e">
        <f t="shared" si="0"/>
        <v>#DIV/0!</v>
      </c>
      <c r="O7" s="28">
        <v>1</v>
      </c>
      <c r="P7" s="28" t="e">
        <f t="shared" si="3"/>
        <v>#DIV/0!</v>
      </c>
      <c r="S7" s="20" t="s">
        <v>5314</v>
      </c>
      <c r="T7" s="20" t="s">
        <v>5317</v>
      </c>
      <c r="U7" s="38"/>
      <c r="V7" s="21"/>
      <c r="W7" s="21"/>
      <c r="X7" s="38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COUNTIFS(E_Suivi_Eans!$C:$C,"01/2022",E_Suivi_Eans!$D:$D,"Taxes Boissons",E_Suivi_Eans!$J:$J,"Retour OK",E_Suivi_Eans!$K:$K,"&gt;31/12/2021",E_Suivi_Eans!$K:$K,"&lt;01/06/2022")</f>
        <v>0</v>
      </c>
      <c r="D8" s="21">
        <f>COUNTIFS(E_Suivi_Eans!$C:$C,"01/2022",E_Suivi_Eans!$D:$D,"Taxes Boissons",E_Suivi_Eans!$J:$J,"Rejet 0",E_Suivi_Eans!$K:$K,"&gt;31/12/2021",E_Suivi_Eans!$K:$K,"&lt;01/06/2022")+ COUNTIFS(E_Suivi_Eans!$C:$C,"01/2022",E_Suivi_Eans!$D:$D,"Taxes Boissons",E_Suivi_Eans!$J:$J,"Rejet 1",E_Suivi_Eans!$K:$K,"&gt;31/12/2021",E_Suivi_Eans!$K:$K,"&lt;01/06/2022")+COUNTIFS(E_Suivi_Eans!$C:$C,"01/2022",E_Suivi_Eans!$D:$D,"Taxes Boissons",E_Suivi_Eans!$J:$J,"Rejet 2",E_Suivi_Eans!$K:$K,"&gt;31/12/2021",E_Suivi_Eans!$K:$K,"&lt;01/06/2022")+COUNTIFS(E_Suivi_Eans!$C:$C,"01/2022",E_Suivi_Eans!$D:$D,"Taxes Boissons",E_Suivi_Eans!$J:$J,"Rejet 3",E_Suivi_Eans!$K:$K,"&gt;31/12/2021",E_Suivi_Eans!$K:$K,"&lt;01/06/2022")+ COUNTIFS(E_Suivi_Eans!$C:$C,"01/2022",E_Suivi_Eans!$D:$D,"Taxes Boissons",E_Suivi_Eans!$J:$J,"Rejet 4",E_Suivi_Eans!$K:$K,"&gt;31/12/2021",E_Suivi_Eans!$K:$K,"&lt;01/06/2022")+COUNTIFS(E_Suivi_Eans!$C:$C,"01/2022",E_Suivi_Eans!$D:$D,"Taxes Boissons",E_Suivi_Eans!$J:$J,"Relance 1",E_Suivi_Eans!$K:$K,"&gt;31/12/2021",E_Suivi_Eans!$K:$K,"&lt;01/06/2022")+COUNTIFS(E_Suivi_Eans!$C:$C,"01/2022",E_Suivi_Eans!$D:$D,"Taxes Boissons",E_Suivi_Eans!$J:$J,"Relance 2",E_Suivi_Eans!$K:$K,"&gt;31/12/2021",E_Suivi_Eans!$K:$K,"&lt;01/06/2022")+COUNTIFS(E_Suivi_Eans!$C:$C,"01/2022",E_Suivi_Eans!$D:$D,"Taxes Boissons",E_Suivi_Eans!$J:$J,"Relance 3",E_Suivi_Eans!$K:$K,"&gt;31/12/2021",E_Suivi_Eans!$K:$K,"&lt;01/06/2022")</f>
        <v>0</v>
      </c>
      <c r="E8" s="21">
        <f>COUNTIFS(E_Suivi_Eans!$C:$C,"01/2022",E_Suivi_Eans!$D:$D,"Taxes Boissons",E_Suivi_Eans!$J:$J,"Abandon",E_Suivi_Eans!$K:$K,"&gt;31/12/2021",E_Suivi_Eans!K:K,"&lt;01/06/2022")</f>
        <v>0</v>
      </c>
      <c r="F8" s="21">
        <f>COUNTIFS(E_Suivi_Eans!$C:$C,"01/2022",E_Suivi_Eans!$D:$D,"Taxes Boissons")</f>
        <v>0</v>
      </c>
      <c r="G8" s="21">
        <f t="shared" si="1"/>
        <v>0</v>
      </c>
      <c r="J8" s="20" t="s">
        <v>5314</v>
      </c>
      <c r="K8" s="20" t="s">
        <v>5318</v>
      </c>
      <c r="L8" s="28" t="e">
        <f t="shared" si="2"/>
        <v>#DIV/0!</v>
      </c>
      <c r="M8" s="28" t="e">
        <f t="shared" si="0"/>
        <v>#DIV/0!</v>
      </c>
      <c r="N8" s="28" t="e">
        <f t="shared" si="0"/>
        <v>#DIV/0!</v>
      </c>
      <c r="O8" s="28">
        <v>1</v>
      </c>
      <c r="P8" s="28" t="e">
        <f t="shared" si="3"/>
        <v>#DIV/0!</v>
      </c>
      <c r="S8" s="20" t="s">
        <v>5314</v>
      </c>
      <c r="T8" s="20" t="s">
        <v>5318</v>
      </c>
      <c r="U8" s="38"/>
      <c r="V8" s="21"/>
      <c r="W8" s="21"/>
      <c r="X8" s="38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COUNTIFS(E_Suivi_Eans!$C:$C,"01/2022",E_Suivi_Eans!$D:$D,"Taxes Boissons",E_Suivi_Eans!$J:$J,"Retour OK",E_Suivi_Eans!$K:$K,"&gt;31/12/2021",E_Suivi_Eans!$K:$K,"&lt;01/07/2022")</f>
        <v>0</v>
      </c>
      <c r="D9" s="21">
        <f>COUNTIFS(E_Suivi_Eans!$C:$C,"01/2022",E_Suivi_Eans!$D:$D,"Taxes Boissons",E_Suivi_Eans!$J:$J,"Rejet 0",E_Suivi_Eans!$K:$K,"&gt;31/12/2021",E_Suivi_Eans!$K:$K,"&lt;01/07/2022")+ COUNTIFS(E_Suivi_Eans!$C:$C,"01/2022",E_Suivi_Eans!$D:$D,"Taxes Boissons",E_Suivi_Eans!$J:$J,"Rejet 1",E_Suivi_Eans!$K:$K,"&gt;31/12/2021",E_Suivi_Eans!$K:$K,"&lt;01/07/2022")+COUNTIFS(E_Suivi_Eans!$C:$C,"01/2022",E_Suivi_Eans!$D:$D,"Taxes Boissons",E_Suivi_Eans!$J:$J,"Rejet 2",E_Suivi_Eans!$K:$K,"&gt;31/12/2021",E_Suivi_Eans!$K:$K,"&lt;01/07/2022")+COUNTIFS(E_Suivi_Eans!$C:$C,"01/2022",E_Suivi_Eans!$D:$D,"Taxes Boissons",E_Suivi_Eans!$J:$J,"Rejet 3",E_Suivi_Eans!$K:$K,"&gt;31/12/2021",E_Suivi_Eans!$K:$K,"&lt;01/07/2022")+ COUNTIFS(E_Suivi_Eans!$C:$C,"01/2022",E_Suivi_Eans!$D:$D,"Taxes Boissons",E_Suivi_Eans!$J:$J,"Rejet 4",E_Suivi_Eans!$K:$K,"&gt;31/12/2021",E_Suivi_Eans!$K:$K,"&lt;01/07/2022")+COUNTIFS(E_Suivi_Eans!$C:$C,"01/2022",E_Suivi_Eans!$D:$D,"Taxes Boissons",E_Suivi_Eans!$J:$J,"Relance 1",E_Suivi_Eans!$K:$K,"&gt;31/12/2021",E_Suivi_Eans!$K:$K,"&lt;01/07/2022")+COUNTIFS(E_Suivi_Eans!$C:$C,"01/2022",E_Suivi_Eans!$D:$D,"Taxes Boissons",E_Suivi_Eans!$J:$J,"Relance 2",E_Suivi_Eans!$K:$K,"&gt;31/12/2021",E_Suivi_Eans!$K:$K,"&lt;01/07/2022")+COUNTIFS(E_Suivi_Eans!$C:$C,"01/2022",E_Suivi_Eans!$D:$D,"Taxes Boissons",E_Suivi_Eans!$J:$J,"Relance 3",E_Suivi_Eans!$K:$K,"&gt;31/12/2021",E_Suivi_Eans!$K:$K,"&lt;01/07/2022")</f>
        <v>0</v>
      </c>
      <c r="E9" s="21">
        <f>COUNTIFS(E_Suivi_Eans!$C:$C,"01/2022",E_Suivi_Eans!$D:$D,"Taxes Boissons",E_Suivi_Eans!$J:$J,"Abandon",E_Suivi_Eans!$K:$K,"&gt;31/12/2021",E_Suivi_Eans!K:K,"&lt;01/07/2022")</f>
        <v>0</v>
      </c>
      <c r="F9" s="21">
        <f>COUNTIFS(E_Suivi_Eans!$C:$C,"01/2022",E_Suivi_Eans!$D:$D,"Taxes Boissons")</f>
        <v>0</v>
      </c>
      <c r="G9" s="21">
        <f t="shared" si="1"/>
        <v>0</v>
      </c>
      <c r="J9" s="20" t="s">
        <v>5314</v>
      </c>
      <c r="K9" s="20" t="s">
        <v>5319</v>
      </c>
      <c r="L9" s="28" t="e">
        <f t="shared" si="2"/>
        <v>#DIV/0!</v>
      </c>
      <c r="M9" s="28" t="e">
        <f t="shared" si="0"/>
        <v>#DIV/0!</v>
      </c>
      <c r="N9" s="28" t="e">
        <f t="shared" si="0"/>
        <v>#DIV/0!</v>
      </c>
      <c r="O9" s="28">
        <v>1</v>
      </c>
      <c r="P9" s="28" t="e">
        <f t="shared" si="3"/>
        <v>#DIV/0!</v>
      </c>
      <c r="S9" s="20" t="s">
        <v>5314</v>
      </c>
      <c r="T9" s="20" t="s">
        <v>5319</v>
      </c>
      <c r="U9" s="38"/>
      <c r="V9" s="21"/>
      <c r="W9" s="21"/>
      <c r="X9" s="38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COUNTIFS(E_Suivi_Eans!$C:$C,"01/2022",E_Suivi_Eans!$D:$D,"Taxes Boissons",E_Suivi_Eans!$J:$J,"Retour OK",E_Suivi_Eans!$K:$K,"&gt;31/12/2021",E_Suivi_Eans!$K:$K,"&lt;01/08/2022")</f>
        <v>0</v>
      </c>
      <c r="D10" s="21">
        <f>COUNTIFS(E_Suivi_Eans!$C:$C,"01/2022",E_Suivi_Eans!$D:$D,"Taxes Boissons",E_Suivi_Eans!$J:$J,"Rejet 0",E_Suivi_Eans!$K:$K,"&gt;31/12/2021",E_Suivi_Eans!$K:$K,"&lt;01/08/2022")+ COUNTIFS(E_Suivi_Eans!$C:$C,"01/2022",E_Suivi_Eans!$D:$D,"Taxes Boissons",E_Suivi_Eans!$J:$J,"Rejet 1",E_Suivi_Eans!$K:$K,"&gt;31/12/2021",E_Suivi_Eans!$K:$K,"&lt;01/08/2022")+COUNTIFS(E_Suivi_Eans!$C:$C,"01/2022",E_Suivi_Eans!$D:$D,"Taxes Boissons",E_Suivi_Eans!$J:$J,"Rejet 2",E_Suivi_Eans!$K:$K,"&gt;31/12/2021",E_Suivi_Eans!$K:$K,"&lt;01/08/2022")+COUNTIFS(E_Suivi_Eans!$C:$C,"01/2022",E_Suivi_Eans!$D:$D,"Taxes Boissons",E_Suivi_Eans!$J:$J,"Rejet 3",E_Suivi_Eans!$K:$K,"&gt;31/12/2021",E_Suivi_Eans!$K:$K,"&lt;01/08/2022")+ COUNTIFS(E_Suivi_Eans!$C:$C,"01/2022",E_Suivi_Eans!$D:$D,"Taxes Boissons",E_Suivi_Eans!$J:$J,"Rejet 4",E_Suivi_Eans!$K:$K,"&gt;31/12/2021",E_Suivi_Eans!$K:$K,"&lt;01/08/2022")+COUNTIFS(E_Suivi_Eans!$C:$C,"01/2022",E_Suivi_Eans!$D:$D,"Taxes Boissons",E_Suivi_Eans!$J:$J,"Relance 1",E_Suivi_Eans!$K:$K,"&gt;31/12/2021",E_Suivi_Eans!$K:$K,"&lt;01/08/2022")+COUNTIFS(E_Suivi_Eans!$C:$C,"01/2022",E_Suivi_Eans!$D:$D,"Taxes Boissons",E_Suivi_Eans!$J:$J,"Relance 2",E_Suivi_Eans!$K:$K,"&gt;31/12/2021",E_Suivi_Eans!$K:$K,"&lt;01/08/2022")+COUNTIFS(E_Suivi_Eans!$C:$C,"01/2022",E_Suivi_Eans!$D:$D,"Taxes Boissons",E_Suivi_Eans!$J:$J,"Relance 3",E_Suivi_Eans!$K:$K,"&gt;31/12/2021",E_Suivi_Eans!$K:$K,"&lt;01/08/2022")</f>
        <v>0</v>
      </c>
      <c r="E10" s="21">
        <f>COUNTIFS(E_Suivi_Eans!$C:$C,"01/2022",E_Suivi_Eans!$D:$D,"Taxes Boissons",E_Suivi_Eans!$J:$J,"Abandon",E_Suivi_Eans!$K:$K,"&gt;31/12/2021",E_Suivi_Eans!K:K,"&lt;01/08/2022")</f>
        <v>0</v>
      </c>
      <c r="F10" s="21">
        <f>COUNTIFS(E_Suivi_Eans!$C:$C,"01/2022",E_Suivi_Eans!$D:$D,"Taxes Boissons")</f>
        <v>0</v>
      </c>
      <c r="G10" s="21">
        <f t="shared" si="1"/>
        <v>0</v>
      </c>
      <c r="J10" s="20" t="s">
        <v>5314</v>
      </c>
      <c r="K10" s="20" t="s">
        <v>5320</v>
      </c>
      <c r="L10" s="28" t="e">
        <f t="shared" si="2"/>
        <v>#DIV/0!</v>
      </c>
      <c r="M10" s="28" t="e">
        <f t="shared" si="0"/>
        <v>#DIV/0!</v>
      </c>
      <c r="N10" s="28" t="e">
        <f t="shared" si="0"/>
        <v>#DIV/0!</v>
      </c>
      <c r="O10" s="28">
        <v>1</v>
      </c>
      <c r="P10" s="28" t="e">
        <f t="shared" si="3"/>
        <v>#DIV/0!</v>
      </c>
      <c r="S10" s="20" t="s">
        <v>5314</v>
      </c>
      <c r="T10" s="20" t="s">
        <v>5320</v>
      </c>
      <c r="U10" s="38"/>
      <c r="V10" s="21"/>
      <c r="W10" s="21"/>
      <c r="X10" s="38"/>
      <c r="Y10" s="21"/>
      <c r="AA10" s="37"/>
    </row>
    <row r="11" spans="1:27">
      <c r="A11" s="20" t="s">
        <v>5314</v>
      </c>
      <c r="B11" s="20" t="s">
        <v>5321</v>
      </c>
      <c r="C11" s="21">
        <f>COUNTIFS(E_Suivi_Eans!$C:$C,"01/2022",E_Suivi_Eans!$D:$D,"Taxes Boissons",E_Suivi_Eans!$J:$J,"Retour OK",E_Suivi_Eans!$K:$K,"&gt;31/12/2021",E_Suivi_Eans!$K:$K,"&lt;01/09/2022")</f>
        <v>0</v>
      </c>
      <c r="D11" s="21">
        <f>COUNTIFS(E_Suivi_Eans!$C:$C,"01/2022",E_Suivi_Eans!$D:$D,"Taxes Boissons",E_Suivi_Eans!$J:$J,"Rejet 0",E_Suivi_Eans!$K:$K,"&gt;31/12/2021",E_Suivi_Eans!$K:$K,"&lt;01/09/2022")+ COUNTIFS(E_Suivi_Eans!$C:$C,"01/2022",E_Suivi_Eans!$D:$D,"Taxes Boissons",E_Suivi_Eans!$J:$J,"Rejet 1",E_Suivi_Eans!$K:$K,"&gt;31/12/2021",E_Suivi_Eans!$K:$K,"&lt;01/09/2022")+COUNTIFS(E_Suivi_Eans!$C:$C,"01/2022",E_Suivi_Eans!$D:$D,"Taxes Boissons",E_Suivi_Eans!$J:$J,"Rejet 2",E_Suivi_Eans!$K:$K,"&gt;31/12/2021",E_Suivi_Eans!$K:$K,"&lt;01/09/2022")+COUNTIFS(E_Suivi_Eans!$C:$C,"01/2022",E_Suivi_Eans!$D:$D,"Taxes Boissons",E_Suivi_Eans!$J:$J,"Rejet 3",E_Suivi_Eans!$K:$K,"&gt;31/12/2021",E_Suivi_Eans!$K:$K,"&lt;01/09/2022")+ COUNTIFS(E_Suivi_Eans!$C:$C,"01/2022",E_Suivi_Eans!$D:$D,"Taxes Boissons",E_Suivi_Eans!$J:$J,"Rejet 4",E_Suivi_Eans!$K:$K,"&gt;31/12/2021",E_Suivi_Eans!$K:$K,"&lt;01/09/2022")+COUNTIFS(E_Suivi_Eans!$C:$C,"01/2022",E_Suivi_Eans!$D:$D,"Taxes Boissons",E_Suivi_Eans!$J:$J,"Relance 1",E_Suivi_Eans!$K:$K,"&gt;31/12/2021",E_Suivi_Eans!$K:$K,"&lt;01/09/2022")+COUNTIFS(E_Suivi_Eans!$C:$C,"01/2022",E_Suivi_Eans!$D:$D,"Taxes Boissons",E_Suivi_Eans!$J:$J,"Relance 2",E_Suivi_Eans!$K:$K,"&gt;31/12/2021",E_Suivi_Eans!$K:$K,"&lt;01/09/2022")+COUNTIFS(E_Suivi_Eans!$C:$C,"01/2022",E_Suivi_Eans!$D:$D,"Taxes Boissons",E_Suivi_Eans!$J:$J,"Relance 3",E_Suivi_Eans!$K:$K,"&gt;31/12/2021",E_Suivi_Eans!$K:$K,"&lt;01/09/2022")</f>
        <v>0</v>
      </c>
      <c r="E11" s="21">
        <f>COUNTIFS(E_Suivi_Eans!$C:$C,"01/2022",E_Suivi_Eans!$D:$D,"Taxes Boissons",E_Suivi_Eans!$J:$J,"Abandon",E_Suivi_Eans!$K:$K,"&gt;31/12/2021",E_Suivi_Eans!K:K,"&lt;01/09/2022")</f>
        <v>0</v>
      </c>
      <c r="F11" s="21">
        <f>COUNTIFS(E_Suivi_Eans!$C:$C,"01/2022",E_Suivi_Eans!$D:$D,"Taxes Boissons")</f>
        <v>0</v>
      </c>
      <c r="G11" s="21">
        <f t="shared" si="1"/>
        <v>0</v>
      </c>
      <c r="J11" s="20" t="s">
        <v>5314</v>
      </c>
      <c r="K11" s="20" t="s">
        <v>5321</v>
      </c>
      <c r="L11" s="28" t="e">
        <f t="shared" si="2"/>
        <v>#DIV/0!</v>
      </c>
      <c r="M11" s="28" t="e">
        <f t="shared" si="0"/>
        <v>#DIV/0!</v>
      </c>
      <c r="N11" s="28" t="e">
        <f t="shared" si="0"/>
        <v>#DIV/0!</v>
      </c>
      <c r="O11" s="28">
        <v>1</v>
      </c>
      <c r="P11" s="28" t="e">
        <f t="shared" si="3"/>
        <v>#DIV/0!</v>
      </c>
      <c r="S11" s="20" t="s">
        <v>5314</v>
      </c>
      <c r="T11" s="20" t="s">
        <v>5321</v>
      </c>
      <c r="U11" s="38"/>
      <c r="V11" s="21"/>
      <c r="W11" s="21"/>
      <c r="X11" s="38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COUNTIFS(E_Suivi_Eans!$C:$C,"01/2022",E_Suivi_Eans!$D:$D,"Taxes Boissons",E_Suivi_Eans!$J:$J,"Retour OK",E_Suivi_Eans!$K:$K,"&gt;31/12/2021",E_Suivi_Eans!$K:$K,"&lt;01/10/2022")</f>
        <v>0</v>
      </c>
      <c r="D12" s="21">
        <f>COUNTIFS(E_Suivi_Eans!$C:$C,"01/2022",E_Suivi_Eans!$D:$D,"Taxes Boissons",E_Suivi_Eans!$J:$J,"Rejet 0",E_Suivi_Eans!$K:$K,"&gt;31/12/2021",E_Suivi_Eans!$K:$K,"&lt;01/10/2022")+ COUNTIFS(E_Suivi_Eans!$C:$C,"01/2022",E_Suivi_Eans!$D:$D,"Taxes Boissons",E_Suivi_Eans!$J:$J,"Rejet 1",E_Suivi_Eans!$K:$K,"&gt;31/12/2021",E_Suivi_Eans!$K:$K,"&lt;01/10/2022")+COUNTIFS(E_Suivi_Eans!$C:$C,"01/2022",E_Suivi_Eans!$D:$D,"Taxes Boissons",E_Suivi_Eans!$J:$J,"Rejet 2",E_Suivi_Eans!$K:$K,"&gt;31/12/2021",E_Suivi_Eans!$K:$K,"&lt;01/10/2022")+COUNTIFS(E_Suivi_Eans!$C:$C,"01/2022",E_Suivi_Eans!$D:$D,"Taxes Boissons",E_Suivi_Eans!$J:$J,"Rejet 3",E_Suivi_Eans!$K:$K,"&gt;31/12/2021",E_Suivi_Eans!$K:$K,"&lt;01/10/2022")+ COUNTIFS(E_Suivi_Eans!$C:$C,"01/2022",E_Suivi_Eans!$D:$D,"Taxes Boissons",E_Suivi_Eans!$J:$J,"Rejet 4",E_Suivi_Eans!$K:$K,"&gt;31/12/2021",E_Suivi_Eans!$K:$K,"&lt;01/10/2022")+COUNTIFS(E_Suivi_Eans!$C:$C,"01/2022",E_Suivi_Eans!$D:$D,"Taxes Boissons",E_Suivi_Eans!$J:$J,"Relance 1",E_Suivi_Eans!$K:$K,"&gt;31/12/2021",E_Suivi_Eans!$K:$K,"&lt;01/10/2022")+COUNTIFS(E_Suivi_Eans!$C:$C,"01/2022",E_Suivi_Eans!$D:$D,"Taxes Boissons",E_Suivi_Eans!$J:$J,"Relance 2",E_Suivi_Eans!$K:$K,"&gt;31/12/2021",E_Suivi_Eans!$K:$K,"&lt;01/10/2022")+COUNTIFS(E_Suivi_Eans!$C:$C,"01/2022",E_Suivi_Eans!$D:$D,"Taxes Boissons",E_Suivi_Eans!$J:$J,"Relance 3",E_Suivi_Eans!$K:$K,"&gt;31/12/2021",E_Suivi_Eans!$K:$K,"&lt;01/10/2022")</f>
        <v>0</v>
      </c>
      <c r="E12" s="21">
        <f>COUNTIFS(E_Suivi_Eans!$C:$C,"01/2022",E_Suivi_Eans!$D:$D,"Taxes Boissons",E_Suivi_Eans!$J:$J,"Abandon",E_Suivi_Eans!$K:$K,"&gt;31/12/2021",E_Suivi_Eans!K:K,"&lt;01/10/2022")</f>
        <v>0</v>
      </c>
      <c r="F12" s="21">
        <f>COUNTIFS(E_Suivi_Eans!$C:$C,"01/2022",E_Suivi_Eans!$D:$D,"Taxes Boissons")</f>
        <v>0</v>
      </c>
      <c r="G12" s="21">
        <f t="shared" si="1"/>
        <v>0</v>
      </c>
      <c r="J12" s="20" t="s">
        <v>5314</v>
      </c>
      <c r="K12" s="20" t="s">
        <v>5325</v>
      </c>
      <c r="L12" s="28" t="e">
        <f t="shared" si="2"/>
        <v>#DIV/0!</v>
      </c>
      <c r="M12" s="28" t="e">
        <f t="shared" si="0"/>
        <v>#DIV/0!</v>
      </c>
      <c r="N12" s="28" t="e">
        <f t="shared" si="0"/>
        <v>#DIV/0!</v>
      </c>
      <c r="O12" s="28">
        <v>1</v>
      </c>
      <c r="P12" s="28" t="e">
        <f t="shared" si="3"/>
        <v>#DIV/0!</v>
      </c>
      <c r="S12" s="20" t="s">
        <v>5314</v>
      </c>
      <c r="T12" s="20" t="s">
        <v>5325</v>
      </c>
      <c r="U12" s="38"/>
      <c r="V12" s="21"/>
      <c r="W12" s="21"/>
      <c r="X12" s="38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COUNTIFS(E_Suivi_Eans!$C:$C,"01/2022",E_Suivi_Eans!$D:$D,"Taxes Boissons",E_Suivi_Eans!$J:$J,"Retour OK",E_Suivi_Eans!$K:$K,"&gt;31/12/2021",E_Suivi_Eans!$K:$K,"&lt;01/11/2022")</f>
        <v>0</v>
      </c>
      <c r="D13" s="21">
        <f>COUNTIFS(E_Suivi_Eans!$C:$C,"01/2022",E_Suivi_Eans!$D:$D,"Taxes Boissons",E_Suivi_Eans!$J:$J,"Rejet 0",E_Suivi_Eans!$K:$K,"&gt;31/12/2021",E_Suivi_Eans!$K:$K,"&lt;01/11/2022")+ COUNTIFS(E_Suivi_Eans!$C:$C,"01/2022",E_Suivi_Eans!$D:$D,"Taxes Boissons",E_Suivi_Eans!$J:$J,"Rejet 1",E_Suivi_Eans!$K:$K,"&gt;31/12/2021",E_Suivi_Eans!$K:$K,"&lt;01/11/2022")+COUNTIFS(E_Suivi_Eans!$C:$C,"01/2022",E_Suivi_Eans!$D:$D,"Taxes Boissons",E_Suivi_Eans!$J:$J,"Rejet 2",E_Suivi_Eans!$K:$K,"&gt;31/12/2021",E_Suivi_Eans!$K:$K,"&lt;01/11/2022")+COUNTIFS(E_Suivi_Eans!$C:$C,"01/2022",E_Suivi_Eans!$D:$D,"Taxes Boissons",E_Suivi_Eans!$J:$J,"Rejet 3",E_Suivi_Eans!$K:$K,"&gt;31/12/2021",E_Suivi_Eans!$K:$K,"&lt;01/11/2022")+ COUNTIFS(E_Suivi_Eans!$C:$C,"01/2022",E_Suivi_Eans!$D:$D,"Taxes Boissons",E_Suivi_Eans!$J:$J,"Rejet 4",E_Suivi_Eans!$K:$K,"&gt;31/12/2021",E_Suivi_Eans!$K:$K,"&lt;01/11/2022")+COUNTIFS(E_Suivi_Eans!$C:$C,"01/2022",E_Suivi_Eans!$D:$D,"Taxes Boissons",E_Suivi_Eans!$J:$J,"Relance 1",E_Suivi_Eans!$K:$K,"&gt;31/12/2021",E_Suivi_Eans!$K:$K,"&lt;01/11/2022")+COUNTIFS(E_Suivi_Eans!$C:$C,"01/2022",E_Suivi_Eans!$D:$D,"Taxes Boissons",E_Suivi_Eans!$J:$J,"Relance 2",E_Suivi_Eans!$K:$K,"&gt;31/12/2021",E_Suivi_Eans!$K:$K,"&lt;01/11/2022")+COUNTIFS(E_Suivi_Eans!$C:$C,"01/2022",E_Suivi_Eans!$D:$D,"Taxes Boissons",E_Suivi_Eans!$J:$J,"Relance 3",E_Suivi_Eans!$K:$K,"&gt;31/12/2021",E_Suivi_Eans!$K:$K,"&lt;01/11/2022")</f>
        <v>0</v>
      </c>
      <c r="E13" s="21">
        <f>COUNTIFS(E_Suivi_Eans!$C:$C,"01/2022",E_Suivi_Eans!$D:$D,"Taxes Boissons",E_Suivi_Eans!$J:$J,"Abandon",E_Suivi_Eans!$K:$K,"&gt;31/12/2021",E_Suivi_Eans!K:K,"&lt;01/11/2022")</f>
        <v>0</v>
      </c>
      <c r="F13" s="21">
        <f>COUNTIFS(E_Suivi_Eans!$C:$C,"01/2022",E_Suivi_Eans!$D:$D,"Taxes Boissons")</f>
        <v>0</v>
      </c>
      <c r="G13" s="21">
        <f t="shared" si="1"/>
        <v>0</v>
      </c>
      <c r="J13" s="20" t="s">
        <v>5314</v>
      </c>
      <c r="K13" s="20" t="s">
        <v>5326</v>
      </c>
      <c r="L13" s="28" t="e">
        <f t="shared" si="2"/>
        <v>#DIV/0!</v>
      </c>
      <c r="M13" s="28" t="e">
        <f t="shared" si="0"/>
        <v>#DIV/0!</v>
      </c>
      <c r="N13" s="28" t="e">
        <f t="shared" si="0"/>
        <v>#DIV/0!</v>
      </c>
      <c r="O13" s="28">
        <v>1</v>
      </c>
      <c r="P13" s="28" t="e">
        <f t="shared" si="3"/>
        <v>#DIV/0!</v>
      </c>
      <c r="S13" s="20" t="s">
        <v>5314</v>
      </c>
      <c r="T13" s="20" t="s">
        <v>5326</v>
      </c>
      <c r="U13" s="38"/>
      <c r="V13" s="21"/>
      <c r="W13" s="21"/>
      <c r="X13" s="38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COUNTIFS(E_Suivi_Eans!$C:$C,"01/2022",E_Suivi_Eans!$D:$D,"Taxes Boissons",E_Suivi_Eans!$J:$J,"Retour OK",E_Suivi_Eans!$K:$K,"&gt;31/12/2021",E_Suivi_Eans!$K:$K,"&lt;01/12/2022")</f>
        <v>0</v>
      </c>
      <c r="D14" s="21">
        <f>COUNTIFS(E_Suivi_Eans!$C:$C,"01/2022",E_Suivi_Eans!$D:$D,"Taxes Boissons",E_Suivi_Eans!$J:$J,"Rejet 0",E_Suivi_Eans!$K:$K,"&gt;31/12/2021",E_Suivi_Eans!$K:$K,"&lt;01/12/2022")+ COUNTIFS(E_Suivi_Eans!$C:$C,"01/2022",E_Suivi_Eans!$D:$D,"Taxes Boissons",E_Suivi_Eans!$J:$J,"Rejet 1",E_Suivi_Eans!$K:$K,"&gt;31/12/2021",E_Suivi_Eans!$K:$K,"&lt;01/12/2022")+COUNTIFS(E_Suivi_Eans!$C:$C,"01/2022",E_Suivi_Eans!$D:$D,"Taxes Boissons",E_Suivi_Eans!$J:$J,"Rejet 2",E_Suivi_Eans!$K:$K,"&gt;31/12/2021",E_Suivi_Eans!$K:$K,"&lt;01/12/2022")+COUNTIFS(E_Suivi_Eans!$C:$C,"01/2022",E_Suivi_Eans!$D:$D,"Taxes Boissons",E_Suivi_Eans!$J:$J,"Rejet 3",E_Suivi_Eans!$K:$K,"&gt;31/12/2021",E_Suivi_Eans!$K:$K,"&lt;01/12/2022")+ COUNTIFS(E_Suivi_Eans!$C:$C,"01/2022",E_Suivi_Eans!$D:$D,"Taxes Boissons",E_Suivi_Eans!$J:$J,"Rejet 4",E_Suivi_Eans!$K:$K,"&gt;31/12/2021",E_Suivi_Eans!$K:$K,"&lt;01/12/2022")+COUNTIFS(E_Suivi_Eans!$C:$C,"01/2022",E_Suivi_Eans!$D:$D,"Taxes Boissons",E_Suivi_Eans!$J:$J,"Relance 1",E_Suivi_Eans!$K:$K,"&gt;31/12/2021",E_Suivi_Eans!$K:$K,"&lt;01/12/2022")+COUNTIFS(E_Suivi_Eans!$C:$C,"01/2022",E_Suivi_Eans!$D:$D,"Taxes Boissons",E_Suivi_Eans!$J:$J,"Relance 2",E_Suivi_Eans!$K:$K,"&gt;31/12/2021",E_Suivi_Eans!$K:$K,"&lt;01/12/2022")+COUNTIFS(E_Suivi_Eans!$C:$C,"01/2022",E_Suivi_Eans!$D:$D,"Taxes Boissons",E_Suivi_Eans!$J:$J,"Relance 3",E_Suivi_Eans!$K:$K,"&gt;31/12/2021",E_Suivi_Eans!$K:$K,"&lt;01/12/2022")</f>
        <v>0</v>
      </c>
      <c r="E14" s="21">
        <f>COUNTIFS(E_Suivi_Eans!$C:$C,"01/2022",E_Suivi_Eans!$D:$D,"Taxes Boissons",E_Suivi_Eans!$J:$J,"Abandon",E_Suivi_Eans!$K:$K,"&gt;31/12/2021",E_Suivi_Eans!K:K,"&lt;01/12/2022")</f>
        <v>0</v>
      </c>
      <c r="F14" s="21">
        <f>COUNTIFS(E_Suivi_Eans!$C:$C,"01/2022",E_Suivi_Eans!$D:$D,"Taxes Boissons")</f>
        <v>0</v>
      </c>
      <c r="G14" s="21">
        <f t="shared" si="1"/>
        <v>0</v>
      </c>
      <c r="J14" s="20" t="s">
        <v>5314</v>
      </c>
      <c r="K14" s="20" t="s">
        <v>5327</v>
      </c>
      <c r="L14" s="28" t="e">
        <f t="shared" si="2"/>
        <v>#DIV/0!</v>
      </c>
      <c r="M14" s="28" t="e">
        <f t="shared" si="0"/>
        <v>#DIV/0!</v>
      </c>
      <c r="N14" s="28" t="e">
        <f t="shared" si="0"/>
        <v>#DIV/0!</v>
      </c>
      <c r="O14" s="28">
        <v>1</v>
      </c>
      <c r="P14" s="28" t="e">
        <f t="shared" si="3"/>
        <v>#DIV/0!</v>
      </c>
      <c r="S14" s="20" t="s">
        <v>5314</v>
      </c>
      <c r="T14" s="20" t="s">
        <v>5327</v>
      </c>
      <c r="U14" s="38"/>
      <c r="V14" s="21"/>
      <c r="W14" s="21"/>
      <c r="X14" s="38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8"/>
      <c r="P15" s="28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5"/>
      <c r="F16" s="25"/>
      <c r="G16" s="25"/>
      <c r="J16" s="22"/>
      <c r="K16" s="22"/>
      <c r="L16" s="23"/>
      <c r="M16" s="24"/>
      <c r="N16" s="25"/>
      <c r="O16" s="31"/>
      <c r="P16" s="31"/>
      <c r="S16" s="22"/>
      <c r="T16" s="22"/>
      <c r="U16" s="23"/>
      <c r="V16" s="24"/>
      <c r="W16" s="25"/>
      <c r="X16" s="25"/>
      <c r="Y16" s="25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8"/>
      <c r="P17" s="28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COUNTIFS(E_Suivi_Eans!$C:$C,"02/2022",E_Suivi_Eans!$D:$D,"Taxes Boissons",E_Suivi_Eans!$J:$J,"Retour OK",E_Suivi_Eans!$K:$K,"&gt;31/12/2021",E_Suivi_Eans!K:K,"&lt;01/03/2022")</f>
        <v>0</v>
      </c>
      <c r="D18" s="21">
        <f>COUNTIFS(E_Suivi_Eans!$C:$C,"02/2022",E_Suivi_Eans!$D:$D,"Taxes Boissons",E_Suivi_Eans!$J:$J,"Rejet 0",E_Suivi_Eans!$K:$K,"&gt;31/12/2021",E_Suivi_Eans!$K:$K,"&lt;01/03/2022")+ COUNTIFS(E_Suivi_Eans!$C:$C,"02/2022",E_Suivi_Eans!$D:$D,"Taxes Boissons",E_Suivi_Eans!$J:$J,"Rejet 1",E_Suivi_Eans!$K:$K,"&gt;31/12/2021",E_Suivi_Eans!$K:$K,"&lt;01/03/2022")+COUNTIFS(E_Suivi_Eans!$C:$C,"02/2022",E_Suivi_Eans!$D:$D,"Taxes Boissons",E_Suivi_Eans!$J:$J,"Rejet 2",E_Suivi_Eans!$K:$K,"&gt;31/12/2021",E_Suivi_Eans!$K:$K,"&lt;01/03/2022")+COUNTIFS(E_Suivi_Eans!$C:$C,"02/2022",E_Suivi_Eans!$D:$D,"Taxes Boissons",E_Suivi_Eans!$J:$J,"Rejet 3",E_Suivi_Eans!$K:$K,"&gt;31/12/2021",E_Suivi_Eans!$K:$K,"&lt;01/03/2022")+ COUNTIFS(E_Suivi_Eans!$C:$C,"02/2022",E_Suivi_Eans!$D:$D,"Taxes Boissons",E_Suivi_Eans!$J:$J,"Rejet 4",E_Suivi_Eans!$K:$K,"&gt;31/12/2021",E_Suivi_Eans!$K:$K,"&lt;01/03/2022")+COUNTIFS(E_Suivi_Eans!$C:$C,"02/2022",E_Suivi_Eans!$D:$D,"Taxes Boissons",E_Suivi_Eans!$J:$J,"Relance 1",E_Suivi_Eans!$K:$K,"&gt;31/12/2021",E_Suivi_Eans!$K:$K,"&lt;01/03/2022")+COUNTIFS(E_Suivi_Eans!$C:$C,"02/2022",E_Suivi_Eans!$D:$D,"Taxes Boissons",E_Suivi_Eans!$J:$J,"Relance 2",E_Suivi_Eans!$K:$K,"&gt;31/12/2021",E_Suivi_Eans!$K:$K,"&lt;01/03/2022")+COUNTIFS(E_Suivi_Eans!$C:$C,"02/2022",E_Suivi_Eans!$D:$D,"Taxes Boissons",E_Suivi_Eans!$J:$J,"Relance 3",E_Suivi_Eans!$K:$K,"&gt;31/12/2021",E_Suivi_Eans!$K:$K,"&lt;01/03/2022")</f>
        <v>0</v>
      </c>
      <c r="E18" s="21">
        <f>COUNTIFS(E_Suivi_Eans!$C:$C,"02/2022",E_Suivi_Eans!$D:$D,"Taxes Boissons",E_Suivi_Eans!$J:$J,"Abandon",E_Suivi_Eans!$K:$K,"&gt;31/12/2021",E_Suivi_Eans!K:K,"&lt;01/03/2022")</f>
        <v>0</v>
      </c>
      <c r="F18" s="21">
        <f>COUNTIFS(E_Suivi_Eans!$C:$C,"02/2022",E_Suivi_Eans!$D:$D,"Taxes Boissons")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8" t="e">
        <f t="shared" ref="L18:N27" si="5">C18/$G18</f>
        <v>#DIV/0!</v>
      </c>
      <c r="M18" s="28" t="e">
        <f t="shared" si="5"/>
        <v>#DIV/0!</v>
      </c>
      <c r="N18" s="28" t="e">
        <f t="shared" si="5"/>
        <v>#DIV/0!</v>
      </c>
      <c r="O18" s="28">
        <v>1</v>
      </c>
      <c r="P18" s="28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COUNTIFS(E_Suivi_Eans!$C:$C,"02/2022",E_Suivi_Eans!$D:$D,"Taxes Boissons",E_Suivi_Eans!$J:$J,"Retour OK",E_Suivi_Eans!$K:$K,"&gt;31/12/2021",E_Suivi_Eans!K:K,"&lt;01/04/2022")</f>
        <v>0</v>
      </c>
      <c r="D19" s="21">
        <f>COUNTIFS(E_Suivi_Eans!$C:$C,"02/2022",E_Suivi_Eans!$D:$D,"Taxes Boissons",E_Suivi_Eans!$J:$J,"Rejet 0",E_Suivi_Eans!$K:$K,"&gt;31/12/2021",E_Suivi_Eans!$K:$K,"&lt;01/04/2022")+ COUNTIFS(E_Suivi_Eans!$C:$C,"02/2022",E_Suivi_Eans!$D:$D,"Taxes Boissons",E_Suivi_Eans!$J:$J,"Rejet 1",E_Suivi_Eans!$K:$K,"&gt;31/12/2021",E_Suivi_Eans!$K:$K,"&lt;01/04/2022")+COUNTIFS(E_Suivi_Eans!$C:$C,"02/2022",E_Suivi_Eans!$D:$D,"Taxes Boissons",E_Suivi_Eans!$J:$J,"Rejet 2",E_Suivi_Eans!$K:$K,"&gt;31/12/2021",E_Suivi_Eans!$K:$K,"&lt;01/04/2022")+COUNTIFS(E_Suivi_Eans!$C:$C,"02/2022",E_Suivi_Eans!$D:$D,"Taxes Boissons",E_Suivi_Eans!$J:$J,"Rejet 3",E_Suivi_Eans!$K:$K,"&gt;31/12/2021",E_Suivi_Eans!$K:$K,"&lt;01/04/2022")+ COUNTIFS(E_Suivi_Eans!$C:$C,"02/2022",E_Suivi_Eans!$D:$D,"Taxes Boissons",E_Suivi_Eans!$J:$J,"Rejet 4",E_Suivi_Eans!$K:$K,"&gt;31/12/2021",E_Suivi_Eans!$K:$K,"&lt;01/04/2022")+COUNTIFS(E_Suivi_Eans!$C:$C,"02/2022",E_Suivi_Eans!$D:$D,"Taxes Boissons",E_Suivi_Eans!$J:$J,"Relance 1",E_Suivi_Eans!$K:$K,"&gt;31/12/2021",E_Suivi_Eans!$K:$K,"&lt;01/04/2022")+COUNTIFS(E_Suivi_Eans!$C:$C,"02/2022",E_Suivi_Eans!$D:$D,"Taxes Boissons",E_Suivi_Eans!$J:$J,"Relance 2",E_Suivi_Eans!$K:$K,"&gt;31/12/2021",E_Suivi_Eans!$K:$K,"&lt;01/04/2022")+COUNTIFS(E_Suivi_Eans!$C:$C,"02/2022",E_Suivi_Eans!$D:$D,"Taxes Boissons",E_Suivi_Eans!$J:$J,"Relance 3",E_Suivi_Eans!$K:$K,"&gt;31/12/2021",E_Suivi_Eans!$K:$K,"&lt;01/04/2022")</f>
        <v>0</v>
      </c>
      <c r="E19" s="21">
        <f>COUNTIFS(E_Suivi_Eans!$C:$C,"02/2022",E_Suivi_Eans!$D:$D,"Taxes Boissons",E_Suivi_Eans!$J:$J,"Abandon",E_Suivi_Eans!$K:$K,"&gt;31/12/2021",E_Suivi_Eans!K:K,"&lt;01/04/2022")</f>
        <v>0</v>
      </c>
      <c r="F19" s="21">
        <f>COUNTIFS(E_Suivi_Eans!$C:$C,"02/2022",E_Suivi_Eans!$D:$D,"Taxes Boissons")</f>
        <v>0</v>
      </c>
      <c r="G19" s="21">
        <f t="shared" si="4"/>
        <v>0</v>
      </c>
      <c r="J19" s="20" t="s">
        <v>5315</v>
      </c>
      <c r="K19" s="20" t="s">
        <v>5316</v>
      </c>
      <c r="L19" s="28" t="e">
        <f t="shared" si="5"/>
        <v>#DIV/0!</v>
      </c>
      <c r="M19" s="28" t="e">
        <f t="shared" si="5"/>
        <v>#DIV/0!</v>
      </c>
      <c r="N19" s="28" t="e">
        <f t="shared" si="5"/>
        <v>#DIV/0!</v>
      </c>
      <c r="O19" s="28">
        <v>1</v>
      </c>
      <c r="P19" s="28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COUNTIFS(E_Suivi_Eans!$C:$C,"02/2022",E_Suivi_Eans!$D:$D,"Taxes Boissons",E_Suivi_Eans!$J:$J,"Retour OK",E_Suivi_Eans!$K:$K,"&gt;31/12/2021",E_Suivi_Eans!K:K,"&lt;01/05/2022")</f>
        <v>0</v>
      </c>
      <c r="D20" s="21">
        <f>COUNTIFS(E_Suivi_Eans!$C:$C,"02/2022",E_Suivi_Eans!$D:$D,"Taxes Boissons",E_Suivi_Eans!$J:$J,"Rejet 0",E_Suivi_Eans!$K:$K,"&gt;31/12/2021",E_Suivi_Eans!$K:$K,"&lt;01/05/2022")+ COUNTIFS(E_Suivi_Eans!$C:$C,"02/2022",E_Suivi_Eans!$D:$D,"Taxes Boissons",E_Suivi_Eans!$J:$J,"Rejet 1",E_Suivi_Eans!$K:$K,"&gt;31/12/2021",E_Suivi_Eans!$K:$K,"&lt;01/05/2022")+COUNTIFS(E_Suivi_Eans!$C:$C,"02/2022",E_Suivi_Eans!$D:$D,"Taxes Boissons",E_Suivi_Eans!$J:$J,"Rejet 2",E_Suivi_Eans!$K:$K,"&gt;31/12/2021",E_Suivi_Eans!$K:$K,"&lt;01/05/2022")+COUNTIFS(E_Suivi_Eans!$C:$C,"02/2022",E_Suivi_Eans!$D:$D,"Taxes Boissons",E_Suivi_Eans!$J:$J,"Rejet 3",E_Suivi_Eans!$K:$K,"&gt;31/12/2021",E_Suivi_Eans!$K:$K,"&lt;01/05/2022")+ COUNTIFS(E_Suivi_Eans!$C:$C,"02/2022",E_Suivi_Eans!$D:$D,"Taxes Boissons",E_Suivi_Eans!$J:$J,"Rejet 4",E_Suivi_Eans!$K:$K,"&gt;31/12/2021",E_Suivi_Eans!$K:$K,"&lt;01/05/2022")+COUNTIFS(E_Suivi_Eans!$C:$C,"02/2022",E_Suivi_Eans!$D:$D,"Taxes Boissons",E_Suivi_Eans!$J:$J,"Relance 1",E_Suivi_Eans!$K:$K,"&gt;31/12/2021",E_Suivi_Eans!$K:$K,"&lt;01/05/2022")+COUNTIFS(E_Suivi_Eans!$C:$C,"02/2022",E_Suivi_Eans!$D:$D,"Taxes Boissons",E_Suivi_Eans!$J:$J,"Relance 2",E_Suivi_Eans!$K:$K,"&gt;31/12/2021",E_Suivi_Eans!$K:$K,"&lt;01/05/2022")+COUNTIFS(E_Suivi_Eans!$C:$C,"02/2022",E_Suivi_Eans!$D:$D,"Taxes Boissons",E_Suivi_Eans!$J:$J,"Relance 3",E_Suivi_Eans!$K:$K,"&gt;31/12/2021",E_Suivi_Eans!$K:$K,"&lt;01/05/2022")</f>
        <v>0</v>
      </c>
      <c r="E20" s="21">
        <f>COUNTIFS(E_Suivi_Eans!$C:$C,"02/2022",E_Suivi_Eans!$D:$D,"Taxes Boissons",E_Suivi_Eans!$J:$J,"Abandon",E_Suivi_Eans!$K:$K,"&gt;31/12/2021",E_Suivi_Eans!K:K,"&lt;01/05/2022")</f>
        <v>0</v>
      </c>
      <c r="F20" s="21">
        <f>COUNTIFS(E_Suivi_Eans!$C:$C,"02/2022",E_Suivi_Eans!$D:$D,"Taxes Boissons")</f>
        <v>0</v>
      </c>
      <c r="G20" s="21">
        <f t="shared" si="4"/>
        <v>0</v>
      </c>
      <c r="J20" s="20" t="s">
        <v>5315</v>
      </c>
      <c r="K20" s="20" t="s">
        <v>5317</v>
      </c>
      <c r="L20" s="28" t="e">
        <f t="shared" si="5"/>
        <v>#DIV/0!</v>
      </c>
      <c r="M20" s="28" t="e">
        <f t="shared" si="5"/>
        <v>#DIV/0!</v>
      </c>
      <c r="N20" s="28" t="e">
        <f t="shared" si="5"/>
        <v>#DIV/0!</v>
      </c>
      <c r="O20" s="28">
        <v>1</v>
      </c>
      <c r="P20" s="28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COUNTIFS(E_Suivi_Eans!$C:$C,"02/2022",E_Suivi_Eans!$D:$D,"Taxes Boissons",E_Suivi_Eans!$J:$J,"Retour OK",E_Suivi_Eans!$K:$K,"&gt;31/12/2021",E_Suivi_Eans!K:K,"&lt;01/06/2022")</f>
        <v>0</v>
      </c>
      <c r="D21" s="21">
        <f>COUNTIFS(E_Suivi_Eans!$C:$C,"02/2022",E_Suivi_Eans!$D:$D,"Taxes Boissons",E_Suivi_Eans!$J:$J,"Rejet 0",E_Suivi_Eans!$K:$K,"&gt;31/12/2021",E_Suivi_Eans!$K:$K,"&lt;01/06/2022")+ COUNTIFS(E_Suivi_Eans!$C:$C,"02/2022",E_Suivi_Eans!$D:$D,"Taxes Boissons",E_Suivi_Eans!$J:$J,"Rejet 1",E_Suivi_Eans!$K:$K,"&gt;31/12/2021",E_Suivi_Eans!$K:$K,"&lt;01/06/2022")+COUNTIFS(E_Suivi_Eans!$C:$C,"02/2022",E_Suivi_Eans!$D:$D,"Taxes Boissons",E_Suivi_Eans!$J:$J,"Rejet 2",E_Suivi_Eans!$K:$K,"&gt;31/12/2021",E_Suivi_Eans!$K:$K,"&lt;01/06/2022")+COUNTIFS(E_Suivi_Eans!$C:$C,"02/2022",E_Suivi_Eans!$D:$D,"Taxes Boissons",E_Suivi_Eans!$J:$J,"Rejet 3",E_Suivi_Eans!$K:$K,"&gt;31/12/2021",E_Suivi_Eans!$K:$K,"&lt;01/06/2022")+ COUNTIFS(E_Suivi_Eans!$C:$C,"02/2022",E_Suivi_Eans!$D:$D,"Taxes Boissons",E_Suivi_Eans!$J:$J,"Rejet 4",E_Suivi_Eans!$K:$K,"&gt;31/12/2021",E_Suivi_Eans!$K:$K,"&lt;01/06/2022")+COUNTIFS(E_Suivi_Eans!$C:$C,"02/2022",E_Suivi_Eans!$D:$D,"Taxes Boissons",E_Suivi_Eans!$J:$J,"Relance 1",E_Suivi_Eans!$K:$K,"&gt;31/12/2021",E_Suivi_Eans!$K:$K,"&lt;01/06/2022")+COUNTIFS(E_Suivi_Eans!$C:$C,"02/2022",E_Suivi_Eans!$D:$D,"Taxes Boissons",E_Suivi_Eans!$J:$J,"Relance 2",E_Suivi_Eans!$K:$K,"&gt;31/12/2021",E_Suivi_Eans!$K:$K,"&lt;01/06/2022")+COUNTIFS(E_Suivi_Eans!$C:$C,"02/2022",E_Suivi_Eans!$D:$D,"Taxes Boissons",E_Suivi_Eans!$J:$J,"Relance 3",E_Suivi_Eans!$K:$K,"&gt;31/12/2021",E_Suivi_Eans!$K:$K,"&lt;01/06/2022")</f>
        <v>0</v>
      </c>
      <c r="E21" s="21">
        <f>COUNTIFS(E_Suivi_Eans!$C:$C,"02/2022",E_Suivi_Eans!$D:$D,"Taxes Boissons",E_Suivi_Eans!$J:$J,"Abandon",E_Suivi_Eans!$K:$K,"&gt;31/12/2021",E_Suivi_Eans!K:K,"&lt;01/06/2022")</f>
        <v>0</v>
      </c>
      <c r="F21" s="21">
        <f>COUNTIFS(E_Suivi_Eans!$C:$C,"02/2022",E_Suivi_Eans!$D:$D,"Taxes Boissons")</f>
        <v>0</v>
      </c>
      <c r="G21" s="21">
        <f t="shared" si="4"/>
        <v>0</v>
      </c>
      <c r="J21" s="20" t="s">
        <v>5315</v>
      </c>
      <c r="K21" s="20" t="s">
        <v>5318</v>
      </c>
      <c r="L21" s="28" t="e">
        <f t="shared" si="5"/>
        <v>#DIV/0!</v>
      </c>
      <c r="M21" s="28" t="e">
        <f t="shared" si="5"/>
        <v>#DIV/0!</v>
      </c>
      <c r="N21" s="28" t="e">
        <f t="shared" si="5"/>
        <v>#DIV/0!</v>
      </c>
      <c r="O21" s="28">
        <v>1</v>
      </c>
      <c r="P21" s="28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COUNTIFS(E_Suivi_Eans!$C:$C,"02/2022",E_Suivi_Eans!$D:$D,"Taxes Boissons",E_Suivi_Eans!$J:$J,"Retour OK",E_Suivi_Eans!$K:$K,"&gt;31/12/2021",E_Suivi_Eans!K:K,"&lt;01/07/2022")</f>
        <v>0</v>
      </c>
      <c r="D22" s="21">
        <f>COUNTIFS(E_Suivi_Eans!$C:$C,"02/2022",E_Suivi_Eans!$D:$D,"Taxes Boissons",E_Suivi_Eans!$J:$J,"Rejet 0",E_Suivi_Eans!$K:$K,"&gt;31/12/2021",E_Suivi_Eans!$K:$K,"&lt;01/07/2022")+ COUNTIFS(E_Suivi_Eans!$C:$C,"02/2022",E_Suivi_Eans!$D:$D,"Taxes Boissons",E_Suivi_Eans!$J:$J,"Rejet 1",E_Suivi_Eans!$K:$K,"&gt;31/12/2021",E_Suivi_Eans!$K:$K,"&lt;01/07/2022")+COUNTIFS(E_Suivi_Eans!$C:$C,"02/2022",E_Suivi_Eans!$D:$D,"Taxes Boissons",E_Suivi_Eans!$J:$J,"Rejet 2",E_Suivi_Eans!$K:$K,"&gt;31/12/2021",E_Suivi_Eans!$K:$K,"&lt;01/07/2022")+COUNTIFS(E_Suivi_Eans!$C:$C,"02/2022",E_Suivi_Eans!$D:$D,"Taxes Boissons",E_Suivi_Eans!$J:$J,"Rejet 3",E_Suivi_Eans!$K:$K,"&gt;31/12/2021",E_Suivi_Eans!$K:$K,"&lt;01/07/2022")+ COUNTIFS(E_Suivi_Eans!$C:$C,"02/2022",E_Suivi_Eans!$D:$D,"Taxes Boissons",E_Suivi_Eans!$J:$J,"Rejet 4",E_Suivi_Eans!$K:$K,"&gt;31/12/2021",E_Suivi_Eans!$K:$K,"&lt;01/07/2022")+COUNTIFS(E_Suivi_Eans!$C:$C,"02/2022",E_Suivi_Eans!$D:$D,"Taxes Boissons",E_Suivi_Eans!$J:$J,"Relance 1",E_Suivi_Eans!$K:$K,"&gt;31/12/2021",E_Suivi_Eans!$K:$K,"&lt;01/07/2022")+COUNTIFS(E_Suivi_Eans!$C:$C,"02/2022",E_Suivi_Eans!$D:$D,"Taxes Boissons",E_Suivi_Eans!$J:$J,"Relance 2",E_Suivi_Eans!$K:$K,"&gt;31/12/2021",E_Suivi_Eans!$K:$K,"&lt;01/07/2022")+COUNTIFS(E_Suivi_Eans!$C:$C,"02/2022",E_Suivi_Eans!$D:$D,"Taxes Boissons",E_Suivi_Eans!$J:$J,"Relance 3",E_Suivi_Eans!$K:$K,"&gt;31/12/2021",E_Suivi_Eans!$K:$K,"&lt;01/07/2022")</f>
        <v>0</v>
      </c>
      <c r="E22" s="21">
        <f>COUNTIFS(E_Suivi_Eans!$C:$C,"02/2022",E_Suivi_Eans!$D:$D,"Taxes Boissons",E_Suivi_Eans!$J:$J,"Abandon",E_Suivi_Eans!$K:$K,"&gt;31/12/2021",E_Suivi_Eans!K:K,"&lt;01/07/2022")</f>
        <v>0</v>
      </c>
      <c r="F22" s="21">
        <f>COUNTIFS(E_Suivi_Eans!$C:$C,"02/2022",E_Suivi_Eans!$D:$D,"Taxes Boissons")</f>
        <v>0</v>
      </c>
      <c r="G22" s="21">
        <f t="shared" si="4"/>
        <v>0</v>
      </c>
      <c r="J22" s="20" t="s">
        <v>5315</v>
      </c>
      <c r="K22" s="20" t="s">
        <v>5319</v>
      </c>
      <c r="L22" s="28" t="e">
        <f t="shared" si="5"/>
        <v>#DIV/0!</v>
      </c>
      <c r="M22" s="28" t="e">
        <f t="shared" si="5"/>
        <v>#DIV/0!</v>
      </c>
      <c r="N22" s="28" t="e">
        <f t="shared" si="5"/>
        <v>#DIV/0!</v>
      </c>
      <c r="O22" s="28">
        <v>1</v>
      </c>
      <c r="P22" s="28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COUNTIFS(E_Suivi_Eans!$C:$C,"02/2022",E_Suivi_Eans!$D:$D,"Taxes Boissons",E_Suivi_Eans!$J:$J,"Retour OK",E_Suivi_Eans!$K:$K,"&gt;31/12/2021",E_Suivi_Eans!K:K,"&lt;01/08/2022")</f>
        <v>0</v>
      </c>
      <c r="D23" s="21">
        <f>COUNTIFS(E_Suivi_Eans!$C:$C,"02/2022",E_Suivi_Eans!$D:$D,"Taxes Boissons",E_Suivi_Eans!$J:$J,"Rejet 0",E_Suivi_Eans!$K:$K,"&gt;31/12/2021",E_Suivi_Eans!$K:$K,"&lt;01/08/2022")+ COUNTIFS(E_Suivi_Eans!$C:$C,"02/2022",E_Suivi_Eans!$D:$D,"Taxes Boissons",E_Suivi_Eans!$J:$J,"Rejet 1",E_Suivi_Eans!$K:$K,"&gt;31/12/2021",E_Suivi_Eans!$K:$K,"&lt;01/08/2022")+COUNTIFS(E_Suivi_Eans!$C:$C,"02/2022",E_Suivi_Eans!$D:$D,"Taxes Boissons",E_Suivi_Eans!$J:$J,"Rejet 2",E_Suivi_Eans!$K:$K,"&gt;31/12/2021",E_Suivi_Eans!$K:$K,"&lt;01/08/2022")+COUNTIFS(E_Suivi_Eans!$C:$C,"02/2022",E_Suivi_Eans!$D:$D,"Taxes Boissons",E_Suivi_Eans!$J:$J,"Rejet 3",E_Suivi_Eans!$K:$K,"&gt;31/12/2021",E_Suivi_Eans!$K:$K,"&lt;01/08/2022")+ COUNTIFS(E_Suivi_Eans!$C:$C,"02/2022",E_Suivi_Eans!$D:$D,"Taxes Boissons",E_Suivi_Eans!$J:$J,"Rejet 4",E_Suivi_Eans!$K:$K,"&gt;31/12/2021",E_Suivi_Eans!$K:$K,"&lt;01/08/2022")+COUNTIFS(E_Suivi_Eans!$C:$C,"02/2022",E_Suivi_Eans!$D:$D,"Taxes Boissons",E_Suivi_Eans!$J:$J,"Relance 1",E_Suivi_Eans!$K:$K,"&gt;31/12/2021",E_Suivi_Eans!$K:$K,"&lt;01/08/2022")+COUNTIFS(E_Suivi_Eans!$C:$C,"02/2022",E_Suivi_Eans!$D:$D,"Taxes Boissons",E_Suivi_Eans!$J:$J,"Relance 2",E_Suivi_Eans!$K:$K,"&gt;31/12/2021",E_Suivi_Eans!$K:$K,"&lt;01/08/2022")+COUNTIFS(E_Suivi_Eans!$C:$C,"02/2022",E_Suivi_Eans!$D:$D,"Taxes Boissons",E_Suivi_Eans!$J:$J,"Relance 3",E_Suivi_Eans!$K:$K,"&gt;31/12/2021",E_Suivi_Eans!$K:$K,"&lt;01/08/2022")</f>
        <v>0</v>
      </c>
      <c r="E23" s="21">
        <f>COUNTIFS(E_Suivi_Eans!$C:$C,"02/2022",E_Suivi_Eans!$D:$D,"Taxes Boissons",E_Suivi_Eans!$J:$J,"Abandon",E_Suivi_Eans!$K:$K,"&gt;31/12/2021",E_Suivi_Eans!K:K,"&lt;01/08/2022")</f>
        <v>0</v>
      </c>
      <c r="F23" s="21">
        <f>COUNTIFS(E_Suivi_Eans!$C:$C,"02/2022",E_Suivi_Eans!$D:$D,"Taxes Boissons")</f>
        <v>0</v>
      </c>
      <c r="G23" s="21">
        <f t="shared" si="4"/>
        <v>0</v>
      </c>
      <c r="J23" s="20" t="s">
        <v>5315</v>
      </c>
      <c r="K23" s="20" t="s">
        <v>5320</v>
      </c>
      <c r="L23" s="28" t="e">
        <f t="shared" si="5"/>
        <v>#DIV/0!</v>
      </c>
      <c r="M23" s="28" t="e">
        <f t="shared" si="5"/>
        <v>#DIV/0!</v>
      </c>
      <c r="N23" s="28" t="e">
        <f t="shared" si="5"/>
        <v>#DIV/0!</v>
      </c>
      <c r="O23" s="28">
        <v>1</v>
      </c>
      <c r="P23" s="28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7"/>
    </row>
    <row r="24" spans="1:27">
      <c r="A24" s="20" t="s">
        <v>5315</v>
      </c>
      <c r="B24" s="20" t="s">
        <v>5321</v>
      </c>
      <c r="C24" s="21">
        <f>COUNTIFS(E_Suivi_Eans!$C:$C,"02/2022",E_Suivi_Eans!$D:$D,"Taxes Boissons",E_Suivi_Eans!$J:$J,"Retour OK",E_Suivi_Eans!$K:$K,"&gt;31/12/2021",E_Suivi_Eans!K:K,"&lt;01/09/2022")</f>
        <v>0</v>
      </c>
      <c r="D24" s="21">
        <f>COUNTIFS(E_Suivi_Eans!$C:$C,"02/2022",E_Suivi_Eans!$D:$D,"Taxes Boissons",E_Suivi_Eans!$J:$J,"Rejet 0",E_Suivi_Eans!$K:$K,"&gt;31/12/2021",E_Suivi_Eans!$K:$K,"&lt;01/09/2022")+ COUNTIFS(E_Suivi_Eans!$C:$C,"02/2022",E_Suivi_Eans!$D:$D,"Taxes Boissons",E_Suivi_Eans!$J:$J,"Rejet 1",E_Suivi_Eans!$K:$K,"&gt;31/12/2021",E_Suivi_Eans!$K:$K,"&lt;01/09/2022")+COUNTIFS(E_Suivi_Eans!$C:$C,"02/2022",E_Suivi_Eans!$D:$D,"Taxes Boissons",E_Suivi_Eans!$J:$J,"Rejet 2",E_Suivi_Eans!$K:$K,"&gt;31/12/2021",E_Suivi_Eans!$K:$K,"&lt;01/09/2022")+COUNTIFS(E_Suivi_Eans!$C:$C,"02/2022",E_Suivi_Eans!$D:$D,"Taxes Boissons",E_Suivi_Eans!$J:$J,"Rejet 3",E_Suivi_Eans!$K:$K,"&gt;31/12/2021",E_Suivi_Eans!$K:$K,"&lt;01/09/2022")+ COUNTIFS(E_Suivi_Eans!$C:$C,"02/2022",E_Suivi_Eans!$D:$D,"Taxes Boissons",E_Suivi_Eans!$J:$J,"Rejet 4",E_Suivi_Eans!$K:$K,"&gt;31/12/2021",E_Suivi_Eans!$K:$K,"&lt;01/09/2022")+COUNTIFS(E_Suivi_Eans!$C:$C,"02/2022",E_Suivi_Eans!$D:$D,"Taxes Boissons",E_Suivi_Eans!$J:$J,"Relance 1",E_Suivi_Eans!$K:$K,"&gt;31/12/2021",E_Suivi_Eans!$K:$K,"&lt;01/09/2022")+COUNTIFS(E_Suivi_Eans!$C:$C,"02/2022",E_Suivi_Eans!$D:$D,"Taxes Boissons",E_Suivi_Eans!$J:$J,"Relance 2",E_Suivi_Eans!$K:$K,"&gt;31/12/2021",E_Suivi_Eans!$K:$K,"&lt;01/09/2022")+COUNTIFS(E_Suivi_Eans!$C:$C,"02/2022",E_Suivi_Eans!$D:$D,"Taxes Boissons",E_Suivi_Eans!$J:$J,"Relance 3",E_Suivi_Eans!$K:$K,"&gt;31/12/2021",E_Suivi_Eans!$K:$K,"&lt;01/09/2022")</f>
        <v>0</v>
      </c>
      <c r="E24" s="21">
        <f>COUNTIFS(E_Suivi_Eans!$C:$C,"02/2022",E_Suivi_Eans!$D:$D,"Taxes Boissons",E_Suivi_Eans!$J:$J,"Abandon",E_Suivi_Eans!$K:$K,"&gt;31/12/2021",E_Suivi_Eans!K:K,"&lt;01/09/2022")</f>
        <v>0</v>
      </c>
      <c r="F24" s="21">
        <f>COUNTIFS(E_Suivi_Eans!$C:$C,"02/2022",E_Suivi_Eans!$D:$D,"Taxes Boissons")</f>
        <v>0</v>
      </c>
      <c r="G24" s="21">
        <f t="shared" si="4"/>
        <v>0</v>
      </c>
      <c r="J24" s="20" t="s">
        <v>5315</v>
      </c>
      <c r="K24" s="20" t="s">
        <v>5321</v>
      </c>
      <c r="L24" s="28" t="e">
        <f t="shared" si="5"/>
        <v>#DIV/0!</v>
      </c>
      <c r="M24" s="28" t="e">
        <f t="shared" si="5"/>
        <v>#DIV/0!</v>
      </c>
      <c r="N24" s="28" t="e">
        <f t="shared" si="5"/>
        <v>#DIV/0!</v>
      </c>
      <c r="O24" s="28">
        <v>1</v>
      </c>
      <c r="P24" s="28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COUNTIFS(E_Suivi_Eans!$C:$C,"02/2022",E_Suivi_Eans!$D:$D,"Taxes Boissons",E_Suivi_Eans!$J:$J,"Retour OK",E_Suivi_Eans!$K:$K,"&gt;31/12/2021",E_Suivi_Eans!K:K,"&lt;01/10/2022")</f>
        <v>0</v>
      </c>
      <c r="D25" s="21">
        <f>COUNTIFS(E_Suivi_Eans!$C:$C,"02/2022",E_Suivi_Eans!$D:$D,"Taxes Boissons",E_Suivi_Eans!$J:$J,"Rejet 0",E_Suivi_Eans!$K:$K,"&gt;31/12/2021",E_Suivi_Eans!$K:$K,"&lt;01/10/2022")+ COUNTIFS(E_Suivi_Eans!$C:$C,"02/2022",E_Suivi_Eans!$D:$D,"Taxes Boissons",E_Suivi_Eans!$J:$J,"Rejet 1",E_Suivi_Eans!$K:$K,"&gt;31/12/2021",E_Suivi_Eans!$K:$K,"&lt;01/10/2022")+COUNTIFS(E_Suivi_Eans!$C:$C,"02/2022",E_Suivi_Eans!$D:$D,"Taxes Boissons",E_Suivi_Eans!$J:$J,"Rejet 2",E_Suivi_Eans!$K:$K,"&gt;31/12/2021",E_Suivi_Eans!$K:$K,"&lt;01/10/2022")+COUNTIFS(E_Suivi_Eans!$C:$C,"02/2022",E_Suivi_Eans!$D:$D,"Taxes Boissons",E_Suivi_Eans!$J:$J,"Rejet 3",E_Suivi_Eans!$K:$K,"&gt;31/12/2021",E_Suivi_Eans!$K:$K,"&lt;01/10/2022")+ COUNTIFS(E_Suivi_Eans!$C:$C,"02/2022",E_Suivi_Eans!$D:$D,"Taxes Boissons",E_Suivi_Eans!$J:$J,"Rejet 4",E_Suivi_Eans!$K:$K,"&gt;31/12/2021",E_Suivi_Eans!$K:$K,"&lt;01/10/2022")+COUNTIFS(E_Suivi_Eans!$C:$C,"02/2022",E_Suivi_Eans!$D:$D,"Taxes Boissons",E_Suivi_Eans!$J:$J,"Relance 1",E_Suivi_Eans!$K:$K,"&gt;31/12/2021",E_Suivi_Eans!$K:$K,"&lt;01/10/2022")+COUNTIFS(E_Suivi_Eans!$C:$C,"02/2022",E_Suivi_Eans!$D:$D,"Taxes Boissons",E_Suivi_Eans!$J:$J,"Relance 2",E_Suivi_Eans!$K:$K,"&gt;31/12/2021",E_Suivi_Eans!$K:$K,"&lt;01/10/2022")+COUNTIFS(E_Suivi_Eans!$C:$C,"02/2022",E_Suivi_Eans!$D:$D,"Taxes Boissons",E_Suivi_Eans!$J:$J,"Relance 3",E_Suivi_Eans!$K:$K,"&gt;31/12/2021",E_Suivi_Eans!$K:$K,"&lt;01/10/2022")</f>
        <v>0</v>
      </c>
      <c r="E25" s="21">
        <f>COUNTIFS(E_Suivi_Eans!$C:$C,"02/2022",E_Suivi_Eans!$D:$D,"Taxes Boissons",E_Suivi_Eans!$J:$J,"Abandon",E_Suivi_Eans!$K:$K,"&gt;31/12/2021",E_Suivi_Eans!K:K,"&lt;01/10/2022")</f>
        <v>0</v>
      </c>
      <c r="F25" s="21">
        <f>COUNTIFS(E_Suivi_Eans!$C:$C,"02/2022",E_Suivi_Eans!$D:$D,"Taxes Boissons")</f>
        <v>0</v>
      </c>
      <c r="G25" s="21">
        <f t="shared" si="4"/>
        <v>0</v>
      </c>
      <c r="J25" s="20" t="s">
        <v>5315</v>
      </c>
      <c r="K25" s="20" t="s">
        <v>5325</v>
      </c>
      <c r="L25" s="28" t="e">
        <f t="shared" si="5"/>
        <v>#DIV/0!</v>
      </c>
      <c r="M25" s="28" t="e">
        <f t="shared" si="5"/>
        <v>#DIV/0!</v>
      </c>
      <c r="N25" s="28" t="e">
        <f t="shared" si="5"/>
        <v>#DIV/0!</v>
      </c>
      <c r="O25" s="28">
        <v>1</v>
      </c>
      <c r="P25" s="28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COUNTIFS(E_Suivi_Eans!$C:$C,"02/2022",E_Suivi_Eans!$D:$D,"Taxes Boissons",E_Suivi_Eans!$J:$J,"Retour OK",E_Suivi_Eans!$K:$K,"&gt;31/12/2021",E_Suivi_Eans!K:K,"&lt;01/11/2022")</f>
        <v>0</v>
      </c>
      <c r="D26" s="21">
        <f>COUNTIFS(E_Suivi_Eans!$C:$C,"02/2022",E_Suivi_Eans!$D:$D,"Taxes Boissons",E_Suivi_Eans!$J:$J,"Rejet 0",E_Suivi_Eans!$K:$K,"&gt;31/12/2021",E_Suivi_Eans!$K:$K,"&lt;01/11/2022")+ COUNTIFS(E_Suivi_Eans!$C:$C,"02/2022",E_Suivi_Eans!$D:$D,"Taxes Boissons",E_Suivi_Eans!$J:$J,"Rejet 1",E_Suivi_Eans!$K:$K,"&gt;31/12/2021",E_Suivi_Eans!$K:$K,"&lt;01/11/2022")+COUNTIFS(E_Suivi_Eans!$C:$C,"02/2022",E_Suivi_Eans!$D:$D,"Taxes Boissons",E_Suivi_Eans!$J:$J,"Rejet 2",E_Suivi_Eans!$K:$K,"&gt;31/12/2021",E_Suivi_Eans!$K:$K,"&lt;01/11/2022")+COUNTIFS(E_Suivi_Eans!$C:$C,"02/2022",E_Suivi_Eans!$D:$D,"Taxes Boissons",E_Suivi_Eans!$J:$J,"Rejet 3",E_Suivi_Eans!$K:$K,"&gt;31/12/2021",E_Suivi_Eans!$K:$K,"&lt;01/11/2022")+ COUNTIFS(E_Suivi_Eans!$C:$C,"02/2022",E_Suivi_Eans!$D:$D,"Taxes Boissons",E_Suivi_Eans!$J:$J,"Rejet 4",E_Suivi_Eans!$K:$K,"&gt;31/12/2021",E_Suivi_Eans!$K:$K,"&lt;01/11/2022")+COUNTIFS(E_Suivi_Eans!$C:$C,"02/2022",E_Suivi_Eans!$D:$D,"Taxes Boissons",E_Suivi_Eans!$J:$J,"Relance 1",E_Suivi_Eans!$K:$K,"&gt;31/12/2021",E_Suivi_Eans!$K:$K,"&lt;01/11/2022")+COUNTIFS(E_Suivi_Eans!$C:$C,"02/2022",E_Suivi_Eans!$D:$D,"Taxes Boissons",E_Suivi_Eans!$J:$J,"Relance 2",E_Suivi_Eans!$K:$K,"&gt;31/12/2021",E_Suivi_Eans!$K:$K,"&lt;01/11/2022")+COUNTIFS(E_Suivi_Eans!$C:$C,"02/2022",E_Suivi_Eans!$D:$D,"Taxes Boissons",E_Suivi_Eans!$J:$J,"Relance 3",E_Suivi_Eans!$K:$K,"&gt;31/12/2021",E_Suivi_Eans!$K:$K,"&lt;01/11/2022")</f>
        <v>0</v>
      </c>
      <c r="E26" s="21">
        <f>COUNTIFS(E_Suivi_Eans!$C:$C,"02/2022",E_Suivi_Eans!$D:$D,"Taxes Boissons",E_Suivi_Eans!$J:$J,"Abandon",E_Suivi_Eans!$K:$K,"&gt;31/12/2021",E_Suivi_Eans!K:K,"&lt;01/11/2022")</f>
        <v>0</v>
      </c>
      <c r="F26" s="21">
        <f>COUNTIFS(E_Suivi_Eans!$C:$C,"02/2022",E_Suivi_Eans!$D:$D,"Taxes Boissons")</f>
        <v>0</v>
      </c>
      <c r="G26" s="21">
        <f t="shared" si="4"/>
        <v>0</v>
      </c>
      <c r="J26" s="20" t="s">
        <v>5315</v>
      </c>
      <c r="K26" s="20" t="s">
        <v>5326</v>
      </c>
      <c r="L26" s="28" t="e">
        <f t="shared" si="5"/>
        <v>#DIV/0!</v>
      </c>
      <c r="M26" s="28" t="e">
        <f t="shared" si="5"/>
        <v>#DIV/0!</v>
      </c>
      <c r="N26" s="28" t="e">
        <f t="shared" si="5"/>
        <v>#DIV/0!</v>
      </c>
      <c r="O26" s="28">
        <v>1</v>
      </c>
      <c r="P26" s="28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COUNTIFS(E_Suivi_Eans!$C:$C,"02/2022",E_Suivi_Eans!$D:$D,"Taxes Boissons",E_Suivi_Eans!$J:$J,"Retour OK",E_Suivi_Eans!$K:$K,"&gt;31/12/2021",E_Suivi_Eans!K:K,"&lt;01/12/2022")</f>
        <v>0</v>
      </c>
      <c r="D27" s="21">
        <f>COUNTIFS(E_Suivi_Eans!$C:$C,"02/2022",E_Suivi_Eans!$D:$D,"Taxes Boissons",E_Suivi_Eans!$J:$J,"Rejet 0",E_Suivi_Eans!$K:$K,"&gt;31/12/2021",E_Suivi_Eans!$K:$K,"&lt;01/12/2022")+ COUNTIFS(E_Suivi_Eans!$C:$C,"02/2022",E_Suivi_Eans!$D:$D,"Taxes Boissons",E_Suivi_Eans!$J:$J,"Rejet 1",E_Suivi_Eans!$K:$K,"&gt;31/12/2021",E_Suivi_Eans!$K:$K,"&lt;01/12/2022")+COUNTIFS(E_Suivi_Eans!$C:$C,"02/2022",E_Suivi_Eans!$D:$D,"Taxes Boissons",E_Suivi_Eans!$J:$J,"Rejet 2",E_Suivi_Eans!$K:$K,"&gt;31/12/2021",E_Suivi_Eans!$K:$K,"&lt;01/12/2022")+COUNTIFS(E_Suivi_Eans!$C:$C,"02/2022",E_Suivi_Eans!$D:$D,"Taxes Boissons",E_Suivi_Eans!$J:$J,"Rejet 3",E_Suivi_Eans!$K:$K,"&gt;31/12/2021",E_Suivi_Eans!$K:$K,"&lt;01/12/2022")+ COUNTIFS(E_Suivi_Eans!$C:$C,"02/2022",E_Suivi_Eans!$D:$D,"Taxes Boissons",E_Suivi_Eans!$J:$J,"Rejet 4",E_Suivi_Eans!$K:$K,"&gt;31/12/2021",E_Suivi_Eans!$K:$K,"&lt;01/12/2022")+COUNTIFS(E_Suivi_Eans!$C:$C,"02/2022",E_Suivi_Eans!$D:$D,"Taxes Boissons",E_Suivi_Eans!$J:$J,"Relance 1",E_Suivi_Eans!$K:$K,"&gt;31/12/2021",E_Suivi_Eans!$K:$K,"&lt;01/12/2022")+COUNTIFS(E_Suivi_Eans!$C:$C,"02/2022",E_Suivi_Eans!$D:$D,"Taxes Boissons",E_Suivi_Eans!$J:$J,"Relance 2",E_Suivi_Eans!$K:$K,"&gt;31/12/2021",E_Suivi_Eans!$K:$K,"&lt;01/12/2022")+COUNTIFS(E_Suivi_Eans!$C:$C,"02/2022",E_Suivi_Eans!$D:$D,"Taxes Boissons",E_Suivi_Eans!$J:$J,"Relance 3",E_Suivi_Eans!$K:$K,"&gt;31/12/2021",E_Suivi_Eans!$K:$K,"&lt;01/12/2022")</f>
        <v>0</v>
      </c>
      <c r="E27" s="21">
        <f>COUNTIFS(E_Suivi_Eans!$C:$C,"02/2022",E_Suivi_Eans!$D:$D,"Taxes Boissons",E_Suivi_Eans!$J:$J,"Abandon",E_Suivi_Eans!$K:$K,"&gt;31/12/2021",E_Suivi_Eans!K:K,"&lt;01/12/2022")</f>
        <v>0</v>
      </c>
      <c r="F27" s="21">
        <f>COUNTIFS(E_Suivi_Eans!$C:$C,"02/2022",E_Suivi_Eans!$D:$D,"Taxes Boissons")</f>
        <v>0</v>
      </c>
      <c r="G27" s="21">
        <f t="shared" si="4"/>
        <v>0</v>
      </c>
      <c r="J27" s="20" t="s">
        <v>5315</v>
      </c>
      <c r="K27" s="20" t="s">
        <v>5327</v>
      </c>
      <c r="L27" s="28" t="e">
        <f t="shared" si="5"/>
        <v>#DIV/0!</v>
      </c>
      <c r="M27" s="28" t="e">
        <f t="shared" si="5"/>
        <v>#DIV/0!</v>
      </c>
      <c r="N27" s="28" t="e">
        <f t="shared" si="5"/>
        <v>#DIV/0!</v>
      </c>
      <c r="O27" s="28">
        <v>1</v>
      </c>
      <c r="P27" s="28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8"/>
      <c r="P28" s="28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5"/>
      <c r="F29" s="25"/>
      <c r="G29" s="25"/>
      <c r="J29" s="22"/>
      <c r="K29" s="22"/>
      <c r="L29" s="23"/>
      <c r="M29" s="24"/>
      <c r="N29" s="25"/>
      <c r="O29" s="31"/>
      <c r="P29" s="31"/>
      <c r="S29" s="22"/>
      <c r="T29" s="22"/>
      <c r="U29" s="23"/>
      <c r="V29" s="24"/>
      <c r="W29" s="25"/>
      <c r="X29" s="25"/>
      <c r="Y29" s="25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8"/>
      <c r="P30" s="28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8"/>
      <c r="P31" s="28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COUNTIFS(E_Suivi_Eans!$C:$C,"03/2022",E_Suivi_Eans!$D:$D,"Taxes Boissons",E_Suivi_Eans!$J:$J,"Retour OK",E_Suivi_Eans!$K:$K,"&gt;31/12/2021",E_Suivi_Eans!K:K,"&lt;01/04/2022")</f>
        <v>0</v>
      </c>
      <c r="D32" s="21">
        <f>COUNTIFS(E_Suivi_Eans!$C:$C,"03/2022",E_Suivi_Eans!$D:$D,"Taxes Boissons",E_Suivi_Eans!$J:$J,"Rejet 0",E_Suivi_Eans!$K:$K,"&gt;31/12/2021",E_Suivi_Eans!$K:$K,"&lt;01/04/2022")+ COUNTIFS(E_Suivi_Eans!$C:$C,"03/2022",E_Suivi_Eans!$D:$D,"Taxes Boissons",E_Suivi_Eans!$J:$J,"Rejet 1",E_Suivi_Eans!$K:$K,"&gt;31/12/2021",E_Suivi_Eans!$K:$K,"&lt;01/04/2022")+COUNTIFS(E_Suivi_Eans!$C:$C,"03/2022",E_Suivi_Eans!$D:$D,"Taxes Boissons",E_Suivi_Eans!$J:$J,"Rejet 2",E_Suivi_Eans!$K:$K,"&gt;31/12/2021",E_Suivi_Eans!$K:$K,"&lt;01/04/2022")+COUNTIFS(E_Suivi_Eans!$C:$C,"03/2022",E_Suivi_Eans!$D:$D,"Taxes Boissons",E_Suivi_Eans!$J:$J,"Rejet 3",E_Suivi_Eans!$K:$K,"&gt;31/12/2021",E_Suivi_Eans!$K:$K,"&lt;01/04/2022")+ COUNTIFS(E_Suivi_Eans!$C:$C,"03/2022",E_Suivi_Eans!$D:$D,"Taxes Boissons",E_Suivi_Eans!$J:$J,"Rejet 4",E_Suivi_Eans!$K:$K,"&gt;31/12/2021",E_Suivi_Eans!$K:$K,"&lt;01/04/2022")+COUNTIFS(E_Suivi_Eans!$C:$C,"03/2022",E_Suivi_Eans!$D:$D,"Taxes Boissons",E_Suivi_Eans!$J:$J,"Relance 1",E_Suivi_Eans!$K:$K,"&gt;31/12/2021",E_Suivi_Eans!$K:$K,"&lt;01/04/2022")+COUNTIFS(E_Suivi_Eans!$C:$C,"03/2022",E_Suivi_Eans!$D:$D,"Taxes Boissons",E_Suivi_Eans!$J:$J,"Relance 2",E_Suivi_Eans!$K:$K,"&gt;31/12/2021",E_Suivi_Eans!$K:$K,"&lt;01/04/2022")+COUNTIFS(E_Suivi_Eans!$C:$C,"03/2022",E_Suivi_Eans!$D:$D,"Taxes Boissons",E_Suivi_Eans!$J:$J,"Relance 3",E_Suivi_Eans!$K:$K,"&gt;31/12/2021",E_Suivi_Eans!$K:$K,"&lt;01/04/2022")</f>
        <v>0</v>
      </c>
      <c r="E32" s="21">
        <f>COUNTIFS(E_Suivi_Eans!$C:$C,"03/2022",E_Suivi_Eans!$D:$D,"Taxes Boissons",E_Suivi_Eans!$J:$J,"Abandon",E_Suivi_Eans!$K:$K,"&gt;31/12/2021",E_Suivi_Eans!K:K,"&lt;01/04/2022")</f>
        <v>0</v>
      </c>
      <c r="F32" s="21">
        <f>COUNTIFS(E_Suivi_Eans!$C:$C,"03/2022",E_Suivi_Eans!$D:$D,"Taxes Boissons")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8" t="e">
        <f t="shared" ref="L32:N40" si="7">C32/$G32</f>
        <v>#DIV/0!</v>
      </c>
      <c r="M32" s="28" t="e">
        <f t="shared" si="7"/>
        <v>#DIV/0!</v>
      </c>
      <c r="N32" s="28" t="e">
        <f t="shared" si="7"/>
        <v>#DIV/0!</v>
      </c>
      <c r="O32" s="28">
        <v>1</v>
      </c>
      <c r="P32" s="28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COUNTIFS(E_Suivi_Eans!$C:$C,"03/2022",E_Suivi_Eans!$D:$D,"Taxes Boissons",E_Suivi_Eans!$J:$J,"Retour OK",E_Suivi_Eans!$K:$K,"&gt;31/12/2021",E_Suivi_Eans!K:K,"&lt;01/05/2022")</f>
        <v>0</v>
      </c>
      <c r="D33" s="21">
        <f>COUNTIFS(E_Suivi_Eans!$C:$C,"03/2022",E_Suivi_Eans!$D:$D,"Taxes Boissons",E_Suivi_Eans!$J:$J,"Rejet 0",E_Suivi_Eans!$K:$K,"&gt;31/12/2021",E_Suivi_Eans!$K:$K,"&lt;01/05/2022")+ COUNTIFS(E_Suivi_Eans!$C:$C,"03/2022",E_Suivi_Eans!$D:$D,"Taxes Boissons",E_Suivi_Eans!$J:$J,"Rejet 1",E_Suivi_Eans!$K:$K,"&gt;31/12/2021",E_Suivi_Eans!$K:$K,"&lt;01/05/2022")+COUNTIFS(E_Suivi_Eans!$C:$C,"03/2022",E_Suivi_Eans!$D:$D,"Taxes Boissons",E_Suivi_Eans!$J:$J,"Rejet 2",E_Suivi_Eans!$K:$K,"&gt;31/12/2021",E_Suivi_Eans!$K:$K,"&lt;01/05/2022")+COUNTIFS(E_Suivi_Eans!$C:$C,"03/2022",E_Suivi_Eans!$D:$D,"Taxes Boissons",E_Suivi_Eans!$J:$J,"Rejet 3",E_Suivi_Eans!$K:$K,"&gt;31/12/2021",E_Suivi_Eans!$K:$K,"&lt;01/05/2022")+ COUNTIFS(E_Suivi_Eans!$C:$C,"03/2022",E_Suivi_Eans!$D:$D,"Taxes Boissons",E_Suivi_Eans!$J:$J,"Rejet 4",E_Suivi_Eans!$K:$K,"&gt;31/12/2021",E_Suivi_Eans!$K:$K,"&lt;01/05/2022")+COUNTIFS(E_Suivi_Eans!$C:$C,"03/2022",E_Suivi_Eans!$D:$D,"Taxes Boissons",E_Suivi_Eans!$J:$J,"Relance 1",E_Suivi_Eans!$K:$K,"&gt;31/12/2021",E_Suivi_Eans!$K:$K,"&lt;01/05/2022")+COUNTIFS(E_Suivi_Eans!$C:$C,"03/2022",E_Suivi_Eans!$D:$D,"Taxes Boissons",E_Suivi_Eans!$J:$J,"Relance 2",E_Suivi_Eans!$K:$K,"&gt;31/12/2021",E_Suivi_Eans!$K:$K,"&lt;01/05/2022")+COUNTIFS(E_Suivi_Eans!$C:$C,"03/2022",E_Suivi_Eans!$D:$D,"Taxes Boissons",E_Suivi_Eans!$J:$J,"Relance 3",E_Suivi_Eans!$K:$K,"&gt;31/12/2021",E_Suivi_Eans!$K:$K,"&lt;01/05/2022")</f>
        <v>0</v>
      </c>
      <c r="E33" s="21">
        <f>COUNTIFS(E_Suivi_Eans!$C:$C,"03/2022",E_Suivi_Eans!$D:$D,"Taxes Boissons",E_Suivi_Eans!$J:$J,"Abandon",E_Suivi_Eans!$K:$K,"&gt;31/12/2021",E_Suivi_Eans!K:K,"&lt;01/05/2022")</f>
        <v>0</v>
      </c>
      <c r="F33" s="21">
        <f>COUNTIFS(E_Suivi_Eans!$C:$C,"03/2022",E_Suivi_Eans!$D:$D,"Taxes Boissons")</f>
        <v>0</v>
      </c>
      <c r="G33" s="21">
        <f t="shared" si="6"/>
        <v>0</v>
      </c>
      <c r="J33" s="20" t="s">
        <v>5316</v>
      </c>
      <c r="K33" s="20" t="s">
        <v>5317</v>
      </c>
      <c r="L33" s="28" t="e">
        <f t="shared" si="7"/>
        <v>#DIV/0!</v>
      </c>
      <c r="M33" s="28" t="e">
        <f t="shared" si="7"/>
        <v>#DIV/0!</v>
      </c>
      <c r="N33" s="28" t="e">
        <f t="shared" si="7"/>
        <v>#DIV/0!</v>
      </c>
      <c r="O33" s="28">
        <v>1</v>
      </c>
      <c r="P33" s="28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COUNTIFS(E_Suivi_Eans!$C:$C,"03/2022",E_Suivi_Eans!$D:$D,"Taxes Boissons",E_Suivi_Eans!$J:$J,"Retour OK",E_Suivi_Eans!$K:$K,"&gt;31/12/2021",E_Suivi_Eans!K:K,"&lt;01/06/2022")</f>
        <v>0</v>
      </c>
      <c r="D34" s="21">
        <f>COUNTIFS(E_Suivi_Eans!$C:$C,"03/2022",E_Suivi_Eans!$D:$D,"Taxes Boissons",E_Suivi_Eans!$J:$J,"Rejet 0",E_Suivi_Eans!$K:$K,"&gt;31/12/2021",E_Suivi_Eans!$K:$K,"&lt;01/06/2022")+ COUNTIFS(E_Suivi_Eans!$C:$C,"03/2022",E_Suivi_Eans!$D:$D,"Taxes Boissons",E_Suivi_Eans!$J:$J,"Rejet 1",E_Suivi_Eans!$K:$K,"&gt;31/12/2021",E_Suivi_Eans!$K:$K,"&lt;01/06/2022")+COUNTIFS(E_Suivi_Eans!$C:$C,"03/2022",E_Suivi_Eans!$D:$D,"Taxes Boissons",E_Suivi_Eans!$J:$J,"Rejet 2",E_Suivi_Eans!$K:$K,"&gt;31/12/2021",E_Suivi_Eans!$K:$K,"&lt;01/06/2022")+COUNTIFS(E_Suivi_Eans!$C:$C,"03/2022",E_Suivi_Eans!$D:$D,"Taxes Boissons",E_Suivi_Eans!$J:$J,"Rejet 3",E_Suivi_Eans!$K:$K,"&gt;31/12/2021",E_Suivi_Eans!$K:$K,"&lt;01/06/2022")+ COUNTIFS(E_Suivi_Eans!$C:$C,"03/2022",E_Suivi_Eans!$D:$D,"Taxes Boissons",E_Suivi_Eans!$J:$J,"Rejet 4",E_Suivi_Eans!$K:$K,"&gt;31/12/2021",E_Suivi_Eans!$K:$K,"&lt;01/06/2022")+COUNTIFS(E_Suivi_Eans!$C:$C,"03/2022",E_Suivi_Eans!$D:$D,"Taxes Boissons",E_Suivi_Eans!$J:$J,"Relance 1",E_Suivi_Eans!$K:$K,"&gt;31/12/2021",E_Suivi_Eans!$K:$K,"&lt;01/06/2022")+COUNTIFS(E_Suivi_Eans!$C:$C,"03/2022",E_Suivi_Eans!$D:$D,"Taxes Boissons",E_Suivi_Eans!$J:$J,"Relance 2",E_Suivi_Eans!$K:$K,"&gt;31/12/2021",E_Suivi_Eans!$K:$K,"&lt;01/06/2022")+COUNTIFS(E_Suivi_Eans!$C:$C,"03/2022",E_Suivi_Eans!$D:$D,"Taxes Boissons",E_Suivi_Eans!$J:$J,"Relance 3",E_Suivi_Eans!$K:$K,"&gt;31/12/2021",E_Suivi_Eans!$K:$K,"&lt;01/06/2022")</f>
        <v>0</v>
      </c>
      <c r="E34" s="21">
        <f>COUNTIFS(E_Suivi_Eans!$C:$C,"03/2022",E_Suivi_Eans!$D:$D,"Taxes Boissons",E_Suivi_Eans!$J:$J,"Abandon",E_Suivi_Eans!$K:$K,"&gt;31/12/2021",E_Suivi_Eans!K:K,"&lt;01/06/2022")</f>
        <v>0</v>
      </c>
      <c r="F34" s="21">
        <f>COUNTIFS(E_Suivi_Eans!$C:$C,"03/2022",E_Suivi_Eans!$D:$D,"Taxes Boissons")</f>
        <v>0</v>
      </c>
      <c r="G34" s="21">
        <f t="shared" si="6"/>
        <v>0</v>
      </c>
      <c r="J34" s="20" t="s">
        <v>5316</v>
      </c>
      <c r="K34" s="20" t="s">
        <v>5318</v>
      </c>
      <c r="L34" s="28" t="e">
        <f t="shared" si="7"/>
        <v>#DIV/0!</v>
      </c>
      <c r="M34" s="28" t="e">
        <f t="shared" si="7"/>
        <v>#DIV/0!</v>
      </c>
      <c r="N34" s="28" t="e">
        <f t="shared" si="7"/>
        <v>#DIV/0!</v>
      </c>
      <c r="O34" s="28">
        <v>1</v>
      </c>
      <c r="P34" s="28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COUNTIFS(E_Suivi_Eans!$C:$C,"03/2022",E_Suivi_Eans!$D:$D,"Taxes Boissons",E_Suivi_Eans!$J:$J,"Retour OK",E_Suivi_Eans!$K:$K,"&gt;31/12/2021",E_Suivi_Eans!K:K,"&lt;01/07/2022")</f>
        <v>0</v>
      </c>
      <c r="D35" s="21">
        <f>COUNTIFS(E_Suivi_Eans!$C:$C,"03/2022",E_Suivi_Eans!$D:$D,"Taxes Boissons",E_Suivi_Eans!$J:$J,"Rejet 0",E_Suivi_Eans!$K:$K,"&gt;31/12/2021",E_Suivi_Eans!$K:$K,"&lt;01/07/2022")+ COUNTIFS(E_Suivi_Eans!$C:$C,"03/2022",E_Suivi_Eans!$D:$D,"Taxes Boissons",E_Suivi_Eans!$J:$J,"Rejet 1",E_Suivi_Eans!$K:$K,"&gt;31/12/2021",E_Suivi_Eans!$K:$K,"&lt;01/07/2022")+COUNTIFS(E_Suivi_Eans!$C:$C,"03/2022",E_Suivi_Eans!$D:$D,"Taxes Boissons",E_Suivi_Eans!$J:$J,"Rejet 2",E_Suivi_Eans!$K:$K,"&gt;31/12/2021",E_Suivi_Eans!$K:$K,"&lt;01/07/2022")+COUNTIFS(E_Suivi_Eans!$C:$C,"03/2022",E_Suivi_Eans!$D:$D,"Taxes Boissons",E_Suivi_Eans!$J:$J,"Rejet 3",E_Suivi_Eans!$K:$K,"&gt;31/12/2021",E_Suivi_Eans!$K:$K,"&lt;01/07/2022")+ COUNTIFS(E_Suivi_Eans!$C:$C,"03/2022",E_Suivi_Eans!$D:$D,"Taxes Boissons",E_Suivi_Eans!$J:$J,"Rejet 4",E_Suivi_Eans!$K:$K,"&gt;31/12/2021",E_Suivi_Eans!$K:$K,"&lt;01/07/2022")+COUNTIFS(E_Suivi_Eans!$C:$C,"03/2022",E_Suivi_Eans!$D:$D,"Taxes Boissons",E_Suivi_Eans!$J:$J,"Relance 1",E_Suivi_Eans!$K:$K,"&gt;31/12/2021",E_Suivi_Eans!$K:$K,"&lt;01/07/2022")+COUNTIFS(E_Suivi_Eans!$C:$C,"03/2022",E_Suivi_Eans!$D:$D,"Taxes Boissons",E_Suivi_Eans!$J:$J,"Relance 2",E_Suivi_Eans!$K:$K,"&gt;31/12/2021",E_Suivi_Eans!$K:$K,"&lt;01/07/2022")+COUNTIFS(E_Suivi_Eans!$C:$C,"03/2022",E_Suivi_Eans!$D:$D,"Taxes Boissons",E_Suivi_Eans!$J:$J,"Relance 3",E_Suivi_Eans!$K:$K,"&gt;31/12/2021",E_Suivi_Eans!$K:$K,"&lt;01/07/2022")</f>
        <v>0</v>
      </c>
      <c r="E35" s="21">
        <f>COUNTIFS(E_Suivi_Eans!$C:$C,"03/2022",E_Suivi_Eans!$D:$D,"Taxes Boissons",E_Suivi_Eans!$J:$J,"Abandon",E_Suivi_Eans!$K:$K,"&gt;31/12/2021",E_Suivi_Eans!K:K,"&lt;01/07/2022")</f>
        <v>0</v>
      </c>
      <c r="F35" s="21">
        <f>COUNTIFS(E_Suivi_Eans!$C:$C,"03/2022",E_Suivi_Eans!$D:$D,"Taxes Boissons")</f>
        <v>0</v>
      </c>
      <c r="G35" s="21">
        <f t="shared" si="6"/>
        <v>0</v>
      </c>
      <c r="J35" s="20" t="s">
        <v>5316</v>
      </c>
      <c r="K35" s="20" t="s">
        <v>5319</v>
      </c>
      <c r="L35" s="28" t="e">
        <f t="shared" si="7"/>
        <v>#DIV/0!</v>
      </c>
      <c r="M35" s="28" t="e">
        <f t="shared" si="7"/>
        <v>#DIV/0!</v>
      </c>
      <c r="N35" s="28" t="e">
        <f t="shared" si="7"/>
        <v>#DIV/0!</v>
      </c>
      <c r="O35" s="28">
        <v>1</v>
      </c>
      <c r="P35" s="28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COUNTIFS(E_Suivi_Eans!$C:$C,"03/2022",E_Suivi_Eans!$D:$D,"Taxes Boissons",E_Suivi_Eans!$J:$J,"Retour OK",E_Suivi_Eans!$K:$K,"&gt;31/12/2021",E_Suivi_Eans!K:K,"&lt;01/08/2022")</f>
        <v>0</v>
      </c>
      <c r="D36" s="21">
        <f>COUNTIFS(E_Suivi_Eans!$C:$C,"03/2022",E_Suivi_Eans!$D:$D,"Taxes Boissons",E_Suivi_Eans!$J:$J,"Rejet 0",E_Suivi_Eans!$K:$K,"&gt;31/12/2021",E_Suivi_Eans!$K:$K,"&lt;01/08/2022")+ COUNTIFS(E_Suivi_Eans!$C:$C,"03/2022",E_Suivi_Eans!$D:$D,"Taxes Boissons",E_Suivi_Eans!$J:$J,"Rejet 1",E_Suivi_Eans!$K:$K,"&gt;31/12/2021",E_Suivi_Eans!$K:$K,"&lt;01/08/2022")+COUNTIFS(E_Suivi_Eans!$C:$C,"03/2022",E_Suivi_Eans!$D:$D,"Taxes Boissons",E_Suivi_Eans!$J:$J,"Rejet 2",E_Suivi_Eans!$K:$K,"&gt;31/12/2021",E_Suivi_Eans!$K:$K,"&lt;01/08/2022")+COUNTIFS(E_Suivi_Eans!$C:$C,"03/2022",E_Suivi_Eans!$D:$D,"Taxes Boissons",E_Suivi_Eans!$J:$J,"Rejet 3",E_Suivi_Eans!$K:$K,"&gt;31/12/2021",E_Suivi_Eans!$K:$K,"&lt;01/08/2022")+ COUNTIFS(E_Suivi_Eans!$C:$C,"03/2022",E_Suivi_Eans!$D:$D,"Taxes Boissons",E_Suivi_Eans!$J:$J,"Rejet 4",E_Suivi_Eans!$K:$K,"&gt;31/12/2021",E_Suivi_Eans!$K:$K,"&lt;01/08/2022")+COUNTIFS(E_Suivi_Eans!$C:$C,"03/2022",E_Suivi_Eans!$D:$D,"Taxes Boissons",E_Suivi_Eans!$J:$J,"Relance 1",E_Suivi_Eans!$K:$K,"&gt;31/12/2021",E_Suivi_Eans!$K:$K,"&lt;01/08/2022")+COUNTIFS(E_Suivi_Eans!$C:$C,"03/2022",E_Suivi_Eans!$D:$D,"Taxes Boissons",E_Suivi_Eans!$J:$J,"Relance 2",E_Suivi_Eans!$K:$K,"&gt;31/12/2021",E_Suivi_Eans!$K:$K,"&lt;01/08/2022")+COUNTIFS(E_Suivi_Eans!$C:$C,"03/2022",E_Suivi_Eans!$D:$D,"Taxes Boissons",E_Suivi_Eans!$J:$J,"Relance 3",E_Suivi_Eans!$K:$K,"&gt;31/12/2021",E_Suivi_Eans!$K:$K,"&lt;01/08/2022")</f>
        <v>0</v>
      </c>
      <c r="E36" s="21">
        <f>COUNTIFS(E_Suivi_Eans!$C:$C,"03/2022",E_Suivi_Eans!$D:$D,"Taxes Boissons",E_Suivi_Eans!$J:$J,"Abandon",E_Suivi_Eans!$K:$K,"&gt;31/12/2021",E_Suivi_Eans!K:K,"&lt;01/08/2022")</f>
        <v>0</v>
      </c>
      <c r="F36" s="21">
        <f>COUNTIFS(E_Suivi_Eans!$C:$C,"03/2022",E_Suivi_Eans!$D:$D,"Taxes Boissons")</f>
        <v>0</v>
      </c>
      <c r="G36" s="21">
        <f t="shared" si="6"/>
        <v>0</v>
      </c>
      <c r="J36" s="20" t="s">
        <v>5316</v>
      </c>
      <c r="K36" s="20" t="s">
        <v>5320</v>
      </c>
      <c r="L36" s="28" t="e">
        <f t="shared" si="7"/>
        <v>#DIV/0!</v>
      </c>
      <c r="M36" s="28" t="e">
        <f t="shared" si="7"/>
        <v>#DIV/0!</v>
      </c>
      <c r="N36" s="28" t="e">
        <f t="shared" si="7"/>
        <v>#DIV/0!</v>
      </c>
      <c r="O36" s="28">
        <v>1</v>
      </c>
      <c r="P36" s="28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COUNTIFS(E_Suivi_Eans!$C:$C,"03/2022",E_Suivi_Eans!$D:$D,"Taxes Boissons",E_Suivi_Eans!$J:$J,"Retour OK",E_Suivi_Eans!$K:$K,"&gt;31/12/2021",E_Suivi_Eans!K:K,"&lt;01/09/2022")</f>
        <v>0</v>
      </c>
      <c r="D37" s="21">
        <f>COUNTIFS(E_Suivi_Eans!$C:$C,"03/2022",E_Suivi_Eans!$D:$D,"Taxes Boissons",E_Suivi_Eans!$J:$J,"Rejet 0",E_Suivi_Eans!$K:$K,"&gt;31/12/2021",E_Suivi_Eans!$K:$K,"&lt;01/09/2022")+ COUNTIFS(E_Suivi_Eans!$C:$C,"03/2022",E_Suivi_Eans!$D:$D,"Taxes Boissons",E_Suivi_Eans!$J:$J,"Rejet 1",E_Suivi_Eans!$K:$K,"&gt;31/12/2021",E_Suivi_Eans!$K:$K,"&lt;01/09/2022")+COUNTIFS(E_Suivi_Eans!$C:$C,"03/2022",E_Suivi_Eans!$D:$D,"Taxes Boissons",E_Suivi_Eans!$J:$J,"Rejet 2",E_Suivi_Eans!$K:$K,"&gt;31/12/2021",E_Suivi_Eans!$K:$K,"&lt;01/09/2022")+COUNTIFS(E_Suivi_Eans!$C:$C,"03/2022",E_Suivi_Eans!$D:$D,"Taxes Boissons",E_Suivi_Eans!$J:$J,"Rejet 3",E_Suivi_Eans!$K:$K,"&gt;31/12/2021",E_Suivi_Eans!$K:$K,"&lt;01/09/2022")+ COUNTIFS(E_Suivi_Eans!$C:$C,"03/2022",E_Suivi_Eans!$D:$D,"Taxes Boissons",E_Suivi_Eans!$J:$J,"Rejet 4",E_Suivi_Eans!$K:$K,"&gt;31/12/2021",E_Suivi_Eans!$K:$K,"&lt;01/09/2022")+COUNTIFS(E_Suivi_Eans!$C:$C,"03/2022",E_Suivi_Eans!$D:$D,"Taxes Boissons",E_Suivi_Eans!$J:$J,"Relance 1",E_Suivi_Eans!$K:$K,"&gt;31/12/2021",E_Suivi_Eans!$K:$K,"&lt;01/09/2022")+COUNTIFS(E_Suivi_Eans!$C:$C,"03/2022",E_Suivi_Eans!$D:$D,"Taxes Boissons",E_Suivi_Eans!$J:$J,"Relance 2",E_Suivi_Eans!$K:$K,"&gt;31/12/2021",E_Suivi_Eans!$K:$K,"&lt;01/09/2022")+COUNTIFS(E_Suivi_Eans!$C:$C,"03/2022",E_Suivi_Eans!$D:$D,"Taxes Boissons",E_Suivi_Eans!$J:$J,"Relance 3",E_Suivi_Eans!$K:$K,"&gt;31/12/2021",E_Suivi_Eans!$K:$K,"&lt;01/09/2022")</f>
        <v>0</v>
      </c>
      <c r="E37" s="21">
        <f>COUNTIFS(E_Suivi_Eans!$C:$C,"03/2022",E_Suivi_Eans!$D:$D,"Taxes Boissons",E_Suivi_Eans!$J:$J,"Abandon",E_Suivi_Eans!$K:$K,"&gt;31/12/2021",E_Suivi_Eans!K:K,"&lt;01/09/2022")</f>
        <v>0</v>
      </c>
      <c r="F37" s="21">
        <f>COUNTIFS(E_Suivi_Eans!$C:$C,"03/2022",E_Suivi_Eans!$D:$D,"Taxes Boissons")</f>
        <v>0</v>
      </c>
      <c r="G37" s="21">
        <f t="shared" si="6"/>
        <v>0</v>
      </c>
      <c r="J37" s="20" t="s">
        <v>5316</v>
      </c>
      <c r="K37" s="20" t="s">
        <v>5321</v>
      </c>
      <c r="L37" s="28" t="e">
        <f t="shared" si="7"/>
        <v>#DIV/0!</v>
      </c>
      <c r="M37" s="28" t="e">
        <f t="shared" si="7"/>
        <v>#DIV/0!</v>
      </c>
      <c r="N37" s="28" t="e">
        <f t="shared" si="7"/>
        <v>#DIV/0!</v>
      </c>
      <c r="O37" s="28">
        <v>1</v>
      </c>
      <c r="P37" s="28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COUNTIFS(E_Suivi_Eans!$C:$C,"03/2022",E_Suivi_Eans!$D:$D,"Taxes Boissons",E_Suivi_Eans!$J:$J,"Retour OK",E_Suivi_Eans!$K:$K,"&gt;31/12/2021",E_Suivi_Eans!K:K,"&lt;01/10/2022")</f>
        <v>0</v>
      </c>
      <c r="D38" s="21">
        <f>COUNTIFS(E_Suivi_Eans!$C:$C,"03/2022",E_Suivi_Eans!$D:$D,"Taxes Boissons",E_Suivi_Eans!$J:$J,"Rejet 0",E_Suivi_Eans!$K:$K,"&gt;31/12/2021",E_Suivi_Eans!$K:$K,"&lt;01/10/2022")+ COUNTIFS(E_Suivi_Eans!$C:$C,"03/2022",E_Suivi_Eans!$D:$D,"Taxes Boissons",E_Suivi_Eans!$J:$J,"Rejet 1",E_Suivi_Eans!$K:$K,"&gt;31/12/2021",E_Suivi_Eans!$K:$K,"&lt;01/10/2022")+COUNTIFS(E_Suivi_Eans!$C:$C,"03/2022",E_Suivi_Eans!$D:$D,"Taxes Boissons",E_Suivi_Eans!$J:$J,"Rejet 2",E_Suivi_Eans!$K:$K,"&gt;31/12/2021",E_Suivi_Eans!$K:$K,"&lt;01/10/2022")+COUNTIFS(E_Suivi_Eans!$C:$C,"03/2022",E_Suivi_Eans!$D:$D,"Taxes Boissons",E_Suivi_Eans!$J:$J,"Rejet 3",E_Suivi_Eans!$K:$K,"&gt;31/12/2021",E_Suivi_Eans!$K:$K,"&lt;01/10/2022")+ COUNTIFS(E_Suivi_Eans!$C:$C,"03/2022",E_Suivi_Eans!$D:$D,"Taxes Boissons",E_Suivi_Eans!$J:$J,"Rejet 4",E_Suivi_Eans!$K:$K,"&gt;31/12/2021",E_Suivi_Eans!$K:$K,"&lt;01/10/2022")+COUNTIFS(E_Suivi_Eans!$C:$C,"03/2022",E_Suivi_Eans!$D:$D,"Taxes Boissons",E_Suivi_Eans!$J:$J,"Relance 1",E_Suivi_Eans!$K:$K,"&gt;31/12/2021",E_Suivi_Eans!$K:$K,"&lt;01/10/2022")+COUNTIFS(E_Suivi_Eans!$C:$C,"03/2022",E_Suivi_Eans!$D:$D,"Taxes Boissons",E_Suivi_Eans!$J:$J,"Relance 2",E_Suivi_Eans!$K:$K,"&gt;31/12/2021",E_Suivi_Eans!$K:$K,"&lt;01/10/2022")+COUNTIFS(E_Suivi_Eans!$C:$C,"03/2022",E_Suivi_Eans!$D:$D,"Taxes Boissons",E_Suivi_Eans!$J:$J,"Relance 3",E_Suivi_Eans!$K:$K,"&gt;31/12/2021",E_Suivi_Eans!$K:$K,"&lt;01/10/2022")</f>
        <v>0</v>
      </c>
      <c r="E38" s="21">
        <f>COUNTIFS(E_Suivi_Eans!$C:$C,"03/2022",E_Suivi_Eans!$D:$D,"Taxes Boissons",E_Suivi_Eans!$J:$J,"Abandon",E_Suivi_Eans!$K:$K,"&gt;31/12/2021",E_Suivi_Eans!K:K,"&lt;01/10/2022")</f>
        <v>0</v>
      </c>
      <c r="F38" s="21">
        <f>COUNTIFS(E_Suivi_Eans!$C:$C,"03/2022",E_Suivi_Eans!$D:$D,"Taxes Boissons")</f>
        <v>0</v>
      </c>
      <c r="G38" s="21">
        <f t="shared" si="6"/>
        <v>0</v>
      </c>
      <c r="J38" s="20" t="s">
        <v>5316</v>
      </c>
      <c r="K38" s="20" t="s">
        <v>5325</v>
      </c>
      <c r="L38" s="28" t="e">
        <f t="shared" si="7"/>
        <v>#DIV/0!</v>
      </c>
      <c r="M38" s="28" t="e">
        <f t="shared" si="7"/>
        <v>#DIV/0!</v>
      </c>
      <c r="N38" s="28" t="e">
        <f t="shared" si="7"/>
        <v>#DIV/0!</v>
      </c>
      <c r="O38" s="28">
        <v>1</v>
      </c>
      <c r="P38" s="28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COUNTIFS(E_Suivi_Eans!$C:$C,"03/2022",E_Suivi_Eans!$D:$D,"Taxes Boissons",E_Suivi_Eans!$J:$J,"Retour OK",E_Suivi_Eans!$K:$K,"&gt;31/12/2021",E_Suivi_Eans!K:K,"&lt;01/11/2022")</f>
        <v>0</v>
      </c>
      <c r="D39" s="21">
        <f>COUNTIFS(E_Suivi_Eans!$C:$C,"03/2022",E_Suivi_Eans!$D:$D,"Taxes Boissons",E_Suivi_Eans!$J:$J,"Rejet 0",E_Suivi_Eans!$K:$K,"&gt;31/12/2021",E_Suivi_Eans!$K:$K,"&lt;01/11/2022")+ COUNTIFS(E_Suivi_Eans!$C:$C,"03/2022",E_Suivi_Eans!$D:$D,"Taxes Boissons",E_Suivi_Eans!$J:$J,"Rejet 1",E_Suivi_Eans!$K:$K,"&gt;31/12/2021",E_Suivi_Eans!$K:$K,"&lt;01/11/2022")+COUNTIFS(E_Suivi_Eans!$C:$C,"03/2022",E_Suivi_Eans!$D:$D,"Taxes Boissons",E_Suivi_Eans!$J:$J,"Rejet 2",E_Suivi_Eans!$K:$K,"&gt;31/12/2021",E_Suivi_Eans!$K:$K,"&lt;01/11/2022")+COUNTIFS(E_Suivi_Eans!$C:$C,"03/2022",E_Suivi_Eans!$D:$D,"Taxes Boissons",E_Suivi_Eans!$J:$J,"Rejet 3",E_Suivi_Eans!$K:$K,"&gt;31/12/2021",E_Suivi_Eans!$K:$K,"&lt;01/11/2022")+ COUNTIFS(E_Suivi_Eans!$C:$C,"03/2022",E_Suivi_Eans!$D:$D,"Taxes Boissons",E_Suivi_Eans!$J:$J,"Rejet 4",E_Suivi_Eans!$K:$K,"&gt;31/12/2021",E_Suivi_Eans!$K:$K,"&lt;01/11/2022")+COUNTIFS(E_Suivi_Eans!$C:$C,"03/2022",E_Suivi_Eans!$D:$D,"Taxes Boissons",E_Suivi_Eans!$J:$J,"Relance 1",E_Suivi_Eans!$K:$K,"&gt;31/12/2021",E_Suivi_Eans!$K:$K,"&lt;01/11/2022")+COUNTIFS(E_Suivi_Eans!$C:$C,"03/2022",E_Suivi_Eans!$D:$D,"Taxes Boissons",E_Suivi_Eans!$J:$J,"Relance 2",E_Suivi_Eans!$K:$K,"&gt;31/12/2021",E_Suivi_Eans!$K:$K,"&lt;01/11/2022")+COUNTIFS(E_Suivi_Eans!$C:$C,"03/2022",E_Suivi_Eans!$D:$D,"Taxes Boissons",E_Suivi_Eans!$J:$J,"Relance 3",E_Suivi_Eans!$K:$K,"&gt;31/12/2021",E_Suivi_Eans!$K:$K,"&lt;01/11/2022")</f>
        <v>0</v>
      </c>
      <c r="E39" s="21">
        <f>COUNTIFS(E_Suivi_Eans!$C:$C,"03/2022",E_Suivi_Eans!$D:$D,"Taxes Boissons",E_Suivi_Eans!$J:$J,"Abandon",E_Suivi_Eans!$K:$K,"&gt;31/12/2021",E_Suivi_Eans!K:K,"&lt;01/11/2022")</f>
        <v>0</v>
      </c>
      <c r="F39" s="21">
        <f>COUNTIFS(E_Suivi_Eans!$C:$C,"03/2022",E_Suivi_Eans!$D:$D,"Taxes Boissons")</f>
        <v>0</v>
      </c>
      <c r="G39" s="21">
        <f t="shared" si="6"/>
        <v>0</v>
      </c>
      <c r="J39" s="20" t="s">
        <v>5316</v>
      </c>
      <c r="K39" s="20" t="s">
        <v>5326</v>
      </c>
      <c r="L39" s="28" t="e">
        <f t="shared" si="7"/>
        <v>#DIV/0!</v>
      </c>
      <c r="M39" s="28" t="e">
        <f t="shared" si="7"/>
        <v>#DIV/0!</v>
      </c>
      <c r="N39" s="28" t="e">
        <f t="shared" si="7"/>
        <v>#DIV/0!</v>
      </c>
      <c r="O39" s="28">
        <v>1</v>
      </c>
      <c r="P39" s="28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COUNTIFS(E_Suivi_Eans!$C:$C,"03/2022",E_Suivi_Eans!$D:$D,"Taxes Boissons",E_Suivi_Eans!$J:$J,"Retour OK",E_Suivi_Eans!$K:$K,"&gt;31/12/2021",E_Suivi_Eans!K:K,"&lt;01/12/2022")</f>
        <v>0</v>
      </c>
      <c r="D40" s="21">
        <f>COUNTIFS(E_Suivi_Eans!$C:$C,"03/2022",E_Suivi_Eans!$D:$D,"Taxes Boissons",E_Suivi_Eans!$J:$J,"Rejet 0",E_Suivi_Eans!$K:$K,"&gt;31/12/2021",E_Suivi_Eans!$K:$K,"&lt;01/12/2022")+ COUNTIFS(E_Suivi_Eans!$C:$C,"03/2022",E_Suivi_Eans!$D:$D,"Taxes Boissons",E_Suivi_Eans!$J:$J,"Rejet 1",E_Suivi_Eans!$K:$K,"&gt;31/12/2021",E_Suivi_Eans!$K:$K,"&lt;01/12/2022")+COUNTIFS(E_Suivi_Eans!$C:$C,"03/2022",E_Suivi_Eans!$D:$D,"Taxes Boissons",E_Suivi_Eans!$J:$J,"Rejet 2",E_Suivi_Eans!$K:$K,"&gt;31/12/2021",E_Suivi_Eans!$K:$K,"&lt;01/12/2022")+COUNTIFS(E_Suivi_Eans!$C:$C,"03/2022",E_Suivi_Eans!$D:$D,"Taxes Boissons",E_Suivi_Eans!$J:$J,"Rejet 3",E_Suivi_Eans!$K:$K,"&gt;31/12/2021",E_Suivi_Eans!$K:$K,"&lt;01/12/2022")+ COUNTIFS(E_Suivi_Eans!$C:$C,"03/2022",E_Suivi_Eans!$D:$D,"Taxes Boissons",E_Suivi_Eans!$J:$J,"Rejet 4",E_Suivi_Eans!$K:$K,"&gt;31/12/2021",E_Suivi_Eans!$K:$K,"&lt;01/12/2022")+COUNTIFS(E_Suivi_Eans!$C:$C,"03/2022",E_Suivi_Eans!$D:$D,"Taxes Boissons",E_Suivi_Eans!$J:$J,"Relance 1",E_Suivi_Eans!$K:$K,"&gt;31/12/2021",E_Suivi_Eans!$K:$K,"&lt;01/12/2022")+COUNTIFS(E_Suivi_Eans!$C:$C,"03/2022",E_Suivi_Eans!$D:$D,"Taxes Boissons",E_Suivi_Eans!$J:$J,"Relance 2",E_Suivi_Eans!$K:$K,"&gt;31/12/2021",E_Suivi_Eans!$K:$K,"&lt;01/12/2022")+COUNTIFS(E_Suivi_Eans!$C:$C,"03/2022",E_Suivi_Eans!$D:$D,"Taxes Boissons",E_Suivi_Eans!$J:$J,"Relance 3",E_Suivi_Eans!$K:$K,"&gt;31/12/2021",E_Suivi_Eans!$K:$K,"&lt;01/12/2022")</f>
        <v>0</v>
      </c>
      <c r="E40" s="21">
        <f>COUNTIFS(E_Suivi_Eans!$C:$C,"03/2022",E_Suivi_Eans!$D:$D,"Taxes Boissons",E_Suivi_Eans!$J:$J,"Abandon",E_Suivi_Eans!$K:$K,"&gt;31/12/2021",E_Suivi_Eans!K:K,"&lt;01/12/2022")</f>
        <v>0</v>
      </c>
      <c r="F40" s="21">
        <f>COUNTIFS(E_Suivi_Eans!$C:$C,"03/2022",E_Suivi_Eans!$D:$D,"Taxes Boissons")</f>
        <v>0</v>
      </c>
      <c r="G40" s="21">
        <f t="shared" si="6"/>
        <v>0</v>
      </c>
      <c r="J40" s="20" t="s">
        <v>5316</v>
      </c>
      <c r="K40" s="20" t="s">
        <v>5327</v>
      </c>
      <c r="L40" s="28" t="e">
        <f t="shared" si="7"/>
        <v>#DIV/0!</v>
      </c>
      <c r="M40" s="28" t="e">
        <f t="shared" si="7"/>
        <v>#DIV/0!</v>
      </c>
      <c r="N40" s="28" t="e">
        <f t="shared" si="7"/>
        <v>#DIV/0!</v>
      </c>
      <c r="O40" s="28">
        <v>1</v>
      </c>
      <c r="P40" s="28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8"/>
      <c r="P41" s="28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5"/>
      <c r="E42" s="25"/>
      <c r="F42" s="25"/>
      <c r="G42" s="25"/>
      <c r="J42" s="22"/>
      <c r="K42" s="22"/>
      <c r="L42" s="23"/>
      <c r="M42" s="25"/>
      <c r="N42" s="25"/>
      <c r="O42" s="31"/>
      <c r="P42" s="31"/>
      <c r="S42" s="22"/>
      <c r="T42" s="22"/>
      <c r="U42" s="23"/>
      <c r="V42" s="25"/>
      <c r="W42" s="25"/>
      <c r="X42" s="25"/>
      <c r="Y42" s="25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8"/>
      <c r="P43" s="28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8"/>
      <c r="P44" s="28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8"/>
      <c r="P45" s="28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COUNTIFS(E_Suivi_Eans!$C:$C,"04/2022",E_Suivi_Eans!$D:$D,"Taxes Boissons",E_Suivi_Eans!$J:$J,"Retour OK",E_Suivi_Eans!$K:$K,"&gt;31/12/2021",E_Suivi_Eans!K:K,"&lt;01/05/2022")</f>
        <v>0</v>
      </c>
      <c r="D46" s="21">
        <f>COUNTIFS(E_Suivi_Eans!$C:$C,"04/2022",E_Suivi_Eans!$D:$D,"Taxes Boissons",E_Suivi_Eans!$J:$J,"Rejet 0",E_Suivi_Eans!$K:$K,"&gt;31/12/2021",E_Suivi_Eans!$K:$K,"&lt;01/05/2022")+ COUNTIFS(E_Suivi_Eans!$C:$C,"04/2022",E_Suivi_Eans!$D:$D,"Taxes Boissons",E_Suivi_Eans!$J:$J,"Rejet 1",E_Suivi_Eans!$K:$K,"&gt;31/12/2021",E_Suivi_Eans!$K:$K,"&lt;01/05/2022")+COUNTIFS(E_Suivi_Eans!$C:$C,"04/2022",E_Suivi_Eans!$D:$D,"Taxes Boissons",E_Suivi_Eans!$J:$J,"Rejet 2",E_Suivi_Eans!$K:$K,"&gt;31/12/2021",E_Suivi_Eans!$K:$K,"&lt;01/05/2022")+COUNTIFS(E_Suivi_Eans!$C:$C,"04/2022",E_Suivi_Eans!$D:$D,"Taxes Boissons",E_Suivi_Eans!$J:$J,"Rejet 3",E_Suivi_Eans!$K:$K,"&gt;31/12/2021",E_Suivi_Eans!$K:$K,"&lt;01/05/2022")+ COUNTIFS(E_Suivi_Eans!$C:$C,"04/2022",E_Suivi_Eans!$D:$D,"Taxes Boissons",E_Suivi_Eans!$J:$J,"Rejet 4",E_Suivi_Eans!$K:$K,"&gt;31/12/2021",E_Suivi_Eans!$K:$K,"&lt;01/05/2022")+COUNTIFS(E_Suivi_Eans!$C:$C,"04/2022",E_Suivi_Eans!$D:$D,"Taxes Boissons",E_Suivi_Eans!$J:$J,"Relance 1",E_Suivi_Eans!$K:$K,"&gt;31/12/2021",E_Suivi_Eans!$K:$K,"&lt;01/05/2022")+COUNTIFS(E_Suivi_Eans!$C:$C,"04/2022",E_Suivi_Eans!$D:$D,"Taxes Boissons",E_Suivi_Eans!$J:$J,"Relance 2",E_Suivi_Eans!$K:$K,"&gt;31/12/2021",E_Suivi_Eans!$K:$K,"&lt;01/05/2022")+COUNTIFS(E_Suivi_Eans!$C:$C,"04/2022",E_Suivi_Eans!$D:$D,"Taxes Boissons",E_Suivi_Eans!$J:$J,"Relance 3",E_Suivi_Eans!$K:$K,"&gt;31/12/2021",E_Suivi_Eans!$K:$K,"&lt;01/05/2022")</f>
        <v>0</v>
      </c>
      <c r="E46" s="21">
        <f>COUNTIFS(E_Suivi_Eans!$C:$C,"04/2022",E_Suivi_Eans!$D:$D,"Taxes Boissons",E_Suivi_Eans!$J:$J,"Abandon",E_Suivi_Eans!$K:$K,"&gt;31/12/2021",E_Suivi_Eans!K:K,"&lt;01/05/2022")</f>
        <v>0</v>
      </c>
      <c r="F46" s="21">
        <f>COUNTIFS(E_Suivi_Eans!$C:$C,"04/2022",E_Suivi_Eans!$D:$D,"Taxes Boissons")</f>
        <v>28</v>
      </c>
      <c r="G46" s="21">
        <f t="shared" ref="G46:G53" si="9">F46-E46</f>
        <v>28</v>
      </c>
      <c r="J46" s="20" t="s">
        <v>5317</v>
      </c>
      <c r="K46" s="20" t="s">
        <v>5317</v>
      </c>
      <c r="L46" s="28">
        <f t="shared" ref="L46:N53" si="10">C46/$G46</f>
        <v>0</v>
      </c>
      <c r="M46" s="28">
        <f t="shared" si="10"/>
        <v>0</v>
      </c>
      <c r="N46" s="28">
        <f t="shared" si="10"/>
        <v>0</v>
      </c>
      <c r="O46" s="28">
        <v>1</v>
      </c>
      <c r="P46" s="28">
        <f t="shared" ref="P46:P53" si="11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COUNTIFS(E_Suivi_Eans!$C:$C,"04/2022",E_Suivi_Eans!$D:$D,"Taxes Boissons",E_Suivi_Eans!$J:$J,"Retour OK",E_Suivi_Eans!$K:$K,"&gt;31/12/2021",E_Suivi_Eans!K:K,"&lt;01/06/2022")</f>
        <v>0</v>
      </c>
      <c r="D47" s="21">
        <f>COUNTIFS(E_Suivi_Eans!$C:$C,"04/2022",E_Suivi_Eans!$D:$D,"Taxes Boissons",E_Suivi_Eans!$J:$J,"Rejet 0",E_Suivi_Eans!$K:$K,"&gt;31/12/2021",E_Suivi_Eans!$K:$K,"&lt;01/06/2022")+ COUNTIFS(E_Suivi_Eans!$C:$C,"04/2022",E_Suivi_Eans!$D:$D,"Taxes Boissons",E_Suivi_Eans!$J:$J,"Rejet 1",E_Suivi_Eans!$K:$K,"&gt;31/12/2021",E_Suivi_Eans!$K:$K,"&lt;01/06/2022")+COUNTIFS(E_Suivi_Eans!$C:$C,"04/2022",E_Suivi_Eans!$D:$D,"Taxes Boissons",E_Suivi_Eans!$J:$J,"Rejet 2",E_Suivi_Eans!$K:$K,"&gt;31/12/2021",E_Suivi_Eans!$K:$K,"&lt;01/06/2022")+COUNTIFS(E_Suivi_Eans!$C:$C,"04/2022",E_Suivi_Eans!$D:$D,"Taxes Boissons",E_Suivi_Eans!$J:$J,"Rejet 3",E_Suivi_Eans!$K:$K,"&gt;31/12/2021",E_Suivi_Eans!$K:$K,"&lt;01/06/2022")+ COUNTIFS(E_Suivi_Eans!$C:$C,"04/2022",E_Suivi_Eans!$D:$D,"Taxes Boissons",E_Suivi_Eans!$J:$J,"Rejet 4",E_Suivi_Eans!$K:$K,"&gt;31/12/2021",E_Suivi_Eans!$K:$K,"&lt;01/06/2022")+COUNTIFS(E_Suivi_Eans!$C:$C,"04/2022",E_Suivi_Eans!$D:$D,"Taxes Boissons",E_Suivi_Eans!$J:$J,"Relance 1",E_Suivi_Eans!$K:$K,"&gt;31/12/2021",E_Suivi_Eans!$K:$K,"&lt;01/06/2022")+COUNTIFS(E_Suivi_Eans!$C:$C,"04/2022",E_Suivi_Eans!$D:$D,"Taxes Boissons",E_Suivi_Eans!$J:$J,"Relance 2",E_Suivi_Eans!$K:$K,"&gt;31/12/2021",E_Suivi_Eans!$K:$K,"&lt;01/06/2022")+COUNTIFS(E_Suivi_Eans!$C:$C,"04/2022",E_Suivi_Eans!$D:$D,"Taxes Boissons",E_Suivi_Eans!$J:$J,"Relance 3",E_Suivi_Eans!$K:$K,"&gt;31/12/2021",E_Suivi_Eans!$K:$K,"&lt;01/06/2022")</f>
        <v>11</v>
      </c>
      <c r="E47" s="21">
        <f>COUNTIFS(E_Suivi_Eans!$C:$C,"04/2022",E_Suivi_Eans!$D:$D,"Taxes Boissons",E_Suivi_Eans!$J:$J,"Abandon",E_Suivi_Eans!$K:$K,"&gt;31/12/2021",E_Suivi_Eans!K:K,"&lt;01/06/2022")</f>
        <v>0</v>
      </c>
      <c r="F47" s="21">
        <f>COUNTIFS(E_Suivi_Eans!$C:$C,"04/2022",E_Suivi_Eans!$D:$D,"Taxes Boissons")</f>
        <v>28</v>
      </c>
      <c r="G47" s="21">
        <f t="shared" si="9"/>
        <v>28</v>
      </c>
      <c r="J47" s="20" t="s">
        <v>5317</v>
      </c>
      <c r="K47" s="20" t="s">
        <v>5318</v>
      </c>
      <c r="L47" s="28">
        <f t="shared" si="10"/>
        <v>0</v>
      </c>
      <c r="M47" s="28">
        <f t="shared" si="10"/>
        <v>0.39285714285714285</v>
      </c>
      <c r="N47" s="28">
        <f t="shared" si="10"/>
        <v>0</v>
      </c>
      <c r="O47" s="28">
        <v>1</v>
      </c>
      <c r="P47" s="28">
        <f t="shared" si="11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COUNTIFS(E_Suivi_Eans!$C:$C,"04/2022",E_Suivi_Eans!$D:$D,"Taxes Boissons",E_Suivi_Eans!$J:$J,"Retour OK",E_Suivi_Eans!$K:$K,"&gt;31/12/2021",E_Suivi_Eans!K:K,"&lt;01/07/2022")</f>
        <v>0</v>
      </c>
      <c r="D48" s="21">
        <f>COUNTIFS(E_Suivi_Eans!$C:$C,"04/2022",E_Suivi_Eans!$D:$D,"Taxes Boissons",E_Suivi_Eans!$J:$J,"Rejet 0",E_Suivi_Eans!$K:$K,"&gt;31/12/2021",E_Suivi_Eans!$K:$K,"&lt;01/07/2022")+ COUNTIFS(E_Suivi_Eans!$C:$C,"04/2022",E_Suivi_Eans!$D:$D,"Taxes Boissons",E_Suivi_Eans!$J:$J,"Rejet 1",E_Suivi_Eans!$K:$K,"&gt;31/12/2021",E_Suivi_Eans!$K:$K,"&lt;01/07/2022")+COUNTIFS(E_Suivi_Eans!$C:$C,"04/2022",E_Suivi_Eans!$D:$D,"Taxes Boissons",E_Suivi_Eans!$J:$J,"Rejet 2",E_Suivi_Eans!$K:$K,"&gt;31/12/2021",E_Suivi_Eans!$K:$K,"&lt;01/07/2022")+COUNTIFS(E_Suivi_Eans!$C:$C,"04/2022",E_Suivi_Eans!$D:$D,"Taxes Boissons",E_Suivi_Eans!$J:$J,"Rejet 3",E_Suivi_Eans!$K:$K,"&gt;31/12/2021",E_Suivi_Eans!$K:$K,"&lt;01/07/2022")+ COUNTIFS(E_Suivi_Eans!$C:$C,"04/2022",E_Suivi_Eans!$D:$D,"Taxes Boissons",E_Suivi_Eans!$J:$J,"Rejet 4",E_Suivi_Eans!$K:$K,"&gt;31/12/2021",E_Suivi_Eans!$K:$K,"&lt;01/07/2022")+COUNTIFS(E_Suivi_Eans!$C:$C,"04/2022",E_Suivi_Eans!$D:$D,"Taxes Boissons",E_Suivi_Eans!$J:$J,"Relance 1",E_Suivi_Eans!$K:$K,"&gt;31/12/2021",E_Suivi_Eans!$K:$K,"&lt;01/07/2022")+COUNTIFS(E_Suivi_Eans!$C:$C,"04/2022",E_Suivi_Eans!$D:$D,"Taxes Boissons",E_Suivi_Eans!$J:$J,"Relance 2",E_Suivi_Eans!$K:$K,"&gt;31/12/2021",E_Suivi_Eans!$K:$K,"&lt;01/07/2022")+COUNTIFS(E_Suivi_Eans!$C:$C,"04/2022",E_Suivi_Eans!$D:$D,"Taxes Boissons",E_Suivi_Eans!$J:$J,"Relance 3",E_Suivi_Eans!$K:$K,"&gt;31/12/2021",E_Suivi_Eans!$K:$K,"&lt;01/07/2022")</f>
        <v>11</v>
      </c>
      <c r="E48" s="21">
        <f>COUNTIFS(E_Suivi_Eans!$C:$C,"04/2022",E_Suivi_Eans!$D:$D,"Taxes Boissons",E_Suivi_Eans!$J:$J,"Abandon",E_Suivi_Eans!$K:$K,"&gt;31/12/2021",E_Suivi_Eans!K:K,"&lt;01/07/2022")</f>
        <v>15</v>
      </c>
      <c r="F48" s="21">
        <f>COUNTIFS(E_Suivi_Eans!$C:$C,"04/2022",E_Suivi_Eans!$D:$D,"Taxes Boissons")</f>
        <v>28</v>
      </c>
      <c r="G48" s="21">
        <f t="shared" si="9"/>
        <v>13</v>
      </c>
      <c r="J48" s="20" t="s">
        <v>5317</v>
      </c>
      <c r="K48" s="20" t="s">
        <v>5319</v>
      </c>
      <c r="L48" s="28">
        <f t="shared" si="10"/>
        <v>0</v>
      </c>
      <c r="M48" s="28">
        <f t="shared" si="10"/>
        <v>0.84615384615384615</v>
      </c>
      <c r="N48" s="42">
        <f t="shared" si="10"/>
        <v>1.1538461538461537</v>
      </c>
      <c r="O48" s="28">
        <v>1</v>
      </c>
      <c r="P48" s="42">
        <f t="shared" si="11"/>
        <v>-0.15384615384615374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COUNTIFS(E_Suivi_Eans!$C:$C,"04/2022",E_Suivi_Eans!$D:$D,"Taxes Boissons",E_Suivi_Eans!$J:$J,"Retour OK",E_Suivi_Eans!$K:$K,"&gt;31/12/2021",E_Suivi_Eans!K:K,"&lt;01/08/2022")</f>
        <v>0</v>
      </c>
      <c r="D49" s="21">
        <f>COUNTIFS(E_Suivi_Eans!$C:$C,"04/2022",E_Suivi_Eans!$D:$D,"Taxes Boissons",E_Suivi_Eans!$J:$J,"Rejet 0",E_Suivi_Eans!$K:$K,"&gt;31/12/2021",E_Suivi_Eans!$K:$K,"&lt;01/08/2022")+ COUNTIFS(E_Suivi_Eans!$C:$C,"04/2022",E_Suivi_Eans!$D:$D,"Taxes Boissons",E_Suivi_Eans!$J:$J,"Rejet 1",E_Suivi_Eans!$K:$K,"&gt;31/12/2021",E_Suivi_Eans!$K:$K,"&lt;01/08/2022")+COUNTIFS(E_Suivi_Eans!$C:$C,"04/2022",E_Suivi_Eans!$D:$D,"Taxes Boissons",E_Suivi_Eans!$J:$J,"Rejet 2",E_Suivi_Eans!$K:$K,"&gt;31/12/2021",E_Suivi_Eans!$K:$K,"&lt;01/08/2022")+COUNTIFS(E_Suivi_Eans!$C:$C,"04/2022",E_Suivi_Eans!$D:$D,"Taxes Boissons",E_Suivi_Eans!$J:$J,"Rejet 3",E_Suivi_Eans!$K:$K,"&gt;31/12/2021",E_Suivi_Eans!$K:$K,"&lt;01/08/2022")+ COUNTIFS(E_Suivi_Eans!$C:$C,"04/2022",E_Suivi_Eans!$D:$D,"Taxes Boissons",E_Suivi_Eans!$J:$J,"Rejet 4",E_Suivi_Eans!$K:$K,"&gt;31/12/2021",E_Suivi_Eans!$K:$K,"&lt;01/08/2022")+COUNTIFS(E_Suivi_Eans!$C:$C,"04/2022",E_Suivi_Eans!$D:$D,"Taxes Boissons",E_Suivi_Eans!$J:$J,"Relance 1",E_Suivi_Eans!$K:$K,"&gt;31/12/2021",E_Suivi_Eans!$K:$K,"&lt;01/08/2022")+COUNTIFS(E_Suivi_Eans!$C:$C,"04/2022",E_Suivi_Eans!$D:$D,"Taxes Boissons",E_Suivi_Eans!$J:$J,"Relance 2",E_Suivi_Eans!$K:$K,"&gt;31/12/2021",E_Suivi_Eans!$K:$K,"&lt;01/08/2022")+COUNTIFS(E_Suivi_Eans!$C:$C,"04/2022",E_Suivi_Eans!$D:$D,"Taxes Boissons",E_Suivi_Eans!$J:$J,"Relance 3",E_Suivi_Eans!$K:$K,"&gt;31/12/2021",E_Suivi_Eans!$K:$K,"&lt;01/08/2022")</f>
        <v>11</v>
      </c>
      <c r="E49" s="21">
        <f>COUNTIFS(E_Suivi_Eans!$C:$C,"04/2022",E_Suivi_Eans!$D:$D,"Taxes Boissons",E_Suivi_Eans!$J:$J,"Abandon",E_Suivi_Eans!$K:$K,"&gt;31/12/2021",E_Suivi_Eans!K:K,"&lt;01/08/2022")</f>
        <v>16</v>
      </c>
      <c r="F49" s="21">
        <f>COUNTIFS(E_Suivi_Eans!$C:$C,"04/2022",E_Suivi_Eans!$D:$D,"Taxes Boissons")</f>
        <v>28</v>
      </c>
      <c r="G49" s="21">
        <f t="shared" si="9"/>
        <v>12</v>
      </c>
      <c r="J49" s="20" t="s">
        <v>5317</v>
      </c>
      <c r="K49" s="20" t="s">
        <v>5320</v>
      </c>
      <c r="L49" s="28">
        <f t="shared" si="10"/>
        <v>0</v>
      </c>
      <c r="M49" s="28">
        <f t="shared" si="10"/>
        <v>0.91666666666666663</v>
      </c>
      <c r="N49" s="42">
        <f t="shared" si="10"/>
        <v>1.3333333333333333</v>
      </c>
      <c r="O49" s="28">
        <v>1</v>
      </c>
      <c r="P49" s="42">
        <f t="shared" si="11"/>
        <v>-0.33333333333333326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COUNTIFS(E_Suivi_Eans!$C:$C,"04/2022",E_Suivi_Eans!$D:$D,"Taxes Boissons",E_Suivi_Eans!$J:$J,"Retour OK",E_Suivi_Eans!$K:$K,"&gt;31/12/2021",E_Suivi_Eans!K:K,"&lt;01/09/2022")</f>
        <v>0</v>
      </c>
      <c r="D50" s="21">
        <f>COUNTIFS(E_Suivi_Eans!$C:$C,"04/2022",E_Suivi_Eans!$D:$D,"Taxes Boissons",E_Suivi_Eans!$J:$J,"Rejet 0",E_Suivi_Eans!$K:$K,"&gt;31/12/2021",E_Suivi_Eans!$K:$K,"&lt;01/09/2022")+ COUNTIFS(E_Suivi_Eans!$C:$C,"04/2022",E_Suivi_Eans!$D:$D,"Taxes Boissons",E_Suivi_Eans!$J:$J,"Rejet 1",E_Suivi_Eans!$K:$K,"&gt;31/12/2021",E_Suivi_Eans!$K:$K,"&lt;01/09/2022")+COUNTIFS(E_Suivi_Eans!$C:$C,"04/2022",E_Suivi_Eans!$D:$D,"Taxes Boissons",E_Suivi_Eans!$J:$J,"Rejet 2",E_Suivi_Eans!$K:$K,"&gt;31/12/2021",E_Suivi_Eans!$K:$K,"&lt;01/09/2022")+COUNTIFS(E_Suivi_Eans!$C:$C,"04/2022",E_Suivi_Eans!$D:$D,"Taxes Boissons",E_Suivi_Eans!$J:$J,"Rejet 3",E_Suivi_Eans!$K:$K,"&gt;31/12/2021",E_Suivi_Eans!$K:$K,"&lt;01/09/2022")+ COUNTIFS(E_Suivi_Eans!$C:$C,"04/2022",E_Suivi_Eans!$D:$D,"Taxes Boissons",E_Suivi_Eans!$J:$J,"Rejet 4",E_Suivi_Eans!$K:$K,"&gt;31/12/2021",E_Suivi_Eans!$K:$K,"&lt;01/09/2022")+COUNTIFS(E_Suivi_Eans!$C:$C,"04/2022",E_Suivi_Eans!$D:$D,"Taxes Boissons",E_Suivi_Eans!$J:$J,"Relance 1",E_Suivi_Eans!$K:$K,"&gt;31/12/2021",E_Suivi_Eans!$K:$K,"&lt;01/09/2022")+COUNTIFS(E_Suivi_Eans!$C:$C,"04/2022",E_Suivi_Eans!$D:$D,"Taxes Boissons",E_Suivi_Eans!$J:$J,"Relance 2",E_Suivi_Eans!$K:$K,"&gt;31/12/2021",E_Suivi_Eans!$K:$K,"&lt;01/09/2022")+COUNTIFS(E_Suivi_Eans!$C:$C,"04/2022",E_Suivi_Eans!$D:$D,"Taxes Boissons",E_Suivi_Eans!$J:$J,"Relance 3",E_Suivi_Eans!$K:$K,"&gt;31/12/2021",E_Suivi_Eans!$K:$K,"&lt;01/09/2022")</f>
        <v>11</v>
      </c>
      <c r="E50" s="21">
        <f>COUNTIFS(E_Suivi_Eans!$C:$C,"04/2022",E_Suivi_Eans!$D:$D,"Taxes Boissons",E_Suivi_Eans!$J:$J,"Abandon",E_Suivi_Eans!$K:$K,"&gt;31/12/2021",E_Suivi_Eans!K:K,"&lt;01/09/2022")</f>
        <v>16</v>
      </c>
      <c r="F50" s="21">
        <f>COUNTIFS(E_Suivi_Eans!$C:$C,"04/2022",E_Suivi_Eans!$D:$D,"Taxes Boissons")</f>
        <v>28</v>
      </c>
      <c r="G50" s="21">
        <f t="shared" si="9"/>
        <v>12</v>
      </c>
      <c r="J50" s="20" t="s">
        <v>5317</v>
      </c>
      <c r="K50" s="20" t="s">
        <v>5321</v>
      </c>
      <c r="L50" s="28">
        <f t="shared" si="10"/>
        <v>0</v>
      </c>
      <c r="M50" s="28">
        <f t="shared" si="10"/>
        <v>0.91666666666666663</v>
      </c>
      <c r="N50" s="42">
        <f t="shared" si="10"/>
        <v>1.3333333333333333</v>
      </c>
      <c r="O50" s="28">
        <v>1</v>
      </c>
      <c r="P50" s="42">
        <f t="shared" si="11"/>
        <v>-0.33333333333333326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COUNTIFS(E_Suivi_Eans!$C:$C,"04/2022",E_Suivi_Eans!$D:$D,"Taxes Boissons",E_Suivi_Eans!$J:$J,"Retour OK",E_Suivi_Eans!$K:$K,"&gt;31/12/2021",E_Suivi_Eans!K:K,"&lt;01/10/2022")</f>
        <v>1</v>
      </c>
      <c r="D51" s="21">
        <f>COUNTIFS(E_Suivi_Eans!$C:$C,"04/2022",E_Suivi_Eans!$D:$D,"Taxes Boissons",E_Suivi_Eans!$J:$J,"Rejet 0",E_Suivi_Eans!$K:$K,"&gt;31/12/2021",E_Suivi_Eans!$K:$K,"&lt;01/10/2022")+ COUNTIFS(E_Suivi_Eans!$C:$C,"04/2022",E_Suivi_Eans!$D:$D,"Taxes Boissons",E_Suivi_Eans!$J:$J,"Rejet 1",E_Suivi_Eans!$K:$K,"&gt;31/12/2021",E_Suivi_Eans!$K:$K,"&lt;01/10/2022")+COUNTIFS(E_Suivi_Eans!$C:$C,"04/2022",E_Suivi_Eans!$D:$D,"Taxes Boissons",E_Suivi_Eans!$J:$J,"Rejet 2",E_Suivi_Eans!$K:$K,"&gt;31/12/2021",E_Suivi_Eans!$K:$K,"&lt;01/10/2022")+COUNTIFS(E_Suivi_Eans!$C:$C,"04/2022",E_Suivi_Eans!$D:$D,"Taxes Boissons",E_Suivi_Eans!$J:$J,"Rejet 3",E_Suivi_Eans!$K:$K,"&gt;31/12/2021",E_Suivi_Eans!$K:$K,"&lt;01/10/2022")+ COUNTIFS(E_Suivi_Eans!$C:$C,"04/2022",E_Suivi_Eans!$D:$D,"Taxes Boissons",E_Suivi_Eans!$J:$J,"Rejet 4",E_Suivi_Eans!$K:$K,"&gt;31/12/2021",E_Suivi_Eans!$K:$K,"&lt;01/10/2022")+COUNTIFS(E_Suivi_Eans!$C:$C,"04/2022",E_Suivi_Eans!$D:$D,"Taxes Boissons",E_Suivi_Eans!$J:$J,"Relance 1",E_Suivi_Eans!$K:$K,"&gt;31/12/2021",E_Suivi_Eans!$K:$K,"&lt;01/10/2022")+COUNTIFS(E_Suivi_Eans!$C:$C,"04/2022",E_Suivi_Eans!$D:$D,"Taxes Boissons",E_Suivi_Eans!$J:$J,"Relance 2",E_Suivi_Eans!$K:$K,"&gt;31/12/2021",E_Suivi_Eans!$K:$K,"&lt;01/10/2022")+COUNTIFS(E_Suivi_Eans!$C:$C,"04/2022",E_Suivi_Eans!$D:$D,"Taxes Boissons",E_Suivi_Eans!$J:$J,"Relance 3",E_Suivi_Eans!$K:$K,"&gt;31/12/2021",E_Suivi_Eans!$K:$K,"&lt;01/10/2022")</f>
        <v>11</v>
      </c>
      <c r="E51" s="21">
        <f>COUNTIFS(E_Suivi_Eans!$C:$C,"04/2022",E_Suivi_Eans!$D:$D,"Taxes Boissons",E_Suivi_Eans!$J:$J,"Abandon",E_Suivi_Eans!$K:$K,"&gt;31/12/2021",E_Suivi_Eans!K:K,"&lt;01/10/2022")</f>
        <v>16</v>
      </c>
      <c r="F51" s="21">
        <f>COUNTIFS(E_Suivi_Eans!$C:$C,"04/2022",E_Suivi_Eans!$D:$D,"Taxes Boissons")</f>
        <v>28</v>
      </c>
      <c r="G51" s="21">
        <f t="shared" si="9"/>
        <v>12</v>
      </c>
      <c r="J51" s="20" t="s">
        <v>5317</v>
      </c>
      <c r="K51" s="20" t="s">
        <v>5325</v>
      </c>
      <c r="L51" s="28">
        <f t="shared" si="10"/>
        <v>8.3333333333333329E-2</v>
      </c>
      <c r="M51" s="28">
        <f t="shared" si="10"/>
        <v>0.91666666666666663</v>
      </c>
      <c r="N51" s="42">
        <f t="shared" si="10"/>
        <v>1.3333333333333333</v>
      </c>
      <c r="O51" s="28">
        <v>1</v>
      </c>
      <c r="P51" s="42">
        <f t="shared" si="11"/>
        <v>-0.33333333333333326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COUNTIFS(E_Suivi_Eans!$C:$C,"04/2022",E_Suivi_Eans!$D:$D,"Taxes Boissons",E_Suivi_Eans!$J:$J,"Retour OK",E_Suivi_Eans!$K:$K,"&gt;31/12/2021",E_Suivi_Eans!K:K,"&lt;01/11/2022")</f>
        <v>1</v>
      </c>
      <c r="D52" s="21">
        <f>COUNTIFS(E_Suivi_Eans!$C:$C,"04/2022",E_Suivi_Eans!$D:$D,"Taxes Boissons",E_Suivi_Eans!$J:$J,"Rejet 0",E_Suivi_Eans!$K:$K,"&gt;31/12/2021",E_Suivi_Eans!$K:$K,"&lt;01/11/2022")+ COUNTIFS(E_Suivi_Eans!$C:$C,"04/2022",E_Suivi_Eans!$D:$D,"Taxes Boissons",E_Suivi_Eans!$J:$J,"Rejet 1",E_Suivi_Eans!$K:$K,"&gt;31/12/2021",E_Suivi_Eans!$K:$K,"&lt;01/11/2022")+COUNTIFS(E_Suivi_Eans!$C:$C,"04/2022",E_Suivi_Eans!$D:$D,"Taxes Boissons",E_Suivi_Eans!$J:$J,"Rejet 2",E_Suivi_Eans!$K:$K,"&gt;31/12/2021",E_Suivi_Eans!$K:$K,"&lt;01/11/2022")+COUNTIFS(E_Suivi_Eans!$C:$C,"04/2022",E_Suivi_Eans!$D:$D,"Taxes Boissons",E_Suivi_Eans!$J:$J,"Rejet 3",E_Suivi_Eans!$K:$K,"&gt;31/12/2021",E_Suivi_Eans!$K:$K,"&lt;01/11/2022")+ COUNTIFS(E_Suivi_Eans!$C:$C,"04/2022",E_Suivi_Eans!$D:$D,"Taxes Boissons",E_Suivi_Eans!$J:$J,"Rejet 4",E_Suivi_Eans!$K:$K,"&gt;31/12/2021",E_Suivi_Eans!$K:$K,"&lt;01/11/2022")+COUNTIFS(E_Suivi_Eans!$C:$C,"04/2022",E_Suivi_Eans!$D:$D,"Taxes Boissons",E_Suivi_Eans!$J:$J,"Relance 1",E_Suivi_Eans!$K:$K,"&gt;31/12/2021",E_Suivi_Eans!$K:$K,"&lt;01/11/2022")+COUNTIFS(E_Suivi_Eans!$C:$C,"04/2022",E_Suivi_Eans!$D:$D,"Taxes Boissons",E_Suivi_Eans!$J:$J,"Relance 2",E_Suivi_Eans!$K:$K,"&gt;31/12/2021",E_Suivi_Eans!$K:$K,"&lt;01/11/2022")+COUNTIFS(E_Suivi_Eans!$C:$C,"04/2022",E_Suivi_Eans!$D:$D,"Taxes Boissons",E_Suivi_Eans!$J:$J,"Relance 3",E_Suivi_Eans!$K:$K,"&gt;31/12/2021",E_Suivi_Eans!$K:$K,"&lt;01/11/2022")</f>
        <v>11</v>
      </c>
      <c r="E52" s="21">
        <f>COUNTIFS(E_Suivi_Eans!$C:$C,"04/2022",E_Suivi_Eans!$D:$D,"Taxes Boissons",E_Suivi_Eans!$J:$J,"Abandon",E_Suivi_Eans!$K:$K,"&gt;31/12/2021",E_Suivi_Eans!K:K,"&lt;01/11/2022")</f>
        <v>16</v>
      </c>
      <c r="F52" s="21">
        <f>COUNTIFS(E_Suivi_Eans!$C:$C,"04/2022",E_Suivi_Eans!$D:$D,"Taxes Boissons")</f>
        <v>28</v>
      </c>
      <c r="G52" s="21">
        <f t="shared" si="9"/>
        <v>12</v>
      </c>
      <c r="J52" s="20" t="s">
        <v>5317</v>
      </c>
      <c r="K52" s="20" t="s">
        <v>5326</v>
      </c>
      <c r="L52" s="28">
        <f t="shared" si="10"/>
        <v>8.3333333333333329E-2</v>
      </c>
      <c r="M52" s="28">
        <f t="shared" si="10"/>
        <v>0.91666666666666663</v>
      </c>
      <c r="N52" s="42">
        <f t="shared" si="10"/>
        <v>1.3333333333333333</v>
      </c>
      <c r="O52" s="28">
        <v>1</v>
      </c>
      <c r="P52" s="42">
        <f t="shared" si="11"/>
        <v>-0.33333333333333326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COUNTIFS(E_Suivi_Eans!$C:$C,"04/2022",E_Suivi_Eans!$D:$D,"Taxes Boissons",E_Suivi_Eans!$J:$J,"Retour OK",E_Suivi_Eans!$K:$K,"&gt;31/12/2021",E_Suivi_Eans!K:K,"&lt;01/12/2022")</f>
        <v>1</v>
      </c>
      <c r="D53" s="21">
        <f>COUNTIFS(E_Suivi_Eans!$C:$C,"04/2022",E_Suivi_Eans!$D:$D,"Taxes Boissons",E_Suivi_Eans!$J:$J,"Rejet 0",E_Suivi_Eans!$K:$K,"&gt;31/12/2021",E_Suivi_Eans!$K:$K,"&lt;01/12/2022")+ COUNTIFS(E_Suivi_Eans!$C:$C,"04/2022",E_Suivi_Eans!$D:$D,"Taxes Boissons",E_Suivi_Eans!$J:$J,"Rejet 1",E_Suivi_Eans!$K:$K,"&gt;31/12/2021",E_Suivi_Eans!$K:$K,"&lt;01/12/2022")+COUNTIFS(E_Suivi_Eans!$C:$C,"04/2022",E_Suivi_Eans!$D:$D,"Taxes Boissons",E_Suivi_Eans!$J:$J,"Rejet 2",E_Suivi_Eans!$K:$K,"&gt;31/12/2021",E_Suivi_Eans!$K:$K,"&lt;01/12/2022")+COUNTIFS(E_Suivi_Eans!$C:$C,"04/2022",E_Suivi_Eans!$D:$D,"Taxes Boissons",E_Suivi_Eans!$J:$J,"Rejet 3",E_Suivi_Eans!$K:$K,"&gt;31/12/2021",E_Suivi_Eans!$K:$K,"&lt;01/12/2022")+ COUNTIFS(E_Suivi_Eans!$C:$C,"04/2022",E_Suivi_Eans!$D:$D,"Taxes Boissons",E_Suivi_Eans!$J:$J,"Rejet 4",E_Suivi_Eans!$K:$K,"&gt;31/12/2021",E_Suivi_Eans!$K:$K,"&lt;01/12/2022")+COUNTIFS(E_Suivi_Eans!$C:$C,"04/2022",E_Suivi_Eans!$D:$D,"Taxes Boissons",E_Suivi_Eans!$J:$J,"Relance 1",E_Suivi_Eans!$K:$K,"&gt;31/12/2021",E_Suivi_Eans!$K:$K,"&lt;01/12/2022")+COUNTIFS(E_Suivi_Eans!$C:$C,"04/2022",E_Suivi_Eans!$D:$D,"Taxes Boissons",E_Suivi_Eans!$J:$J,"Relance 2",E_Suivi_Eans!$K:$K,"&gt;31/12/2021",E_Suivi_Eans!$K:$K,"&lt;01/12/2022")+COUNTIFS(E_Suivi_Eans!$C:$C,"04/2022",E_Suivi_Eans!$D:$D,"Taxes Boissons",E_Suivi_Eans!$J:$J,"Relance 3",E_Suivi_Eans!$K:$K,"&gt;31/12/2021",E_Suivi_Eans!$K:$K,"&lt;01/12/2022")</f>
        <v>11</v>
      </c>
      <c r="E53" s="21">
        <f>COUNTIFS(E_Suivi_Eans!$C:$C,"04/2022",E_Suivi_Eans!$D:$D,"Taxes Boissons",E_Suivi_Eans!$J:$J,"Abandon",E_Suivi_Eans!$K:$K,"&gt;31/12/2021",E_Suivi_Eans!K:K,"&lt;01/12/2022")</f>
        <v>16</v>
      </c>
      <c r="F53" s="21">
        <f>COUNTIFS(E_Suivi_Eans!$C:$C,"04/2022",E_Suivi_Eans!$D:$D,"Taxes Boissons")</f>
        <v>28</v>
      </c>
      <c r="G53" s="21">
        <f t="shared" si="9"/>
        <v>12</v>
      </c>
      <c r="J53" s="20" t="s">
        <v>5317</v>
      </c>
      <c r="K53" s="20" t="s">
        <v>5327</v>
      </c>
      <c r="L53" s="28">
        <f t="shared" si="10"/>
        <v>8.3333333333333329E-2</v>
      </c>
      <c r="M53" s="28">
        <f t="shared" si="10"/>
        <v>0.91666666666666663</v>
      </c>
      <c r="N53" s="42">
        <f t="shared" si="10"/>
        <v>1.3333333333333333</v>
      </c>
      <c r="O53" s="28">
        <v>1</v>
      </c>
      <c r="P53" s="42">
        <f t="shared" si="11"/>
        <v>-0.33333333333333326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8"/>
      <c r="P54" s="28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5"/>
      <c r="E55" s="25"/>
      <c r="F55" s="25"/>
      <c r="G55" s="25"/>
      <c r="J55" s="22"/>
      <c r="K55" s="22"/>
      <c r="L55" s="23"/>
      <c r="M55" s="25"/>
      <c r="N55" s="25"/>
      <c r="O55" s="31"/>
      <c r="P55" s="31"/>
      <c r="S55" s="22"/>
      <c r="T55" s="22"/>
      <c r="U55" s="23"/>
      <c r="V55" s="25"/>
      <c r="W55" s="25"/>
      <c r="X55" s="25"/>
      <c r="Y55" s="25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8"/>
      <c r="P56" s="28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8"/>
      <c r="P57" s="28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8"/>
      <c r="P58" s="28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3"/>
      <c r="J59" s="20" t="s">
        <v>5318</v>
      </c>
      <c r="K59" s="20" t="s">
        <v>5317</v>
      </c>
      <c r="L59" s="21"/>
      <c r="M59" s="21"/>
      <c r="N59" s="21"/>
      <c r="O59" s="28"/>
      <c r="P59" s="28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COUNTIFS(E_Suivi_Eans!$C:$C,"05/2022",E_Suivi_Eans!$D:$D,"Taxes Boissons",E_Suivi_Eans!$J:$J,"Retour OK",E_Suivi_Eans!$K:$K,"&gt;31/12/2021",E_Suivi_Eans!K:K,"&lt;01/06/2022")</f>
        <v>0</v>
      </c>
      <c r="D60" s="21">
        <f>COUNTIFS(E_Suivi_Eans!$C:$C,"05/2022",E_Suivi_Eans!$D:$D,"Taxes Boissons",E_Suivi_Eans!$J:$J,"Rejet 0",E_Suivi_Eans!$K:$K,"&gt;31/12/2021",E_Suivi_Eans!$K:$K,"&lt;01/06/2022")+ COUNTIFS(E_Suivi_Eans!$C:$C,"05/2022",E_Suivi_Eans!$D:$D,"Taxes Boissons",E_Suivi_Eans!$J:$J,"Rejet 1",E_Suivi_Eans!$K:$K,"&gt;31/12/2021",E_Suivi_Eans!$K:$K,"&lt;01/06/2022")+COUNTIFS(E_Suivi_Eans!$C:$C,"05/2022",E_Suivi_Eans!$D:$D,"Taxes Boissons",E_Suivi_Eans!$J:$J,"Rejet 2",E_Suivi_Eans!$K:$K,"&gt;31/12/2021",E_Suivi_Eans!$K:$K,"&lt;01/06/2022")+COUNTIFS(E_Suivi_Eans!$C:$C,"05/2022",E_Suivi_Eans!$D:$D,"Taxes Boissons",E_Suivi_Eans!$J:$J,"Rejet 3",E_Suivi_Eans!$K:$K,"&gt;31/12/2021",E_Suivi_Eans!$K:$K,"&lt;01/06/2022")+ COUNTIFS(E_Suivi_Eans!$C:$C,"05/2022",E_Suivi_Eans!$D:$D,"Taxes Boissons",E_Suivi_Eans!$J:$J,"Rejet 4",E_Suivi_Eans!$K:$K,"&gt;31/12/2021",E_Suivi_Eans!$K:$K,"&lt;01/06/2022")+COUNTIFS(E_Suivi_Eans!$C:$C,"05/2022",E_Suivi_Eans!$D:$D,"Taxes Boissons",E_Suivi_Eans!$J:$J,"Relance 1",E_Suivi_Eans!$K:$K,"&gt;31/12/2021",E_Suivi_Eans!$K:$K,"&lt;01/06/2022")+COUNTIFS(E_Suivi_Eans!$C:$C,"05/2022",E_Suivi_Eans!$D:$D,"Taxes Boissons",E_Suivi_Eans!$J:$J,"Relance 2",E_Suivi_Eans!$K:$K,"&gt;31/12/2021",E_Suivi_Eans!$K:$K,"&lt;01/06/2022")+COUNTIFS(E_Suivi_Eans!$C:$C,"05/2022",E_Suivi_Eans!$D:$D,"Taxes Boissons",E_Suivi_Eans!$J:$J,"Relance 3",E_Suivi_Eans!$K:$K,"&gt;31/12/2021",E_Suivi_Eans!$K:$K,"&lt;01/06/2022")</f>
        <v>0</v>
      </c>
      <c r="E60" s="21">
        <f>COUNTIFS(E_Suivi_Eans!$C:$C,"05/2022",E_Suivi_Eans!$D:$D,"Taxes Boissons",E_Suivi_Eans!$J:$J,"Abandon",E_Suivi_Eans!$K:$K,"&gt;31/12/2021",E_Suivi_Eans!K:K,"&lt;01/06/2022")</f>
        <v>12</v>
      </c>
      <c r="F60" s="21">
        <f>COUNTIFS(E_Suivi_Eans!$C:$C,"05/2022",E_Suivi_Eans!$D:$D,"Taxes Boissons")</f>
        <v>12</v>
      </c>
      <c r="G60" s="21">
        <f t="shared" ref="G60:G66" si="12">F60-E60</f>
        <v>0</v>
      </c>
      <c r="J60" s="20" t="s">
        <v>5318</v>
      </c>
      <c r="K60" s="20" t="s">
        <v>5318</v>
      </c>
      <c r="L60" s="28">
        <f>IF($G60=0,0,C60/$G60)</f>
        <v>0</v>
      </c>
      <c r="M60" s="28">
        <f t="shared" ref="M60:N66" si="13">IF($G60=0,0,D60/$G60)</f>
        <v>0</v>
      </c>
      <c r="N60" s="28">
        <f t="shared" si="13"/>
        <v>0</v>
      </c>
      <c r="O60" s="28">
        <v>1</v>
      </c>
      <c r="P60" s="28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COUNTIFS(E_Suivi_Eans!$C:$C,"05/2022",E_Suivi_Eans!$D:$D,"Taxes Boissons",E_Suivi_Eans!$J:$J,"Retour OK",E_Suivi_Eans!$K:$K,"&gt;31/12/2021",E_Suivi_Eans!K:K,"&lt;01/07/2022")</f>
        <v>0</v>
      </c>
      <c r="D61" s="21">
        <f>COUNTIFS(E_Suivi_Eans!$C:$C,"05/2022",E_Suivi_Eans!$D:$D,"Taxes Boissons",E_Suivi_Eans!$J:$J,"Rejet 0",E_Suivi_Eans!$K:$K,"&gt;31/12/2021",E_Suivi_Eans!$K:$K,"&lt;01/07/2022")+ COUNTIFS(E_Suivi_Eans!$C:$C,"05/2022",E_Suivi_Eans!$D:$D,"Taxes Boissons",E_Suivi_Eans!$J:$J,"Rejet 1",E_Suivi_Eans!$K:$K,"&gt;31/12/2021",E_Suivi_Eans!$K:$K,"&lt;01/07/2022")+COUNTIFS(E_Suivi_Eans!$C:$C,"05/2022",E_Suivi_Eans!$D:$D,"Taxes Boissons",E_Suivi_Eans!$J:$J,"Rejet 2",E_Suivi_Eans!$K:$K,"&gt;31/12/2021",E_Suivi_Eans!$K:$K,"&lt;01/07/2022")+COUNTIFS(E_Suivi_Eans!$C:$C,"05/2022",E_Suivi_Eans!$D:$D,"Taxes Boissons",E_Suivi_Eans!$J:$J,"Rejet 3",E_Suivi_Eans!$K:$K,"&gt;31/12/2021",E_Suivi_Eans!$K:$K,"&lt;01/07/2022")+ COUNTIFS(E_Suivi_Eans!$C:$C,"05/2022",E_Suivi_Eans!$D:$D,"Taxes Boissons",E_Suivi_Eans!$J:$J,"Rejet 4",E_Suivi_Eans!$K:$K,"&gt;31/12/2021",E_Suivi_Eans!$K:$K,"&lt;01/07/2022")+COUNTIFS(E_Suivi_Eans!$C:$C,"05/2022",E_Suivi_Eans!$D:$D,"Taxes Boissons",E_Suivi_Eans!$J:$J,"Relance 1",E_Suivi_Eans!$K:$K,"&gt;31/12/2021",E_Suivi_Eans!$K:$K,"&lt;01/07/2022")+COUNTIFS(E_Suivi_Eans!$C:$C,"05/2022",E_Suivi_Eans!$D:$D,"Taxes Boissons",E_Suivi_Eans!$J:$J,"Relance 2",E_Suivi_Eans!$K:$K,"&gt;31/12/2021",E_Suivi_Eans!$K:$K,"&lt;01/07/2022")+COUNTIFS(E_Suivi_Eans!$C:$C,"05/2022",E_Suivi_Eans!$D:$D,"Taxes Boissons",E_Suivi_Eans!$J:$J,"Relance 3",E_Suivi_Eans!$K:$K,"&gt;31/12/2021",E_Suivi_Eans!$K:$K,"&lt;01/07/2022")</f>
        <v>0</v>
      </c>
      <c r="E61" s="21">
        <f>COUNTIFS(E_Suivi_Eans!$C:$C,"05/2022",E_Suivi_Eans!$D:$D,"Taxes Boissons",E_Suivi_Eans!$J:$J,"Abandon",E_Suivi_Eans!$K:$K,"&gt;31/12/2021",E_Suivi_Eans!K:K,"&lt;01/07/2022")</f>
        <v>12</v>
      </c>
      <c r="F61" s="21">
        <f>COUNTIFS(E_Suivi_Eans!$C:$C,"05/2022",E_Suivi_Eans!$D:$D,"Taxes Boissons")</f>
        <v>12</v>
      </c>
      <c r="G61" s="21">
        <f t="shared" si="12"/>
        <v>0</v>
      </c>
      <c r="J61" s="20" t="s">
        <v>5318</v>
      </c>
      <c r="K61" s="20" t="s">
        <v>5319</v>
      </c>
      <c r="L61" s="28">
        <f t="shared" ref="L61:L66" si="15">IF($G61=0,0,C61/$G61)</f>
        <v>0</v>
      </c>
      <c r="M61" s="28">
        <f t="shared" si="13"/>
        <v>0</v>
      </c>
      <c r="N61" s="28">
        <f t="shared" si="13"/>
        <v>0</v>
      </c>
      <c r="O61" s="28">
        <v>1</v>
      </c>
      <c r="P61" s="28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COUNTIFS(E_Suivi_Eans!$C:$C,"05/2022",E_Suivi_Eans!$D:$D,"Taxes Boissons",E_Suivi_Eans!$J:$J,"Retour OK",E_Suivi_Eans!$K:$K,"&gt;31/12/2021",E_Suivi_Eans!K:K,"&lt;01/08/2022")</f>
        <v>0</v>
      </c>
      <c r="D62" s="21">
        <f>COUNTIFS(E_Suivi_Eans!$C:$C,"05/2022",E_Suivi_Eans!$D:$D,"Taxes Boissons",E_Suivi_Eans!$J:$J,"Rejet 0",E_Suivi_Eans!$K:$K,"&gt;31/12/2021",E_Suivi_Eans!$K:$K,"&lt;01/08/2022")+ COUNTIFS(E_Suivi_Eans!$C:$C,"05/2022",E_Suivi_Eans!$D:$D,"Taxes Boissons",E_Suivi_Eans!$J:$J,"Rejet 1",E_Suivi_Eans!$K:$K,"&gt;31/12/2021",E_Suivi_Eans!$K:$K,"&lt;01/08/2022")+COUNTIFS(E_Suivi_Eans!$C:$C,"05/2022",E_Suivi_Eans!$D:$D,"Taxes Boissons",E_Suivi_Eans!$J:$J,"Rejet 2",E_Suivi_Eans!$K:$K,"&gt;31/12/2021",E_Suivi_Eans!$K:$K,"&lt;01/08/2022")+COUNTIFS(E_Suivi_Eans!$C:$C,"05/2022",E_Suivi_Eans!$D:$D,"Taxes Boissons",E_Suivi_Eans!$J:$J,"Rejet 3",E_Suivi_Eans!$K:$K,"&gt;31/12/2021",E_Suivi_Eans!$K:$K,"&lt;01/08/2022")+ COUNTIFS(E_Suivi_Eans!$C:$C,"05/2022",E_Suivi_Eans!$D:$D,"Taxes Boissons",E_Suivi_Eans!$J:$J,"Rejet 4",E_Suivi_Eans!$K:$K,"&gt;31/12/2021",E_Suivi_Eans!$K:$K,"&lt;01/08/2022")+COUNTIFS(E_Suivi_Eans!$C:$C,"05/2022",E_Suivi_Eans!$D:$D,"Taxes Boissons",E_Suivi_Eans!$J:$J,"Relance 1",E_Suivi_Eans!$K:$K,"&gt;31/12/2021",E_Suivi_Eans!$K:$K,"&lt;01/08/2022")+COUNTIFS(E_Suivi_Eans!$C:$C,"05/2022",E_Suivi_Eans!$D:$D,"Taxes Boissons",E_Suivi_Eans!$J:$J,"Relance 2",E_Suivi_Eans!$K:$K,"&gt;31/12/2021",E_Suivi_Eans!$K:$K,"&lt;01/08/2022")+COUNTIFS(E_Suivi_Eans!$C:$C,"05/2022",E_Suivi_Eans!$D:$D,"Taxes Boissons",E_Suivi_Eans!$J:$J,"Relance 3",E_Suivi_Eans!$K:$K,"&gt;31/12/2021",E_Suivi_Eans!$K:$K,"&lt;01/08/2022")</f>
        <v>0</v>
      </c>
      <c r="E62" s="21">
        <f>COUNTIFS(E_Suivi_Eans!$C:$C,"05/2022",E_Suivi_Eans!$D:$D,"Taxes Boissons",E_Suivi_Eans!$J:$J,"Abandon",E_Suivi_Eans!$K:$K,"&gt;31/12/2021",E_Suivi_Eans!K:K,"&lt;01/08/2022")</f>
        <v>12</v>
      </c>
      <c r="F62" s="21">
        <f>COUNTIFS(E_Suivi_Eans!$C:$C,"05/2022",E_Suivi_Eans!$D:$D,"Taxes Boissons")</f>
        <v>12</v>
      </c>
      <c r="G62" s="21">
        <f t="shared" si="12"/>
        <v>0</v>
      </c>
      <c r="J62" s="20" t="s">
        <v>5318</v>
      </c>
      <c r="K62" s="20" t="s">
        <v>5320</v>
      </c>
      <c r="L62" s="28">
        <f t="shared" si="15"/>
        <v>0</v>
      </c>
      <c r="M62" s="28">
        <f t="shared" si="13"/>
        <v>0</v>
      </c>
      <c r="N62" s="28">
        <f t="shared" si="13"/>
        <v>0</v>
      </c>
      <c r="O62" s="28">
        <v>1</v>
      </c>
      <c r="P62" s="28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COUNTIFS(E_Suivi_Eans!$C:$C,"05/2022",E_Suivi_Eans!$D:$D,"Taxes Boissons",E_Suivi_Eans!$J:$J,"Retour OK",E_Suivi_Eans!$K:$K,"&gt;31/12/2021",E_Suivi_Eans!K:K,"&lt;01/09/2022")</f>
        <v>0</v>
      </c>
      <c r="D63" s="21">
        <f>COUNTIFS(E_Suivi_Eans!$C:$C,"05/2022",E_Suivi_Eans!$D:$D,"Taxes Boissons",E_Suivi_Eans!$J:$J,"Rejet 0",E_Suivi_Eans!$K:$K,"&gt;31/12/2021",E_Suivi_Eans!$K:$K,"&lt;01/09/2022")+ COUNTIFS(E_Suivi_Eans!$C:$C,"05/2022",E_Suivi_Eans!$D:$D,"Taxes Boissons",E_Suivi_Eans!$J:$J,"Rejet 1",E_Suivi_Eans!$K:$K,"&gt;31/12/2021",E_Suivi_Eans!$K:$K,"&lt;01/09/2022")+COUNTIFS(E_Suivi_Eans!$C:$C,"05/2022",E_Suivi_Eans!$D:$D,"Taxes Boissons",E_Suivi_Eans!$J:$J,"Rejet 2",E_Suivi_Eans!$K:$K,"&gt;31/12/2021",E_Suivi_Eans!$K:$K,"&lt;01/09/2022")+COUNTIFS(E_Suivi_Eans!$C:$C,"05/2022",E_Suivi_Eans!$D:$D,"Taxes Boissons",E_Suivi_Eans!$J:$J,"Rejet 3",E_Suivi_Eans!$K:$K,"&gt;31/12/2021",E_Suivi_Eans!$K:$K,"&lt;01/09/2022")+ COUNTIFS(E_Suivi_Eans!$C:$C,"05/2022",E_Suivi_Eans!$D:$D,"Taxes Boissons",E_Suivi_Eans!$J:$J,"Rejet 4",E_Suivi_Eans!$K:$K,"&gt;31/12/2021",E_Suivi_Eans!$K:$K,"&lt;01/09/2022")+COUNTIFS(E_Suivi_Eans!$C:$C,"05/2022",E_Suivi_Eans!$D:$D,"Taxes Boissons",E_Suivi_Eans!$J:$J,"Relance 1",E_Suivi_Eans!$K:$K,"&gt;31/12/2021",E_Suivi_Eans!$K:$K,"&lt;01/09/2022")+COUNTIFS(E_Suivi_Eans!$C:$C,"05/2022",E_Suivi_Eans!$D:$D,"Taxes Boissons",E_Suivi_Eans!$J:$J,"Relance 2",E_Suivi_Eans!$K:$K,"&gt;31/12/2021",E_Suivi_Eans!$K:$K,"&lt;01/09/2022")+COUNTIFS(E_Suivi_Eans!$C:$C,"05/2022",E_Suivi_Eans!$D:$D,"Taxes Boissons",E_Suivi_Eans!$J:$J,"Relance 3",E_Suivi_Eans!$K:$K,"&gt;31/12/2021",E_Suivi_Eans!$K:$K,"&lt;01/09/2022")</f>
        <v>0</v>
      </c>
      <c r="E63" s="21">
        <f>COUNTIFS(E_Suivi_Eans!$C:$C,"05/2022",E_Suivi_Eans!$D:$D,"Taxes Boissons",E_Suivi_Eans!$J:$J,"Abandon",E_Suivi_Eans!$K:$K,"&gt;31/12/2021",E_Suivi_Eans!K:K,"&lt;01/09/2022")</f>
        <v>12</v>
      </c>
      <c r="F63" s="21">
        <f>COUNTIFS(E_Suivi_Eans!$C:$C,"05/2022",E_Suivi_Eans!$D:$D,"Taxes Boissons")</f>
        <v>12</v>
      </c>
      <c r="G63" s="21">
        <f t="shared" si="12"/>
        <v>0</v>
      </c>
      <c r="J63" s="20" t="s">
        <v>5318</v>
      </c>
      <c r="K63" s="20" t="s">
        <v>5321</v>
      </c>
      <c r="L63" s="28">
        <f t="shared" si="15"/>
        <v>0</v>
      </c>
      <c r="M63" s="28">
        <f t="shared" si="13"/>
        <v>0</v>
      </c>
      <c r="N63" s="28">
        <f t="shared" si="13"/>
        <v>0</v>
      </c>
      <c r="O63" s="28">
        <v>1</v>
      </c>
      <c r="P63" s="28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COUNTIFS(E_Suivi_Eans!$C:$C,"05/2022",E_Suivi_Eans!$D:$D,"Taxes Boissons",E_Suivi_Eans!$J:$J,"Retour OK",E_Suivi_Eans!$K:$K,"&gt;31/12/2021",E_Suivi_Eans!K:K,"&lt;01/10/2022")</f>
        <v>0</v>
      </c>
      <c r="D64" s="21">
        <f>COUNTIFS(E_Suivi_Eans!$C:$C,"05/2022",E_Suivi_Eans!$D:$D,"Taxes Boissons",E_Suivi_Eans!$J:$J,"Rejet 0",E_Suivi_Eans!$K:$K,"&gt;31/12/2021",E_Suivi_Eans!$K:$K,"&lt;01/10/2022")+ COUNTIFS(E_Suivi_Eans!$C:$C,"05/2022",E_Suivi_Eans!$D:$D,"Taxes Boissons",E_Suivi_Eans!$J:$J,"Rejet 1",E_Suivi_Eans!$K:$K,"&gt;31/12/2021",E_Suivi_Eans!$K:$K,"&lt;01/10/2022")+COUNTIFS(E_Suivi_Eans!$C:$C,"05/2022",E_Suivi_Eans!$D:$D,"Taxes Boissons",E_Suivi_Eans!$J:$J,"Rejet 2",E_Suivi_Eans!$K:$K,"&gt;31/12/2021",E_Suivi_Eans!$K:$K,"&lt;01/10/2022")+COUNTIFS(E_Suivi_Eans!$C:$C,"05/2022",E_Suivi_Eans!$D:$D,"Taxes Boissons",E_Suivi_Eans!$J:$J,"Rejet 3",E_Suivi_Eans!$K:$K,"&gt;31/12/2021",E_Suivi_Eans!$K:$K,"&lt;01/10/2022")+ COUNTIFS(E_Suivi_Eans!$C:$C,"05/2022",E_Suivi_Eans!$D:$D,"Taxes Boissons",E_Suivi_Eans!$J:$J,"Rejet 4",E_Suivi_Eans!$K:$K,"&gt;31/12/2021",E_Suivi_Eans!$K:$K,"&lt;01/10/2022")+COUNTIFS(E_Suivi_Eans!$C:$C,"05/2022",E_Suivi_Eans!$D:$D,"Taxes Boissons",E_Suivi_Eans!$J:$J,"Relance 1",E_Suivi_Eans!$K:$K,"&gt;31/12/2021",E_Suivi_Eans!$K:$K,"&lt;01/10/2022")+COUNTIFS(E_Suivi_Eans!$C:$C,"05/2022",E_Suivi_Eans!$D:$D,"Taxes Boissons",E_Suivi_Eans!$J:$J,"Relance 2",E_Suivi_Eans!$K:$K,"&gt;31/12/2021",E_Suivi_Eans!$K:$K,"&lt;01/10/2022")+COUNTIFS(E_Suivi_Eans!$C:$C,"05/2022",E_Suivi_Eans!$D:$D,"Taxes Boissons",E_Suivi_Eans!$J:$J,"Relance 3",E_Suivi_Eans!$K:$K,"&gt;31/12/2021",E_Suivi_Eans!$K:$K,"&lt;01/10/2022")</f>
        <v>0</v>
      </c>
      <c r="E64" s="21">
        <f>COUNTIFS(E_Suivi_Eans!$C:$C,"05/2022",E_Suivi_Eans!$D:$D,"Taxes Boissons",E_Suivi_Eans!$J:$J,"Abandon",E_Suivi_Eans!$K:$K,"&gt;31/12/2021",E_Suivi_Eans!K:K,"&lt;01/10/2022")</f>
        <v>12</v>
      </c>
      <c r="F64" s="21">
        <f>COUNTIFS(E_Suivi_Eans!$C:$C,"05/2022",E_Suivi_Eans!$D:$D,"Taxes Boissons")</f>
        <v>12</v>
      </c>
      <c r="G64" s="21">
        <f t="shared" si="12"/>
        <v>0</v>
      </c>
      <c r="J64" s="20" t="s">
        <v>5318</v>
      </c>
      <c r="K64" s="20" t="s">
        <v>5325</v>
      </c>
      <c r="L64" s="28">
        <f t="shared" si="15"/>
        <v>0</v>
      </c>
      <c r="M64" s="28">
        <f t="shared" si="13"/>
        <v>0</v>
      </c>
      <c r="N64" s="28">
        <f t="shared" si="13"/>
        <v>0</v>
      </c>
      <c r="O64" s="28">
        <v>1</v>
      </c>
      <c r="P64" s="28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COUNTIFS(E_Suivi_Eans!$C:$C,"05/2022",E_Suivi_Eans!$D:$D,"Taxes Boissons",E_Suivi_Eans!$J:$J,"Retour OK",E_Suivi_Eans!$K:$K,"&gt;31/12/2021",E_Suivi_Eans!K:K,"&lt;01/11/2022")</f>
        <v>0</v>
      </c>
      <c r="D65" s="21">
        <f>COUNTIFS(E_Suivi_Eans!$C:$C,"05/2022",E_Suivi_Eans!$D:$D,"Taxes Boissons",E_Suivi_Eans!$J:$J,"Rejet 0",E_Suivi_Eans!$K:$K,"&gt;31/12/2021",E_Suivi_Eans!$K:$K,"&lt;01/11/2022")+ COUNTIFS(E_Suivi_Eans!$C:$C,"05/2022",E_Suivi_Eans!$D:$D,"Taxes Boissons",E_Suivi_Eans!$J:$J,"Rejet 1",E_Suivi_Eans!$K:$K,"&gt;31/12/2021",E_Suivi_Eans!$K:$K,"&lt;01/11/2022")+COUNTIFS(E_Suivi_Eans!$C:$C,"05/2022",E_Suivi_Eans!$D:$D,"Taxes Boissons",E_Suivi_Eans!$J:$J,"Rejet 2",E_Suivi_Eans!$K:$K,"&gt;31/12/2021",E_Suivi_Eans!$K:$K,"&lt;01/11/2022")+COUNTIFS(E_Suivi_Eans!$C:$C,"05/2022",E_Suivi_Eans!$D:$D,"Taxes Boissons",E_Suivi_Eans!$J:$J,"Rejet 3",E_Suivi_Eans!$K:$K,"&gt;31/12/2021",E_Suivi_Eans!$K:$K,"&lt;01/11/2022")+ COUNTIFS(E_Suivi_Eans!$C:$C,"05/2022",E_Suivi_Eans!$D:$D,"Taxes Boissons",E_Suivi_Eans!$J:$J,"Rejet 4",E_Suivi_Eans!$K:$K,"&gt;31/12/2021",E_Suivi_Eans!$K:$K,"&lt;01/11/2022")+COUNTIFS(E_Suivi_Eans!$C:$C,"05/2022",E_Suivi_Eans!$D:$D,"Taxes Boissons",E_Suivi_Eans!$J:$J,"Relance 1",E_Suivi_Eans!$K:$K,"&gt;31/12/2021",E_Suivi_Eans!$K:$K,"&lt;01/11/2022")+COUNTIFS(E_Suivi_Eans!$C:$C,"05/2022",E_Suivi_Eans!$D:$D,"Taxes Boissons",E_Suivi_Eans!$J:$J,"Relance 2",E_Suivi_Eans!$K:$K,"&gt;31/12/2021",E_Suivi_Eans!$K:$K,"&lt;01/11/2022")+COUNTIFS(E_Suivi_Eans!$C:$C,"05/2022",E_Suivi_Eans!$D:$D,"Taxes Boissons",E_Suivi_Eans!$J:$J,"Relance 3",E_Suivi_Eans!$K:$K,"&gt;31/12/2021",E_Suivi_Eans!$K:$K,"&lt;01/11/2022")</f>
        <v>0</v>
      </c>
      <c r="E65" s="21">
        <f>COUNTIFS(E_Suivi_Eans!$C:$C,"05/2022",E_Suivi_Eans!$D:$D,"Taxes Boissons",E_Suivi_Eans!$J:$J,"Abandon",E_Suivi_Eans!$K:$K,"&gt;31/12/2021",E_Suivi_Eans!K:K,"&lt;01/11/2022")</f>
        <v>12</v>
      </c>
      <c r="F65" s="21">
        <f>COUNTIFS(E_Suivi_Eans!$C:$C,"05/2022",E_Suivi_Eans!$D:$D,"Taxes Boissons")</f>
        <v>12</v>
      </c>
      <c r="G65" s="21">
        <f t="shared" si="12"/>
        <v>0</v>
      </c>
      <c r="J65" s="20" t="s">
        <v>5318</v>
      </c>
      <c r="K65" s="20" t="s">
        <v>5326</v>
      </c>
      <c r="L65" s="28">
        <f t="shared" si="15"/>
        <v>0</v>
      </c>
      <c r="M65" s="28">
        <f t="shared" si="13"/>
        <v>0</v>
      </c>
      <c r="N65" s="28">
        <f t="shared" si="13"/>
        <v>0</v>
      </c>
      <c r="O65" s="28">
        <v>1</v>
      </c>
      <c r="P65" s="28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COUNTIFS(E_Suivi_Eans!$C:$C,"05/2022",E_Suivi_Eans!$D:$D,"Taxes Boissons",E_Suivi_Eans!$J:$J,"Retour OK",E_Suivi_Eans!$K:$K,"&gt;31/12/2021",E_Suivi_Eans!K:K,"&lt;01/12/2022")</f>
        <v>0</v>
      </c>
      <c r="D66" s="21">
        <f>COUNTIFS(E_Suivi_Eans!$C:$C,"05/2022",E_Suivi_Eans!$D:$D,"Taxes Boissons",E_Suivi_Eans!$J:$J,"Rejet 0",E_Suivi_Eans!$K:$K,"&gt;31/12/2021",E_Suivi_Eans!$K:$K,"&lt;01/12/2022")+ COUNTIFS(E_Suivi_Eans!$C:$C,"05/2022",E_Suivi_Eans!$D:$D,"Taxes Boissons",E_Suivi_Eans!$J:$J,"Rejet 1",E_Suivi_Eans!$K:$K,"&gt;31/12/2021",E_Suivi_Eans!$K:$K,"&lt;01/12/2022")+COUNTIFS(E_Suivi_Eans!$C:$C,"05/2022",E_Suivi_Eans!$D:$D,"Taxes Boissons",E_Suivi_Eans!$J:$J,"Rejet 2",E_Suivi_Eans!$K:$K,"&gt;31/12/2021",E_Suivi_Eans!$K:$K,"&lt;01/12/2022")+COUNTIFS(E_Suivi_Eans!$C:$C,"05/2022",E_Suivi_Eans!$D:$D,"Taxes Boissons",E_Suivi_Eans!$J:$J,"Rejet 3",E_Suivi_Eans!$K:$K,"&gt;31/12/2021",E_Suivi_Eans!$K:$K,"&lt;01/12/2022")+ COUNTIFS(E_Suivi_Eans!$C:$C,"05/2022",E_Suivi_Eans!$D:$D,"Taxes Boissons",E_Suivi_Eans!$J:$J,"Rejet 4",E_Suivi_Eans!$K:$K,"&gt;31/12/2021",E_Suivi_Eans!$K:$K,"&lt;01/12/2022")+COUNTIFS(E_Suivi_Eans!$C:$C,"05/2022",E_Suivi_Eans!$D:$D,"Taxes Boissons",E_Suivi_Eans!$J:$J,"Relance 1",E_Suivi_Eans!$K:$K,"&gt;31/12/2021",E_Suivi_Eans!$K:$K,"&lt;01/12/2022")+COUNTIFS(E_Suivi_Eans!$C:$C,"05/2022",E_Suivi_Eans!$D:$D,"Taxes Boissons",E_Suivi_Eans!$J:$J,"Relance 2",E_Suivi_Eans!$K:$K,"&gt;31/12/2021",E_Suivi_Eans!$K:$K,"&lt;01/12/2022")+COUNTIFS(E_Suivi_Eans!$C:$C,"05/2022",E_Suivi_Eans!$D:$D,"Taxes Boissons",E_Suivi_Eans!$J:$J,"Relance 3",E_Suivi_Eans!$K:$K,"&gt;31/12/2021",E_Suivi_Eans!$K:$K,"&lt;01/12/2022")</f>
        <v>0</v>
      </c>
      <c r="E66" s="21">
        <f>COUNTIFS(E_Suivi_Eans!$C:$C,"05/2022",E_Suivi_Eans!$D:$D,"Taxes Boissons",E_Suivi_Eans!$J:$J,"Abandon",E_Suivi_Eans!$K:$K,"&gt;31/12/2021",E_Suivi_Eans!K:K,"&lt;01/12/2022")</f>
        <v>12</v>
      </c>
      <c r="F66" s="21">
        <f>COUNTIFS(E_Suivi_Eans!$C:$C,"05/2022",E_Suivi_Eans!$D:$D,"Taxes Boissons")</f>
        <v>12</v>
      </c>
      <c r="G66" s="21">
        <f t="shared" si="12"/>
        <v>0</v>
      </c>
      <c r="J66" s="20" t="s">
        <v>5318</v>
      </c>
      <c r="K66" s="20" t="s">
        <v>5327</v>
      </c>
      <c r="L66" s="28">
        <f t="shared" si="15"/>
        <v>0</v>
      </c>
      <c r="M66" s="28">
        <f t="shared" si="13"/>
        <v>0</v>
      </c>
      <c r="N66" s="28">
        <f t="shared" si="13"/>
        <v>0</v>
      </c>
      <c r="O66" s="28">
        <v>1</v>
      </c>
      <c r="P66" s="28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8"/>
      <c r="P67" s="28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5"/>
      <c r="E68" s="25"/>
      <c r="F68" s="25"/>
      <c r="G68" s="25"/>
      <c r="J68" s="22"/>
      <c r="K68" s="22"/>
      <c r="L68" s="23"/>
      <c r="M68" s="25"/>
      <c r="N68" s="25"/>
      <c r="O68" s="31"/>
      <c r="P68" s="31"/>
      <c r="S68" s="22"/>
      <c r="T68" s="22"/>
      <c r="U68" s="23"/>
      <c r="V68" s="25"/>
      <c r="W68" s="25"/>
      <c r="X68" s="25"/>
      <c r="Y68" s="25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8"/>
      <c r="P69" s="28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8"/>
      <c r="P70" s="28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8"/>
      <c r="P71" s="28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8"/>
      <c r="P72" s="28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8"/>
      <c r="P73" s="28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COUNTIFS(E_Suivi_Eans!$C:$C,"06/2022",E_Suivi_Eans!$D:$D,"Taxes Boissons",E_Suivi_Eans!$J:$J,"Retour OK",E_Suivi_Eans!$K:$K,"&gt;31/12/2021",E_Suivi_Eans!K:K,"&lt;01/07/2022")</f>
        <v>0</v>
      </c>
      <c r="D74" s="21">
        <f>COUNTIFS(E_Suivi_Eans!$C:$C,"06/2022",E_Suivi_Eans!$D:$D,"Taxes Boissons",E_Suivi_Eans!$J:$J,"Rejet 0",E_Suivi_Eans!$K:$K,"&gt;31/12/2021",E_Suivi_Eans!$K:$K,"&lt;01/07/2022")+ COUNTIFS(E_Suivi_Eans!$C:$C,"06/2022",E_Suivi_Eans!$D:$D,"Taxes Boissons",E_Suivi_Eans!$J:$J,"Rejet 1",E_Suivi_Eans!$K:$K,"&gt;31/12/2021",E_Suivi_Eans!$K:$K,"&lt;01/07/2022")+COUNTIFS(E_Suivi_Eans!$C:$C,"06/2022",E_Suivi_Eans!$D:$D,"Taxes Boissons",E_Suivi_Eans!$J:$J,"Rejet 2",E_Suivi_Eans!$K:$K,"&gt;31/12/2021",E_Suivi_Eans!$K:$K,"&lt;01/07/2022")+COUNTIFS(E_Suivi_Eans!$C:$C,"06/2022",E_Suivi_Eans!$D:$D,"Taxes Boissons",E_Suivi_Eans!$J:$J,"Rejet 3",E_Suivi_Eans!$K:$K,"&gt;31/12/2021",E_Suivi_Eans!$K:$K,"&lt;01/07/2022")+ COUNTIFS(E_Suivi_Eans!$C:$C,"06/2022",E_Suivi_Eans!$D:$D,"Taxes Boissons",E_Suivi_Eans!$J:$J,"Rejet 4",E_Suivi_Eans!$K:$K,"&gt;31/12/2021",E_Suivi_Eans!$K:$K,"&lt;01/07/2022")+COUNTIFS(E_Suivi_Eans!$C:$C,"06/2022",E_Suivi_Eans!$D:$D,"Taxes Boissons",E_Suivi_Eans!$J:$J,"Relance 1",E_Suivi_Eans!$K:$K,"&gt;31/12/2021",E_Suivi_Eans!$K:$K,"&lt;01/07/2022")+COUNTIFS(E_Suivi_Eans!$C:$C,"06/2022",E_Suivi_Eans!$D:$D,"Taxes Boissons",E_Suivi_Eans!$J:$J,"Relance 2",E_Suivi_Eans!$K:$K,"&gt;31/12/2021",E_Suivi_Eans!$K:$K,"&lt;01/07/2022")+COUNTIFS(E_Suivi_Eans!$C:$C,"06/2022",E_Suivi_Eans!$D:$D,"Taxes Boissons",E_Suivi_Eans!$J:$J,"Relance 3",E_Suivi_Eans!$K:$K,"&gt;31/12/2021",E_Suivi_Eans!$K:$K,"&lt;01/07/2022")</f>
        <v>0</v>
      </c>
      <c r="E74" s="21">
        <f>COUNTIFS(E_Suivi_Eans!$C:$C,"06/2022",E_Suivi_Eans!$D:$D,"Taxes Boissons",E_Suivi_Eans!$J:$J,"Abandon",E_Suivi_Eans!$K:$K,"&gt;31/12/2021",E_Suivi_Eans!K:K,"&lt;01/07/2022")</f>
        <v>0</v>
      </c>
      <c r="F74" s="21">
        <f>COUNTIFS(E_Suivi_Eans!$C:$C,"06/2022",E_Suivi_Eans!$D:$D,"Taxes Boissons")</f>
        <v>160</v>
      </c>
      <c r="G74" s="21">
        <f t="shared" ref="G74:G79" si="16">F74-E74</f>
        <v>160</v>
      </c>
      <c r="J74" s="20" t="s">
        <v>5319</v>
      </c>
      <c r="K74" s="20" t="s">
        <v>5319</v>
      </c>
      <c r="L74" s="28">
        <f t="shared" ref="L74:N79" si="17">IF($G74=0,0,C74/$G74)</f>
        <v>0</v>
      </c>
      <c r="M74" s="28">
        <f t="shared" si="17"/>
        <v>0</v>
      </c>
      <c r="N74" s="28">
        <f t="shared" si="17"/>
        <v>0</v>
      </c>
      <c r="O74" s="28">
        <v>1</v>
      </c>
      <c r="P74" s="28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COUNTIFS(E_Suivi_Eans!$C:$C,"06/2022",E_Suivi_Eans!$D:$D,"Taxes Boissons",E_Suivi_Eans!$J:$J,"Retour OK",E_Suivi_Eans!$K:$K,"&gt;31/12/2021",E_Suivi_Eans!K:K,"&lt;01/08/2022")</f>
        <v>0</v>
      </c>
      <c r="D75" s="21">
        <f>COUNTIFS(E_Suivi_Eans!$C:$C,"06/2022",E_Suivi_Eans!$D:$D,"Taxes Boissons",E_Suivi_Eans!$J:$J,"Rejet 0",E_Suivi_Eans!$K:$K,"&gt;31/12/2021",E_Suivi_Eans!$K:$K,"&lt;01/08/2022")+ COUNTIFS(E_Suivi_Eans!$C:$C,"06/2022",E_Suivi_Eans!$D:$D,"Taxes Boissons",E_Suivi_Eans!$J:$J,"Rejet 1",E_Suivi_Eans!$K:$K,"&gt;31/12/2021",E_Suivi_Eans!$K:$K,"&lt;01/08/2022")+COUNTIFS(E_Suivi_Eans!$C:$C,"06/2022",E_Suivi_Eans!$D:$D,"Taxes Boissons",E_Suivi_Eans!$J:$J,"Rejet 2",E_Suivi_Eans!$K:$K,"&gt;31/12/2021",E_Suivi_Eans!$K:$K,"&lt;01/08/2022")+COUNTIFS(E_Suivi_Eans!$C:$C,"06/2022",E_Suivi_Eans!$D:$D,"Taxes Boissons",E_Suivi_Eans!$J:$J,"Rejet 3",E_Suivi_Eans!$K:$K,"&gt;31/12/2021",E_Suivi_Eans!$K:$K,"&lt;01/08/2022")+ COUNTIFS(E_Suivi_Eans!$C:$C,"06/2022",E_Suivi_Eans!$D:$D,"Taxes Boissons",E_Suivi_Eans!$J:$J,"Rejet 4",E_Suivi_Eans!$K:$K,"&gt;31/12/2021",E_Suivi_Eans!$K:$K,"&lt;01/08/2022")+COUNTIFS(E_Suivi_Eans!$C:$C,"06/2022",E_Suivi_Eans!$D:$D,"Taxes Boissons",E_Suivi_Eans!$J:$J,"Relance 1",E_Suivi_Eans!$K:$K,"&gt;31/12/2021",E_Suivi_Eans!$K:$K,"&lt;01/08/2022")+COUNTIFS(E_Suivi_Eans!$C:$C,"06/2022",E_Suivi_Eans!$D:$D,"Taxes Boissons",E_Suivi_Eans!$J:$J,"Relance 2",E_Suivi_Eans!$K:$K,"&gt;31/12/2021",E_Suivi_Eans!$K:$K,"&lt;01/08/2022")+COUNTIFS(E_Suivi_Eans!$C:$C,"06/2022",E_Suivi_Eans!$D:$D,"Taxes Boissons",E_Suivi_Eans!$J:$J,"Relance 3",E_Suivi_Eans!$K:$K,"&gt;31/12/2021",E_Suivi_Eans!$K:$K,"&lt;01/08/2022")</f>
        <v>0</v>
      </c>
      <c r="E75" s="21">
        <f>COUNTIFS(E_Suivi_Eans!$C:$C,"06/2022",E_Suivi_Eans!$D:$D,"Taxes Boissons",E_Suivi_Eans!$J:$J,"Abandon",E_Suivi_Eans!$K:$K,"&gt;31/12/2021",E_Suivi_Eans!K:K,"&lt;01/08/2022")</f>
        <v>0</v>
      </c>
      <c r="F75" s="21">
        <f>COUNTIFS(E_Suivi_Eans!$C:$C,"06/2022",E_Suivi_Eans!$D:$D,"Taxes Boissons")</f>
        <v>160</v>
      </c>
      <c r="G75" s="21">
        <f t="shared" si="16"/>
        <v>160</v>
      </c>
      <c r="J75" s="20" t="s">
        <v>5319</v>
      </c>
      <c r="K75" s="20" t="s">
        <v>5320</v>
      </c>
      <c r="L75" s="28">
        <f t="shared" si="17"/>
        <v>0</v>
      </c>
      <c r="M75" s="28">
        <f t="shared" si="17"/>
        <v>0</v>
      </c>
      <c r="N75" s="28">
        <f t="shared" si="17"/>
        <v>0</v>
      </c>
      <c r="O75" s="28">
        <v>1</v>
      </c>
      <c r="P75" s="28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COUNTIFS(E_Suivi_Eans!$C:$C,"06/2022",E_Suivi_Eans!$D:$D,"Taxes Boissons",E_Suivi_Eans!$J:$J,"Retour OK",E_Suivi_Eans!$K:$K,"&gt;31/12/2021",E_Suivi_Eans!K:K,"&lt;01/09/2022")</f>
        <v>4</v>
      </c>
      <c r="D76" s="21">
        <f>COUNTIFS(E_Suivi_Eans!$C:$C,"06/2022",E_Suivi_Eans!$D:$D,"Taxes Boissons",E_Suivi_Eans!$J:$J,"Rejet 0",E_Suivi_Eans!$K:$K,"&gt;31/12/2021",E_Suivi_Eans!$K:$K,"&lt;01/09/2022")+ COUNTIFS(E_Suivi_Eans!$C:$C,"06/2022",E_Suivi_Eans!$D:$D,"Taxes Boissons",E_Suivi_Eans!$J:$J,"Rejet 1",E_Suivi_Eans!$K:$K,"&gt;31/12/2021",E_Suivi_Eans!$K:$K,"&lt;01/09/2022")+COUNTIFS(E_Suivi_Eans!$C:$C,"06/2022",E_Suivi_Eans!$D:$D,"Taxes Boissons",E_Suivi_Eans!$J:$J,"Rejet 2",E_Suivi_Eans!$K:$K,"&gt;31/12/2021",E_Suivi_Eans!$K:$K,"&lt;01/09/2022")+COUNTIFS(E_Suivi_Eans!$C:$C,"06/2022",E_Suivi_Eans!$D:$D,"Taxes Boissons",E_Suivi_Eans!$J:$J,"Rejet 3",E_Suivi_Eans!$K:$K,"&gt;31/12/2021",E_Suivi_Eans!$K:$K,"&lt;01/09/2022")+ COUNTIFS(E_Suivi_Eans!$C:$C,"06/2022",E_Suivi_Eans!$D:$D,"Taxes Boissons",E_Suivi_Eans!$J:$J,"Rejet 4",E_Suivi_Eans!$K:$K,"&gt;31/12/2021",E_Suivi_Eans!$K:$K,"&lt;01/09/2022")+COUNTIFS(E_Suivi_Eans!$C:$C,"06/2022",E_Suivi_Eans!$D:$D,"Taxes Boissons",E_Suivi_Eans!$J:$J,"Relance 1",E_Suivi_Eans!$K:$K,"&gt;31/12/2021",E_Suivi_Eans!$K:$K,"&lt;01/09/2022")+COUNTIFS(E_Suivi_Eans!$C:$C,"06/2022",E_Suivi_Eans!$D:$D,"Taxes Boissons",E_Suivi_Eans!$J:$J,"Relance 2",E_Suivi_Eans!$K:$K,"&gt;31/12/2021",E_Suivi_Eans!$K:$K,"&lt;01/09/2022")+COUNTIFS(E_Suivi_Eans!$C:$C,"06/2022",E_Suivi_Eans!$D:$D,"Taxes Boissons",E_Suivi_Eans!$J:$J,"Relance 3",E_Suivi_Eans!$K:$K,"&gt;31/12/2021",E_Suivi_Eans!$K:$K,"&lt;01/09/2022")</f>
        <v>0</v>
      </c>
      <c r="E76" s="21">
        <f>COUNTIFS(E_Suivi_Eans!$C:$C,"06/2022",E_Suivi_Eans!$D:$D,"Taxes Boissons",E_Suivi_Eans!$J:$J,"Abandon",E_Suivi_Eans!$K:$K,"&gt;31/12/2021",E_Suivi_Eans!K:K,"&lt;01/09/2022")</f>
        <v>0</v>
      </c>
      <c r="F76" s="21">
        <f>COUNTIFS(E_Suivi_Eans!$C:$C,"06/2022",E_Suivi_Eans!$D:$D,"Taxes Boissons")</f>
        <v>160</v>
      </c>
      <c r="G76" s="21">
        <f t="shared" si="16"/>
        <v>160</v>
      </c>
      <c r="J76" s="20" t="s">
        <v>5319</v>
      </c>
      <c r="K76" s="20" t="s">
        <v>5321</v>
      </c>
      <c r="L76" s="28">
        <f t="shared" si="17"/>
        <v>2.5000000000000001E-2</v>
      </c>
      <c r="M76" s="28">
        <f t="shared" si="17"/>
        <v>0</v>
      </c>
      <c r="N76" s="28">
        <f t="shared" si="17"/>
        <v>0</v>
      </c>
      <c r="O76" s="28">
        <v>1</v>
      </c>
      <c r="P76" s="28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COUNTIFS(E_Suivi_Eans!$C:$C,"06/2022",E_Suivi_Eans!$D:$D,"Taxes Boissons",E_Suivi_Eans!$J:$J,"Retour OK",E_Suivi_Eans!$K:$K,"&gt;31/12/2021",E_Suivi_Eans!K:K,"&lt;01/10/2022")</f>
        <v>13</v>
      </c>
      <c r="D77" s="21">
        <f>COUNTIFS(E_Suivi_Eans!$C:$C,"06/2022",E_Suivi_Eans!$D:$D,"Taxes Boissons",E_Suivi_Eans!$J:$J,"Rejet 0",E_Suivi_Eans!$K:$K,"&gt;31/12/2021",E_Suivi_Eans!$K:$K,"&lt;01/10/2022")+ COUNTIFS(E_Suivi_Eans!$C:$C,"06/2022",E_Suivi_Eans!$D:$D,"Taxes Boissons",E_Suivi_Eans!$J:$J,"Rejet 1",E_Suivi_Eans!$K:$K,"&gt;31/12/2021",E_Suivi_Eans!$K:$K,"&lt;01/10/2022")+COUNTIFS(E_Suivi_Eans!$C:$C,"06/2022",E_Suivi_Eans!$D:$D,"Taxes Boissons",E_Suivi_Eans!$J:$J,"Rejet 2",E_Suivi_Eans!$K:$K,"&gt;31/12/2021",E_Suivi_Eans!$K:$K,"&lt;01/10/2022")+COUNTIFS(E_Suivi_Eans!$C:$C,"06/2022",E_Suivi_Eans!$D:$D,"Taxes Boissons",E_Suivi_Eans!$J:$J,"Rejet 3",E_Suivi_Eans!$K:$K,"&gt;31/12/2021",E_Suivi_Eans!$K:$K,"&lt;01/10/2022")+ COUNTIFS(E_Suivi_Eans!$C:$C,"06/2022",E_Suivi_Eans!$D:$D,"Taxes Boissons",E_Suivi_Eans!$J:$J,"Rejet 4",E_Suivi_Eans!$K:$K,"&gt;31/12/2021",E_Suivi_Eans!$K:$K,"&lt;01/10/2022")+COUNTIFS(E_Suivi_Eans!$C:$C,"06/2022",E_Suivi_Eans!$D:$D,"Taxes Boissons",E_Suivi_Eans!$J:$J,"Relance 1",E_Suivi_Eans!$K:$K,"&gt;31/12/2021",E_Suivi_Eans!$K:$K,"&lt;01/10/2022")+COUNTIFS(E_Suivi_Eans!$C:$C,"06/2022",E_Suivi_Eans!$D:$D,"Taxes Boissons",E_Suivi_Eans!$J:$J,"Relance 2",E_Suivi_Eans!$K:$K,"&gt;31/12/2021",E_Suivi_Eans!$K:$K,"&lt;01/10/2022")+COUNTIFS(E_Suivi_Eans!$C:$C,"06/2022",E_Suivi_Eans!$D:$D,"Taxes Boissons",E_Suivi_Eans!$J:$J,"Relance 3",E_Suivi_Eans!$K:$K,"&gt;31/12/2021",E_Suivi_Eans!$K:$K,"&lt;01/10/2022")</f>
        <v>70</v>
      </c>
      <c r="E77" s="21">
        <f>COUNTIFS(E_Suivi_Eans!$C:$C,"06/2022",E_Suivi_Eans!$D:$D,"Taxes Boissons",E_Suivi_Eans!$J:$J,"Abandon",E_Suivi_Eans!$K:$K,"&gt;31/12/2021",E_Suivi_Eans!K:K,"&lt;01/10/2022")</f>
        <v>71</v>
      </c>
      <c r="F77" s="21">
        <f>COUNTIFS(E_Suivi_Eans!$C:$C,"06/2022",E_Suivi_Eans!$D:$D,"Taxes Boissons")</f>
        <v>160</v>
      </c>
      <c r="G77" s="21">
        <f t="shared" si="16"/>
        <v>89</v>
      </c>
      <c r="J77" s="20" t="s">
        <v>5319</v>
      </c>
      <c r="K77" s="20" t="s">
        <v>5325</v>
      </c>
      <c r="L77" s="28">
        <f t="shared" si="17"/>
        <v>0.14606741573033707</v>
      </c>
      <c r="M77" s="28">
        <f t="shared" si="17"/>
        <v>0.7865168539325843</v>
      </c>
      <c r="N77" s="28">
        <f t="shared" si="17"/>
        <v>0.797752808988764</v>
      </c>
      <c r="O77" s="28">
        <v>1</v>
      </c>
      <c r="P77" s="28">
        <f t="shared" si="18"/>
        <v>0.202247191011236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COUNTIFS(E_Suivi_Eans!$C:$C,"06/2022",E_Suivi_Eans!$D:$D,"Taxes Boissons",E_Suivi_Eans!$J:$J,"Retour OK",E_Suivi_Eans!$K:$K,"&gt;31/12/2021",E_Suivi_Eans!K:K,"&lt;01/11/2022")</f>
        <v>13</v>
      </c>
      <c r="D78" s="21">
        <f>COUNTIFS(E_Suivi_Eans!$C:$C,"06/2022",E_Suivi_Eans!$D:$D,"Taxes Boissons",E_Suivi_Eans!$J:$J,"Rejet 0",E_Suivi_Eans!$K:$K,"&gt;31/12/2021",E_Suivi_Eans!$K:$K,"&lt;01/11/2022")+ COUNTIFS(E_Suivi_Eans!$C:$C,"06/2022",E_Suivi_Eans!$D:$D,"Taxes Boissons",E_Suivi_Eans!$J:$J,"Rejet 1",E_Suivi_Eans!$K:$K,"&gt;31/12/2021",E_Suivi_Eans!$K:$K,"&lt;01/11/2022")+COUNTIFS(E_Suivi_Eans!$C:$C,"06/2022",E_Suivi_Eans!$D:$D,"Taxes Boissons",E_Suivi_Eans!$J:$J,"Rejet 2",E_Suivi_Eans!$K:$K,"&gt;31/12/2021",E_Suivi_Eans!$K:$K,"&lt;01/11/2022")+COUNTIFS(E_Suivi_Eans!$C:$C,"06/2022",E_Suivi_Eans!$D:$D,"Taxes Boissons",E_Suivi_Eans!$J:$J,"Rejet 3",E_Suivi_Eans!$K:$K,"&gt;31/12/2021",E_Suivi_Eans!$K:$K,"&lt;01/11/2022")+ COUNTIFS(E_Suivi_Eans!$C:$C,"06/2022",E_Suivi_Eans!$D:$D,"Taxes Boissons",E_Suivi_Eans!$J:$J,"Rejet 4",E_Suivi_Eans!$K:$K,"&gt;31/12/2021",E_Suivi_Eans!$K:$K,"&lt;01/11/2022")+COUNTIFS(E_Suivi_Eans!$C:$C,"06/2022",E_Suivi_Eans!$D:$D,"Taxes Boissons",E_Suivi_Eans!$J:$J,"Relance 1",E_Suivi_Eans!$K:$K,"&gt;31/12/2021",E_Suivi_Eans!$K:$K,"&lt;01/11/2022")+COUNTIFS(E_Suivi_Eans!$C:$C,"06/2022",E_Suivi_Eans!$D:$D,"Taxes Boissons",E_Suivi_Eans!$J:$J,"Relance 2",E_Suivi_Eans!$K:$K,"&gt;31/12/2021",E_Suivi_Eans!$K:$K,"&lt;01/11/2022")+COUNTIFS(E_Suivi_Eans!$C:$C,"06/2022",E_Suivi_Eans!$D:$D,"Taxes Boissons",E_Suivi_Eans!$J:$J,"Relance 3",E_Suivi_Eans!$K:$K,"&gt;31/12/2021",E_Suivi_Eans!$K:$K,"&lt;01/11/2022")</f>
        <v>70</v>
      </c>
      <c r="E78" s="21">
        <f>COUNTIFS(E_Suivi_Eans!$C:$C,"06/2022",E_Suivi_Eans!$D:$D,"Taxes Boissons",E_Suivi_Eans!$J:$J,"Abandon",E_Suivi_Eans!$K:$K,"&gt;31/12/2021",E_Suivi_Eans!K:K,"&lt;01/11/2022")</f>
        <v>71</v>
      </c>
      <c r="F78" s="21">
        <f>COUNTIFS(E_Suivi_Eans!$C:$C,"06/2022",E_Suivi_Eans!$D:$D,"Taxes Boissons")</f>
        <v>160</v>
      </c>
      <c r="G78" s="21">
        <f t="shared" si="16"/>
        <v>89</v>
      </c>
      <c r="J78" s="20" t="s">
        <v>5319</v>
      </c>
      <c r="K78" s="20" t="s">
        <v>5326</v>
      </c>
      <c r="L78" s="28">
        <f t="shared" si="17"/>
        <v>0.14606741573033707</v>
      </c>
      <c r="M78" s="28">
        <f t="shared" si="17"/>
        <v>0.7865168539325843</v>
      </c>
      <c r="N78" s="28">
        <f t="shared" si="17"/>
        <v>0.797752808988764</v>
      </c>
      <c r="O78" s="28">
        <v>1</v>
      </c>
      <c r="P78" s="28">
        <f t="shared" si="18"/>
        <v>0.202247191011236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COUNTIFS(E_Suivi_Eans!$C:$C,"06/2022",E_Suivi_Eans!$D:$D,"Taxes Boissons",E_Suivi_Eans!$J:$J,"Retour OK",E_Suivi_Eans!$K:$K,"&gt;31/12/2021",E_Suivi_Eans!K:K,"&lt;01/12/2022")</f>
        <v>19</v>
      </c>
      <c r="D79" s="21">
        <f>COUNTIFS(E_Suivi_Eans!$C:$C,"06/2022",E_Suivi_Eans!$D:$D,"Taxes Boissons",E_Suivi_Eans!$J:$J,"Rejet 0",E_Suivi_Eans!$K:$K,"&gt;31/12/2021",E_Suivi_Eans!$K:$K,"&lt;01/12/2022")+ COUNTIFS(E_Suivi_Eans!$C:$C,"06/2022",E_Suivi_Eans!$D:$D,"Taxes Boissons",E_Suivi_Eans!$J:$J,"Rejet 1",E_Suivi_Eans!$K:$K,"&gt;31/12/2021",E_Suivi_Eans!$K:$K,"&lt;01/12/2022")+COUNTIFS(E_Suivi_Eans!$C:$C,"06/2022",E_Suivi_Eans!$D:$D,"Taxes Boissons",E_Suivi_Eans!$J:$J,"Rejet 2",E_Suivi_Eans!$K:$K,"&gt;31/12/2021",E_Suivi_Eans!$K:$K,"&lt;01/12/2022")+COUNTIFS(E_Suivi_Eans!$C:$C,"06/2022",E_Suivi_Eans!$D:$D,"Taxes Boissons",E_Suivi_Eans!$J:$J,"Rejet 3",E_Suivi_Eans!$K:$K,"&gt;31/12/2021",E_Suivi_Eans!$K:$K,"&lt;01/12/2022")+ COUNTIFS(E_Suivi_Eans!$C:$C,"06/2022",E_Suivi_Eans!$D:$D,"Taxes Boissons",E_Suivi_Eans!$J:$J,"Rejet 4",E_Suivi_Eans!$K:$K,"&gt;31/12/2021",E_Suivi_Eans!$K:$K,"&lt;01/12/2022")+COUNTIFS(E_Suivi_Eans!$C:$C,"06/2022",E_Suivi_Eans!$D:$D,"Taxes Boissons",E_Suivi_Eans!$J:$J,"Relance 1",E_Suivi_Eans!$K:$K,"&gt;31/12/2021",E_Suivi_Eans!$K:$K,"&lt;01/12/2022")+COUNTIFS(E_Suivi_Eans!$C:$C,"06/2022",E_Suivi_Eans!$D:$D,"Taxes Boissons",E_Suivi_Eans!$J:$J,"Relance 2",E_Suivi_Eans!$K:$K,"&gt;31/12/2021",E_Suivi_Eans!$K:$K,"&lt;01/12/2022")+COUNTIFS(E_Suivi_Eans!$C:$C,"06/2022",E_Suivi_Eans!$D:$D,"Taxes Boissons",E_Suivi_Eans!$J:$J,"Relance 3",E_Suivi_Eans!$K:$K,"&gt;31/12/2021",E_Suivi_Eans!$K:$K,"&lt;01/12/2022")</f>
        <v>70</v>
      </c>
      <c r="E79" s="21">
        <f>COUNTIFS(E_Suivi_Eans!$C:$C,"06/2022",E_Suivi_Eans!$D:$D,"Taxes Boissons",E_Suivi_Eans!$J:$J,"Abandon",E_Suivi_Eans!$K:$K,"&gt;31/12/2021",E_Suivi_Eans!K:K,"&lt;01/12/2022")</f>
        <v>71</v>
      </c>
      <c r="F79" s="21">
        <f>COUNTIFS(E_Suivi_Eans!$C:$C,"06/2022",E_Suivi_Eans!$D:$D,"Taxes Boissons")</f>
        <v>160</v>
      </c>
      <c r="G79" s="21">
        <f t="shared" si="16"/>
        <v>89</v>
      </c>
      <c r="J79" s="20" t="s">
        <v>5319</v>
      </c>
      <c r="K79" s="20" t="s">
        <v>5327</v>
      </c>
      <c r="L79" s="28">
        <f t="shared" si="17"/>
        <v>0.21348314606741572</v>
      </c>
      <c r="M79" s="28">
        <f t="shared" si="17"/>
        <v>0.7865168539325843</v>
      </c>
      <c r="N79" s="28">
        <f t="shared" si="17"/>
        <v>0.797752808988764</v>
      </c>
      <c r="O79" s="28">
        <v>1</v>
      </c>
      <c r="P79" s="28">
        <f t="shared" si="18"/>
        <v>0.202247191011236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8"/>
      <c r="P80" s="28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5"/>
      <c r="E81" s="25"/>
      <c r="F81" s="25"/>
      <c r="G81" s="25"/>
      <c r="J81" s="22"/>
      <c r="K81" s="22"/>
      <c r="L81" s="23"/>
      <c r="M81" s="25"/>
      <c r="N81" s="25"/>
      <c r="O81" s="31"/>
      <c r="P81" s="31"/>
      <c r="S81" s="22"/>
      <c r="T81" s="22"/>
      <c r="U81" s="23"/>
      <c r="V81" s="25"/>
      <c r="W81" s="25"/>
      <c r="X81" s="25"/>
      <c r="Y81" s="25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8"/>
      <c r="P82" s="28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8"/>
      <c r="P83" s="28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8"/>
      <c r="P84" s="28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8"/>
      <c r="P85" s="28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8"/>
      <c r="P86" s="28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8"/>
      <c r="P87" s="28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COUNTIFS(E_Suivi_Eans!$C:$C,"07/2022",E_Suivi_Eans!$D:$D,"Taxes Boissons",E_Suivi_Eans!$J:$J,"Retour OK",E_Suivi_Eans!$K:$K,"&gt;31/12/2021",E_Suivi_Eans!K:K,"&lt;01/08/2022")</f>
        <v>0</v>
      </c>
      <c r="D88" s="21">
        <f>COUNTIFS(E_Suivi_Eans!$C:$C,"07/2022",E_Suivi_Eans!$D:$D,"Taxes Boissons",E_Suivi_Eans!$J:$J,"Rejet 0",E_Suivi_Eans!$K:$K,"&gt;31/12/2021",E_Suivi_Eans!$K:$K,"&lt;01/08/2022")+ COUNTIFS(E_Suivi_Eans!$C:$C,"07/2022",E_Suivi_Eans!$D:$D,"Taxes Boissons",E_Suivi_Eans!$J:$J,"Rejet 1",E_Suivi_Eans!$K:$K,"&gt;31/12/2021",E_Suivi_Eans!$K:$K,"&lt;01/08/2022")+COUNTIFS(E_Suivi_Eans!$C:$C,"07/2022",E_Suivi_Eans!$D:$D,"Taxes Boissons",E_Suivi_Eans!$J:$J,"Rejet 2",E_Suivi_Eans!$K:$K,"&gt;31/12/2021",E_Suivi_Eans!$K:$K,"&lt;01/08/2022")+COUNTIFS(E_Suivi_Eans!$C:$C,"07/2022",E_Suivi_Eans!$D:$D,"Taxes Boissons",E_Suivi_Eans!$J:$J,"Rejet 3",E_Suivi_Eans!$K:$K,"&gt;31/12/2021",E_Suivi_Eans!$K:$K,"&lt;01/08/2022")+ COUNTIFS(E_Suivi_Eans!$C:$C,"07/2022",E_Suivi_Eans!$D:$D,"Taxes Boissons",E_Suivi_Eans!$J:$J,"Rejet 4",E_Suivi_Eans!$K:$K,"&gt;31/12/2021",E_Suivi_Eans!$K:$K,"&lt;01/08/2022")+COUNTIFS(E_Suivi_Eans!$C:$C,"07/2022",E_Suivi_Eans!$D:$D,"Taxes Boissons",E_Suivi_Eans!$J:$J,"Relance 1",E_Suivi_Eans!$K:$K,"&gt;31/12/2021",E_Suivi_Eans!$K:$K,"&lt;01/08/2022")+COUNTIFS(E_Suivi_Eans!$C:$C,"07/2022",E_Suivi_Eans!$D:$D,"Taxes Boissons",E_Suivi_Eans!$J:$J,"Relance 2",E_Suivi_Eans!$K:$K,"&gt;31/12/2021",E_Suivi_Eans!$K:$K,"&lt;01/08/2022")+COUNTIFS(E_Suivi_Eans!$C:$C,"07/2022",E_Suivi_Eans!$D:$D,"Taxes Boissons",E_Suivi_Eans!$J:$J,"Relance 3",E_Suivi_Eans!$K:$K,"&gt;31/12/2021",E_Suivi_Eans!$K:$K,"&lt;01/08/2022")</f>
        <v>0</v>
      </c>
      <c r="E88" s="21">
        <f>COUNTIFS(E_Suivi_Eans!$C:$C,"07/2022",E_Suivi_Eans!$D:$D,"Taxes Boissons",E_Suivi_Eans!$J:$J,"Abandon",E_Suivi_Eans!$K:$K,"&gt;31/12/2021",E_Suivi_Eans!K:K,"&lt;01/08/2022")</f>
        <v>0</v>
      </c>
      <c r="F88" s="21">
        <f>COUNTIFS(E_Suivi_Eans!$C:$C,"07/2022",E_Suivi_Eans!$D:$D,"Taxes Boissons")</f>
        <v>8</v>
      </c>
      <c r="G88" s="21">
        <f>F88-E88</f>
        <v>8</v>
      </c>
      <c r="J88" s="20" t="s">
        <v>5320</v>
      </c>
      <c r="K88" s="20" t="s">
        <v>5320</v>
      </c>
      <c r="L88" s="28">
        <f t="shared" ref="L88:N92" si="19">IF($G88=0,0,C88/$G88)</f>
        <v>0</v>
      </c>
      <c r="M88" s="28">
        <f t="shared" si="19"/>
        <v>0</v>
      </c>
      <c r="N88" s="28">
        <f t="shared" si="19"/>
        <v>0</v>
      </c>
      <c r="O88" s="28">
        <v>1</v>
      </c>
      <c r="P88" s="28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COUNTIFS(E_Suivi_Eans!$C:$C,"07/2022",E_Suivi_Eans!$D:$D,"Taxes Boissons",E_Suivi_Eans!$J:$J,"Retour OK",E_Suivi_Eans!$K:$K,"&gt;31/12/2021",E_Suivi_Eans!K:K,"&lt;01/09/2022")</f>
        <v>0</v>
      </c>
      <c r="D89" s="21">
        <f>COUNTIFS(E_Suivi_Eans!$C:$C,"07/2022",E_Suivi_Eans!$D:$D,"Taxes Boissons",E_Suivi_Eans!$J:$J,"Rejet 0",E_Suivi_Eans!$K:$K,"&gt;31/12/2021",E_Suivi_Eans!$K:$K,"&lt;01/09/2022")+ COUNTIFS(E_Suivi_Eans!$C:$C,"07/2022",E_Suivi_Eans!$D:$D,"Taxes Boissons",E_Suivi_Eans!$J:$J,"Rejet 1",E_Suivi_Eans!$K:$K,"&gt;31/12/2021",E_Suivi_Eans!$K:$K,"&lt;01/09/2022")+COUNTIFS(E_Suivi_Eans!$C:$C,"07/2022",E_Suivi_Eans!$D:$D,"Taxes Boissons",E_Suivi_Eans!$J:$J,"Rejet 2",E_Suivi_Eans!$K:$K,"&gt;31/12/2021",E_Suivi_Eans!$K:$K,"&lt;01/09/2022")+COUNTIFS(E_Suivi_Eans!$C:$C,"07/2022",E_Suivi_Eans!$D:$D,"Taxes Boissons",E_Suivi_Eans!$J:$J,"Rejet 3",E_Suivi_Eans!$K:$K,"&gt;31/12/2021",E_Suivi_Eans!$K:$K,"&lt;01/09/2022")+ COUNTIFS(E_Suivi_Eans!$C:$C,"07/2022",E_Suivi_Eans!$D:$D,"Taxes Boissons",E_Suivi_Eans!$J:$J,"Rejet 4",E_Suivi_Eans!$K:$K,"&gt;31/12/2021",E_Suivi_Eans!$K:$K,"&lt;01/09/2022")+COUNTIFS(E_Suivi_Eans!$C:$C,"07/2022",E_Suivi_Eans!$D:$D,"Taxes Boissons",E_Suivi_Eans!$J:$J,"Relance 1",E_Suivi_Eans!$K:$K,"&gt;31/12/2021",E_Suivi_Eans!$K:$K,"&lt;01/09/2022")+COUNTIFS(E_Suivi_Eans!$C:$C,"07/2022",E_Suivi_Eans!$D:$D,"Taxes Boissons",E_Suivi_Eans!$J:$J,"Relance 2",E_Suivi_Eans!$K:$K,"&gt;31/12/2021",E_Suivi_Eans!$K:$K,"&lt;01/09/2022")+COUNTIFS(E_Suivi_Eans!$C:$C,"07/2022",E_Suivi_Eans!$D:$D,"Taxes Boissons",E_Suivi_Eans!$J:$J,"Relance 3",E_Suivi_Eans!$K:$K,"&gt;31/12/2021",E_Suivi_Eans!$K:$K,"&lt;01/09/2022")</f>
        <v>0</v>
      </c>
      <c r="E89" s="21">
        <f>COUNTIFS(E_Suivi_Eans!$C:$C,"07/2022",E_Suivi_Eans!$D:$D,"Taxes Boissons",E_Suivi_Eans!$J:$J,"Abandon",E_Suivi_Eans!$K:$K,"&gt;31/12/2021",E_Suivi_Eans!K:K,"&lt;01/09/2022")</f>
        <v>0</v>
      </c>
      <c r="F89" s="21">
        <f>COUNTIFS(E_Suivi_Eans!$C:$C,"07/2022",E_Suivi_Eans!$D:$D,"Taxes Boissons")</f>
        <v>8</v>
      </c>
      <c r="G89" s="21">
        <f t="shared" ref="G89:G92" si="21">F89-E89</f>
        <v>8</v>
      </c>
      <c r="J89" s="20" t="s">
        <v>5320</v>
      </c>
      <c r="K89" s="20" t="s">
        <v>5321</v>
      </c>
      <c r="L89" s="28">
        <f t="shared" si="19"/>
        <v>0</v>
      </c>
      <c r="M89" s="28">
        <f t="shared" si="19"/>
        <v>0</v>
      </c>
      <c r="N89" s="28">
        <f t="shared" si="19"/>
        <v>0</v>
      </c>
      <c r="O89" s="28">
        <v>1</v>
      </c>
      <c r="P89" s="28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COUNTIFS(E_Suivi_Eans!$C:$C,"07/2022",E_Suivi_Eans!$D:$D,"Taxes Boissons",E_Suivi_Eans!$J:$J,"Retour OK",E_Suivi_Eans!$K:$K,"&gt;31/12/2021",E_Suivi_Eans!K:K,"&lt;01/10/2022")</f>
        <v>0</v>
      </c>
      <c r="D90" s="21">
        <f>COUNTIFS(E_Suivi_Eans!$C:$C,"07/2022",E_Suivi_Eans!$D:$D,"Taxes Boissons",E_Suivi_Eans!$J:$J,"Rejet 0",E_Suivi_Eans!$K:$K,"&gt;31/12/2021",E_Suivi_Eans!$K:$K,"&lt;01/10/2022")+ COUNTIFS(E_Suivi_Eans!$C:$C,"07/2022",E_Suivi_Eans!$D:$D,"Taxes Boissons",E_Suivi_Eans!$J:$J,"Rejet 1",E_Suivi_Eans!$K:$K,"&gt;31/12/2021",E_Suivi_Eans!$K:$K,"&lt;01/10/2022")+COUNTIFS(E_Suivi_Eans!$C:$C,"07/2022",E_Suivi_Eans!$D:$D,"Taxes Boissons",E_Suivi_Eans!$J:$J,"Rejet 2",E_Suivi_Eans!$K:$K,"&gt;31/12/2021",E_Suivi_Eans!$K:$K,"&lt;01/10/2022")+COUNTIFS(E_Suivi_Eans!$C:$C,"07/2022",E_Suivi_Eans!$D:$D,"Taxes Boissons",E_Suivi_Eans!$J:$J,"Rejet 3",E_Suivi_Eans!$K:$K,"&gt;31/12/2021",E_Suivi_Eans!$K:$K,"&lt;01/10/2022")+ COUNTIFS(E_Suivi_Eans!$C:$C,"07/2022",E_Suivi_Eans!$D:$D,"Taxes Boissons",E_Suivi_Eans!$J:$J,"Rejet 4",E_Suivi_Eans!$K:$K,"&gt;31/12/2021",E_Suivi_Eans!$K:$K,"&lt;01/10/2022")+COUNTIFS(E_Suivi_Eans!$C:$C,"07/2022",E_Suivi_Eans!$D:$D,"Taxes Boissons",E_Suivi_Eans!$J:$J,"Relance 1",E_Suivi_Eans!$K:$K,"&gt;31/12/2021",E_Suivi_Eans!$K:$K,"&lt;01/10/2022")+COUNTIFS(E_Suivi_Eans!$C:$C,"07/2022",E_Suivi_Eans!$D:$D,"Taxes Boissons",E_Suivi_Eans!$J:$J,"Relance 2",E_Suivi_Eans!$K:$K,"&gt;31/12/2021",E_Suivi_Eans!$K:$K,"&lt;01/10/2022")+COUNTIFS(E_Suivi_Eans!$C:$C,"07/2022",E_Suivi_Eans!$D:$D,"Taxes Boissons",E_Suivi_Eans!$J:$J,"Relance 3",E_Suivi_Eans!$K:$K,"&gt;31/12/2021",E_Suivi_Eans!$K:$K,"&lt;01/10/2022")</f>
        <v>8</v>
      </c>
      <c r="E90" s="21">
        <f>COUNTIFS(E_Suivi_Eans!$C:$C,"07/2022",E_Suivi_Eans!$D:$D,"Taxes Boissons",E_Suivi_Eans!$J:$J,"Abandon",E_Suivi_Eans!$K:$K,"&gt;31/12/2021",E_Suivi_Eans!K:K,"&lt;01/10/2022")</f>
        <v>0</v>
      </c>
      <c r="F90" s="21">
        <f>COUNTIFS(E_Suivi_Eans!$C:$C,"07/2022",E_Suivi_Eans!$D:$D,"Taxes Boissons")</f>
        <v>8</v>
      </c>
      <c r="G90" s="21">
        <f t="shared" si="21"/>
        <v>8</v>
      </c>
      <c r="J90" s="20" t="s">
        <v>5320</v>
      </c>
      <c r="K90" s="20" t="s">
        <v>5325</v>
      </c>
      <c r="L90" s="28">
        <f t="shared" si="19"/>
        <v>0</v>
      </c>
      <c r="M90" s="28">
        <f t="shared" si="19"/>
        <v>1</v>
      </c>
      <c r="N90" s="28">
        <f t="shared" si="19"/>
        <v>0</v>
      </c>
      <c r="O90" s="28">
        <v>1</v>
      </c>
      <c r="P90" s="28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COUNTIFS(E_Suivi_Eans!$C:$C,"07/2022",E_Suivi_Eans!$D:$D,"Taxes Boissons",E_Suivi_Eans!$J:$J,"Retour OK",E_Suivi_Eans!$K:$K,"&gt;31/12/2021",E_Suivi_Eans!K:K,"&lt;01/11/2022")</f>
        <v>0</v>
      </c>
      <c r="D91" s="21">
        <f>COUNTIFS(E_Suivi_Eans!$C:$C,"07/2022",E_Suivi_Eans!$D:$D,"Taxes Boissons",E_Suivi_Eans!$J:$J,"Rejet 0",E_Suivi_Eans!$K:$K,"&gt;31/12/2021",E_Suivi_Eans!$K:$K,"&lt;01/11/2022")+ COUNTIFS(E_Suivi_Eans!$C:$C,"07/2022",E_Suivi_Eans!$D:$D,"Taxes Boissons",E_Suivi_Eans!$J:$J,"Rejet 1",E_Suivi_Eans!$K:$K,"&gt;31/12/2021",E_Suivi_Eans!$K:$K,"&lt;01/11/2022")+COUNTIFS(E_Suivi_Eans!$C:$C,"07/2022",E_Suivi_Eans!$D:$D,"Taxes Boissons",E_Suivi_Eans!$J:$J,"Rejet 2",E_Suivi_Eans!$K:$K,"&gt;31/12/2021",E_Suivi_Eans!$K:$K,"&lt;01/11/2022")+COUNTIFS(E_Suivi_Eans!$C:$C,"07/2022",E_Suivi_Eans!$D:$D,"Taxes Boissons",E_Suivi_Eans!$J:$J,"Rejet 3",E_Suivi_Eans!$K:$K,"&gt;31/12/2021",E_Suivi_Eans!$K:$K,"&lt;01/11/2022")+ COUNTIFS(E_Suivi_Eans!$C:$C,"07/2022",E_Suivi_Eans!$D:$D,"Taxes Boissons",E_Suivi_Eans!$J:$J,"Rejet 4",E_Suivi_Eans!$K:$K,"&gt;31/12/2021",E_Suivi_Eans!$K:$K,"&lt;01/11/2022")+COUNTIFS(E_Suivi_Eans!$C:$C,"07/2022",E_Suivi_Eans!$D:$D,"Taxes Boissons",E_Suivi_Eans!$J:$J,"Relance 1",E_Suivi_Eans!$K:$K,"&gt;31/12/2021",E_Suivi_Eans!$K:$K,"&lt;01/11/2022")+COUNTIFS(E_Suivi_Eans!$C:$C,"07/2022",E_Suivi_Eans!$D:$D,"Taxes Boissons",E_Suivi_Eans!$J:$J,"Relance 2",E_Suivi_Eans!$K:$K,"&gt;31/12/2021",E_Suivi_Eans!$K:$K,"&lt;01/11/2022")+COUNTIFS(E_Suivi_Eans!$C:$C,"07/2022",E_Suivi_Eans!$D:$D,"Taxes Boissons",E_Suivi_Eans!$J:$J,"Relance 3",E_Suivi_Eans!$K:$K,"&gt;31/12/2021",E_Suivi_Eans!$K:$K,"&lt;01/11/2022")</f>
        <v>8</v>
      </c>
      <c r="E91" s="21">
        <f>COUNTIFS(E_Suivi_Eans!$C:$C,"07/2022",E_Suivi_Eans!$D:$D,"Taxes Boissons",E_Suivi_Eans!$J:$J,"Abandon",E_Suivi_Eans!$K:$K,"&gt;31/12/2021",E_Suivi_Eans!K:K,"&lt;01/11/2022")</f>
        <v>0</v>
      </c>
      <c r="F91" s="21">
        <f>COUNTIFS(E_Suivi_Eans!$C:$C,"07/2022",E_Suivi_Eans!$D:$D,"Taxes Boissons")</f>
        <v>8</v>
      </c>
      <c r="G91" s="21">
        <f t="shared" si="21"/>
        <v>8</v>
      </c>
      <c r="J91" s="20" t="s">
        <v>5320</v>
      </c>
      <c r="K91" s="20" t="s">
        <v>5326</v>
      </c>
      <c r="L91" s="28">
        <f t="shared" si="19"/>
        <v>0</v>
      </c>
      <c r="M91" s="28">
        <f t="shared" si="19"/>
        <v>1</v>
      </c>
      <c r="N91" s="28">
        <f t="shared" si="19"/>
        <v>0</v>
      </c>
      <c r="O91" s="28">
        <v>1</v>
      </c>
      <c r="P91" s="28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COUNTIFS(E_Suivi_Eans!$C:$C,"07/2022",E_Suivi_Eans!$D:$D,"Taxes Boissons",E_Suivi_Eans!$J:$J,"Retour OK",E_Suivi_Eans!$K:$K,"&gt;31/12/2021",E_Suivi_Eans!K:K,"&lt;01/12/2022")</f>
        <v>0</v>
      </c>
      <c r="D92" s="21">
        <f>COUNTIFS(E_Suivi_Eans!$C:$C,"07/2022",E_Suivi_Eans!$D:$D,"Taxes Boissons",E_Suivi_Eans!$J:$J,"Rejet 0",E_Suivi_Eans!$K:$K,"&gt;31/12/2021",E_Suivi_Eans!$K:$K,"&lt;01/12/2022")+ COUNTIFS(E_Suivi_Eans!$C:$C,"07/2022",E_Suivi_Eans!$D:$D,"Taxes Boissons",E_Suivi_Eans!$J:$J,"Rejet 1",E_Suivi_Eans!$K:$K,"&gt;31/12/2021",E_Suivi_Eans!$K:$K,"&lt;01/12/2022")+COUNTIFS(E_Suivi_Eans!$C:$C,"07/2022",E_Suivi_Eans!$D:$D,"Taxes Boissons",E_Suivi_Eans!$J:$J,"Rejet 2",E_Suivi_Eans!$K:$K,"&gt;31/12/2021",E_Suivi_Eans!$K:$K,"&lt;01/12/2022")+COUNTIFS(E_Suivi_Eans!$C:$C,"07/2022",E_Suivi_Eans!$D:$D,"Taxes Boissons",E_Suivi_Eans!$J:$J,"Rejet 3",E_Suivi_Eans!$K:$K,"&gt;31/12/2021",E_Suivi_Eans!$K:$K,"&lt;01/12/2022")+ COUNTIFS(E_Suivi_Eans!$C:$C,"07/2022",E_Suivi_Eans!$D:$D,"Taxes Boissons",E_Suivi_Eans!$J:$J,"Rejet 4",E_Suivi_Eans!$K:$K,"&gt;31/12/2021",E_Suivi_Eans!$K:$K,"&lt;01/12/2022")+COUNTIFS(E_Suivi_Eans!$C:$C,"07/2022",E_Suivi_Eans!$D:$D,"Taxes Boissons",E_Suivi_Eans!$J:$J,"Relance 1",E_Suivi_Eans!$K:$K,"&gt;31/12/2021",E_Suivi_Eans!$K:$K,"&lt;01/12/2022")+COUNTIFS(E_Suivi_Eans!$C:$C,"07/2022",E_Suivi_Eans!$D:$D,"Taxes Boissons",E_Suivi_Eans!$J:$J,"Relance 2",E_Suivi_Eans!$K:$K,"&gt;31/12/2021",E_Suivi_Eans!$K:$K,"&lt;01/12/2022")+COUNTIFS(E_Suivi_Eans!$C:$C,"07/2022",E_Suivi_Eans!$D:$D,"Taxes Boissons",E_Suivi_Eans!$J:$J,"Relance 3",E_Suivi_Eans!$K:$K,"&gt;31/12/2021",E_Suivi_Eans!$K:$K,"&lt;01/12/2022")</f>
        <v>8</v>
      </c>
      <c r="E92" s="21">
        <f>COUNTIFS(E_Suivi_Eans!$C:$C,"07/2022",E_Suivi_Eans!$D:$D,"Taxes Boissons",E_Suivi_Eans!$J:$J,"Abandon",E_Suivi_Eans!$K:$K,"&gt;31/12/2021",E_Suivi_Eans!K:K,"&lt;01/12/2022")</f>
        <v>0</v>
      </c>
      <c r="F92" s="21">
        <f>COUNTIFS(E_Suivi_Eans!$C:$C,"07/2022",E_Suivi_Eans!$D:$D,"Taxes Boissons")</f>
        <v>8</v>
      </c>
      <c r="G92" s="21">
        <f t="shared" si="21"/>
        <v>8</v>
      </c>
      <c r="J92" s="20" t="s">
        <v>5320</v>
      </c>
      <c r="K92" s="20" t="s">
        <v>5327</v>
      </c>
      <c r="L92" s="28">
        <f t="shared" si="19"/>
        <v>0</v>
      </c>
      <c r="M92" s="28">
        <f t="shared" si="19"/>
        <v>1</v>
      </c>
      <c r="N92" s="28">
        <f t="shared" si="19"/>
        <v>0</v>
      </c>
      <c r="O92" s="28">
        <v>1</v>
      </c>
      <c r="P92" s="28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8"/>
      <c r="P93" s="28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5"/>
      <c r="E94" s="25"/>
      <c r="F94" s="25"/>
      <c r="G94" s="25"/>
      <c r="J94" s="22"/>
      <c r="K94" s="22"/>
      <c r="L94" s="23"/>
      <c r="M94" s="25"/>
      <c r="N94" s="25"/>
      <c r="O94" s="31"/>
      <c r="P94" s="31"/>
      <c r="S94" s="22"/>
      <c r="T94" s="22"/>
      <c r="U94" s="23"/>
      <c r="V94" s="25"/>
      <c r="W94" s="25"/>
      <c r="X94" s="25"/>
      <c r="Y94" s="25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8"/>
      <c r="P95" s="28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8"/>
      <c r="P96" s="28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8"/>
      <c r="P97" s="28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8"/>
      <c r="P98" s="28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8"/>
      <c r="P99" s="28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8"/>
      <c r="P100" s="28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8"/>
      <c r="P101" s="28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COUNTIFS(E_Suivi_Eans!$C:$C,"08/2022",E_Suivi_Eans!$D:$D,"Taxes Boissons",E_Suivi_Eans!$J:$J,"Retour OK",E_Suivi_Eans!$K:$K,"&gt;31/12/2021",E_Suivi_Eans!K:K,"&lt;01/09/2022")</f>
        <v>0</v>
      </c>
      <c r="D102" s="21">
        <f>COUNTIFS(E_Suivi_Eans!$C:$C,"08/2022",E_Suivi_Eans!$D:$D,"Taxes Boissons",E_Suivi_Eans!$J:$J,"Rejet 0",E_Suivi_Eans!$K:$K,"&gt;31/12/2021",E_Suivi_Eans!$K:$K,"&lt;01/09/2022")+ COUNTIFS(E_Suivi_Eans!$C:$C,"08/2022",E_Suivi_Eans!$D:$D,"Taxes Boissons",E_Suivi_Eans!$J:$J,"Rejet 1",E_Suivi_Eans!$K:$K,"&gt;31/12/2021",E_Suivi_Eans!$K:$K,"&lt;01/09/2022")+COUNTIFS(E_Suivi_Eans!$C:$C,"08/2022",E_Suivi_Eans!$D:$D,"Taxes Boissons",E_Suivi_Eans!$J:$J,"Rejet 2",E_Suivi_Eans!$K:$K,"&gt;31/12/2021",E_Suivi_Eans!$K:$K,"&lt;01/09/2022")+COUNTIFS(E_Suivi_Eans!$C:$C,"08/2022",E_Suivi_Eans!$D:$D,"Taxes Boissons",E_Suivi_Eans!$J:$J,"Rejet 3",E_Suivi_Eans!$K:$K,"&gt;31/12/2021",E_Suivi_Eans!$K:$K,"&lt;01/09/2022")+ COUNTIFS(E_Suivi_Eans!$C:$C,"08/2022",E_Suivi_Eans!$D:$D,"Taxes Boissons",E_Suivi_Eans!$J:$J,"Rejet 4",E_Suivi_Eans!$K:$K,"&gt;31/12/2021",E_Suivi_Eans!$K:$K,"&lt;01/09/2022")+COUNTIFS(E_Suivi_Eans!$C:$C,"08/2022",E_Suivi_Eans!$D:$D,"Taxes Boissons",E_Suivi_Eans!$J:$J,"Relance 1",E_Suivi_Eans!$K:$K,"&gt;31/12/2021",E_Suivi_Eans!$K:$K,"&lt;01/09/2022")+COUNTIFS(E_Suivi_Eans!$C:$C,"08/2022",E_Suivi_Eans!$D:$D,"Taxes Boissons",E_Suivi_Eans!$J:$J,"Relance 2",E_Suivi_Eans!$K:$K,"&gt;31/12/2021",E_Suivi_Eans!$K:$K,"&lt;01/09/2022")+COUNTIFS(E_Suivi_Eans!$C:$C,"08/2022",E_Suivi_Eans!$D:$D,"Taxes Boissons",E_Suivi_Eans!$J:$J,"Relance 3",E_Suivi_Eans!$K:$K,"&gt;31/12/2021",E_Suivi_Eans!$K:$K,"&lt;01/09/2022")</f>
        <v>0</v>
      </c>
      <c r="E102" s="21">
        <f>COUNTIFS(E_Suivi_Eans!$C:$C,"08/2022",E_Suivi_Eans!$D:$D,"Taxes Boissons",E_Suivi_Eans!$J:$J,"Abandon",E_Suivi_Eans!$K:$K,"&gt;31/12/2021",E_Suivi_Eans!K:K,"&lt;01/09/2022")</f>
        <v>0</v>
      </c>
      <c r="F102" s="21">
        <f>COUNTIFS(E_Suivi_Eans!$C:$C,"08/2022",E_Suivi_Eans!$D:$D,"Taxes Boissons")</f>
        <v>6</v>
      </c>
      <c r="G102" s="21">
        <f>F102-E102</f>
        <v>6</v>
      </c>
      <c r="J102" s="20" t="s">
        <v>5321</v>
      </c>
      <c r="K102" s="20" t="s">
        <v>5321</v>
      </c>
      <c r="L102" s="28">
        <f t="shared" ref="L102:N105" si="22">IF($G102=0,0,C102/$G102)</f>
        <v>0</v>
      </c>
      <c r="M102" s="28">
        <f t="shared" si="22"/>
        <v>0</v>
      </c>
      <c r="N102" s="28">
        <f t="shared" si="22"/>
        <v>0</v>
      </c>
      <c r="O102" s="28">
        <v>1</v>
      </c>
      <c r="P102" s="28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COUNTIFS(E_Suivi_Eans!$C:$C,"08/2022",E_Suivi_Eans!$D:$D,"Taxes Boissons",E_Suivi_Eans!$J:$J,"Retour OK",E_Suivi_Eans!$K:$K,"&gt;31/12/2021",E_Suivi_Eans!K:K,"&lt;01/10/2022")</f>
        <v>0</v>
      </c>
      <c r="D103" s="21">
        <f>COUNTIFS(E_Suivi_Eans!$C:$C,"08/2022",E_Suivi_Eans!$D:$D,"Taxes Boissons",E_Suivi_Eans!$J:$J,"Rejet 0",E_Suivi_Eans!$K:$K,"&gt;31/12/2021",E_Suivi_Eans!$K:$K,"&lt;01/10/2022")+ COUNTIFS(E_Suivi_Eans!$C:$C,"08/2022",E_Suivi_Eans!$D:$D,"Taxes Boissons",E_Suivi_Eans!$J:$J,"Rejet 1",E_Suivi_Eans!$K:$K,"&gt;31/12/2021",E_Suivi_Eans!$K:$K,"&lt;01/10/2022")+COUNTIFS(E_Suivi_Eans!$C:$C,"08/2022",E_Suivi_Eans!$D:$D,"Taxes Boissons",E_Suivi_Eans!$J:$J,"Rejet 2",E_Suivi_Eans!$K:$K,"&gt;31/12/2021",E_Suivi_Eans!$K:$K,"&lt;01/10/2022")+COUNTIFS(E_Suivi_Eans!$C:$C,"08/2022",E_Suivi_Eans!$D:$D,"Taxes Boissons",E_Suivi_Eans!$J:$J,"Rejet 3",E_Suivi_Eans!$K:$K,"&gt;31/12/2021",E_Suivi_Eans!$K:$K,"&lt;01/10/2022")+ COUNTIFS(E_Suivi_Eans!$C:$C,"08/2022",E_Suivi_Eans!$D:$D,"Taxes Boissons",E_Suivi_Eans!$J:$J,"Rejet 4",E_Suivi_Eans!$K:$K,"&gt;31/12/2021",E_Suivi_Eans!$K:$K,"&lt;01/10/2022")+COUNTIFS(E_Suivi_Eans!$C:$C,"08/2022",E_Suivi_Eans!$D:$D,"Taxes Boissons",E_Suivi_Eans!$J:$J,"Relance 1",E_Suivi_Eans!$K:$K,"&gt;31/12/2021",E_Suivi_Eans!$K:$K,"&lt;01/10/2022")+COUNTIFS(E_Suivi_Eans!$C:$C,"08/2022",E_Suivi_Eans!$D:$D,"Taxes Boissons",E_Suivi_Eans!$J:$J,"Relance 2",E_Suivi_Eans!$K:$K,"&gt;31/12/2021",E_Suivi_Eans!$K:$K,"&lt;01/10/2022")+COUNTIFS(E_Suivi_Eans!$C:$C,"08/2022",E_Suivi_Eans!$D:$D,"Taxes Boissons",E_Suivi_Eans!$J:$J,"Relance 3",E_Suivi_Eans!$K:$K,"&gt;31/12/2021",E_Suivi_Eans!$K:$K,"&lt;01/10/2022")</f>
        <v>4</v>
      </c>
      <c r="E103" s="21">
        <f>COUNTIFS(E_Suivi_Eans!$C:$C,"08/2022",E_Suivi_Eans!$D:$D,"Taxes Boissons",E_Suivi_Eans!$J:$J,"Abandon",E_Suivi_Eans!$K:$K,"&gt;31/12/2021",E_Suivi_Eans!K:K,"&lt;01/10/2022")</f>
        <v>1</v>
      </c>
      <c r="F103" s="21">
        <f>COUNTIFS(E_Suivi_Eans!$C:$C,"08/2022",E_Suivi_Eans!$D:$D,"Taxes Boissons")</f>
        <v>6</v>
      </c>
      <c r="G103" s="21">
        <f t="shared" ref="G103:G105" si="24">F103-E103</f>
        <v>5</v>
      </c>
      <c r="J103" s="20" t="s">
        <v>5321</v>
      </c>
      <c r="K103" s="20" t="s">
        <v>5325</v>
      </c>
      <c r="L103" s="28">
        <f t="shared" si="22"/>
        <v>0</v>
      </c>
      <c r="M103" s="28">
        <f t="shared" si="22"/>
        <v>0.8</v>
      </c>
      <c r="N103" s="28">
        <f t="shared" si="22"/>
        <v>0.2</v>
      </c>
      <c r="O103" s="28">
        <v>1</v>
      </c>
      <c r="P103" s="28">
        <f t="shared" si="23"/>
        <v>0.8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COUNTIFS(E_Suivi_Eans!$C:$C,"08/2022",E_Suivi_Eans!$D:$D,"Taxes Boissons",E_Suivi_Eans!$J:$J,"Retour OK",E_Suivi_Eans!$K:$K,"&gt;31/12/2021",E_Suivi_Eans!K:K,"&lt;01/11/2022")</f>
        <v>0</v>
      </c>
      <c r="D104" s="21">
        <f>COUNTIFS(E_Suivi_Eans!$C:$C,"08/2022",E_Suivi_Eans!$D:$D,"Taxes Boissons",E_Suivi_Eans!$J:$J,"Rejet 0",E_Suivi_Eans!$K:$K,"&gt;31/12/2021",E_Suivi_Eans!$K:$K,"&lt;01/11/2022")+ COUNTIFS(E_Suivi_Eans!$C:$C,"08/2022",E_Suivi_Eans!$D:$D,"Taxes Boissons",E_Suivi_Eans!$J:$J,"Rejet 1",E_Suivi_Eans!$K:$K,"&gt;31/12/2021",E_Suivi_Eans!$K:$K,"&lt;01/11/2022")+COUNTIFS(E_Suivi_Eans!$C:$C,"08/2022",E_Suivi_Eans!$D:$D,"Taxes Boissons",E_Suivi_Eans!$J:$J,"Rejet 2",E_Suivi_Eans!$K:$K,"&gt;31/12/2021",E_Suivi_Eans!$K:$K,"&lt;01/11/2022")+COUNTIFS(E_Suivi_Eans!$C:$C,"08/2022",E_Suivi_Eans!$D:$D,"Taxes Boissons",E_Suivi_Eans!$J:$J,"Rejet 3",E_Suivi_Eans!$K:$K,"&gt;31/12/2021",E_Suivi_Eans!$K:$K,"&lt;01/11/2022")+ COUNTIFS(E_Suivi_Eans!$C:$C,"08/2022",E_Suivi_Eans!$D:$D,"Taxes Boissons",E_Suivi_Eans!$J:$J,"Rejet 4",E_Suivi_Eans!$K:$K,"&gt;31/12/2021",E_Suivi_Eans!$K:$K,"&lt;01/11/2022")+COUNTIFS(E_Suivi_Eans!$C:$C,"08/2022",E_Suivi_Eans!$D:$D,"Taxes Boissons",E_Suivi_Eans!$J:$J,"Relance 1",E_Suivi_Eans!$K:$K,"&gt;31/12/2021",E_Suivi_Eans!$K:$K,"&lt;01/11/2022")+COUNTIFS(E_Suivi_Eans!$C:$C,"08/2022",E_Suivi_Eans!$D:$D,"Taxes Boissons",E_Suivi_Eans!$J:$J,"Relance 2",E_Suivi_Eans!$K:$K,"&gt;31/12/2021",E_Suivi_Eans!$K:$K,"&lt;01/11/2022")+COUNTIFS(E_Suivi_Eans!$C:$C,"08/2022",E_Suivi_Eans!$D:$D,"Taxes Boissons",E_Suivi_Eans!$J:$J,"Relance 3",E_Suivi_Eans!$K:$K,"&gt;31/12/2021",E_Suivi_Eans!$K:$K,"&lt;01/11/2022")</f>
        <v>4</v>
      </c>
      <c r="E104" s="21">
        <f>COUNTIFS(E_Suivi_Eans!$C:$C,"08/2022",E_Suivi_Eans!$D:$D,"Taxes Boissons",E_Suivi_Eans!$J:$J,"Abandon",E_Suivi_Eans!$K:$K,"&gt;31/12/2021",E_Suivi_Eans!K:K,"&lt;01/11/2022")</f>
        <v>2</v>
      </c>
      <c r="F104" s="21">
        <f>COUNTIFS(E_Suivi_Eans!$C:$C,"08/2022",E_Suivi_Eans!$D:$D,"Taxes Boissons")</f>
        <v>6</v>
      </c>
      <c r="G104" s="21">
        <f t="shared" si="24"/>
        <v>4</v>
      </c>
      <c r="J104" s="20" t="s">
        <v>5321</v>
      </c>
      <c r="K104" s="20" t="s">
        <v>5326</v>
      </c>
      <c r="L104" s="28">
        <f t="shared" si="22"/>
        <v>0</v>
      </c>
      <c r="M104" s="28">
        <f t="shared" si="22"/>
        <v>1</v>
      </c>
      <c r="N104" s="28">
        <f t="shared" si="22"/>
        <v>0.5</v>
      </c>
      <c r="O104" s="28">
        <v>1</v>
      </c>
      <c r="P104" s="28">
        <f t="shared" si="23"/>
        <v>0.5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COUNTIFS(E_Suivi_Eans!$C:$C,"08/2022",E_Suivi_Eans!$D:$D,"Taxes Boissons",E_Suivi_Eans!$J:$J,"Retour OK",E_Suivi_Eans!$K:$K,"&gt;31/12/2021",E_Suivi_Eans!K:K,"&lt;01/12/2022")</f>
        <v>0</v>
      </c>
      <c r="D105" s="21">
        <f>COUNTIFS(E_Suivi_Eans!$C:$C,"08/2022",E_Suivi_Eans!$D:$D,"Taxes Boissons",E_Suivi_Eans!$J:$J,"Rejet 0",E_Suivi_Eans!$K:$K,"&gt;31/12/2021",E_Suivi_Eans!$K:$K,"&lt;01/12/2022")+ COUNTIFS(E_Suivi_Eans!$C:$C,"08/2022",E_Suivi_Eans!$D:$D,"Taxes Boissons",E_Suivi_Eans!$J:$J,"Rejet 1",E_Suivi_Eans!$K:$K,"&gt;31/12/2021",E_Suivi_Eans!$K:$K,"&lt;01/12/2022")+COUNTIFS(E_Suivi_Eans!$C:$C,"08/2022",E_Suivi_Eans!$D:$D,"Taxes Boissons",E_Suivi_Eans!$J:$J,"Rejet 2",E_Suivi_Eans!$K:$K,"&gt;31/12/2021",E_Suivi_Eans!$K:$K,"&lt;01/12/2022")+COUNTIFS(E_Suivi_Eans!$C:$C,"08/2022",E_Suivi_Eans!$D:$D,"Taxes Boissons",E_Suivi_Eans!$J:$J,"Rejet 3",E_Suivi_Eans!$K:$K,"&gt;31/12/2021",E_Suivi_Eans!$K:$K,"&lt;01/12/2022")+ COUNTIFS(E_Suivi_Eans!$C:$C,"08/2022",E_Suivi_Eans!$D:$D,"Taxes Boissons",E_Suivi_Eans!$J:$J,"Rejet 4",E_Suivi_Eans!$K:$K,"&gt;31/12/2021",E_Suivi_Eans!$K:$K,"&lt;01/12/2022")+COUNTIFS(E_Suivi_Eans!$C:$C,"08/2022",E_Suivi_Eans!$D:$D,"Taxes Boissons",E_Suivi_Eans!$J:$J,"Relance 1",E_Suivi_Eans!$K:$K,"&gt;31/12/2021",E_Suivi_Eans!$K:$K,"&lt;01/12/2022")+COUNTIFS(E_Suivi_Eans!$C:$C,"08/2022",E_Suivi_Eans!$D:$D,"Taxes Boissons",E_Suivi_Eans!$J:$J,"Relance 2",E_Suivi_Eans!$K:$K,"&gt;31/12/2021",E_Suivi_Eans!$K:$K,"&lt;01/12/2022")+COUNTIFS(E_Suivi_Eans!$C:$C,"08/2022",E_Suivi_Eans!$D:$D,"Taxes Boissons",E_Suivi_Eans!$J:$J,"Relance 3",E_Suivi_Eans!$K:$K,"&gt;31/12/2021",E_Suivi_Eans!$K:$K,"&lt;01/12/2022")</f>
        <v>4</v>
      </c>
      <c r="E105" s="21">
        <f>COUNTIFS(E_Suivi_Eans!$C:$C,"08/2022",E_Suivi_Eans!$D:$D,"Taxes Boissons",E_Suivi_Eans!$J:$J,"Abandon",E_Suivi_Eans!$K:$K,"&gt;31/12/2021",E_Suivi_Eans!K:K,"&lt;01/12/2022")</f>
        <v>2</v>
      </c>
      <c r="F105" s="21">
        <f>COUNTIFS(E_Suivi_Eans!$C:$C,"08/2022",E_Suivi_Eans!$D:$D,"Taxes Boissons")</f>
        <v>6</v>
      </c>
      <c r="G105" s="21">
        <f t="shared" si="24"/>
        <v>4</v>
      </c>
      <c r="J105" s="20" t="s">
        <v>5321</v>
      </c>
      <c r="K105" s="20" t="s">
        <v>5327</v>
      </c>
      <c r="L105" s="28">
        <f t="shared" si="22"/>
        <v>0</v>
      </c>
      <c r="M105" s="28">
        <f t="shared" si="22"/>
        <v>1</v>
      </c>
      <c r="N105" s="28">
        <f t="shared" si="22"/>
        <v>0.5</v>
      </c>
      <c r="O105" s="28">
        <v>1</v>
      </c>
      <c r="P105" s="28">
        <f t="shared" si="23"/>
        <v>0.5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8"/>
      <c r="P106" s="28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5"/>
      <c r="E107" s="25"/>
      <c r="F107" s="25"/>
      <c r="G107" s="25"/>
      <c r="J107" s="22"/>
      <c r="K107" s="22"/>
      <c r="L107" s="23"/>
      <c r="M107" s="25"/>
      <c r="N107" s="25"/>
      <c r="O107" s="31"/>
      <c r="P107" s="31"/>
      <c r="S107" s="22"/>
      <c r="T107" s="22"/>
      <c r="U107" s="23"/>
      <c r="V107" s="25"/>
      <c r="W107" s="25"/>
      <c r="X107" s="25"/>
      <c r="Y107" s="25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8"/>
      <c r="P108" s="28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8"/>
      <c r="P109" s="28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8"/>
      <c r="P110" s="28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8"/>
      <c r="P111" s="28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8"/>
      <c r="P112" s="28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8"/>
      <c r="P113" s="28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8"/>
      <c r="P114" s="28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8"/>
      <c r="P115" s="28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COUNTIFS(E_Suivi_Eans!$C:$C,"09/2022",E_Suivi_Eans!$D:$D,"Taxes Boissons",E_Suivi_Eans!$J:$J,"Retour OK",E_Suivi_Eans!$K:$K,"&gt;31/12/2021",E_Suivi_Eans!K:K,"&lt;01/10/2022")</f>
        <v>0</v>
      </c>
      <c r="D116" s="21">
        <f>COUNTIFS(E_Suivi_Eans!$C:$C,"09/2022",E_Suivi_Eans!$D:$D,"Taxes Boissons",E_Suivi_Eans!$J:$J,"Rejet 0",E_Suivi_Eans!$K:$K,"&gt;31/12/2021",E_Suivi_Eans!$K:$K,"&lt;01/10/2022")+ COUNTIFS(E_Suivi_Eans!$C:$C,"09/2022",E_Suivi_Eans!$D:$D,"Taxes Boissons",E_Suivi_Eans!$J:$J,"Rejet 1",E_Suivi_Eans!$K:$K,"&gt;31/12/2021",E_Suivi_Eans!$K:$K,"&lt;01/10/2022")+COUNTIFS(E_Suivi_Eans!$C:$C,"09/2022",E_Suivi_Eans!$D:$D,"Taxes Boissons",E_Suivi_Eans!$J:$J,"Rejet 2",E_Suivi_Eans!$K:$K,"&gt;31/12/2021",E_Suivi_Eans!$K:$K,"&lt;01/10/2022")+COUNTIFS(E_Suivi_Eans!$C:$C,"09/2022",E_Suivi_Eans!$D:$D,"Taxes Boissons",E_Suivi_Eans!$J:$J,"Rejet 3",E_Suivi_Eans!$K:$K,"&gt;31/12/2021",E_Suivi_Eans!$K:$K,"&lt;01/10/2022")+ COUNTIFS(E_Suivi_Eans!$C:$C,"09/2022",E_Suivi_Eans!$D:$D,"Taxes Boissons",E_Suivi_Eans!$J:$J,"Rejet 4",E_Suivi_Eans!$K:$K,"&gt;31/12/2021",E_Suivi_Eans!$K:$K,"&lt;01/10/2022")+COUNTIFS(E_Suivi_Eans!$C:$C,"09/2022",E_Suivi_Eans!$D:$D,"Taxes Boissons",E_Suivi_Eans!$J:$J,"Relance 1",E_Suivi_Eans!$K:$K,"&gt;31/12/2021",E_Suivi_Eans!$K:$K,"&lt;01/10/2022")+COUNTIFS(E_Suivi_Eans!$C:$C,"09/2022",E_Suivi_Eans!$D:$D,"Taxes Boissons",E_Suivi_Eans!$J:$J,"Relance 2",E_Suivi_Eans!$K:$K,"&gt;31/12/2021",E_Suivi_Eans!$K:$K,"&lt;01/10/2022")+COUNTIFS(E_Suivi_Eans!$C:$C,"09/2022",E_Suivi_Eans!$D:$D,"Taxes Boissons",E_Suivi_Eans!$J:$J,"Relance 3",E_Suivi_Eans!$K:$K,"&gt;31/12/2021",E_Suivi_Eans!$K:$K,"&lt;01/10/2022")</f>
        <v>0</v>
      </c>
      <c r="E116" s="21">
        <f>COUNTIFS(E_Suivi_Eans!$C:$C,"09/2022",E_Suivi_Eans!$D:$D,"Taxes Boissons",E_Suivi_Eans!$J:$J,"Abandon",E_Suivi_Eans!$K:$K,"&gt;31/12/2021",E_Suivi_Eans!K:K,"&lt;01/10/2022")</f>
        <v>0</v>
      </c>
      <c r="F116" s="21">
        <f>COUNTIFS(E_Suivi_Eans!$C:$C,"09/2022",E_Suivi_Eans!$D:$D,"Taxes Boissons")</f>
        <v>21</v>
      </c>
      <c r="G116" s="21">
        <f t="shared" ref="G116:G118" si="25">F116-E116</f>
        <v>21</v>
      </c>
      <c r="J116" s="20" t="s">
        <v>5325</v>
      </c>
      <c r="K116" s="20" t="s">
        <v>5325</v>
      </c>
      <c r="L116" s="28">
        <f t="shared" ref="L116:N118" si="26">IF($G116=0,0,C116/$G116)</f>
        <v>0</v>
      </c>
      <c r="M116" s="28">
        <f t="shared" si="26"/>
        <v>0</v>
      </c>
      <c r="N116" s="28">
        <f t="shared" si="26"/>
        <v>0</v>
      </c>
      <c r="O116" s="28">
        <v>1</v>
      </c>
      <c r="P116" s="28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COUNTIFS(E_Suivi_Eans!$C:$C,"09/2022",E_Suivi_Eans!$D:$D,"Taxes Boissons",E_Suivi_Eans!$J:$J,"Retour OK",E_Suivi_Eans!$K:$K,"&gt;31/12/2021",E_Suivi_Eans!K:K,"&lt;01/11/2022")</f>
        <v>0</v>
      </c>
      <c r="D117" s="21">
        <f>COUNTIFS(E_Suivi_Eans!$C:$C,"09/2022",E_Suivi_Eans!$D:$D,"Taxes Boissons",E_Suivi_Eans!$J:$J,"Rejet 0",E_Suivi_Eans!$K:$K,"&gt;31/12/2021",E_Suivi_Eans!$K:$K,"&lt;01/11/2022")+ COUNTIFS(E_Suivi_Eans!$C:$C,"09/2022",E_Suivi_Eans!$D:$D,"Taxes Boissons",E_Suivi_Eans!$J:$J,"Rejet 1",E_Suivi_Eans!$K:$K,"&gt;31/12/2021",E_Suivi_Eans!$K:$K,"&lt;01/11/2022")+COUNTIFS(E_Suivi_Eans!$C:$C,"09/2022",E_Suivi_Eans!$D:$D,"Taxes Boissons",E_Suivi_Eans!$J:$J,"Rejet 2",E_Suivi_Eans!$K:$K,"&gt;31/12/2021",E_Suivi_Eans!$K:$K,"&lt;01/11/2022")+COUNTIFS(E_Suivi_Eans!$C:$C,"09/2022",E_Suivi_Eans!$D:$D,"Taxes Boissons",E_Suivi_Eans!$J:$J,"Rejet 3",E_Suivi_Eans!$K:$K,"&gt;31/12/2021",E_Suivi_Eans!$K:$K,"&lt;01/11/2022")+ COUNTIFS(E_Suivi_Eans!$C:$C,"09/2022",E_Suivi_Eans!$D:$D,"Taxes Boissons",E_Suivi_Eans!$J:$J,"Rejet 4",E_Suivi_Eans!$K:$K,"&gt;31/12/2021",E_Suivi_Eans!$K:$K,"&lt;01/11/2022")+COUNTIFS(E_Suivi_Eans!$C:$C,"09/2022",E_Suivi_Eans!$D:$D,"Taxes Boissons",E_Suivi_Eans!$J:$J,"Relance 1",E_Suivi_Eans!$K:$K,"&gt;31/12/2021",E_Suivi_Eans!$K:$K,"&lt;01/11/2022")+COUNTIFS(E_Suivi_Eans!$C:$C,"09/2022",E_Suivi_Eans!$D:$D,"Taxes Boissons",E_Suivi_Eans!$J:$J,"Relance 2",E_Suivi_Eans!$K:$K,"&gt;31/12/2021",E_Suivi_Eans!$K:$K,"&lt;01/11/2022")+COUNTIFS(E_Suivi_Eans!$C:$C,"09/2022",E_Suivi_Eans!$D:$D,"Taxes Boissons",E_Suivi_Eans!$J:$J,"Relance 3",E_Suivi_Eans!$K:$K,"&gt;31/12/2021",E_Suivi_Eans!$K:$K,"&lt;01/11/2022")</f>
        <v>21</v>
      </c>
      <c r="E117" s="21">
        <f>COUNTIFS(E_Suivi_Eans!$C:$C,"09/2022",E_Suivi_Eans!$D:$D,"Taxes Boissons",E_Suivi_Eans!$J:$J,"Abandon",E_Suivi_Eans!$K:$K,"&gt;31/12/2021",E_Suivi_Eans!K:K,"&lt;01/11/2022")</f>
        <v>0</v>
      </c>
      <c r="F117" s="21">
        <f>COUNTIFS(E_Suivi_Eans!$C:$C,"09/2022",E_Suivi_Eans!$D:$D,"Taxes Boissons")</f>
        <v>21</v>
      </c>
      <c r="G117" s="21">
        <f t="shared" si="25"/>
        <v>21</v>
      </c>
      <c r="J117" s="20" t="s">
        <v>5325</v>
      </c>
      <c r="K117" s="20" t="s">
        <v>5326</v>
      </c>
      <c r="L117" s="28">
        <f t="shared" si="26"/>
        <v>0</v>
      </c>
      <c r="M117" s="28">
        <f t="shared" si="26"/>
        <v>1</v>
      </c>
      <c r="N117" s="28">
        <f t="shared" si="26"/>
        <v>0</v>
      </c>
      <c r="O117" s="28">
        <v>1</v>
      </c>
      <c r="P117" s="28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COUNTIFS(E_Suivi_Eans!$C:$C,"09/2022",E_Suivi_Eans!$D:$D,"Taxes Boissons",E_Suivi_Eans!$J:$J,"Retour OK",E_Suivi_Eans!$K:$K,"&gt;31/12/2021",E_Suivi_Eans!K:K,"&lt;01/12/2022")</f>
        <v>0</v>
      </c>
      <c r="D118" s="21">
        <f>COUNTIFS(E_Suivi_Eans!$C:$C,"09/2022",E_Suivi_Eans!$D:$D,"Taxes Boissons",E_Suivi_Eans!$J:$J,"Rejet 0",E_Suivi_Eans!$K:$K,"&gt;31/12/2021",E_Suivi_Eans!$K:$K,"&lt;01/12/2022")+ COUNTIFS(E_Suivi_Eans!$C:$C,"09/2022",E_Suivi_Eans!$D:$D,"Taxes Boissons",E_Suivi_Eans!$J:$J,"Rejet 1",E_Suivi_Eans!$K:$K,"&gt;31/12/2021",E_Suivi_Eans!$K:$K,"&lt;01/12/2022")+COUNTIFS(E_Suivi_Eans!$C:$C,"09/2022",E_Suivi_Eans!$D:$D,"Taxes Boissons",E_Suivi_Eans!$J:$J,"Rejet 2",E_Suivi_Eans!$K:$K,"&gt;31/12/2021",E_Suivi_Eans!$K:$K,"&lt;01/12/2022")+COUNTIFS(E_Suivi_Eans!$C:$C,"09/2022",E_Suivi_Eans!$D:$D,"Taxes Boissons",E_Suivi_Eans!$J:$J,"Rejet 3",E_Suivi_Eans!$K:$K,"&gt;31/12/2021",E_Suivi_Eans!$K:$K,"&lt;01/12/2022")+ COUNTIFS(E_Suivi_Eans!$C:$C,"09/2022",E_Suivi_Eans!$D:$D,"Taxes Boissons",E_Suivi_Eans!$J:$J,"Rejet 4",E_Suivi_Eans!$K:$K,"&gt;31/12/2021",E_Suivi_Eans!$K:$K,"&lt;01/12/2022")+COUNTIFS(E_Suivi_Eans!$C:$C,"09/2022",E_Suivi_Eans!$D:$D,"Taxes Boissons",E_Suivi_Eans!$J:$J,"Relance 1",E_Suivi_Eans!$K:$K,"&gt;31/12/2021",E_Suivi_Eans!$K:$K,"&lt;01/12/2022")+COUNTIFS(E_Suivi_Eans!$C:$C,"09/2022",E_Suivi_Eans!$D:$D,"Taxes Boissons",E_Suivi_Eans!$J:$J,"Relance 2",E_Suivi_Eans!$K:$K,"&gt;31/12/2021",E_Suivi_Eans!$K:$K,"&lt;01/12/2022")+COUNTIFS(E_Suivi_Eans!$C:$C,"09/2022",E_Suivi_Eans!$D:$D,"Taxes Boissons",E_Suivi_Eans!$J:$J,"Relance 3",E_Suivi_Eans!$K:$K,"&gt;31/12/2021",E_Suivi_Eans!$K:$K,"&lt;01/12/2022")</f>
        <v>21</v>
      </c>
      <c r="E118" s="21">
        <f>COUNTIFS(E_Suivi_Eans!$C:$C,"09/2022",E_Suivi_Eans!$D:$D,"Taxes Boissons",E_Suivi_Eans!$J:$J,"Abandon",E_Suivi_Eans!$K:$K,"&gt;31/12/2021",E_Suivi_Eans!K:K,"&lt;01/12/2022")</f>
        <v>0</v>
      </c>
      <c r="F118" s="21">
        <f>COUNTIFS(E_Suivi_Eans!$C:$C,"09/2022",E_Suivi_Eans!$D:$D,"Taxes Boissons")</f>
        <v>21</v>
      </c>
      <c r="G118" s="21">
        <f t="shared" si="25"/>
        <v>21</v>
      </c>
      <c r="J118" s="20" t="s">
        <v>5325</v>
      </c>
      <c r="K118" s="20" t="s">
        <v>5327</v>
      </c>
      <c r="L118" s="28">
        <f t="shared" si="26"/>
        <v>0</v>
      </c>
      <c r="M118" s="28">
        <f t="shared" si="26"/>
        <v>1</v>
      </c>
      <c r="N118" s="28">
        <f t="shared" si="26"/>
        <v>0</v>
      </c>
      <c r="O118" s="28">
        <v>1</v>
      </c>
      <c r="P118" s="28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8"/>
      <c r="P119" s="28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5"/>
      <c r="E120" s="25"/>
      <c r="F120" s="25"/>
      <c r="G120" s="25"/>
      <c r="J120" s="22"/>
      <c r="K120" s="22"/>
      <c r="L120" s="23"/>
      <c r="M120" s="25"/>
      <c r="N120" s="25"/>
      <c r="O120" s="31"/>
      <c r="P120" s="31"/>
      <c r="S120" s="22"/>
      <c r="T120" s="22"/>
      <c r="U120" s="23"/>
      <c r="V120" s="25"/>
      <c r="W120" s="25"/>
      <c r="X120" s="25"/>
      <c r="Y120" s="25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8"/>
      <c r="P121" s="28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8"/>
      <c r="P122" s="28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8"/>
      <c r="P123" s="28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8"/>
      <c r="P124" s="28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8"/>
      <c r="P125" s="28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8"/>
      <c r="P126" s="28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8"/>
      <c r="P127" s="28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8"/>
      <c r="P128" s="28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8"/>
      <c r="P129" s="28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COUNTIFS(E_Suivi_Eans!$C:$C,"10/2022",E_Suivi_Eans!$D:$D,"Taxes Boissons",E_Suivi_Eans!$J:$J,"Retour OK",E_Suivi_Eans!$K:$K,"&gt;31/12/2021",E_Suivi_Eans!K:K,"&lt;01/11/2022")</f>
        <v>0</v>
      </c>
      <c r="D130" s="21">
        <f>COUNTIFS(E_Suivi_Eans!$C:$C,"10/2022",E_Suivi_Eans!$D:$D,"Taxes Boissons",E_Suivi_Eans!$J:$J,"Rejet 0",E_Suivi_Eans!$K:$K,"&gt;31/12/2021",E_Suivi_Eans!$K:$K,"&lt;01/11/2022")+ COUNTIFS(E_Suivi_Eans!$C:$C,"10/2022",E_Suivi_Eans!$D:$D,"Taxes Boissons",E_Suivi_Eans!$J:$J,"Rejet 1",E_Suivi_Eans!$K:$K,"&gt;31/12/2021",E_Suivi_Eans!$K:$K,"&lt;01/11/2022")+COUNTIFS(E_Suivi_Eans!$C:$C,"10/2022",E_Suivi_Eans!$D:$D,"Taxes Boissons",E_Suivi_Eans!$J:$J,"Rejet 2",E_Suivi_Eans!$K:$K,"&gt;31/12/2021",E_Suivi_Eans!$K:$K,"&lt;01/11/2022")+COUNTIFS(E_Suivi_Eans!$C:$C,"10/2022",E_Suivi_Eans!$D:$D,"Taxes Boissons",E_Suivi_Eans!$J:$J,"Rejet 3",E_Suivi_Eans!$K:$K,"&gt;31/12/2021",E_Suivi_Eans!$K:$K,"&lt;01/11/2022")+ COUNTIFS(E_Suivi_Eans!$C:$C,"10/2022",E_Suivi_Eans!$D:$D,"Taxes Boissons",E_Suivi_Eans!$J:$J,"Rejet 4",E_Suivi_Eans!$K:$K,"&gt;31/12/2021",E_Suivi_Eans!$K:$K,"&lt;01/11/2022")+COUNTIFS(E_Suivi_Eans!$C:$C,"10/2022",E_Suivi_Eans!$D:$D,"Taxes Boissons",E_Suivi_Eans!$J:$J,"Relance 1",E_Suivi_Eans!$K:$K,"&gt;31/12/2021",E_Suivi_Eans!$K:$K,"&lt;01/11/2022")+COUNTIFS(E_Suivi_Eans!$C:$C,"10/2022",E_Suivi_Eans!$D:$D,"Taxes Boissons",E_Suivi_Eans!$J:$J,"Relance 2",E_Suivi_Eans!$K:$K,"&gt;31/12/2021",E_Suivi_Eans!$K:$K,"&lt;01/11/2022")+COUNTIFS(E_Suivi_Eans!$C:$C,"10/2022",E_Suivi_Eans!$D:$D,"Taxes Boissons",E_Suivi_Eans!$J:$J,"Relance 3",E_Suivi_Eans!$K:$K,"&gt;31/12/2021",E_Suivi_Eans!$K:$K,"&lt;01/11/2022")</f>
        <v>0</v>
      </c>
      <c r="E130" s="21">
        <f>COUNTIFS(E_Suivi_Eans!$C:$C,"10/2022",E_Suivi_Eans!$D:$D,"Taxes Boissons",E_Suivi_Eans!$J:$J,"Abandon",E_Suivi_Eans!$K:$K,"&gt;31/12/2021",E_Suivi_Eans!K:K,"&lt;01/11/2022")</f>
        <v>0</v>
      </c>
      <c r="F130" s="21">
        <f>COUNTIFS(E_Suivi_Eans!$C:$C,"10/2022",E_Suivi_Eans!$D:$D,"Taxes Boissons")</f>
        <v>6</v>
      </c>
      <c r="G130" s="21">
        <f>F130-E130</f>
        <v>6</v>
      </c>
      <c r="J130" s="20" t="s">
        <v>5326</v>
      </c>
      <c r="K130" s="20" t="s">
        <v>5326</v>
      </c>
      <c r="L130" s="28">
        <f t="shared" ref="L130:N131" si="28">IF($G130=0,0,C130/$G130)</f>
        <v>0</v>
      </c>
      <c r="M130" s="28">
        <f t="shared" si="28"/>
        <v>0</v>
      </c>
      <c r="N130" s="28">
        <f t="shared" si="28"/>
        <v>0</v>
      </c>
      <c r="O130" s="28">
        <v>1</v>
      </c>
      <c r="P130" s="28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COUNTIFS(E_Suivi_Eans!$C:$C,"10/2022",E_Suivi_Eans!$D:$D,"Taxes Boissons",E_Suivi_Eans!$J:$J,"Retour OK",E_Suivi_Eans!$K:$K,"&gt;31/12/2021",E_Suivi_Eans!K:K,"&lt;01/12/2022")</f>
        <v>0</v>
      </c>
      <c r="D131" s="21">
        <f>COUNTIFS(E_Suivi_Eans!$C:$C,"10/2022",E_Suivi_Eans!$D:$D,"Taxes Boissons",E_Suivi_Eans!$J:$J,"Rejet 0",E_Suivi_Eans!$K:$K,"&gt;31/12/2021",E_Suivi_Eans!$K:$K,"&lt;01/12/2022")+ COUNTIFS(E_Suivi_Eans!$C:$C,"10/2022",E_Suivi_Eans!$D:$D,"Taxes Boissons",E_Suivi_Eans!$J:$J,"Rejet 1",E_Suivi_Eans!$K:$K,"&gt;31/12/2021",E_Suivi_Eans!$K:$K,"&lt;01/12/2022")+COUNTIFS(E_Suivi_Eans!$C:$C,"10/2022",E_Suivi_Eans!$D:$D,"Taxes Boissons",E_Suivi_Eans!$J:$J,"Rejet 2",E_Suivi_Eans!$K:$K,"&gt;31/12/2021",E_Suivi_Eans!$K:$K,"&lt;01/12/2022")+COUNTIFS(E_Suivi_Eans!$C:$C,"10/2022",E_Suivi_Eans!$D:$D,"Taxes Boissons",E_Suivi_Eans!$J:$J,"Rejet 3",E_Suivi_Eans!$K:$K,"&gt;31/12/2021",E_Suivi_Eans!$K:$K,"&lt;01/12/2022")+ COUNTIFS(E_Suivi_Eans!$C:$C,"10/2022",E_Suivi_Eans!$D:$D,"Taxes Boissons",E_Suivi_Eans!$J:$J,"Rejet 4",E_Suivi_Eans!$K:$K,"&gt;31/12/2021",E_Suivi_Eans!$K:$K,"&lt;01/12/2022")+COUNTIFS(E_Suivi_Eans!$C:$C,"10/2022",E_Suivi_Eans!$D:$D,"Taxes Boissons",E_Suivi_Eans!$J:$J,"Relance 1",E_Suivi_Eans!$K:$K,"&gt;31/12/2021",E_Suivi_Eans!$K:$K,"&lt;01/12/2022")+COUNTIFS(E_Suivi_Eans!$C:$C,"10/2022",E_Suivi_Eans!$D:$D,"Taxes Boissons",E_Suivi_Eans!$J:$J,"Relance 2",E_Suivi_Eans!$K:$K,"&gt;31/12/2021",E_Suivi_Eans!$K:$K,"&lt;01/12/2022")+COUNTIFS(E_Suivi_Eans!$C:$C,"10/2022",E_Suivi_Eans!$D:$D,"Taxes Boissons",E_Suivi_Eans!$J:$J,"Relance 3",E_Suivi_Eans!$K:$K,"&gt;31/12/2021",E_Suivi_Eans!$K:$K,"&lt;01/12/2022")</f>
        <v>0</v>
      </c>
      <c r="E131" s="21">
        <f>COUNTIFS(E_Suivi_Eans!$C:$C,"10/2022",E_Suivi_Eans!$D:$D,"Taxes Boissons",E_Suivi_Eans!$J:$J,"Abandon",E_Suivi_Eans!$K:$K,"&gt;31/12/2021",E_Suivi_Eans!K:K,"&lt;01/12/2022")</f>
        <v>1</v>
      </c>
      <c r="F131" s="21">
        <f>COUNTIFS(E_Suivi_Eans!$C:$C,"10/2022",E_Suivi_Eans!$D:$D,"Taxes Boissons")</f>
        <v>6</v>
      </c>
      <c r="G131" s="21">
        <f t="shared" ref="G131" si="30">F131-E131</f>
        <v>5</v>
      </c>
      <c r="J131" s="20" t="s">
        <v>5326</v>
      </c>
      <c r="K131" s="20" t="s">
        <v>5327</v>
      </c>
      <c r="L131" s="28">
        <f t="shared" si="28"/>
        <v>0</v>
      </c>
      <c r="M131" s="28">
        <f t="shared" si="28"/>
        <v>0</v>
      </c>
      <c r="N131" s="28">
        <f t="shared" si="28"/>
        <v>0.2</v>
      </c>
      <c r="O131" s="28">
        <v>1</v>
      </c>
      <c r="P131" s="28">
        <f t="shared" si="29"/>
        <v>0.8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8"/>
      <c r="P132" s="28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5"/>
      <c r="E133" s="25"/>
      <c r="F133" s="25"/>
      <c r="G133" s="25"/>
      <c r="J133" s="22"/>
      <c r="K133" s="22"/>
      <c r="L133" s="23"/>
      <c r="M133" s="25"/>
      <c r="N133" s="25"/>
      <c r="O133" s="31"/>
      <c r="P133" s="31"/>
      <c r="S133" s="22"/>
      <c r="T133" s="22"/>
      <c r="U133" s="23"/>
      <c r="V133" s="25"/>
      <c r="W133" s="25"/>
      <c r="X133" s="25"/>
      <c r="Y133" s="25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8"/>
      <c r="P134" s="28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8"/>
      <c r="P135" s="28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8"/>
      <c r="P136" s="28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8"/>
      <c r="P137" s="28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8"/>
      <c r="P138" s="28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8"/>
      <c r="P139" s="28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8"/>
      <c r="P140" s="28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8"/>
      <c r="P141" s="28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8"/>
      <c r="P142" s="28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8"/>
      <c r="P143" s="28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COUNTIFS(E_Suivi_Eans!$C:$C,"11/2022",E_Suivi_Eans!$D:$D,"Taxes Boissons",E_Suivi_Eans!$J:$J,"Retour OK",E_Suivi_Eans!$K:$K,"&gt;31/12/2021",E_Suivi_Eans!K:K,"&lt;01/12/2022")</f>
        <v>0</v>
      </c>
      <c r="D144" s="21">
        <f>COUNTIFS(E_Suivi_Eans!$C:$C,"11/2022",E_Suivi_Eans!$D:$D,"Taxes Boissons",E_Suivi_Eans!$J:$J,"Rejet 0",E_Suivi_Eans!$K:$K,"&gt;31/12/2021",E_Suivi_Eans!$K:$K,"&lt;01/12/2022")+ COUNTIFS(E_Suivi_Eans!$C:$C,"11/2022",E_Suivi_Eans!$D:$D,"Taxes Boissons",E_Suivi_Eans!$J:$J,"Rejet 1",E_Suivi_Eans!$K:$K,"&gt;31/12/2021",E_Suivi_Eans!$K:$K,"&lt;01/12/2022")+COUNTIFS(E_Suivi_Eans!$C:$C,"11/2022",E_Suivi_Eans!$D:$D,"Taxes Boissons",E_Suivi_Eans!$J:$J,"Rejet 2",E_Suivi_Eans!$K:$K,"&gt;31/12/2021",E_Suivi_Eans!$K:$K,"&lt;01/12/2022")+COUNTIFS(E_Suivi_Eans!$C:$C,"11/2022",E_Suivi_Eans!$D:$D,"Taxes Boissons",E_Suivi_Eans!$J:$J,"Rejet 3",E_Suivi_Eans!$K:$K,"&gt;31/12/2021",E_Suivi_Eans!$K:$K,"&lt;01/12/2022")+ COUNTIFS(E_Suivi_Eans!$C:$C,"11/2022",E_Suivi_Eans!$D:$D,"Taxes Boissons",E_Suivi_Eans!$J:$J,"Rejet 4",E_Suivi_Eans!$K:$K,"&gt;31/12/2021",E_Suivi_Eans!$K:$K,"&lt;01/12/2022")+COUNTIFS(E_Suivi_Eans!$C:$C,"11/2022",E_Suivi_Eans!$D:$D,"Taxes Boissons",E_Suivi_Eans!$J:$J,"Relance 1",E_Suivi_Eans!$K:$K,"&gt;31/12/2021",E_Suivi_Eans!$K:$K,"&lt;01/12/2022")+COUNTIFS(E_Suivi_Eans!$C:$C,"11/2022",E_Suivi_Eans!$D:$D,"Taxes Boissons",E_Suivi_Eans!$J:$J,"Relance 2",E_Suivi_Eans!$K:$K,"&gt;31/12/2021",E_Suivi_Eans!$K:$K,"&lt;01/12/2022")+COUNTIFS(E_Suivi_Eans!$C:$C,"11/2022",E_Suivi_Eans!$D:$D,"Taxes Boissons",E_Suivi_Eans!$J:$J,"Relance 3",E_Suivi_Eans!$K:$K,"&gt;31/12/2021",E_Suivi_Eans!$K:$K,"&lt;01/12/2022")</f>
        <v>0</v>
      </c>
      <c r="E144" s="21">
        <f>COUNTIFS(E_Suivi_Eans!$C:$C,"11/2022",E_Suivi_Eans!$D:$D,"Taxes Boissons",E_Suivi_Eans!$J:$J,"Abandon",E_Suivi_Eans!$K:$K,"&gt;31/12/2021",E_Suivi_Eans!K:K,"&lt;01/12/2022")</f>
        <v>0</v>
      </c>
      <c r="F144" s="21">
        <f>COUNTIFS(E_Suivi_Eans!$C:$C,"11/2022",E_Suivi_Eans!$D:$D,"Taxes Boissons")</f>
        <v>25</v>
      </c>
      <c r="G144" s="21">
        <f>F144-E144</f>
        <v>25</v>
      </c>
      <c r="J144" s="20" t="s">
        <v>5327</v>
      </c>
      <c r="K144" s="20" t="s">
        <v>5327</v>
      </c>
      <c r="L144" s="28">
        <f>IF($G144=0,0,C144/$G144)</f>
        <v>0</v>
      </c>
      <c r="M144" s="28">
        <f t="shared" ref="M144:N144" si="31">IF($G144=0,0,D144/$G144)</f>
        <v>0</v>
      </c>
      <c r="N144" s="28">
        <f t="shared" si="31"/>
        <v>0</v>
      </c>
      <c r="O144" s="28">
        <v>1</v>
      </c>
      <c r="P144" s="28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8"/>
      <c r="P145" s="28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5"/>
      <c r="E146" s="25"/>
      <c r="F146" s="25"/>
      <c r="G146" s="25"/>
      <c r="J146" s="22"/>
      <c r="K146" s="22"/>
      <c r="L146" s="23"/>
      <c r="M146" s="25"/>
      <c r="N146" s="25"/>
      <c r="O146" s="31"/>
      <c r="P146" s="31"/>
      <c r="S146" s="22"/>
      <c r="T146" s="22"/>
      <c r="U146" s="23"/>
      <c r="V146" s="25"/>
      <c r="W146" s="25"/>
      <c r="X146" s="25"/>
      <c r="Y146" s="25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8"/>
      <c r="M147" s="28"/>
      <c r="N147" s="28"/>
      <c r="O147" s="28"/>
      <c r="P147" s="28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8"/>
      <c r="P148" s="28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8"/>
      <c r="P149" s="28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8"/>
      <c r="P150" s="28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8"/>
      <c r="P151" s="28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8"/>
      <c r="P152" s="28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8"/>
      <c r="P153" s="28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8"/>
      <c r="P154" s="28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8"/>
      <c r="P155" s="28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8"/>
      <c r="P156" s="28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8"/>
      <c r="P157" s="28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8"/>
      <c r="P158" s="28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5"/>
      <c r="E159" s="25"/>
      <c r="F159" s="25"/>
      <c r="G159" s="25"/>
      <c r="J159" s="22"/>
      <c r="K159" s="22"/>
      <c r="L159" s="23"/>
      <c r="M159" s="25"/>
      <c r="N159" s="25"/>
      <c r="O159" s="31"/>
      <c r="P159" s="31"/>
      <c r="S159" s="22"/>
      <c r="T159" s="22"/>
      <c r="U159" s="23"/>
      <c r="V159" s="25"/>
      <c r="W159" s="25"/>
      <c r="X159" s="25"/>
      <c r="Y159" s="25"/>
    </row>
    <row r="160" spans="1:25">
      <c r="A160" s="27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7" t="s">
        <v>5396</v>
      </c>
      <c r="K160" s="20" t="s">
        <v>5314</v>
      </c>
      <c r="L160" s="28">
        <f t="shared" ref="L160:N170" si="35">IF($G160=0,0,C160/$G160)</f>
        <v>0</v>
      </c>
      <c r="M160" s="28">
        <f t="shared" si="35"/>
        <v>0</v>
      </c>
      <c r="N160" s="28">
        <f t="shared" si="35"/>
        <v>0</v>
      </c>
      <c r="O160" s="28">
        <v>1</v>
      </c>
      <c r="P160" s="28">
        <f t="shared" ref="P160:P170" si="36">O160-N160</f>
        <v>1</v>
      </c>
      <c r="S160" s="27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7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7" t="s">
        <v>5396</v>
      </c>
      <c r="K161" s="20" t="s">
        <v>5315</v>
      </c>
      <c r="L161" s="28">
        <f t="shared" si="35"/>
        <v>0</v>
      </c>
      <c r="M161" s="28">
        <f t="shared" si="35"/>
        <v>0</v>
      </c>
      <c r="N161" s="28">
        <f t="shared" si="35"/>
        <v>0</v>
      </c>
      <c r="O161" s="28">
        <v>1</v>
      </c>
      <c r="P161" s="28">
        <f t="shared" si="36"/>
        <v>1</v>
      </c>
      <c r="S161" s="27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7" t="s">
        <v>5396</v>
      </c>
      <c r="B162" s="20" t="s">
        <v>5316</v>
      </c>
      <c r="C162" s="21">
        <f t="shared" si="37"/>
        <v>0</v>
      </c>
      <c r="D162" s="21">
        <f t="shared" si="37"/>
        <v>0</v>
      </c>
      <c r="E162" s="21">
        <f t="shared" si="37"/>
        <v>0</v>
      </c>
      <c r="F162" s="21">
        <f t="shared" si="37"/>
        <v>0</v>
      </c>
      <c r="G162" s="21">
        <f t="shared" si="34"/>
        <v>0</v>
      </c>
      <c r="J162" s="27" t="s">
        <v>5396</v>
      </c>
      <c r="K162" s="20" t="s">
        <v>5316</v>
      </c>
      <c r="L162" s="28">
        <f t="shared" si="35"/>
        <v>0</v>
      </c>
      <c r="M162" s="28">
        <f t="shared" si="35"/>
        <v>0</v>
      </c>
      <c r="N162" s="28">
        <f t="shared" si="35"/>
        <v>0</v>
      </c>
      <c r="O162" s="28">
        <v>1</v>
      </c>
      <c r="P162" s="28">
        <f t="shared" si="36"/>
        <v>1</v>
      </c>
      <c r="S162" s="27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7" t="s">
        <v>5396</v>
      </c>
      <c r="B163" s="20" t="s">
        <v>5317</v>
      </c>
      <c r="C163" s="21">
        <f t="shared" si="37"/>
        <v>0</v>
      </c>
      <c r="D163" s="21">
        <f t="shared" si="37"/>
        <v>0</v>
      </c>
      <c r="E163" s="21">
        <f t="shared" si="37"/>
        <v>0</v>
      </c>
      <c r="F163" s="21">
        <f t="shared" si="37"/>
        <v>28</v>
      </c>
      <c r="G163" s="21">
        <f t="shared" si="34"/>
        <v>28</v>
      </c>
      <c r="J163" s="27" t="s">
        <v>5396</v>
      </c>
      <c r="K163" s="20" t="s">
        <v>5317</v>
      </c>
      <c r="L163" s="28">
        <f t="shared" si="35"/>
        <v>0</v>
      </c>
      <c r="M163" s="28">
        <f t="shared" si="35"/>
        <v>0</v>
      </c>
      <c r="N163" s="28">
        <f t="shared" si="35"/>
        <v>0</v>
      </c>
      <c r="O163" s="28">
        <v>1</v>
      </c>
      <c r="P163" s="28">
        <f>O163-N163</f>
        <v>1</v>
      </c>
      <c r="S163" s="27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7" t="s">
        <v>5396</v>
      </c>
      <c r="B164" s="20" t="s">
        <v>5318</v>
      </c>
      <c r="C164" s="21">
        <f t="shared" si="37"/>
        <v>0</v>
      </c>
      <c r="D164" s="21">
        <f t="shared" si="37"/>
        <v>11</v>
      </c>
      <c r="E164" s="21">
        <f t="shared" si="37"/>
        <v>12</v>
      </c>
      <c r="F164" s="21">
        <f t="shared" si="37"/>
        <v>40</v>
      </c>
      <c r="G164" s="21">
        <f t="shared" si="34"/>
        <v>28</v>
      </c>
      <c r="J164" s="27" t="s">
        <v>5396</v>
      </c>
      <c r="K164" s="20" t="s">
        <v>5318</v>
      </c>
      <c r="L164" s="28">
        <f t="shared" si="35"/>
        <v>0</v>
      </c>
      <c r="M164" s="28">
        <f t="shared" si="35"/>
        <v>0.39285714285714285</v>
      </c>
      <c r="N164" s="28">
        <f t="shared" si="35"/>
        <v>0.42857142857142855</v>
      </c>
      <c r="O164" s="28">
        <v>1</v>
      </c>
      <c r="P164" s="28">
        <f t="shared" si="36"/>
        <v>0.5714285714285714</v>
      </c>
      <c r="S164" s="27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7" t="s">
        <v>5396</v>
      </c>
      <c r="B165" s="20" t="s">
        <v>5319</v>
      </c>
      <c r="C165" s="21">
        <f t="shared" si="37"/>
        <v>0</v>
      </c>
      <c r="D165" s="21">
        <f t="shared" si="37"/>
        <v>11</v>
      </c>
      <c r="E165" s="21">
        <f t="shared" si="37"/>
        <v>27</v>
      </c>
      <c r="F165" s="21">
        <f t="shared" si="37"/>
        <v>200</v>
      </c>
      <c r="G165" s="21">
        <f t="shared" si="34"/>
        <v>173</v>
      </c>
      <c r="I165" s="33"/>
      <c r="J165" s="27" t="s">
        <v>5396</v>
      </c>
      <c r="K165" s="20" t="s">
        <v>5319</v>
      </c>
      <c r="L165" s="28">
        <f t="shared" si="35"/>
        <v>0</v>
      </c>
      <c r="M165" s="28">
        <f t="shared" si="35"/>
        <v>6.358381502890173E-2</v>
      </c>
      <c r="N165" s="28">
        <f t="shared" si="35"/>
        <v>0.15606936416184972</v>
      </c>
      <c r="O165" s="28">
        <v>1</v>
      </c>
      <c r="P165" s="28">
        <f t="shared" si="36"/>
        <v>0.84393063583815031</v>
      </c>
      <c r="S165" s="27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7" t="s">
        <v>5396</v>
      </c>
      <c r="B166" s="20" t="s">
        <v>5320</v>
      </c>
      <c r="C166" s="21">
        <f t="shared" si="37"/>
        <v>0</v>
      </c>
      <c r="D166" s="21">
        <f t="shared" si="37"/>
        <v>11</v>
      </c>
      <c r="E166" s="21">
        <f t="shared" si="37"/>
        <v>28</v>
      </c>
      <c r="F166" s="21">
        <f t="shared" si="37"/>
        <v>208</v>
      </c>
      <c r="G166" s="21">
        <f t="shared" si="34"/>
        <v>180</v>
      </c>
      <c r="J166" s="27" t="s">
        <v>5396</v>
      </c>
      <c r="K166" s="20" t="s">
        <v>5320</v>
      </c>
      <c r="L166" s="28">
        <f t="shared" si="35"/>
        <v>0</v>
      </c>
      <c r="M166" s="28">
        <f t="shared" si="35"/>
        <v>6.1111111111111109E-2</v>
      </c>
      <c r="N166" s="28">
        <f t="shared" si="35"/>
        <v>0.15555555555555556</v>
      </c>
      <c r="O166" s="28">
        <v>1</v>
      </c>
      <c r="P166" s="28">
        <f t="shared" si="36"/>
        <v>0.84444444444444444</v>
      </c>
      <c r="S166" s="27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7" t="s">
        <v>5396</v>
      </c>
      <c r="B167" s="20" t="s">
        <v>5321</v>
      </c>
      <c r="C167" s="21">
        <f t="shared" si="37"/>
        <v>4</v>
      </c>
      <c r="D167" s="21">
        <f t="shared" si="37"/>
        <v>11</v>
      </c>
      <c r="E167" s="21">
        <f t="shared" si="37"/>
        <v>28</v>
      </c>
      <c r="F167" s="21">
        <f t="shared" si="37"/>
        <v>214</v>
      </c>
      <c r="G167" s="21">
        <f t="shared" si="34"/>
        <v>186</v>
      </c>
      <c r="J167" s="27" t="s">
        <v>5396</v>
      </c>
      <c r="K167" s="20" t="s">
        <v>5321</v>
      </c>
      <c r="L167" s="28">
        <f t="shared" si="35"/>
        <v>2.1505376344086023E-2</v>
      </c>
      <c r="M167" s="28">
        <f t="shared" si="35"/>
        <v>5.9139784946236562E-2</v>
      </c>
      <c r="N167" s="28">
        <f t="shared" si="35"/>
        <v>0.15053763440860216</v>
      </c>
      <c r="O167" s="28">
        <v>1</v>
      </c>
      <c r="P167" s="28">
        <f t="shared" si="36"/>
        <v>0.84946236559139787</v>
      </c>
      <c r="S167" s="27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7" t="s">
        <v>5396</v>
      </c>
      <c r="B168" s="20" t="s">
        <v>5325</v>
      </c>
      <c r="C168" s="21">
        <f t="shared" si="37"/>
        <v>14</v>
      </c>
      <c r="D168" s="21">
        <f t="shared" si="37"/>
        <v>93</v>
      </c>
      <c r="E168" s="21">
        <f t="shared" si="37"/>
        <v>100</v>
      </c>
      <c r="F168" s="21">
        <f t="shared" si="37"/>
        <v>235</v>
      </c>
      <c r="G168" s="21">
        <f t="shared" si="34"/>
        <v>135</v>
      </c>
      <c r="J168" s="27" t="s">
        <v>5396</v>
      </c>
      <c r="K168" s="20" t="s">
        <v>5325</v>
      </c>
      <c r="L168" s="28">
        <f t="shared" si="35"/>
        <v>0.1037037037037037</v>
      </c>
      <c r="M168" s="28">
        <f t="shared" si="35"/>
        <v>0.68888888888888888</v>
      </c>
      <c r="N168" s="28">
        <f t="shared" si="35"/>
        <v>0.7407407407407407</v>
      </c>
      <c r="O168" s="28">
        <v>1</v>
      </c>
      <c r="P168" s="28">
        <f t="shared" si="36"/>
        <v>0.2592592592592593</v>
      </c>
      <c r="S168" s="27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7" t="s">
        <v>5396</v>
      </c>
      <c r="B169" s="20" t="s">
        <v>5326</v>
      </c>
      <c r="C169" s="21">
        <f t="shared" si="37"/>
        <v>14</v>
      </c>
      <c r="D169" s="21">
        <f t="shared" si="37"/>
        <v>114</v>
      </c>
      <c r="E169" s="21">
        <f t="shared" si="37"/>
        <v>101</v>
      </c>
      <c r="F169" s="21">
        <f t="shared" si="37"/>
        <v>241</v>
      </c>
      <c r="G169" s="21">
        <f t="shared" si="34"/>
        <v>140</v>
      </c>
      <c r="J169" s="27" t="s">
        <v>5396</v>
      </c>
      <c r="K169" s="20" t="s">
        <v>5326</v>
      </c>
      <c r="L169" s="28">
        <f t="shared" si="35"/>
        <v>0.1</v>
      </c>
      <c r="M169" s="28">
        <f t="shared" si="35"/>
        <v>0.81428571428571428</v>
      </c>
      <c r="N169" s="28">
        <f t="shared" si="35"/>
        <v>0.72142857142857142</v>
      </c>
      <c r="O169" s="28">
        <v>1</v>
      </c>
      <c r="P169" s="28">
        <f t="shared" si="36"/>
        <v>0.27857142857142858</v>
      </c>
      <c r="S169" s="27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7" t="s">
        <v>5396</v>
      </c>
      <c r="B170" s="20" t="s">
        <v>5327</v>
      </c>
      <c r="C170" s="21">
        <f t="shared" si="37"/>
        <v>20</v>
      </c>
      <c r="D170" s="21">
        <f t="shared" si="37"/>
        <v>114</v>
      </c>
      <c r="E170" s="21">
        <f t="shared" si="37"/>
        <v>102</v>
      </c>
      <c r="F170" s="21">
        <f t="shared" si="37"/>
        <v>266</v>
      </c>
      <c r="G170" s="21">
        <f t="shared" si="34"/>
        <v>164</v>
      </c>
      <c r="I170" s="33"/>
      <c r="J170" s="27" t="s">
        <v>5396</v>
      </c>
      <c r="K170" s="20" t="s">
        <v>5327</v>
      </c>
      <c r="L170" s="28">
        <f t="shared" si="35"/>
        <v>0.12195121951219512</v>
      </c>
      <c r="M170" s="28">
        <f t="shared" si="35"/>
        <v>0.69512195121951215</v>
      </c>
      <c r="N170" s="28">
        <f t="shared" si="35"/>
        <v>0.62195121951219512</v>
      </c>
      <c r="O170" s="28">
        <v>1</v>
      </c>
      <c r="P170" s="28">
        <f t="shared" si="36"/>
        <v>0.37804878048780488</v>
      </c>
      <c r="S170" s="27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7" t="s">
        <v>5396</v>
      </c>
      <c r="B171" s="20" t="s">
        <v>5328</v>
      </c>
      <c r="C171" s="21"/>
      <c r="D171" s="21"/>
      <c r="E171" s="21"/>
      <c r="F171" s="21"/>
      <c r="G171" s="21"/>
      <c r="J171" s="27" t="s">
        <v>5396</v>
      </c>
      <c r="K171" s="20" t="s">
        <v>5328</v>
      </c>
      <c r="L171" s="21"/>
      <c r="M171" s="21"/>
      <c r="N171" s="21"/>
      <c r="O171" s="28"/>
      <c r="P171" s="28"/>
      <c r="S171" s="27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B2"/>
    <mergeCell ref="J2:K2"/>
    <mergeCell ref="S2:T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K1:O58"/>
  <sheetViews>
    <sheetView zoomScale="120" zoomScaleNormal="120" workbookViewId="0"/>
  </sheetViews>
  <sheetFormatPr baseColWidth="10" defaultRowHeight="13"/>
  <sheetData>
    <row r="1" spans="11:15">
      <c r="K1" s="32"/>
      <c r="N1" s="40"/>
      <c r="O1" s="40"/>
    </row>
    <row r="51" spans="11:11">
      <c r="K51" s="40"/>
    </row>
    <row r="52" spans="11:11">
      <c r="K52" s="40"/>
    </row>
    <row r="53" spans="11:11">
      <c r="K53" s="40"/>
    </row>
    <row r="54" spans="11:11">
      <c r="K54" s="40"/>
    </row>
    <row r="55" spans="11:11">
      <c r="K55" s="40"/>
    </row>
    <row r="56" spans="11:11">
      <c r="K56" s="40"/>
    </row>
    <row r="57" spans="11:11">
      <c r="K57" s="40"/>
    </row>
    <row r="58" spans="11:11">
      <c r="K58" s="40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activeCell="K1" sqref="K1"/>
      <selection pane="bottomLeft" activeCell="K1" sqref="K1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2695312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26953125" style="16" customWidth="1"/>
    <col min="13" max="13" width="10.54296875" style="16" customWidth="1"/>
    <col min="14" max="14" width="11" style="16" customWidth="1"/>
    <col min="15" max="16" width="7.81640625" style="29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5" customFormat="1" ht="27.65" customHeight="1">
      <c r="A1" s="34" t="s">
        <v>5399</v>
      </c>
      <c r="B1" s="34"/>
      <c r="J1" s="34" t="s">
        <v>5398</v>
      </c>
      <c r="K1" s="34"/>
      <c r="O1" s="36"/>
      <c r="P1" s="36"/>
      <c r="S1" s="34" t="s">
        <v>5397</v>
      </c>
      <c r="T1" s="34"/>
      <c r="W1" s="39"/>
    </row>
    <row r="2" spans="1:27">
      <c r="A2" s="56" t="s">
        <v>1908</v>
      </c>
      <c r="B2" s="57"/>
      <c r="J2" s="56" t="s">
        <v>1908</v>
      </c>
      <c r="K2" s="57"/>
      <c r="S2" s="56" t="s">
        <v>1908</v>
      </c>
      <c r="T2" s="5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30" t="s">
        <v>5324</v>
      </c>
      <c r="P3" s="30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COUNTIFS(E_Suivi_Eans!$C:$C,"01/2022",E_Suivi_Eans!$D:$D,"Emballages ménagers",E_Suivi_Eans!$J:$J,"Retour OK",E_Suivi_Eans!$K:$K,"&gt;31/12/2021",E_Suivi_Eans!K:K,"&lt;01/02/2022")</f>
        <v>0</v>
      </c>
      <c r="D4" s="21">
        <f>COUNTIFS(E_Suivi_Eans!$C:$C,"01/2022",E_Suivi_Eans!$D:$D,"Emballages ménagers",E_Suivi_Eans!$J:$J,"Rejet 0",E_Suivi_Eans!$K:$K,"&gt;31/12/2021",E_Suivi_Eans!$K:$K,"&lt;01/02/2022")+ COUNTIFS(E_Suivi_Eans!$C:$C,"01/2022",E_Suivi_Eans!$D:$D,"Emballages ménagers",E_Suivi_Eans!$J:$J,"Rejet 1",E_Suivi_Eans!$K:$K,"&gt;31/12/2021",E_Suivi_Eans!$K:$K,"&lt;01/02/2022")+COUNTIFS(E_Suivi_Eans!$C:$C,"01/2022",E_Suivi_Eans!$D:$D,"Emballages ménagers",E_Suivi_Eans!$J:$J,"Rejet 2",E_Suivi_Eans!$K:$K,"&gt;31/12/2021",E_Suivi_Eans!$K:$K,"&lt;01/02/2022")+COUNTIFS(E_Suivi_Eans!$C:$C,"01/2022",E_Suivi_Eans!$D:$D,"Emballages ménagers",E_Suivi_Eans!$J:$J,"Rejet 3",E_Suivi_Eans!$K:$K,"&gt;31/12/2021",E_Suivi_Eans!$K:$K,"&lt;01/02/2022")+ COUNTIFS(E_Suivi_Eans!$C:$C,"01/2022",E_Suivi_Eans!$D:$D,"Emballages ménagers",E_Suivi_Eans!$J:$J,"Rejet 4",E_Suivi_Eans!$K:$K,"&gt;31/12/2021",E_Suivi_Eans!$K:$K,"&lt;01/02/2022")+COUNTIFS(E_Suivi_Eans!$C:$C,"01/2022",E_Suivi_Eans!$D:$D,"Emballages ménagers",E_Suivi_Eans!$J:$J,"Relance 1",E_Suivi_Eans!$K:$K,"&gt;31/12/2021",E_Suivi_Eans!$K:$K,"&lt;01/02/2022")+COUNTIFS(E_Suivi_Eans!$C:$C,"01/2022",E_Suivi_Eans!$D:$D,"Emballages ménagers",E_Suivi_Eans!$J:$J,"Relance 2",E_Suivi_Eans!$K:$K,"&gt;31/12/2021",E_Suivi_Eans!$K:$K,"&lt;01/02/2022")+COUNTIFS(E_Suivi_Eans!$C:$C,"01/2022",E_Suivi_Eans!$D:$D,"Emballages ménagers",E_Suivi_Eans!$J:$J,"Relance 3",E_Suivi_Eans!$K:$K,"&gt;31/12/2021",E_Suivi_Eans!$K:$K,"&lt;01/02/2022")</f>
        <v>0</v>
      </c>
      <c r="E4" s="21">
        <f>COUNTIFS(E_Suivi_Eans!$C:$C,"01/2022",E_Suivi_Eans!$D:$D,"Emballages ménagers",E_Suivi_Eans!$J:$J,"Abandon",E_Suivi_Eans!$K:$K,"&gt;31/12/2021",E_Suivi_Eans!K:K,"&lt;01/02/2022")</f>
        <v>0</v>
      </c>
      <c r="F4" s="21">
        <f>COUNTIFS(E_Suivi_Eans!$C:$C,"01/2022",E_Suivi_Eans!$D:$D,"Emballages ménagers")</f>
        <v>0</v>
      </c>
      <c r="G4" s="21">
        <f>F4-E4</f>
        <v>0</v>
      </c>
      <c r="J4" s="20" t="s">
        <v>5314</v>
      </c>
      <c r="K4" s="20" t="s">
        <v>5314</v>
      </c>
      <c r="L4" s="28" t="e">
        <f>C4/$G4</f>
        <v>#DIV/0!</v>
      </c>
      <c r="M4" s="28" t="e">
        <f t="shared" ref="M4:N14" si="0">D4/$G4</f>
        <v>#DIV/0!</v>
      </c>
      <c r="N4" s="28" t="e">
        <f t="shared" si="0"/>
        <v>#DIV/0!</v>
      </c>
      <c r="O4" s="28">
        <v>1</v>
      </c>
      <c r="P4" s="28" t="e">
        <f>O4-N4</f>
        <v>#DIV/0!</v>
      </c>
      <c r="S4" s="20" t="s">
        <v>5314</v>
      </c>
      <c r="T4" s="20" t="s">
        <v>5314</v>
      </c>
      <c r="U4" s="38"/>
      <c r="V4" s="21"/>
      <c r="W4" s="21"/>
      <c r="X4" s="38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COUNTIFS(E_Suivi_Eans!$C:$C,"01/2022",E_Suivi_Eans!$D:$D,"Emballages ménagers",E_Suivi_Eans!$J:$J,"Retour OK",E_Suivi_Eans!$K:$K,"&gt;31/12/2021",E_Suivi_Eans!$K:$K,"&lt;01/03/2022")</f>
        <v>0</v>
      </c>
      <c r="D5" s="21">
        <f>COUNTIFS(E_Suivi_Eans!$C:$C,"01/2022",E_Suivi_Eans!$D:$D,"Emballages ménagers",E_Suivi_Eans!$J:$J,"Rejet 0",E_Suivi_Eans!$K:$K,"&gt;31/12/2021",E_Suivi_Eans!$K:$K,"&lt;01/03/2022")+ COUNTIFS(E_Suivi_Eans!$C:$C,"01/2022",E_Suivi_Eans!$D:$D,"Emballages ménagers",E_Suivi_Eans!$J:$J,"Rejet 1",E_Suivi_Eans!$K:$K,"&gt;31/12/2021",E_Suivi_Eans!$K:$K,"&lt;01/03/2022")+COUNTIFS(E_Suivi_Eans!$C:$C,"01/2022",E_Suivi_Eans!$D:$D,"Emballages ménagers",E_Suivi_Eans!$J:$J,"Rejet 2",E_Suivi_Eans!$K:$K,"&gt;31/12/2021",E_Suivi_Eans!$K:$K,"&lt;01/03/2022")+COUNTIFS(E_Suivi_Eans!$C:$C,"01/2022",E_Suivi_Eans!$D:$D,"Emballages ménagers",E_Suivi_Eans!$J:$J,"Rejet 3",E_Suivi_Eans!$K:$K,"&gt;31/12/2021",E_Suivi_Eans!$K:$K,"&lt;01/03/2022")+ COUNTIFS(E_Suivi_Eans!$C:$C,"01/2022",E_Suivi_Eans!$D:$D,"Emballages ménagers",E_Suivi_Eans!$J:$J,"Rejet 4",E_Suivi_Eans!$K:$K,"&gt;31/12/2021",E_Suivi_Eans!$K:$K,"&lt;01/03/2022")+COUNTIFS(E_Suivi_Eans!$C:$C,"01/2022",E_Suivi_Eans!$D:$D,"Emballages ménagers",E_Suivi_Eans!$J:$J,"Relance 1",E_Suivi_Eans!$K:$K,"&gt;31/12/2021",E_Suivi_Eans!$K:$K,"&lt;01/03/2022")+COUNTIFS(E_Suivi_Eans!$C:$C,"01/2022",E_Suivi_Eans!$D:$D,"Emballages ménagers",E_Suivi_Eans!$J:$J,"Relance 2",E_Suivi_Eans!$K:$K,"&gt;31/12/2021",E_Suivi_Eans!$K:$K,"&lt;01/03/2022")+COUNTIFS(E_Suivi_Eans!$C:$C,"01/2022",E_Suivi_Eans!$D:$D,"Emballages ménagers",E_Suivi_Eans!$J:$J,"Relance 3",E_Suivi_Eans!$K:$K,"&gt;31/12/2021",E_Suivi_Eans!$K:$K,"&lt;01/03/2022")</f>
        <v>0</v>
      </c>
      <c r="E5" s="21">
        <f>COUNTIFS(E_Suivi_Eans!$C:$C,"01/2022",E_Suivi_Eans!$D:$D,"Emballages ménagers",E_Suivi_Eans!$J:$J,"Abandon",E_Suivi_Eans!$K:$K,"&gt;31/12/2021",E_Suivi_Eans!K:K,"&lt;01/03/2022")</f>
        <v>0</v>
      </c>
      <c r="F5" s="21">
        <f>COUNTIFS(E_Suivi_Eans!$C:$C,"01/2022",E_Suivi_Eans!$D:$D,"Emballages ménagers")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8" t="e">
        <f t="shared" ref="L5:L14" si="2">C5/$G5</f>
        <v>#DIV/0!</v>
      </c>
      <c r="M5" s="28" t="e">
        <f t="shared" si="0"/>
        <v>#DIV/0!</v>
      </c>
      <c r="N5" s="28" t="e">
        <f t="shared" si="0"/>
        <v>#DIV/0!</v>
      </c>
      <c r="O5" s="28">
        <v>1</v>
      </c>
      <c r="P5" s="28" t="e">
        <f t="shared" ref="P5:P14" si="3">O5-N5</f>
        <v>#DIV/0!</v>
      </c>
      <c r="S5" s="20" t="s">
        <v>5314</v>
      </c>
      <c r="T5" s="20" t="s">
        <v>5315</v>
      </c>
      <c r="U5" s="38"/>
      <c r="V5" s="21"/>
      <c r="W5" s="21"/>
      <c r="X5" s="38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COUNTIFS(E_Suivi_Eans!$C:$C,"01/2022",E_Suivi_Eans!$D:$D,"Emballages ménagers",E_Suivi_Eans!$J:$J,"Retour OK",E_Suivi_Eans!$K:$K,"&gt;31/12/2021",E_Suivi_Eans!$K:$K,"&lt;01/04/2022")</f>
        <v>0</v>
      </c>
      <c r="D6" s="21">
        <f>COUNTIFS(E_Suivi_Eans!$C:$C,"01/2022",E_Suivi_Eans!$D:$D,"Emballages ménagers",E_Suivi_Eans!$J:$J,"Rejet 0",E_Suivi_Eans!$K:$K,"&gt;31/12/2021",E_Suivi_Eans!$K:$K,"&lt;01/04/2022")+ COUNTIFS(E_Suivi_Eans!$C:$C,"01/2022",E_Suivi_Eans!$D:$D,"Emballages ménagers",E_Suivi_Eans!$J:$J,"Rejet 1",E_Suivi_Eans!$K:$K,"&gt;31/12/2021",E_Suivi_Eans!$K:$K,"&lt;01/04/2022")+COUNTIFS(E_Suivi_Eans!$C:$C,"01/2022",E_Suivi_Eans!$D:$D,"Emballages ménagers",E_Suivi_Eans!$J:$J,"Rejet 2",E_Suivi_Eans!$K:$K,"&gt;31/12/2021",E_Suivi_Eans!$K:$K,"&lt;01/04/2022")+COUNTIFS(E_Suivi_Eans!$C:$C,"01/2022",E_Suivi_Eans!$D:$D,"Emballages ménagers",E_Suivi_Eans!$J:$J,"Rejet 3",E_Suivi_Eans!$K:$K,"&gt;31/12/2021",E_Suivi_Eans!$K:$K,"&lt;01/04/2022")+ COUNTIFS(E_Suivi_Eans!$C:$C,"01/2022",E_Suivi_Eans!$D:$D,"Emballages ménagers",E_Suivi_Eans!$J:$J,"Rejet 4",E_Suivi_Eans!$K:$K,"&gt;31/12/2021",E_Suivi_Eans!$K:$K,"&lt;01/04/2022")+COUNTIFS(E_Suivi_Eans!$C:$C,"01/2022",E_Suivi_Eans!$D:$D,"Emballages ménagers",E_Suivi_Eans!$J:$J,"Relance 1",E_Suivi_Eans!$K:$K,"&gt;31/12/2021",E_Suivi_Eans!$K:$K,"&lt;01/04/2022")+COUNTIFS(E_Suivi_Eans!$C:$C,"01/2022",E_Suivi_Eans!$D:$D,"Emballages ménagers",E_Suivi_Eans!$J:$J,"Relance 2",E_Suivi_Eans!$K:$K,"&gt;31/12/2021",E_Suivi_Eans!$K:$K,"&lt;01/04/2022")+COUNTIFS(E_Suivi_Eans!$C:$C,"01/2022",E_Suivi_Eans!$D:$D,"Emballages ménagers",E_Suivi_Eans!$J:$J,"Relance 3",E_Suivi_Eans!$K:$K,"&gt;31/12/2021",E_Suivi_Eans!$K:$K,"&lt;01/04/2022")</f>
        <v>0</v>
      </c>
      <c r="E6" s="21">
        <f>COUNTIFS(E_Suivi_Eans!$C:$C,"01/2022",E_Suivi_Eans!$D:$D,"Emballages ménagers",E_Suivi_Eans!$J:$J,"Abandon",E_Suivi_Eans!$K:$K,"&gt;31/12/2021",E_Suivi_Eans!K:K,"&lt;01/04/2022")</f>
        <v>0</v>
      </c>
      <c r="F6" s="21">
        <f>COUNTIFS(E_Suivi_Eans!$C:$C,"01/2022",E_Suivi_Eans!$D:$D,"Emballages ménagers")</f>
        <v>0</v>
      </c>
      <c r="G6" s="21">
        <f t="shared" si="1"/>
        <v>0</v>
      </c>
      <c r="J6" s="20" t="s">
        <v>5314</v>
      </c>
      <c r="K6" s="20" t="s">
        <v>5316</v>
      </c>
      <c r="L6" s="28" t="e">
        <f t="shared" si="2"/>
        <v>#DIV/0!</v>
      </c>
      <c r="M6" s="28" t="e">
        <f t="shared" si="0"/>
        <v>#DIV/0!</v>
      </c>
      <c r="N6" s="28" t="e">
        <f t="shared" si="0"/>
        <v>#DIV/0!</v>
      </c>
      <c r="O6" s="28">
        <v>1</v>
      </c>
      <c r="P6" s="28" t="e">
        <f t="shared" si="3"/>
        <v>#DIV/0!</v>
      </c>
      <c r="S6" s="20" t="s">
        <v>5314</v>
      </c>
      <c r="T6" s="20" t="s">
        <v>5316</v>
      </c>
      <c r="U6" s="38"/>
      <c r="V6" s="21"/>
      <c r="W6" s="21"/>
      <c r="X6" s="38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COUNTIFS(E_Suivi_Eans!$C:$C,"01/2022",E_Suivi_Eans!$D:$D,"Emballages ménagers",E_Suivi_Eans!$J:$J,"Retour OK",E_Suivi_Eans!$K:$K,"&gt;31/12/2021",E_Suivi_Eans!$K:$K,"&lt;01/05/2022")</f>
        <v>0</v>
      </c>
      <c r="D7" s="21">
        <f>COUNTIFS(E_Suivi_Eans!$C:$C,"01/2022",E_Suivi_Eans!$D:$D,"Emballages ménagers",E_Suivi_Eans!$J:$J,"Rejet 0",E_Suivi_Eans!$K:$K,"&gt;31/12/2021",E_Suivi_Eans!$K:$K,"&lt;01/05/2022")+ COUNTIFS(E_Suivi_Eans!$C:$C,"01/2022",E_Suivi_Eans!$D:$D,"Emballages ménagers",E_Suivi_Eans!$J:$J,"Rejet 1",E_Suivi_Eans!$K:$K,"&gt;31/12/2021",E_Suivi_Eans!$K:$K,"&lt;01/05/2022")+COUNTIFS(E_Suivi_Eans!$C:$C,"01/2022",E_Suivi_Eans!$D:$D,"Emballages ménagers",E_Suivi_Eans!$J:$J,"Rejet 2",E_Suivi_Eans!$K:$K,"&gt;31/12/2021",E_Suivi_Eans!$K:$K,"&lt;01/05/2022")+COUNTIFS(E_Suivi_Eans!$C:$C,"01/2022",E_Suivi_Eans!$D:$D,"Emballages ménagers",E_Suivi_Eans!$J:$J,"Rejet 3",E_Suivi_Eans!$K:$K,"&gt;31/12/2021",E_Suivi_Eans!$K:$K,"&lt;01/05/2022")+ COUNTIFS(E_Suivi_Eans!$C:$C,"01/2022",E_Suivi_Eans!$D:$D,"Emballages ménagers",E_Suivi_Eans!$J:$J,"Rejet 4",E_Suivi_Eans!$K:$K,"&gt;31/12/2021",E_Suivi_Eans!$K:$K,"&lt;01/05/2022")+COUNTIFS(E_Suivi_Eans!$C:$C,"01/2022",E_Suivi_Eans!$D:$D,"Emballages ménagers",E_Suivi_Eans!$J:$J,"Relance 1",E_Suivi_Eans!$K:$K,"&gt;31/12/2021",E_Suivi_Eans!$K:$K,"&lt;01/05/2022")+COUNTIFS(E_Suivi_Eans!$C:$C,"01/2022",E_Suivi_Eans!$D:$D,"Emballages ménagers",E_Suivi_Eans!$J:$J,"Relance 2",E_Suivi_Eans!$K:$K,"&gt;31/12/2021",E_Suivi_Eans!$K:$K,"&lt;01/05/2022")+COUNTIFS(E_Suivi_Eans!$C:$C,"01/2022",E_Suivi_Eans!$D:$D,"Emballages ménagers",E_Suivi_Eans!$J:$J,"Relance 3",E_Suivi_Eans!$K:$K,"&gt;31/12/2021",E_Suivi_Eans!$K:$K,"&lt;01/05/2022")</f>
        <v>0</v>
      </c>
      <c r="E7" s="21">
        <f>COUNTIFS(E_Suivi_Eans!$C:$C,"01/2022",E_Suivi_Eans!$D:$D,"Emballages ménagers",E_Suivi_Eans!$J:$J,"Abandon",E_Suivi_Eans!$K:$K,"&gt;31/12/2021",E_Suivi_Eans!K:K,"&lt;01/05/2022")</f>
        <v>0</v>
      </c>
      <c r="F7" s="21">
        <f>COUNTIFS(E_Suivi_Eans!$C:$C,"01/2022",E_Suivi_Eans!$D:$D,"Emballages ménagers")</f>
        <v>0</v>
      </c>
      <c r="G7" s="21">
        <f t="shared" si="1"/>
        <v>0</v>
      </c>
      <c r="J7" s="20" t="s">
        <v>5314</v>
      </c>
      <c r="K7" s="20" t="s">
        <v>5317</v>
      </c>
      <c r="L7" s="28" t="e">
        <f t="shared" si="2"/>
        <v>#DIV/0!</v>
      </c>
      <c r="M7" s="28" t="e">
        <f t="shared" si="0"/>
        <v>#DIV/0!</v>
      </c>
      <c r="N7" s="28" t="e">
        <f t="shared" si="0"/>
        <v>#DIV/0!</v>
      </c>
      <c r="O7" s="28">
        <v>1</v>
      </c>
      <c r="P7" s="28" t="e">
        <f t="shared" si="3"/>
        <v>#DIV/0!</v>
      </c>
      <c r="S7" s="20" t="s">
        <v>5314</v>
      </c>
      <c r="T7" s="20" t="s">
        <v>5317</v>
      </c>
      <c r="U7" s="38"/>
      <c r="V7" s="21"/>
      <c r="W7" s="21"/>
      <c r="X7" s="38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COUNTIFS(E_Suivi_Eans!$C:$C,"01/2022",E_Suivi_Eans!$D:$D,"Emballages ménagers",E_Suivi_Eans!$J:$J,"Retour OK",E_Suivi_Eans!$K:$K,"&gt;31/12/2021",E_Suivi_Eans!$K:$K,"&lt;01/06/2022")</f>
        <v>0</v>
      </c>
      <c r="D8" s="21">
        <f>COUNTIFS(E_Suivi_Eans!$C:$C,"01/2022",E_Suivi_Eans!$D:$D,"Emballages ménagers",E_Suivi_Eans!$J:$J,"Rejet 0",E_Suivi_Eans!$K:$K,"&gt;31/12/2021",E_Suivi_Eans!$K:$K,"&lt;01/06/2022")+ COUNTIFS(E_Suivi_Eans!$C:$C,"01/2022",E_Suivi_Eans!$D:$D,"Emballages ménagers",E_Suivi_Eans!$J:$J,"Rejet 1",E_Suivi_Eans!$K:$K,"&gt;31/12/2021",E_Suivi_Eans!$K:$K,"&lt;01/06/2022")+COUNTIFS(E_Suivi_Eans!$C:$C,"01/2022",E_Suivi_Eans!$D:$D,"Emballages ménagers",E_Suivi_Eans!$J:$J,"Rejet 2",E_Suivi_Eans!$K:$K,"&gt;31/12/2021",E_Suivi_Eans!$K:$K,"&lt;01/06/2022")+COUNTIFS(E_Suivi_Eans!$C:$C,"01/2022",E_Suivi_Eans!$D:$D,"Emballages ménagers",E_Suivi_Eans!$J:$J,"Rejet 3",E_Suivi_Eans!$K:$K,"&gt;31/12/2021",E_Suivi_Eans!$K:$K,"&lt;01/06/2022")+ COUNTIFS(E_Suivi_Eans!$C:$C,"01/2022",E_Suivi_Eans!$D:$D,"Emballages ménagers",E_Suivi_Eans!$J:$J,"Rejet 4",E_Suivi_Eans!$K:$K,"&gt;31/12/2021",E_Suivi_Eans!$K:$K,"&lt;01/06/2022")+COUNTIFS(E_Suivi_Eans!$C:$C,"01/2022",E_Suivi_Eans!$D:$D,"Emballages ménagers",E_Suivi_Eans!$J:$J,"Relance 1",E_Suivi_Eans!$K:$K,"&gt;31/12/2021",E_Suivi_Eans!$K:$K,"&lt;01/06/2022")+COUNTIFS(E_Suivi_Eans!$C:$C,"01/2022",E_Suivi_Eans!$D:$D,"Emballages ménagers",E_Suivi_Eans!$J:$J,"Relance 2",E_Suivi_Eans!$K:$K,"&gt;31/12/2021",E_Suivi_Eans!$K:$K,"&lt;01/06/2022")+COUNTIFS(E_Suivi_Eans!$C:$C,"01/2022",E_Suivi_Eans!$D:$D,"Emballages ménagers",E_Suivi_Eans!$J:$J,"Relance 3",E_Suivi_Eans!$K:$K,"&gt;31/12/2021",E_Suivi_Eans!$K:$K,"&lt;01/06/2022")</f>
        <v>0</v>
      </c>
      <c r="E8" s="21">
        <f>COUNTIFS(E_Suivi_Eans!$C:$C,"01/2022",E_Suivi_Eans!$D:$D,"Emballages ménagers",E_Suivi_Eans!$J:$J,"Abandon",E_Suivi_Eans!$K:$K,"&gt;31/12/2021",E_Suivi_Eans!K:K,"&lt;01/06/2022")</f>
        <v>0</v>
      </c>
      <c r="F8" s="21">
        <f>COUNTIFS(E_Suivi_Eans!$C:$C,"01/2022",E_Suivi_Eans!$D:$D,"Emballages ménagers")</f>
        <v>0</v>
      </c>
      <c r="G8" s="21">
        <f t="shared" si="1"/>
        <v>0</v>
      </c>
      <c r="J8" s="20" t="s">
        <v>5314</v>
      </c>
      <c r="K8" s="20" t="s">
        <v>5318</v>
      </c>
      <c r="L8" s="28" t="e">
        <f t="shared" si="2"/>
        <v>#DIV/0!</v>
      </c>
      <c r="M8" s="28" t="e">
        <f t="shared" si="0"/>
        <v>#DIV/0!</v>
      </c>
      <c r="N8" s="28" t="e">
        <f t="shared" si="0"/>
        <v>#DIV/0!</v>
      </c>
      <c r="O8" s="28">
        <v>1</v>
      </c>
      <c r="P8" s="28" t="e">
        <f t="shared" si="3"/>
        <v>#DIV/0!</v>
      </c>
      <c r="S8" s="20" t="s">
        <v>5314</v>
      </c>
      <c r="T8" s="20" t="s">
        <v>5318</v>
      </c>
      <c r="U8" s="38"/>
      <c r="V8" s="21"/>
      <c r="W8" s="21"/>
      <c r="X8" s="38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COUNTIFS(E_Suivi_Eans!$C:$C,"01/2022",E_Suivi_Eans!$D:$D,"Emballages ménagers",E_Suivi_Eans!$J:$J,"Retour OK",E_Suivi_Eans!$K:$K,"&gt;31/12/2021",E_Suivi_Eans!$K:$K,"&lt;01/07/2022")</f>
        <v>0</v>
      </c>
      <c r="D9" s="21">
        <f>COUNTIFS(E_Suivi_Eans!$C:$C,"01/2022",E_Suivi_Eans!$D:$D,"Emballages ménagers",E_Suivi_Eans!$J:$J,"Rejet 0",E_Suivi_Eans!$K:$K,"&gt;31/12/2021",E_Suivi_Eans!$K:$K,"&lt;01/07/2022")+ COUNTIFS(E_Suivi_Eans!$C:$C,"01/2022",E_Suivi_Eans!$D:$D,"Emballages ménagers",E_Suivi_Eans!$J:$J,"Rejet 1",E_Suivi_Eans!$K:$K,"&gt;31/12/2021",E_Suivi_Eans!$K:$K,"&lt;01/07/2022")+COUNTIFS(E_Suivi_Eans!$C:$C,"01/2022",E_Suivi_Eans!$D:$D,"Emballages ménagers",E_Suivi_Eans!$J:$J,"Rejet 2",E_Suivi_Eans!$K:$K,"&gt;31/12/2021",E_Suivi_Eans!$K:$K,"&lt;01/07/2022")+COUNTIFS(E_Suivi_Eans!$C:$C,"01/2022",E_Suivi_Eans!$D:$D,"Emballages ménagers",E_Suivi_Eans!$J:$J,"Rejet 3",E_Suivi_Eans!$K:$K,"&gt;31/12/2021",E_Suivi_Eans!$K:$K,"&lt;01/07/2022")+ COUNTIFS(E_Suivi_Eans!$C:$C,"01/2022",E_Suivi_Eans!$D:$D,"Emballages ménagers",E_Suivi_Eans!$J:$J,"Rejet 4",E_Suivi_Eans!$K:$K,"&gt;31/12/2021",E_Suivi_Eans!$K:$K,"&lt;01/07/2022")+COUNTIFS(E_Suivi_Eans!$C:$C,"01/2022",E_Suivi_Eans!$D:$D,"Emballages ménagers",E_Suivi_Eans!$J:$J,"Relance 1",E_Suivi_Eans!$K:$K,"&gt;31/12/2021",E_Suivi_Eans!$K:$K,"&lt;01/07/2022")+COUNTIFS(E_Suivi_Eans!$C:$C,"01/2022",E_Suivi_Eans!$D:$D,"Emballages ménagers",E_Suivi_Eans!$J:$J,"Relance 2",E_Suivi_Eans!$K:$K,"&gt;31/12/2021",E_Suivi_Eans!$K:$K,"&lt;01/07/2022")+COUNTIFS(E_Suivi_Eans!$C:$C,"01/2022",E_Suivi_Eans!$D:$D,"Emballages ménagers",E_Suivi_Eans!$J:$J,"Relance 3",E_Suivi_Eans!$K:$K,"&gt;31/12/2021",E_Suivi_Eans!$K:$K,"&lt;01/07/2022")</f>
        <v>0</v>
      </c>
      <c r="E9" s="21">
        <f>COUNTIFS(E_Suivi_Eans!$C:$C,"01/2022",E_Suivi_Eans!$D:$D,"Emballages ménagers",E_Suivi_Eans!$J:$J,"Abandon",E_Suivi_Eans!$K:$K,"&gt;31/12/2021",E_Suivi_Eans!K:K,"&lt;01/07/2022")</f>
        <v>0</v>
      </c>
      <c r="F9" s="21">
        <f>COUNTIFS(E_Suivi_Eans!$C:$C,"01/2022",E_Suivi_Eans!$D:$D,"Emballages ménagers")</f>
        <v>0</v>
      </c>
      <c r="G9" s="21">
        <f t="shared" si="1"/>
        <v>0</v>
      </c>
      <c r="J9" s="20" t="s">
        <v>5314</v>
      </c>
      <c r="K9" s="20" t="s">
        <v>5319</v>
      </c>
      <c r="L9" s="28" t="e">
        <f t="shared" si="2"/>
        <v>#DIV/0!</v>
      </c>
      <c r="M9" s="28" t="e">
        <f t="shared" si="0"/>
        <v>#DIV/0!</v>
      </c>
      <c r="N9" s="28" t="e">
        <f t="shared" si="0"/>
        <v>#DIV/0!</v>
      </c>
      <c r="O9" s="28">
        <v>1</v>
      </c>
      <c r="P9" s="28" t="e">
        <f t="shared" si="3"/>
        <v>#DIV/0!</v>
      </c>
      <c r="S9" s="20" t="s">
        <v>5314</v>
      </c>
      <c r="T9" s="20" t="s">
        <v>5319</v>
      </c>
      <c r="U9" s="38"/>
      <c r="V9" s="21"/>
      <c r="W9" s="21"/>
      <c r="X9" s="38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COUNTIFS(E_Suivi_Eans!$C:$C,"01/2022",E_Suivi_Eans!$D:$D,"Emballages ménagers",E_Suivi_Eans!$J:$J,"Retour OK",E_Suivi_Eans!$K:$K,"&gt;31/12/2021",E_Suivi_Eans!$K:$K,"&lt;01/08/2022")</f>
        <v>0</v>
      </c>
      <c r="D10" s="21">
        <f>COUNTIFS(E_Suivi_Eans!$C:$C,"01/2022",E_Suivi_Eans!$D:$D,"Emballages ménagers",E_Suivi_Eans!$J:$J,"Rejet 0",E_Suivi_Eans!$K:$K,"&gt;31/12/2021",E_Suivi_Eans!$K:$K,"&lt;01/08/2022")+ COUNTIFS(E_Suivi_Eans!$C:$C,"01/2022",E_Suivi_Eans!$D:$D,"Emballages ménagers",E_Suivi_Eans!$J:$J,"Rejet 1",E_Suivi_Eans!$K:$K,"&gt;31/12/2021",E_Suivi_Eans!$K:$K,"&lt;01/08/2022")+COUNTIFS(E_Suivi_Eans!$C:$C,"01/2022",E_Suivi_Eans!$D:$D,"Emballages ménagers",E_Suivi_Eans!$J:$J,"Rejet 2",E_Suivi_Eans!$K:$K,"&gt;31/12/2021",E_Suivi_Eans!$K:$K,"&lt;01/08/2022")+COUNTIFS(E_Suivi_Eans!$C:$C,"01/2022",E_Suivi_Eans!$D:$D,"Emballages ménagers",E_Suivi_Eans!$J:$J,"Rejet 3",E_Suivi_Eans!$K:$K,"&gt;31/12/2021",E_Suivi_Eans!$K:$K,"&lt;01/08/2022")+ COUNTIFS(E_Suivi_Eans!$C:$C,"01/2022",E_Suivi_Eans!$D:$D,"Emballages ménagers",E_Suivi_Eans!$J:$J,"Rejet 4",E_Suivi_Eans!$K:$K,"&gt;31/12/2021",E_Suivi_Eans!$K:$K,"&lt;01/08/2022")+COUNTIFS(E_Suivi_Eans!$C:$C,"01/2022",E_Suivi_Eans!$D:$D,"Emballages ménagers",E_Suivi_Eans!$J:$J,"Relance 1",E_Suivi_Eans!$K:$K,"&gt;31/12/2021",E_Suivi_Eans!$K:$K,"&lt;01/08/2022")+COUNTIFS(E_Suivi_Eans!$C:$C,"01/2022",E_Suivi_Eans!$D:$D,"Emballages ménagers",E_Suivi_Eans!$J:$J,"Relance 2",E_Suivi_Eans!$K:$K,"&gt;31/12/2021",E_Suivi_Eans!$K:$K,"&lt;01/08/2022")+COUNTIFS(E_Suivi_Eans!$C:$C,"01/2022",E_Suivi_Eans!$D:$D,"Emballages ménagers",E_Suivi_Eans!$J:$J,"Relance 3",E_Suivi_Eans!$K:$K,"&gt;31/12/2021",E_Suivi_Eans!$K:$K,"&lt;01/08/2022")</f>
        <v>0</v>
      </c>
      <c r="E10" s="21">
        <f>COUNTIFS(E_Suivi_Eans!$C:$C,"01/2022",E_Suivi_Eans!$D:$D,"Emballages ménagers",E_Suivi_Eans!$J:$J,"Abandon",E_Suivi_Eans!$K:$K,"&gt;31/12/2021",E_Suivi_Eans!K:K,"&lt;01/08/2022")</f>
        <v>0</v>
      </c>
      <c r="F10" s="21">
        <f>COUNTIFS(E_Suivi_Eans!$C:$C,"01/2022",E_Suivi_Eans!$D:$D,"Emballages ménagers")</f>
        <v>0</v>
      </c>
      <c r="G10" s="21">
        <f t="shared" si="1"/>
        <v>0</v>
      </c>
      <c r="J10" s="20" t="s">
        <v>5314</v>
      </c>
      <c r="K10" s="20" t="s">
        <v>5320</v>
      </c>
      <c r="L10" s="28" t="e">
        <f t="shared" si="2"/>
        <v>#DIV/0!</v>
      </c>
      <c r="M10" s="28" t="e">
        <f t="shared" si="0"/>
        <v>#DIV/0!</v>
      </c>
      <c r="N10" s="28" t="e">
        <f t="shared" si="0"/>
        <v>#DIV/0!</v>
      </c>
      <c r="O10" s="28">
        <v>1</v>
      </c>
      <c r="P10" s="28" t="e">
        <f t="shared" si="3"/>
        <v>#DIV/0!</v>
      </c>
      <c r="S10" s="20" t="s">
        <v>5314</v>
      </c>
      <c r="T10" s="20" t="s">
        <v>5320</v>
      </c>
      <c r="U10" s="38"/>
      <c r="V10" s="21"/>
      <c r="W10" s="21"/>
      <c r="X10" s="38"/>
      <c r="Y10" s="21"/>
      <c r="AA10" s="37"/>
    </row>
    <row r="11" spans="1:27">
      <c r="A11" s="20" t="s">
        <v>5314</v>
      </c>
      <c r="B11" s="20" t="s">
        <v>5321</v>
      </c>
      <c r="C11" s="21">
        <f>COUNTIFS(E_Suivi_Eans!$C:$C,"01/2022",E_Suivi_Eans!$D:$D,"Emballages ménagers",E_Suivi_Eans!$J:$J,"Retour OK",E_Suivi_Eans!$K:$K,"&gt;31/12/2021",E_Suivi_Eans!$K:$K,"&lt;01/09/2022")</f>
        <v>0</v>
      </c>
      <c r="D11" s="21">
        <f>COUNTIFS(E_Suivi_Eans!$C:$C,"01/2022",E_Suivi_Eans!$D:$D,"Emballages ménagers",E_Suivi_Eans!$J:$J,"Rejet 0",E_Suivi_Eans!$K:$K,"&gt;31/12/2021",E_Suivi_Eans!$K:$K,"&lt;01/09/2022")+ COUNTIFS(E_Suivi_Eans!$C:$C,"01/2022",E_Suivi_Eans!$D:$D,"Emballages ménagers",E_Suivi_Eans!$J:$J,"Rejet 1",E_Suivi_Eans!$K:$K,"&gt;31/12/2021",E_Suivi_Eans!$K:$K,"&lt;01/09/2022")+COUNTIFS(E_Suivi_Eans!$C:$C,"01/2022",E_Suivi_Eans!$D:$D,"Emballages ménagers",E_Suivi_Eans!$J:$J,"Rejet 2",E_Suivi_Eans!$K:$K,"&gt;31/12/2021",E_Suivi_Eans!$K:$K,"&lt;01/09/2022")+COUNTIFS(E_Suivi_Eans!$C:$C,"01/2022",E_Suivi_Eans!$D:$D,"Emballages ménagers",E_Suivi_Eans!$J:$J,"Rejet 3",E_Suivi_Eans!$K:$K,"&gt;31/12/2021",E_Suivi_Eans!$K:$K,"&lt;01/09/2022")+ COUNTIFS(E_Suivi_Eans!$C:$C,"01/2022",E_Suivi_Eans!$D:$D,"Emballages ménagers",E_Suivi_Eans!$J:$J,"Rejet 4",E_Suivi_Eans!$K:$K,"&gt;31/12/2021",E_Suivi_Eans!$K:$K,"&lt;01/09/2022")+COUNTIFS(E_Suivi_Eans!$C:$C,"01/2022",E_Suivi_Eans!$D:$D,"Emballages ménagers",E_Suivi_Eans!$J:$J,"Relance 1",E_Suivi_Eans!$K:$K,"&gt;31/12/2021",E_Suivi_Eans!$K:$K,"&lt;01/09/2022")+COUNTIFS(E_Suivi_Eans!$C:$C,"01/2022",E_Suivi_Eans!$D:$D,"Emballages ménagers",E_Suivi_Eans!$J:$J,"Relance 2",E_Suivi_Eans!$K:$K,"&gt;31/12/2021",E_Suivi_Eans!$K:$K,"&lt;01/09/2022")+COUNTIFS(E_Suivi_Eans!$C:$C,"01/2022",E_Suivi_Eans!$D:$D,"Emballages ménagers",E_Suivi_Eans!$J:$J,"Relance 3",E_Suivi_Eans!$K:$K,"&gt;31/12/2021",E_Suivi_Eans!$K:$K,"&lt;01/09/2022")</f>
        <v>0</v>
      </c>
      <c r="E11" s="21">
        <f>COUNTIFS(E_Suivi_Eans!$C:$C,"01/2022",E_Suivi_Eans!$D:$D,"Emballages ménagers",E_Suivi_Eans!$J:$J,"Abandon",E_Suivi_Eans!$K:$K,"&gt;31/12/2021",E_Suivi_Eans!K:K,"&lt;01/09/2022")</f>
        <v>0</v>
      </c>
      <c r="F11" s="21">
        <f>COUNTIFS(E_Suivi_Eans!$C:$C,"01/2022",E_Suivi_Eans!$D:$D,"Emballages ménagers")</f>
        <v>0</v>
      </c>
      <c r="G11" s="21">
        <f t="shared" si="1"/>
        <v>0</v>
      </c>
      <c r="J11" s="20" t="s">
        <v>5314</v>
      </c>
      <c r="K11" s="20" t="s">
        <v>5321</v>
      </c>
      <c r="L11" s="28" t="e">
        <f t="shared" si="2"/>
        <v>#DIV/0!</v>
      </c>
      <c r="M11" s="28" t="e">
        <f t="shared" si="0"/>
        <v>#DIV/0!</v>
      </c>
      <c r="N11" s="28" t="e">
        <f t="shared" si="0"/>
        <v>#DIV/0!</v>
      </c>
      <c r="O11" s="28">
        <v>1</v>
      </c>
      <c r="P11" s="28" t="e">
        <f t="shared" si="3"/>
        <v>#DIV/0!</v>
      </c>
      <c r="S11" s="20" t="s">
        <v>5314</v>
      </c>
      <c r="T11" s="20" t="s">
        <v>5321</v>
      </c>
      <c r="U11" s="38"/>
      <c r="V11" s="21"/>
      <c r="W11" s="21"/>
      <c r="X11" s="38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COUNTIFS(E_Suivi_Eans!$C:$C,"01/2022",E_Suivi_Eans!$D:$D,"Emballages ménagers",E_Suivi_Eans!$J:$J,"Retour OK",E_Suivi_Eans!$K:$K,"&gt;31/12/2021",E_Suivi_Eans!$K:$K,"&lt;01/10/2022")</f>
        <v>0</v>
      </c>
      <c r="D12" s="21">
        <f>COUNTIFS(E_Suivi_Eans!$C:$C,"01/2022",E_Suivi_Eans!$D:$D,"Emballages ménagers",E_Suivi_Eans!$J:$J,"Rejet 0",E_Suivi_Eans!$K:$K,"&gt;31/12/2021",E_Suivi_Eans!$K:$K,"&lt;01/10/2022")+ COUNTIFS(E_Suivi_Eans!$C:$C,"01/2022",E_Suivi_Eans!$D:$D,"Emballages ménagers",E_Suivi_Eans!$J:$J,"Rejet 1",E_Suivi_Eans!$K:$K,"&gt;31/12/2021",E_Suivi_Eans!$K:$K,"&lt;01/10/2022")+COUNTIFS(E_Suivi_Eans!$C:$C,"01/2022",E_Suivi_Eans!$D:$D,"Emballages ménagers",E_Suivi_Eans!$J:$J,"Rejet 2",E_Suivi_Eans!$K:$K,"&gt;31/12/2021",E_Suivi_Eans!$K:$K,"&lt;01/10/2022")+COUNTIFS(E_Suivi_Eans!$C:$C,"01/2022",E_Suivi_Eans!$D:$D,"Emballages ménagers",E_Suivi_Eans!$J:$J,"Rejet 3",E_Suivi_Eans!$K:$K,"&gt;31/12/2021",E_Suivi_Eans!$K:$K,"&lt;01/10/2022")+ COUNTIFS(E_Suivi_Eans!$C:$C,"01/2022",E_Suivi_Eans!$D:$D,"Emballages ménagers",E_Suivi_Eans!$J:$J,"Rejet 4",E_Suivi_Eans!$K:$K,"&gt;31/12/2021",E_Suivi_Eans!$K:$K,"&lt;01/10/2022")+COUNTIFS(E_Suivi_Eans!$C:$C,"01/2022",E_Suivi_Eans!$D:$D,"Emballages ménagers",E_Suivi_Eans!$J:$J,"Relance 1",E_Suivi_Eans!$K:$K,"&gt;31/12/2021",E_Suivi_Eans!$K:$K,"&lt;01/10/2022")+COUNTIFS(E_Suivi_Eans!$C:$C,"01/2022",E_Suivi_Eans!$D:$D,"Emballages ménagers",E_Suivi_Eans!$J:$J,"Relance 2",E_Suivi_Eans!$K:$K,"&gt;31/12/2021",E_Suivi_Eans!$K:$K,"&lt;01/10/2022")+COUNTIFS(E_Suivi_Eans!$C:$C,"01/2022",E_Suivi_Eans!$D:$D,"Emballages ménagers",E_Suivi_Eans!$J:$J,"Relance 3",E_Suivi_Eans!$K:$K,"&gt;31/12/2021",E_Suivi_Eans!$K:$K,"&lt;01/10/2022")</f>
        <v>0</v>
      </c>
      <c r="E12" s="21">
        <f>COUNTIFS(E_Suivi_Eans!$C:$C,"01/2022",E_Suivi_Eans!$D:$D,"Emballages ménagers",E_Suivi_Eans!$J:$J,"Abandon",E_Suivi_Eans!$K:$K,"&gt;31/12/2021",E_Suivi_Eans!K:K,"&lt;01/10/2022")</f>
        <v>0</v>
      </c>
      <c r="F12" s="21">
        <f>COUNTIFS(E_Suivi_Eans!$C:$C,"01/2022",E_Suivi_Eans!$D:$D,"Emballages ménagers")</f>
        <v>0</v>
      </c>
      <c r="G12" s="21">
        <f t="shared" si="1"/>
        <v>0</v>
      </c>
      <c r="J12" s="20" t="s">
        <v>5314</v>
      </c>
      <c r="K12" s="20" t="s">
        <v>5325</v>
      </c>
      <c r="L12" s="28" t="e">
        <f t="shared" si="2"/>
        <v>#DIV/0!</v>
      </c>
      <c r="M12" s="28" t="e">
        <f t="shared" si="0"/>
        <v>#DIV/0!</v>
      </c>
      <c r="N12" s="28" t="e">
        <f t="shared" si="0"/>
        <v>#DIV/0!</v>
      </c>
      <c r="O12" s="28">
        <v>1</v>
      </c>
      <c r="P12" s="28" t="e">
        <f t="shared" si="3"/>
        <v>#DIV/0!</v>
      </c>
      <c r="S12" s="20" t="s">
        <v>5314</v>
      </c>
      <c r="T12" s="20" t="s">
        <v>5325</v>
      </c>
      <c r="U12" s="38"/>
      <c r="V12" s="21"/>
      <c r="W12" s="21"/>
      <c r="X12" s="38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COUNTIFS(E_Suivi_Eans!$C:$C,"01/2022",E_Suivi_Eans!$D:$D,"Emballages ménagers",E_Suivi_Eans!$J:$J,"Retour OK",E_Suivi_Eans!$K:$K,"&gt;31/12/2021",E_Suivi_Eans!$K:$K,"&lt;01/11/2022")</f>
        <v>0</v>
      </c>
      <c r="D13" s="21">
        <f>COUNTIFS(E_Suivi_Eans!$C:$C,"01/2022",E_Suivi_Eans!$D:$D,"Emballages ménagers",E_Suivi_Eans!$J:$J,"Rejet 0",E_Suivi_Eans!$K:$K,"&gt;31/12/2021",E_Suivi_Eans!$K:$K,"&lt;01/11/2022")+ COUNTIFS(E_Suivi_Eans!$C:$C,"01/2022",E_Suivi_Eans!$D:$D,"Emballages ménagers",E_Suivi_Eans!$J:$J,"Rejet 1",E_Suivi_Eans!$K:$K,"&gt;31/12/2021",E_Suivi_Eans!$K:$K,"&lt;01/11/2022")+COUNTIFS(E_Suivi_Eans!$C:$C,"01/2022",E_Suivi_Eans!$D:$D,"Emballages ménagers",E_Suivi_Eans!$J:$J,"Rejet 2",E_Suivi_Eans!$K:$K,"&gt;31/12/2021",E_Suivi_Eans!$K:$K,"&lt;01/11/2022")+COUNTIFS(E_Suivi_Eans!$C:$C,"01/2022",E_Suivi_Eans!$D:$D,"Emballages ménagers",E_Suivi_Eans!$J:$J,"Rejet 3",E_Suivi_Eans!$K:$K,"&gt;31/12/2021",E_Suivi_Eans!$K:$K,"&lt;01/11/2022")+ COUNTIFS(E_Suivi_Eans!$C:$C,"01/2022",E_Suivi_Eans!$D:$D,"Emballages ménagers",E_Suivi_Eans!$J:$J,"Rejet 4",E_Suivi_Eans!$K:$K,"&gt;31/12/2021",E_Suivi_Eans!$K:$K,"&lt;01/11/2022")+COUNTIFS(E_Suivi_Eans!$C:$C,"01/2022",E_Suivi_Eans!$D:$D,"Emballages ménagers",E_Suivi_Eans!$J:$J,"Relance 1",E_Suivi_Eans!$K:$K,"&gt;31/12/2021",E_Suivi_Eans!$K:$K,"&lt;01/11/2022")+COUNTIFS(E_Suivi_Eans!$C:$C,"01/2022",E_Suivi_Eans!$D:$D,"Emballages ménagers",E_Suivi_Eans!$J:$J,"Relance 2",E_Suivi_Eans!$K:$K,"&gt;31/12/2021",E_Suivi_Eans!$K:$K,"&lt;01/11/2022")+COUNTIFS(E_Suivi_Eans!$C:$C,"01/2022",E_Suivi_Eans!$D:$D,"Emballages ménagers",E_Suivi_Eans!$J:$J,"Relance 3",E_Suivi_Eans!$K:$K,"&gt;31/12/2021",E_Suivi_Eans!$K:$K,"&lt;01/11/2022")</f>
        <v>0</v>
      </c>
      <c r="E13" s="21">
        <f>COUNTIFS(E_Suivi_Eans!$C:$C,"01/2022",E_Suivi_Eans!$D:$D,"Emballages ménagers",E_Suivi_Eans!$J:$J,"Abandon",E_Suivi_Eans!$K:$K,"&gt;31/12/2021",E_Suivi_Eans!K:K,"&lt;01/11/2022")</f>
        <v>0</v>
      </c>
      <c r="F13" s="21">
        <f>COUNTIFS(E_Suivi_Eans!$C:$C,"01/2022",E_Suivi_Eans!$D:$D,"Emballages ménagers")</f>
        <v>0</v>
      </c>
      <c r="G13" s="21">
        <f t="shared" si="1"/>
        <v>0</v>
      </c>
      <c r="J13" s="20" t="s">
        <v>5314</v>
      </c>
      <c r="K13" s="20" t="s">
        <v>5326</v>
      </c>
      <c r="L13" s="28" t="e">
        <f t="shared" si="2"/>
        <v>#DIV/0!</v>
      </c>
      <c r="M13" s="28" t="e">
        <f t="shared" si="0"/>
        <v>#DIV/0!</v>
      </c>
      <c r="N13" s="28" t="e">
        <f t="shared" si="0"/>
        <v>#DIV/0!</v>
      </c>
      <c r="O13" s="28">
        <v>1</v>
      </c>
      <c r="P13" s="28" t="e">
        <f t="shared" si="3"/>
        <v>#DIV/0!</v>
      </c>
      <c r="S13" s="20" t="s">
        <v>5314</v>
      </c>
      <c r="T13" s="20" t="s">
        <v>5326</v>
      </c>
      <c r="U13" s="38"/>
      <c r="V13" s="21"/>
      <c r="W13" s="21"/>
      <c r="X13" s="38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COUNTIFS(E_Suivi_Eans!$C:$C,"01/2022",E_Suivi_Eans!$D:$D,"Emballages ménagers",E_Suivi_Eans!$J:$J,"Retour OK",E_Suivi_Eans!$K:$K,"&gt;31/12/2021",E_Suivi_Eans!$K:$K,"&lt;01/12/2022")</f>
        <v>0</v>
      </c>
      <c r="D14" s="21">
        <f>COUNTIFS(E_Suivi_Eans!$C:$C,"01/2022",E_Suivi_Eans!$D:$D,"Emballages ménagers",E_Suivi_Eans!$J:$J,"Rejet 0",E_Suivi_Eans!$K:$K,"&gt;31/12/2021",E_Suivi_Eans!$K:$K,"&lt;01/12/2022")+ COUNTIFS(E_Suivi_Eans!$C:$C,"01/2022",E_Suivi_Eans!$D:$D,"Emballages ménagers",E_Suivi_Eans!$J:$J,"Rejet 1",E_Suivi_Eans!$K:$K,"&gt;31/12/2021",E_Suivi_Eans!$K:$K,"&lt;01/12/2022")+COUNTIFS(E_Suivi_Eans!$C:$C,"01/2022",E_Suivi_Eans!$D:$D,"Emballages ménagers",E_Suivi_Eans!$J:$J,"Rejet 2",E_Suivi_Eans!$K:$K,"&gt;31/12/2021",E_Suivi_Eans!$K:$K,"&lt;01/12/2022")+COUNTIFS(E_Suivi_Eans!$C:$C,"01/2022",E_Suivi_Eans!$D:$D,"Emballages ménagers",E_Suivi_Eans!$J:$J,"Rejet 3",E_Suivi_Eans!$K:$K,"&gt;31/12/2021",E_Suivi_Eans!$K:$K,"&lt;01/12/2022")+ COUNTIFS(E_Suivi_Eans!$C:$C,"01/2022",E_Suivi_Eans!$D:$D,"Emballages ménagers",E_Suivi_Eans!$J:$J,"Rejet 4",E_Suivi_Eans!$K:$K,"&gt;31/12/2021",E_Suivi_Eans!$K:$K,"&lt;01/12/2022")+COUNTIFS(E_Suivi_Eans!$C:$C,"01/2022",E_Suivi_Eans!$D:$D,"Emballages ménagers",E_Suivi_Eans!$J:$J,"Relance 1",E_Suivi_Eans!$K:$K,"&gt;31/12/2021",E_Suivi_Eans!$K:$K,"&lt;01/12/2022")+COUNTIFS(E_Suivi_Eans!$C:$C,"01/2022",E_Suivi_Eans!$D:$D,"Emballages ménagers",E_Suivi_Eans!$J:$J,"Relance 2",E_Suivi_Eans!$K:$K,"&gt;31/12/2021",E_Suivi_Eans!$K:$K,"&lt;01/12/2022")+COUNTIFS(E_Suivi_Eans!$C:$C,"01/2022",E_Suivi_Eans!$D:$D,"Emballages ménagers",E_Suivi_Eans!$J:$J,"Relance 3",E_Suivi_Eans!$K:$K,"&gt;31/12/2021",E_Suivi_Eans!$K:$K,"&lt;01/12/2022")</f>
        <v>0</v>
      </c>
      <c r="E14" s="21">
        <f>COUNTIFS(E_Suivi_Eans!$C:$C,"01/2022",E_Suivi_Eans!$D:$D,"Emballages ménagers",E_Suivi_Eans!$J:$J,"Abandon",E_Suivi_Eans!$K:$K,"&gt;31/12/2021",E_Suivi_Eans!K:K,"&lt;01/12/2022")</f>
        <v>0</v>
      </c>
      <c r="F14" s="21">
        <f>COUNTIFS(E_Suivi_Eans!$C:$C,"01/2022",E_Suivi_Eans!$D:$D,"Emballages ménagers")</f>
        <v>0</v>
      </c>
      <c r="G14" s="21">
        <f t="shared" si="1"/>
        <v>0</v>
      </c>
      <c r="J14" s="20" t="s">
        <v>5314</v>
      </c>
      <c r="K14" s="20" t="s">
        <v>5327</v>
      </c>
      <c r="L14" s="28" t="e">
        <f t="shared" si="2"/>
        <v>#DIV/0!</v>
      </c>
      <c r="M14" s="28" t="e">
        <f t="shared" si="0"/>
        <v>#DIV/0!</v>
      </c>
      <c r="N14" s="28" t="e">
        <f t="shared" si="0"/>
        <v>#DIV/0!</v>
      </c>
      <c r="O14" s="28">
        <v>1</v>
      </c>
      <c r="P14" s="28" t="e">
        <f t="shared" si="3"/>
        <v>#DIV/0!</v>
      </c>
      <c r="S14" s="20" t="s">
        <v>5314</v>
      </c>
      <c r="T14" s="20" t="s">
        <v>5327</v>
      </c>
      <c r="U14" s="38"/>
      <c r="V14" s="21"/>
      <c r="W14" s="21"/>
      <c r="X14" s="38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8"/>
      <c r="P15" s="28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5"/>
      <c r="F16" s="25"/>
      <c r="G16" s="25"/>
      <c r="J16" s="22"/>
      <c r="K16" s="22"/>
      <c r="L16" s="23"/>
      <c r="M16" s="24"/>
      <c r="N16" s="25"/>
      <c r="O16" s="31"/>
      <c r="P16" s="31"/>
      <c r="S16" s="22"/>
      <c r="T16" s="22"/>
      <c r="U16" s="23"/>
      <c r="V16" s="24"/>
      <c r="W16" s="25"/>
      <c r="X16" s="25"/>
      <c r="Y16" s="25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8"/>
      <c r="P17" s="28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COUNTIFS(E_Suivi_Eans!$C:$C,"02/2022",E_Suivi_Eans!$D:$D,"Emballages ménagers",E_Suivi_Eans!$J:$J,"Retour OK",E_Suivi_Eans!$K:$K,"&gt;31/12/2021",E_Suivi_Eans!K:K,"&lt;01/03/2022")</f>
        <v>0</v>
      </c>
      <c r="D18" s="21">
        <f>COUNTIFS(E_Suivi_Eans!$C:$C,"02/2022",E_Suivi_Eans!$D:$D,"Emballages ménagers",E_Suivi_Eans!$J:$J,"Rejet 0",E_Suivi_Eans!$K:$K,"&gt;31/12/2021",E_Suivi_Eans!$K:$K,"&lt;01/03/2022")+ COUNTIFS(E_Suivi_Eans!$C:$C,"02/2022",E_Suivi_Eans!$D:$D,"Emballages ménagers",E_Suivi_Eans!$J:$J,"Rejet 1",E_Suivi_Eans!$K:$K,"&gt;31/12/2021",E_Suivi_Eans!$K:$K,"&lt;01/03/2022")+COUNTIFS(E_Suivi_Eans!$C:$C,"02/2022",E_Suivi_Eans!$D:$D,"Emballages ménagers",E_Suivi_Eans!$J:$J,"Rejet 2",E_Suivi_Eans!$K:$K,"&gt;31/12/2021",E_Suivi_Eans!$K:$K,"&lt;01/03/2022")+COUNTIFS(E_Suivi_Eans!$C:$C,"02/2022",E_Suivi_Eans!$D:$D,"Emballages ménagers",E_Suivi_Eans!$J:$J,"Rejet 3",E_Suivi_Eans!$K:$K,"&gt;31/12/2021",E_Suivi_Eans!$K:$K,"&lt;01/03/2022")+ COUNTIFS(E_Suivi_Eans!$C:$C,"02/2022",E_Suivi_Eans!$D:$D,"Emballages ménagers",E_Suivi_Eans!$J:$J,"Rejet 4",E_Suivi_Eans!$K:$K,"&gt;31/12/2021",E_Suivi_Eans!$K:$K,"&lt;01/03/2022")+COUNTIFS(E_Suivi_Eans!$C:$C,"02/2022",E_Suivi_Eans!$D:$D,"Emballages ménagers",E_Suivi_Eans!$J:$J,"Relance 1",E_Suivi_Eans!$K:$K,"&gt;31/12/2021",E_Suivi_Eans!$K:$K,"&lt;01/03/2022")+COUNTIFS(E_Suivi_Eans!$C:$C,"02/2022",E_Suivi_Eans!$D:$D,"Emballages ménagers",E_Suivi_Eans!$J:$J,"Relance 2",E_Suivi_Eans!$K:$K,"&gt;31/12/2021",E_Suivi_Eans!$K:$K,"&lt;01/03/2022")+COUNTIFS(E_Suivi_Eans!$C:$C,"02/2022",E_Suivi_Eans!$D:$D,"Emballages ménagers",E_Suivi_Eans!$J:$J,"Relance 3",E_Suivi_Eans!$K:$K,"&gt;31/12/2021",E_Suivi_Eans!$K:$K,"&lt;01/03/2022")</f>
        <v>0</v>
      </c>
      <c r="E18" s="21">
        <f>COUNTIFS(E_Suivi_Eans!$C:$C,"02/2022",E_Suivi_Eans!$D:$D,"Emballages ménagers",E_Suivi_Eans!$J:$J,"Abandon",E_Suivi_Eans!$K:$K,"&gt;31/12/2021",E_Suivi_Eans!K:K,"&lt;01/03/2022")</f>
        <v>0</v>
      </c>
      <c r="F18" s="21">
        <f>COUNTIFS(E_Suivi_Eans!$C:$C,"02/2022",E_Suivi_Eans!$D:$D,"Emballages ménagers")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8" t="e">
        <f t="shared" ref="L18:N27" si="5">C18/$G18</f>
        <v>#DIV/0!</v>
      </c>
      <c r="M18" s="28" t="e">
        <f t="shared" si="5"/>
        <v>#DIV/0!</v>
      </c>
      <c r="N18" s="28" t="e">
        <f t="shared" si="5"/>
        <v>#DIV/0!</v>
      </c>
      <c r="O18" s="28">
        <v>1</v>
      </c>
      <c r="P18" s="28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COUNTIFS(E_Suivi_Eans!$C:$C,"02/2022",E_Suivi_Eans!$D:$D,"Emballages ménagers",E_Suivi_Eans!$J:$J,"Retour OK",E_Suivi_Eans!$K:$K,"&gt;31/12/2021",E_Suivi_Eans!K:K,"&lt;01/04/2022")</f>
        <v>0</v>
      </c>
      <c r="D19" s="21">
        <f>COUNTIFS(E_Suivi_Eans!$C:$C,"02/2022",E_Suivi_Eans!$D:$D,"Emballages ménagers",E_Suivi_Eans!$J:$J,"Rejet 0",E_Suivi_Eans!$K:$K,"&gt;31/12/2021",E_Suivi_Eans!$K:$K,"&lt;01/04/2022")+ COUNTIFS(E_Suivi_Eans!$C:$C,"02/2022",E_Suivi_Eans!$D:$D,"Emballages ménagers",E_Suivi_Eans!$J:$J,"Rejet 1",E_Suivi_Eans!$K:$K,"&gt;31/12/2021",E_Suivi_Eans!$K:$K,"&lt;01/04/2022")+COUNTIFS(E_Suivi_Eans!$C:$C,"02/2022",E_Suivi_Eans!$D:$D,"Emballages ménagers",E_Suivi_Eans!$J:$J,"Rejet 2",E_Suivi_Eans!$K:$K,"&gt;31/12/2021",E_Suivi_Eans!$K:$K,"&lt;01/04/2022")+COUNTIFS(E_Suivi_Eans!$C:$C,"02/2022",E_Suivi_Eans!$D:$D,"Emballages ménagers",E_Suivi_Eans!$J:$J,"Rejet 3",E_Suivi_Eans!$K:$K,"&gt;31/12/2021",E_Suivi_Eans!$K:$K,"&lt;01/04/2022")+ COUNTIFS(E_Suivi_Eans!$C:$C,"02/2022",E_Suivi_Eans!$D:$D,"Emballages ménagers",E_Suivi_Eans!$J:$J,"Rejet 4",E_Suivi_Eans!$K:$K,"&gt;31/12/2021",E_Suivi_Eans!$K:$K,"&lt;01/04/2022")+COUNTIFS(E_Suivi_Eans!$C:$C,"02/2022",E_Suivi_Eans!$D:$D,"Emballages ménagers",E_Suivi_Eans!$J:$J,"Relance 1",E_Suivi_Eans!$K:$K,"&gt;31/12/2021",E_Suivi_Eans!$K:$K,"&lt;01/04/2022")+COUNTIFS(E_Suivi_Eans!$C:$C,"02/2022",E_Suivi_Eans!$D:$D,"Emballages ménagers",E_Suivi_Eans!$J:$J,"Relance 2",E_Suivi_Eans!$K:$K,"&gt;31/12/2021",E_Suivi_Eans!$K:$K,"&lt;01/04/2022")+COUNTIFS(E_Suivi_Eans!$C:$C,"02/2022",E_Suivi_Eans!$D:$D,"Emballages ménagers",E_Suivi_Eans!$J:$J,"Relance 3",E_Suivi_Eans!$K:$K,"&gt;31/12/2021",E_Suivi_Eans!$K:$K,"&lt;01/04/2022")</f>
        <v>0</v>
      </c>
      <c r="E19" s="21">
        <f>COUNTIFS(E_Suivi_Eans!$C:$C,"02/2022",E_Suivi_Eans!$D:$D,"Emballages ménagers",E_Suivi_Eans!$J:$J,"Abandon",E_Suivi_Eans!$K:$K,"&gt;31/12/2021",E_Suivi_Eans!K:K,"&lt;01/04/2022")</f>
        <v>0</v>
      </c>
      <c r="F19" s="21">
        <f>COUNTIFS(E_Suivi_Eans!$C:$C,"02/2022",E_Suivi_Eans!$D:$D,"Emballages ménagers")</f>
        <v>0</v>
      </c>
      <c r="G19" s="21">
        <f t="shared" si="4"/>
        <v>0</v>
      </c>
      <c r="J19" s="20" t="s">
        <v>5315</v>
      </c>
      <c r="K19" s="20" t="s">
        <v>5316</v>
      </c>
      <c r="L19" s="28" t="e">
        <f t="shared" si="5"/>
        <v>#DIV/0!</v>
      </c>
      <c r="M19" s="28" t="e">
        <f t="shared" si="5"/>
        <v>#DIV/0!</v>
      </c>
      <c r="N19" s="28" t="e">
        <f t="shared" si="5"/>
        <v>#DIV/0!</v>
      </c>
      <c r="O19" s="28">
        <v>1</v>
      </c>
      <c r="P19" s="28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COUNTIFS(E_Suivi_Eans!$C:$C,"02/2022",E_Suivi_Eans!$D:$D,"Emballages ménagers",E_Suivi_Eans!$J:$J,"Retour OK",E_Suivi_Eans!$K:$K,"&gt;31/12/2021",E_Suivi_Eans!K:K,"&lt;01/05/2022")</f>
        <v>0</v>
      </c>
      <c r="D20" s="21">
        <f>COUNTIFS(E_Suivi_Eans!$C:$C,"02/2022",E_Suivi_Eans!$D:$D,"Emballages ménagers",E_Suivi_Eans!$J:$J,"Rejet 0",E_Suivi_Eans!$K:$K,"&gt;31/12/2021",E_Suivi_Eans!$K:$K,"&lt;01/05/2022")+ COUNTIFS(E_Suivi_Eans!$C:$C,"02/2022",E_Suivi_Eans!$D:$D,"Emballages ménagers",E_Suivi_Eans!$J:$J,"Rejet 1",E_Suivi_Eans!$K:$K,"&gt;31/12/2021",E_Suivi_Eans!$K:$K,"&lt;01/05/2022")+COUNTIFS(E_Suivi_Eans!$C:$C,"02/2022",E_Suivi_Eans!$D:$D,"Emballages ménagers",E_Suivi_Eans!$J:$J,"Rejet 2",E_Suivi_Eans!$K:$K,"&gt;31/12/2021",E_Suivi_Eans!$K:$K,"&lt;01/05/2022")+COUNTIFS(E_Suivi_Eans!$C:$C,"02/2022",E_Suivi_Eans!$D:$D,"Emballages ménagers",E_Suivi_Eans!$J:$J,"Rejet 3",E_Suivi_Eans!$K:$K,"&gt;31/12/2021",E_Suivi_Eans!$K:$K,"&lt;01/05/2022")+ COUNTIFS(E_Suivi_Eans!$C:$C,"02/2022",E_Suivi_Eans!$D:$D,"Emballages ménagers",E_Suivi_Eans!$J:$J,"Rejet 4",E_Suivi_Eans!$K:$K,"&gt;31/12/2021",E_Suivi_Eans!$K:$K,"&lt;01/05/2022")+COUNTIFS(E_Suivi_Eans!$C:$C,"02/2022",E_Suivi_Eans!$D:$D,"Emballages ménagers",E_Suivi_Eans!$J:$J,"Relance 1",E_Suivi_Eans!$K:$K,"&gt;31/12/2021",E_Suivi_Eans!$K:$K,"&lt;01/05/2022")+COUNTIFS(E_Suivi_Eans!$C:$C,"02/2022",E_Suivi_Eans!$D:$D,"Emballages ménagers",E_Suivi_Eans!$J:$J,"Relance 2",E_Suivi_Eans!$K:$K,"&gt;31/12/2021",E_Suivi_Eans!$K:$K,"&lt;01/05/2022")+COUNTIFS(E_Suivi_Eans!$C:$C,"02/2022",E_Suivi_Eans!$D:$D,"Emballages ménagers",E_Suivi_Eans!$J:$J,"Relance 3",E_Suivi_Eans!$K:$K,"&gt;31/12/2021",E_Suivi_Eans!$K:$K,"&lt;01/05/2022")</f>
        <v>0</v>
      </c>
      <c r="E20" s="21">
        <f>COUNTIFS(E_Suivi_Eans!$C:$C,"02/2022",E_Suivi_Eans!$D:$D,"Emballages ménagers",E_Suivi_Eans!$J:$J,"Abandon",E_Suivi_Eans!$K:$K,"&gt;31/12/2021",E_Suivi_Eans!K:K,"&lt;01/05/2022")</f>
        <v>0</v>
      </c>
      <c r="F20" s="21">
        <f>COUNTIFS(E_Suivi_Eans!$C:$C,"02/2022",E_Suivi_Eans!$D:$D,"Emballages ménagers")</f>
        <v>0</v>
      </c>
      <c r="G20" s="21">
        <f t="shared" si="4"/>
        <v>0</v>
      </c>
      <c r="J20" s="20" t="s">
        <v>5315</v>
      </c>
      <c r="K20" s="20" t="s">
        <v>5317</v>
      </c>
      <c r="L20" s="28" t="e">
        <f t="shared" si="5"/>
        <v>#DIV/0!</v>
      </c>
      <c r="M20" s="28" t="e">
        <f t="shared" si="5"/>
        <v>#DIV/0!</v>
      </c>
      <c r="N20" s="28" t="e">
        <f t="shared" si="5"/>
        <v>#DIV/0!</v>
      </c>
      <c r="O20" s="28">
        <v>1</v>
      </c>
      <c r="P20" s="28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COUNTIFS(E_Suivi_Eans!$C:$C,"02/2022",E_Suivi_Eans!$D:$D,"Emballages ménagers",E_Suivi_Eans!$J:$J,"Retour OK",E_Suivi_Eans!$K:$K,"&gt;31/12/2021",E_Suivi_Eans!K:K,"&lt;01/06/2022")</f>
        <v>0</v>
      </c>
      <c r="D21" s="21">
        <f>COUNTIFS(E_Suivi_Eans!$C:$C,"02/2022",E_Suivi_Eans!$D:$D,"Emballages ménagers",E_Suivi_Eans!$J:$J,"Rejet 0",E_Suivi_Eans!$K:$K,"&gt;31/12/2021",E_Suivi_Eans!$K:$K,"&lt;01/06/2022")+ COUNTIFS(E_Suivi_Eans!$C:$C,"02/2022",E_Suivi_Eans!$D:$D,"Emballages ménagers",E_Suivi_Eans!$J:$J,"Rejet 1",E_Suivi_Eans!$K:$K,"&gt;31/12/2021",E_Suivi_Eans!$K:$K,"&lt;01/06/2022")+COUNTIFS(E_Suivi_Eans!$C:$C,"02/2022",E_Suivi_Eans!$D:$D,"Emballages ménagers",E_Suivi_Eans!$J:$J,"Rejet 2",E_Suivi_Eans!$K:$K,"&gt;31/12/2021",E_Suivi_Eans!$K:$K,"&lt;01/06/2022")+COUNTIFS(E_Suivi_Eans!$C:$C,"02/2022",E_Suivi_Eans!$D:$D,"Emballages ménagers",E_Suivi_Eans!$J:$J,"Rejet 3",E_Suivi_Eans!$K:$K,"&gt;31/12/2021",E_Suivi_Eans!$K:$K,"&lt;01/06/2022")+ COUNTIFS(E_Suivi_Eans!$C:$C,"02/2022",E_Suivi_Eans!$D:$D,"Emballages ménagers",E_Suivi_Eans!$J:$J,"Rejet 4",E_Suivi_Eans!$K:$K,"&gt;31/12/2021",E_Suivi_Eans!$K:$K,"&lt;01/06/2022")+COUNTIFS(E_Suivi_Eans!$C:$C,"02/2022",E_Suivi_Eans!$D:$D,"Emballages ménagers",E_Suivi_Eans!$J:$J,"Relance 1",E_Suivi_Eans!$K:$K,"&gt;31/12/2021",E_Suivi_Eans!$K:$K,"&lt;01/06/2022")+COUNTIFS(E_Suivi_Eans!$C:$C,"02/2022",E_Suivi_Eans!$D:$D,"Emballages ménagers",E_Suivi_Eans!$J:$J,"Relance 2",E_Suivi_Eans!$K:$K,"&gt;31/12/2021",E_Suivi_Eans!$K:$K,"&lt;01/06/2022")+COUNTIFS(E_Suivi_Eans!$C:$C,"02/2022",E_Suivi_Eans!$D:$D,"Emballages ménagers",E_Suivi_Eans!$J:$J,"Relance 3",E_Suivi_Eans!$K:$K,"&gt;31/12/2021",E_Suivi_Eans!$K:$K,"&lt;01/06/2022")</f>
        <v>0</v>
      </c>
      <c r="E21" s="21">
        <f>COUNTIFS(E_Suivi_Eans!$C:$C,"02/2022",E_Suivi_Eans!$D:$D,"Emballages ménagers",E_Suivi_Eans!$J:$J,"Abandon",E_Suivi_Eans!$K:$K,"&gt;31/12/2021",E_Suivi_Eans!K:K,"&lt;01/06/2022")</f>
        <v>0</v>
      </c>
      <c r="F21" s="21">
        <f>COUNTIFS(E_Suivi_Eans!$C:$C,"02/2022",E_Suivi_Eans!$D:$D,"Emballages ménagers")</f>
        <v>0</v>
      </c>
      <c r="G21" s="21">
        <f t="shared" si="4"/>
        <v>0</v>
      </c>
      <c r="J21" s="20" t="s">
        <v>5315</v>
      </c>
      <c r="K21" s="20" t="s">
        <v>5318</v>
      </c>
      <c r="L21" s="28" t="e">
        <f t="shared" si="5"/>
        <v>#DIV/0!</v>
      </c>
      <c r="M21" s="28" t="e">
        <f t="shared" si="5"/>
        <v>#DIV/0!</v>
      </c>
      <c r="N21" s="28" t="e">
        <f t="shared" si="5"/>
        <v>#DIV/0!</v>
      </c>
      <c r="O21" s="28">
        <v>1</v>
      </c>
      <c r="P21" s="28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COUNTIFS(E_Suivi_Eans!$C:$C,"02/2022",E_Suivi_Eans!$D:$D,"Emballages ménagers",E_Suivi_Eans!$J:$J,"Retour OK",E_Suivi_Eans!$K:$K,"&gt;31/12/2021",E_Suivi_Eans!K:K,"&lt;01/07/2022")</f>
        <v>0</v>
      </c>
      <c r="D22" s="21">
        <f>COUNTIFS(E_Suivi_Eans!$C:$C,"02/2022",E_Suivi_Eans!$D:$D,"Emballages ménagers",E_Suivi_Eans!$J:$J,"Rejet 0",E_Suivi_Eans!$K:$K,"&gt;31/12/2021",E_Suivi_Eans!$K:$K,"&lt;01/07/2022")+ COUNTIFS(E_Suivi_Eans!$C:$C,"02/2022",E_Suivi_Eans!$D:$D,"Emballages ménagers",E_Suivi_Eans!$J:$J,"Rejet 1",E_Suivi_Eans!$K:$K,"&gt;31/12/2021",E_Suivi_Eans!$K:$K,"&lt;01/07/2022")+COUNTIFS(E_Suivi_Eans!$C:$C,"02/2022",E_Suivi_Eans!$D:$D,"Emballages ménagers",E_Suivi_Eans!$J:$J,"Rejet 2",E_Suivi_Eans!$K:$K,"&gt;31/12/2021",E_Suivi_Eans!$K:$K,"&lt;01/07/2022")+COUNTIFS(E_Suivi_Eans!$C:$C,"02/2022",E_Suivi_Eans!$D:$D,"Emballages ménagers",E_Suivi_Eans!$J:$J,"Rejet 3",E_Suivi_Eans!$K:$K,"&gt;31/12/2021",E_Suivi_Eans!$K:$K,"&lt;01/07/2022")+ COUNTIFS(E_Suivi_Eans!$C:$C,"02/2022",E_Suivi_Eans!$D:$D,"Emballages ménagers",E_Suivi_Eans!$J:$J,"Rejet 4",E_Suivi_Eans!$K:$K,"&gt;31/12/2021",E_Suivi_Eans!$K:$K,"&lt;01/07/2022")+COUNTIFS(E_Suivi_Eans!$C:$C,"02/2022",E_Suivi_Eans!$D:$D,"Emballages ménagers",E_Suivi_Eans!$J:$J,"Relance 1",E_Suivi_Eans!$K:$K,"&gt;31/12/2021",E_Suivi_Eans!$K:$K,"&lt;01/07/2022")+COUNTIFS(E_Suivi_Eans!$C:$C,"02/2022",E_Suivi_Eans!$D:$D,"Emballages ménagers",E_Suivi_Eans!$J:$J,"Relance 2",E_Suivi_Eans!$K:$K,"&gt;31/12/2021",E_Suivi_Eans!$K:$K,"&lt;01/07/2022")+COUNTIFS(E_Suivi_Eans!$C:$C,"02/2022",E_Suivi_Eans!$D:$D,"Emballages ménagers",E_Suivi_Eans!$J:$J,"Relance 3",E_Suivi_Eans!$K:$K,"&gt;31/12/2021",E_Suivi_Eans!$K:$K,"&lt;01/07/2022")</f>
        <v>0</v>
      </c>
      <c r="E22" s="21">
        <f>COUNTIFS(E_Suivi_Eans!$C:$C,"02/2022",E_Suivi_Eans!$D:$D,"Emballages ménagers",E_Suivi_Eans!$J:$J,"Abandon",E_Suivi_Eans!$K:$K,"&gt;31/12/2021",E_Suivi_Eans!K:K,"&lt;01/07/2022")</f>
        <v>0</v>
      </c>
      <c r="F22" s="21">
        <f>COUNTIFS(E_Suivi_Eans!$C:$C,"02/2022",E_Suivi_Eans!$D:$D,"Emballages ménagers")</f>
        <v>0</v>
      </c>
      <c r="G22" s="21">
        <f t="shared" si="4"/>
        <v>0</v>
      </c>
      <c r="J22" s="20" t="s">
        <v>5315</v>
      </c>
      <c r="K22" s="20" t="s">
        <v>5319</v>
      </c>
      <c r="L22" s="28" t="e">
        <f t="shared" si="5"/>
        <v>#DIV/0!</v>
      </c>
      <c r="M22" s="28" t="e">
        <f t="shared" si="5"/>
        <v>#DIV/0!</v>
      </c>
      <c r="N22" s="28" t="e">
        <f t="shared" si="5"/>
        <v>#DIV/0!</v>
      </c>
      <c r="O22" s="28">
        <v>1</v>
      </c>
      <c r="P22" s="28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COUNTIFS(E_Suivi_Eans!$C:$C,"02/2022",E_Suivi_Eans!$D:$D,"Emballages ménagers",E_Suivi_Eans!$J:$J,"Retour OK",E_Suivi_Eans!$K:$K,"&gt;31/12/2021",E_Suivi_Eans!K:K,"&lt;01/08/2022")</f>
        <v>0</v>
      </c>
      <c r="D23" s="21">
        <f>COUNTIFS(E_Suivi_Eans!$C:$C,"02/2022",E_Suivi_Eans!$D:$D,"Emballages ménagers",E_Suivi_Eans!$J:$J,"Rejet 0",E_Suivi_Eans!$K:$K,"&gt;31/12/2021",E_Suivi_Eans!$K:$K,"&lt;01/08/2022")+ COUNTIFS(E_Suivi_Eans!$C:$C,"02/2022",E_Suivi_Eans!$D:$D,"Emballages ménagers",E_Suivi_Eans!$J:$J,"Rejet 1",E_Suivi_Eans!$K:$K,"&gt;31/12/2021",E_Suivi_Eans!$K:$K,"&lt;01/08/2022")+COUNTIFS(E_Suivi_Eans!$C:$C,"02/2022",E_Suivi_Eans!$D:$D,"Emballages ménagers",E_Suivi_Eans!$J:$J,"Rejet 2",E_Suivi_Eans!$K:$K,"&gt;31/12/2021",E_Suivi_Eans!$K:$K,"&lt;01/08/2022")+COUNTIFS(E_Suivi_Eans!$C:$C,"02/2022",E_Suivi_Eans!$D:$D,"Emballages ménagers",E_Suivi_Eans!$J:$J,"Rejet 3",E_Suivi_Eans!$K:$K,"&gt;31/12/2021",E_Suivi_Eans!$K:$K,"&lt;01/08/2022")+ COUNTIFS(E_Suivi_Eans!$C:$C,"02/2022",E_Suivi_Eans!$D:$D,"Emballages ménagers",E_Suivi_Eans!$J:$J,"Rejet 4",E_Suivi_Eans!$K:$K,"&gt;31/12/2021",E_Suivi_Eans!$K:$K,"&lt;01/08/2022")+COUNTIFS(E_Suivi_Eans!$C:$C,"02/2022",E_Suivi_Eans!$D:$D,"Emballages ménagers",E_Suivi_Eans!$J:$J,"Relance 1",E_Suivi_Eans!$K:$K,"&gt;31/12/2021",E_Suivi_Eans!$K:$K,"&lt;01/08/2022")+COUNTIFS(E_Suivi_Eans!$C:$C,"02/2022",E_Suivi_Eans!$D:$D,"Emballages ménagers",E_Suivi_Eans!$J:$J,"Relance 2",E_Suivi_Eans!$K:$K,"&gt;31/12/2021",E_Suivi_Eans!$K:$K,"&lt;01/08/2022")+COUNTIFS(E_Suivi_Eans!$C:$C,"02/2022",E_Suivi_Eans!$D:$D,"Emballages ménagers",E_Suivi_Eans!$J:$J,"Relance 3",E_Suivi_Eans!$K:$K,"&gt;31/12/2021",E_Suivi_Eans!$K:$K,"&lt;01/08/2022")</f>
        <v>0</v>
      </c>
      <c r="E23" s="21">
        <f>COUNTIFS(E_Suivi_Eans!$C:$C,"02/2022",E_Suivi_Eans!$D:$D,"Emballages ménagers",E_Suivi_Eans!$J:$J,"Abandon",E_Suivi_Eans!$K:$K,"&gt;31/12/2021",E_Suivi_Eans!K:K,"&lt;01/08/2022")</f>
        <v>0</v>
      </c>
      <c r="F23" s="21">
        <f>COUNTIFS(E_Suivi_Eans!$C:$C,"02/2022",E_Suivi_Eans!$D:$D,"Emballages ménagers")</f>
        <v>0</v>
      </c>
      <c r="G23" s="21">
        <f t="shared" si="4"/>
        <v>0</v>
      </c>
      <c r="J23" s="20" t="s">
        <v>5315</v>
      </c>
      <c r="K23" s="20" t="s">
        <v>5320</v>
      </c>
      <c r="L23" s="28" t="e">
        <f t="shared" si="5"/>
        <v>#DIV/0!</v>
      </c>
      <c r="M23" s="28" t="e">
        <f t="shared" si="5"/>
        <v>#DIV/0!</v>
      </c>
      <c r="N23" s="28" t="e">
        <f t="shared" si="5"/>
        <v>#DIV/0!</v>
      </c>
      <c r="O23" s="28">
        <v>1</v>
      </c>
      <c r="P23" s="28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7"/>
    </row>
    <row r="24" spans="1:27">
      <c r="A24" s="20" t="s">
        <v>5315</v>
      </c>
      <c r="B24" s="20" t="s">
        <v>5321</v>
      </c>
      <c r="C24" s="21">
        <f>COUNTIFS(E_Suivi_Eans!$C:$C,"02/2022",E_Suivi_Eans!$D:$D,"Emballages ménagers",E_Suivi_Eans!$J:$J,"Retour OK",E_Suivi_Eans!$K:$K,"&gt;31/12/2021",E_Suivi_Eans!K:K,"&lt;01/09/2022")</f>
        <v>0</v>
      </c>
      <c r="D24" s="21">
        <f>COUNTIFS(E_Suivi_Eans!$C:$C,"02/2022",E_Suivi_Eans!$D:$D,"Emballages ménagers",E_Suivi_Eans!$J:$J,"Rejet 0",E_Suivi_Eans!$K:$K,"&gt;31/12/2021",E_Suivi_Eans!$K:$K,"&lt;01/09/2022")+ COUNTIFS(E_Suivi_Eans!$C:$C,"02/2022",E_Suivi_Eans!$D:$D,"Emballages ménagers",E_Suivi_Eans!$J:$J,"Rejet 1",E_Suivi_Eans!$K:$K,"&gt;31/12/2021",E_Suivi_Eans!$K:$K,"&lt;01/09/2022")+COUNTIFS(E_Suivi_Eans!$C:$C,"02/2022",E_Suivi_Eans!$D:$D,"Emballages ménagers",E_Suivi_Eans!$J:$J,"Rejet 2",E_Suivi_Eans!$K:$K,"&gt;31/12/2021",E_Suivi_Eans!$K:$K,"&lt;01/09/2022")+COUNTIFS(E_Suivi_Eans!$C:$C,"02/2022",E_Suivi_Eans!$D:$D,"Emballages ménagers",E_Suivi_Eans!$J:$J,"Rejet 3",E_Suivi_Eans!$K:$K,"&gt;31/12/2021",E_Suivi_Eans!$K:$K,"&lt;01/09/2022")+ COUNTIFS(E_Suivi_Eans!$C:$C,"02/2022",E_Suivi_Eans!$D:$D,"Emballages ménagers",E_Suivi_Eans!$J:$J,"Rejet 4",E_Suivi_Eans!$K:$K,"&gt;31/12/2021",E_Suivi_Eans!$K:$K,"&lt;01/09/2022")+COUNTIFS(E_Suivi_Eans!$C:$C,"02/2022",E_Suivi_Eans!$D:$D,"Emballages ménagers",E_Suivi_Eans!$J:$J,"Relance 1",E_Suivi_Eans!$K:$K,"&gt;31/12/2021",E_Suivi_Eans!$K:$K,"&lt;01/09/2022")+COUNTIFS(E_Suivi_Eans!$C:$C,"02/2022",E_Suivi_Eans!$D:$D,"Emballages ménagers",E_Suivi_Eans!$J:$J,"Relance 2",E_Suivi_Eans!$K:$K,"&gt;31/12/2021",E_Suivi_Eans!$K:$K,"&lt;01/09/2022")+COUNTIFS(E_Suivi_Eans!$C:$C,"02/2022",E_Suivi_Eans!$D:$D,"Emballages ménagers",E_Suivi_Eans!$J:$J,"Relance 3",E_Suivi_Eans!$K:$K,"&gt;31/12/2021",E_Suivi_Eans!$K:$K,"&lt;01/09/2022")</f>
        <v>0</v>
      </c>
      <c r="E24" s="21">
        <f>COUNTIFS(E_Suivi_Eans!$C:$C,"02/2022",E_Suivi_Eans!$D:$D,"Emballages ménagers",E_Suivi_Eans!$J:$J,"Abandon",E_Suivi_Eans!$K:$K,"&gt;31/12/2021",E_Suivi_Eans!K:K,"&lt;01/09/2022")</f>
        <v>0</v>
      </c>
      <c r="F24" s="21">
        <f>COUNTIFS(E_Suivi_Eans!$C:$C,"02/2022",E_Suivi_Eans!$D:$D,"Emballages ménagers")</f>
        <v>0</v>
      </c>
      <c r="G24" s="21">
        <f t="shared" si="4"/>
        <v>0</v>
      </c>
      <c r="J24" s="20" t="s">
        <v>5315</v>
      </c>
      <c r="K24" s="20" t="s">
        <v>5321</v>
      </c>
      <c r="L24" s="28" t="e">
        <f t="shared" si="5"/>
        <v>#DIV/0!</v>
      </c>
      <c r="M24" s="28" t="e">
        <f t="shared" si="5"/>
        <v>#DIV/0!</v>
      </c>
      <c r="N24" s="28" t="e">
        <f t="shared" si="5"/>
        <v>#DIV/0!</v>
      </c>
      <c r="O24" s="28">
        <v>1</v>
      </c>
      <c r="P24" s="28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COUNTIFS(E_Suivi_Eans!$C:$C,"02/2022",E_Suivi_Eans!$D:$D,"Emballages ménagers",E_Suivi_Eans!$J:$J,"Retour OK",E_Suivi_Eans!$K:$K,"&gt;31/12/2021",E_Suivi_Eans!K:K,"&lt;01/10/2022")</f>
        <v>0</v>
      </c>
      <c r="D25" s="21">
        <f>COUNTIFS(E_Suivi_Eans!$C:$C,"02/2022",E_Suivi_Eans!$D:$D,"Emballages ménagers",E_Suivi_Eans!$J:$J,"Rejet 0",E_Suivi_Eans!$K:$K,"&gt;31/12/2021",E_Suivi_Eans!$K:$K,"&lt;01/10/2022")+ COUNTIFS(E_Suivi_Eans!$C:$C,"02/2022",E_Suivi_Eans!$D:$D,"Emballages ménagers",E_Suivi_Eans!$J:$J,"Rejet 1",E_Suivi_Eans!$K:$K,"&gt;31/12/2021",E_Suivi_Eans!$K:$K,"&lt;01/10/2022")+COUNTIFS(E_Suivi_Eans!$C:$C,"02/2022",E_Suivi_Eans!$D:$D,"Emballages ménagers",E_Suivi_Eans!$J:$J,"Rejet 2",E_Suivi_Eans!$K:$K,"&gt;31/12/2021",E_Suivi_Eans!$K:$K,"&lt;01/10/2022")+COUNTIFS(E_Suivi_Eans!$C:$C,"02/2022",E_Suivi_Eans!$D:$D,"Emballages ménagers",E_Suivi_Eans!$J:$J,"Rejet 3",E_Suivi_Eans!$K:$K,"&gt;31/12/2021",E_Suivi_Eans!$K:$K,"&lt;01/10/2022")+ COUNTIFS(E_Suivi_Eans!$C:$C,"02/2022",E_Suivi_Eans!$D:$D,"Emballages ménagers",E_Suivi_Eans!$J:$J,"Rejet 4",E_Suivi_Eans!$K:$K,"&gt;31/12/2021",E_Suivi_Eans!$K:$K,"&lt;01/10/2022")+COUNTIFS(E_Suivi_Eans!$C:$C,"02/2022",E_Suivi_Eans!$D:$D,"Emballages ménagers",E_Suivi_Eans!$J:$J,"Relance 1",E_Suivi_Eans!$K:$K,"&gt;31/12/2021",E_Suivi_Eans!$K:$K,"&lt;01/10/2022")+COUNTIFS(E_Suivi_Eans!$C:$C,"02/2022",E_Suivi_Eans!$D:$D,"Emballages ménagers",E_Suivi_Eans!$J:$J,"Relance 2",E_Suivi_Eans!$K:$K,"&gt;31/12/2021",E_Suivi_Eans!$K:$K,"&lt;01/10/2022")+COUNTIFS(E_Suivi_Eans!$C:$C,"02/2022",E_Suivi_Eans!$D:$D,"Emballages ménagers",E_Suivi_Eans!$J:$J,"Relance 3",E_Suivi_Eans!$K:$K,"&gt;31/12/2021",E_Suivi_Eans!$K:$K,"&lt;01/10/2022")</f>
        <v>0</v>
      </c>
      <c r="E25" s="21">
        <f>COUNTIFS(E_Suivi_Eans!$C:$C,"02/2022",E_Suivi_Eans!$D:$D,"Emballages ménagers",E_Suivi_Eans!$J:$J,"Abandon",E_Suivi_Eans!$K:$K,"&gt;31/12/2021",E_Suivi_Eans!K:K,"&lt;01/10/2022")</f>
        <v>0</v>
      </c>
      <c r="F25" s="21">
        <f>COUNTIFS(E_Suivi_Eans!$C:$C,"02/2022",E_Suivi_Eans!$D:$D,"Emballages ménagers")</f>
        <v>0</v>
      </c>
      <c r="G25" s="21">
        <f t="shared" si="4"/>
        <v>0</v>
      </c>
      <c r="J25" s="20" t="s">
        <v>5315</v>
      </c>
      <c r="K25" s="20" t="s">
        <v>5325</v>
      </c>
      <c r="L25" s="28" t="e">
        <f t="shared" si="5"/>
        <v>#DIV/0!</v>
      </c>
      <c r="M25" s="28" t="e">
        <f t="shared" si="5"/>
        <v>#DIV/0!</v>
      </c>
      <c r="N25" s="28" t="e">
        <f t="shared" si="5"/>
        <v>#DIV/0!</v>
      </c>
      <c r="O25" s="28">
        <v>1</v>
      </c>
      <c r="P25" s="28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COUNTIFS(E_Suivi_Eans!$C:$C,"02/2022",E_Suivi_Eans!$D:$D,"Emballages ménagers",E_Suivi_Eans!$J:$J,"Retour OK",E_Suivi_Eans!$K:$K,"&gt;31/12/2021",E_Suivi_Eans!K:K,"&lt;01/11/2022")</f>
        <v>0</v>
      </c>
      <c r="D26" s="21">
        <f>COUNTIFS(E_Suivi_Eans!$C:$C,"02/2022",E_Suivi_Eans!$D:$D,"Emballages ménagers",E_Suivi_Eans!$J:$J,"Rejet 0",E_Suivi_Eans!$K:$K,"&gt;31/12/2021",E_Suivi_Eans!$K:$K,"&lt;01/11/2022")+ COUNTIFS(E_Suivi_Eans!$C:$C,"02/2022",E_Suivi_Eans!$D:$D,"Emballages ménagers",E_Suivi_Eans!$J:$J,"Rejet 1",E_Suivi_Eans!$K:$K,"&gt;31/12/2021",E_Suivi_Eans!$K:$K,"&lt;01/11/2022")+COUNTIFS(E_Suivi_Eans!$C:$C,"02/2022",E_Suivi_Eans!$D:$D,"Emballages ménagers",E_Suivi_Eans!$J:$J,"Rejet 2",E_Suivi_Eans!$K:$K,"&gt;31/12/2021",E_Suivi_Eans!$K:$K,"&lt;01/11/2022")+COUNTIFS(E_Suivi_Eans!$C:$C,"02/2022",E_Suivi_Eans!$D:$D,"Emballages ménagers",E_Suivi_Eans!$J:$J,"Rejet 3",E_Suivi_Eans!$K:$K,"&gt;31/12/2021",E_Suivi_Eans!$K:$K,"&lt;01/11/2022")+ COUNTIFS(E_Suivi_Eans!$C:$C,"02/2022",E_Suivi_Eans!$D:$D,"Emballages ménagers",E_Suivi_Eans!$J:$J,"Rejet 4",E_Suivi_Eans!$K:$K,"&gt;31/12/2021",E_Suivi_Eans!$K:$K,"&lt;01/11/2022")+COUNTIFS(E_Suivi_Eans!$C:$C,"02/2022",E_Suivi_Eans!$D:$D,"Emballages ménagers",E_Suivi_Eans!$J:$J,"Relance 1",E_Suivi_Eans!$K:$K,"&gt;31/12/2021",E_Suivi_Eans!$K:$K,"&lt;01/11/2022")+COUNTIFS(E_Suivi_Eans!$C:$C,"02/2022",E_Suivi_Eans!$D:$D,"Emballages ménagers",E_Suivi_Eans!$J:$J,"Relance 2",E_Suivi_Eans!$K:$K,"&gt;31/12/2021",E_Suivi_Eans!$K:$K,"&lt;01/11/2022")+COUNTIFS(E_Suivi_Eans!$C:$C,"02/2022",E_Suivi_Eans!$D:$D,"Emballages ménagers",E_Suivi_Eans!$J:$J,"Relance 3",E_Suivi_Eans!$K:$K,"&gt;31/12/2021",E_Suivi_Eans!$K:$K,"&lt;01/11/2022")</f>
        <v>0</v>
      </c>
      <c r="E26" s="21">
        <f>COUNTIFS(E_Suivi_Eans!$C:$C,"02/2022",E_Suivi_Eans!$D:$D,"Emballages ménagers",E_Suivi_Eans!$J:$J,"Abandon",E_Suivi_Eans!$K:$K,"&gt;31/12/2021",E_Suivi_Eans!K:K,"&lt;01/11/2022")</f>
        <v>0</v>
      </c>
      <c r="F26" s="21">
        <f>COUNTIFS(E_Suivi_Eans!$C:$C,"02/2022",E_Suivi_Eans!$D:$D,"Emballages ménagers")</f>
        <v>0</v>
      </c>
      <c r="G26" s="21">
        <f t="shared" si="4"/>
        <v>0</v>
      </c>
      <c r="J26" s="20" t="s">
        <v>5315</v>
      </c>
      <c r="K26" s="20" t="s">
        <v>5326</v>
      </c>
      <c r="L26" s="28" t="e">
        <f t="shared" si="5"/>
        <v>#DIV/0!</v>
      </c>
      <c r="M26" s="28" t="e">
        <f t="shared" si="5"/>
        <v>#DIV/0!</v>
      </c>
      <c r="N26" s="28" t="e">
        <f t="shared" si="5"/>
        <v>#DIV/0!</v>
      </c>
      <c r="O26" s="28">
        <v>1</v>
      </c>
      <c r="P26" s="28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COUNTIFS(E_Suivi_Eans!$C:$C,"02/2022",E_Suivi_Eans!$D:$D,"Emballages ménagers",E_Suivi_Eans!$J:$J,"Retour OK",E_Suivi_Eans!$K:$K,"&gt;31/12/2021",E_Suivi_Eans!K:K,"&lt;01/12/2022")</f>
        <v>0</v>
      </c>
      <c r="D27" s="21">
        <f>COUNTIFS(E_Suivi_Eans!$C:$C,"02/2022",E_Suivi_Eans!$D:$D,"Emballages ménagers",E_Suivi_Eans!$J:$J,"Rejet 0",E_Suivi_Eans!$K:$K,"&gt;31/12/2021",E_Suivi_Eans!$K:$K,"&lt;01/12/2022")+ COUNTIFS(E_Suivi_Eans!$C:$C,"02/2022",E_Suivi_Eans!$D:$D,"Emballages ménagers",E_Suivi_Eans!$J:$J,"Rejet 1",E_Suivi_Eans!$K:$K,"&gt;31/12/2021",E_Suivi_Eans!$K:$K,"&lt;01/12/2022")+COUNTIFS(E_Suivi_Eans!$C:$C,"02/2022",E_Suivi_Eans!$D:$D,"Emballages ménagers",E_Suivi_Eans!$J:$J,"Rejet 2",E_Suivi_Eans!$K:$K,"&gt;31/12/2021",E_Suivi_Eans!$K:$K,"&lt;01/12/2022")+COUNTIFS(E_Suivi_Eans!$C:$C,"02/2022",E_Suivi_Eans!$D:$D,"Emballages ménagers",E_Suivi_Eans!$J:$J,"Rejet 3",E_Suivi_Eans!$K:$K,"&gt;31/12/2021",E_Suivi_Eans!$K:$K,"&lt;01/12/2022")+ COUNTIFS(E_Suivi_Eans!$C:$C,"02/2022",E_Suivi_Eans!$D:$D,"Emballages ménagers",E_Suivi_Eans!$J:$J,"Rejet 4",E_Suivi_Eans!$K:$K,"&gt;31/12/2021",E_Suivi_Eans!$K:$K,"&lt;01/12/2022")+COUNTIFS(E_Suivi_Eans!$C:$C,"02/2022",E_Suivi_Eans!$D:$D,"Emballages ménagers",E_Suivi_Eans!$J:$J,"Relance 1",E_Suivi_Eans!$K:$K,"&gt;31/12/2021",E_Suivi_Eans!$K:$K,"&lt;01/12/2022")+COUNTIFS(E_Suivi_Eans!$C:$C,"02/2022",E_Suivi_Eans!$D:$D,"Emballages ménagers",E_Suivi_Eans!$J:$J,"Relance 2",E_Suivi_Eans!$K:$K,"&gt;31/12/2021",E_Suivi_Eans!$K:$K,"&lt;01/12/2022")+COUNTIFS(E_Suivi_Eans!$C:$C,"02/2022",E_Suivi_Eans!$D:$D,"Emballages ménagers",E_Suivi_Eans!$J:$J,"Relance 3",E_Suivi_Eans!$K:$K,"&gt;31/12/2021",E_Suivi_Eans!$K:$K,"&lt;01/12/2022")</f>
        <v>0</v>
      </c>
      <c r="E27" s="21">
        <f>COUNTIFS(E_Suivi_Eans!$C:$C,"02/2022",E_Suivi_Eans!$D:$D,"Emballages ménagers",E_Suivi_Eans!$J:$J,"Abandon",E_Suivi_Eans!$K:$K,"&gt;31/12/2021",E_Suivi_Eans!K:K,"&lt;01/12/2022")</f>
        <v>0</v>
      </c>
      <c r="F27" s="21">
        <f>COUNTIFS(E_Suivi_Eans!$C:$C,"02/2022",E_Suivi_Eans!$D:$D,"Emballages ménagers")</f>
        <v>0</v>
      </c>
      <c r="G27" s="21">
        <f t="shared" si="4"/>
        <v>0</v>
      </c>
      <c r="J27" s="20" t="s">
        <v>5315</v>
      </c>
      <c r="K27" s="20" t="s">
        <v>5327</v>
      </c>
      <c r="L27" s="28" t="e">
        <f t="shared" si="5"/>
        <v>#DIV/0!</v>
      </c>
      <c r="M27" s="28" t="e">
        <f t="shared" si="5"/>
        <v>#DIV/0!</v>
      </c>
      <c r="N27" s="28" t="e">
        <f t="shared" si="5"/>
        <v>#DIV/0!</v>
      </c>
      <c r="O27" s="28">
        <v>1</v>
      </c>
      <c r="P27" s="28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8"/>
      <c r="P28" s="28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5"/>
      <c r="F29" s="25"/>
      <c r="G29" s="25"/>
      <c r="J29" s="22"/>
      <c r="K29" s="22"/>
      <c r="L29" s="23"/>
      <c r="M29" s="24"/>
      <c r="N29" s="25"/>
      <c r="O29" s="31"/>
      <c r="P29" s="31"/>
      <c r="S29" s="22"/>
      <c r="T29" s="22"/>
      <c r="U29" s="23"/>
      <c r="V29" s="24"/>
      <c r="W29" s="25"/>
      <c r="X29" s="25"/>
      <c r="Y29" s="25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8"/>
      <c r="P30" s="28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8"/>
      <c r="P31" s="28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COUNTIFS(E_Suivi_Eans!$C:$C,"03/2022",E_Suivi_Eans!$D:$D,"Emballages ménagers",E_Suivi_Eans!$J:$J,"Retour OK",E_Suivi_Eans!$K:$K,"&gt;31/12/2021",E_Suivi_Eans!K:K,"&lt;01/04/2022")</f>
        <v>0</v>
      </c>
      <c r="D32" s="21">
        <f>COUNTIFS(E_Suivi_Eans!$C:$C,"03/2022",E_Suivi_Eans!$D:$D,"Emballages ménagers",E_Suivi_Eans!$J:$J,"Rejet 0",E_Suivi_Eans!$K:$K,"&gt;31/12/2021",E_Suivi_Eans!$K:$K,"&lt;01/04/2022")+ COUNTIFS(E_Suivi_Eans!$C:$C,"03/2022",E_Suivi_Eans!$D:$D,"Emballages ménagers",E_Suivi_Eans!$J:$J,"Rejet 1",E_Suivi_Eans!$K:$K,"&gt;31/12/2021",E_Suivi_Eans!$K:$K,"&lt;01/04/2022")+COUNTIFS(E_Suivi_Eans!$C:$C,"03/2022",E_Suivi_Eans!$D:$D,"Emballages ménagers",E_Suivi_Eans!$J:$J,"Rejet 2",E_Suivi_Eans!$K:$K,"&gt;31/12/2021",E_Suivi_Eans!$K:$K,"&lt;01/04/2022")+COUNTIFS(E_Suivi_Eans!$C:$C,"03/2022",E_Suivi_Eans!$D:$D,"Emballages ménagers",E_Suivi_Eans!$J:$J,"Rejet 3",E_Suivi_Eans!$K:$K,"&gt;31/12/2021",E_Suivi_Eans!$K:$K,"&lt;01/04/2022")+ COUNTIFS(E_Suivi_Eans!$C:$C,"03/2022",E_Suivi_Eans!$D:$D,"Emballages ménagers",E_Suivi_Eans!$J:$J,"Rejet 4",E_Suivi_Eans!$K:$K,"&gt;31/12/2021",E_Suivi_Eans!$K:$K,"&lt;01/04/2022")+COUNTIFS(E_Suivi_Eans!$C:$C,"03/2022",E_Suivi_Eans!$D:$D,"Emballages ménagers",E_Suivi_Eans!$J:$J,"Relance 1",E_Suivi_Eans!$K:$K,"&gt;31/12/2021",E_Suivi_Eans!$K:$K,"&lt;01/04/2022")+COUNTIFS(E_Suivi_Eans!$C:$C,"03/2022",E_Suivi_Eans!$D:$D,"Emballages ménagers",E_Suivi_Eans!$J:$J,"Relance 2",E_Suivi_Eans!$K:$K,"&gt;31/12/2021",E_Suivi_Eans!$K:$K,"&lt;01/04/2022")+COUNTIFS(E_Suivi_Eans!$C:$C,"03/2022",E_Suivi_Eans!$D:$D,"Emballages ménagers",E_Suivi_Eans!$J:$J,"Relance 3",E_Suivi_Eans!$K:$K,"&gt;31/12/2021",E_Suivi_Eans!$K:$K,"&lt;01/04/2022")</f>
        <v>0</v>
      </c>
      <c r="E32" s="21">
        <f>COUNTIFS(E_Suivi_Eans!$C:$C,"03/2022",E_Suivi_Eans!$D:$D,"Emballages ménagers",E_Suivi_Eans!$J:$J,"Abandon",E_Suivi_Eans!$K:$K,"&gt;31/12/2021",E_Suivi_Eans!K:K,"&lt;01/04/2022")</f>
        <v>0</v>
      </c>
      <c r="F32" s="21">
        <f>COUNTIFS(E_Suivi_Eans!$C:$C,"03/2022",E_Suivi_Eans!$D:$D,"Emballages ménagers")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8" t="e">
        <f t="shared" ref="L32:N40" si="7">C32/$G32</f>
        <v>#DIV/0!</v>
      </c>
      <c r="M32" s="28" t="e">
        <f t="shared" si="7"/>
        <v>#DIV/0!</v>
      </c>
      <c r="N32" s="28" t="e">
        <f t="shared" si="7"/>
        <v>#DIV/0!</v>
      </c>
      <c r="O32" s="28">
        <v>1</v>
      </c>
      <c r="P32" s="28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COUNTIFS(E_Suivi_Eans!$C:$C,"03/2022",E_Suivi_Eans!$D:$D,"Emballages ménagers",E_Suivi_Eans!$J:$J,"Retour OK",E_Suivi_Eans!$K:$K,"&gt;31/12/2021",E_Suivi_Eans!K:K,"&lt;01/05/2022")</f>
        <v>0</v>
      </c>
      <c r="D33" s="21">
        <f>COUNTIFS(E_Suivi_Eans!$C:$C,"03/2022",E_Suivi_Eans!$D:$D,"Emballages ménagers",E_Suivi_Eans!$J:$J,"Rejet 0",E_Suivi_Eans!$K:$K,"&gt;31/12/2021",E_Suivi_Eans!$K:$K,"&lt;01/05/2022")+ COUNTIFS(E_Suivi_Eans!$C:$C,"03/2022",E_Suivi_Eans!$D:$D,"Emballages ménagers",E_Suivi_Eans!$J:$J,"Rejet 1",E_Suivi_Eans!$K:$K,"&gt;31/12/2021",E_Suivi_Eans!$K:$K,"&lt;01/05/2022")+COUNTIFS(E_Suivi_Eans!$C:$C,"03/2022",E_Suivi_Eans!$D:$D,"Emballages ménagers",E_Suivi_Eans!$J:$J,"Rejet 2",E_Suivi_Eans!$K:$K,"&gt;31/12/2021",E_Suivi_Eans!$K:$K,"&lt;01/05/2022")+COUNTIFS(E_Suivi_Eans!$C:$C,"03/2022",E_Suivi_Eans!$D:$D,"Emballages ménagers",E_Suivi_Eans!$J:$J,"Rejet 3",E_Suivi_Eans!$K:$K,"&gt;31/12/2021",E_Suivi_Eans!$K:$K,"&lt;01/05/2022")+ COUNTIFS(E_Suivi_Eans!$C:$C,"03/2022",E_Suivi_Eans!$D:$D,"Emballages ménagers",E_Suivi_Eans!$J:$J,"Rejet 4",E_Suivi_Eans!$K:$K,"&gt;31/12/2021",E_Suivi_Eans!$K:$K,"&lt;01/05/2022")+COUNTIFS(E_Suivi_Eans!$C:$C,"03/2022",E_Suivi_Eans!$D:$D,"Emballages ménagers",E_Suivi_Eans!$J:$J,"Relance 1",E_Suivi_Eans!$K:$K,"&gt;31/12/2021",E_Suivi_Eans!$K:$K,"&lt;01/05/2022")+COUNTIFS(E_Suivi_Eans!$C:$C,"03/2022",E_Suivi_Eans!$D:$D,"Emballages ménagers",E_Suivi_Eans!$J:$J,"Relance 2",E_Suivi_Eans!$K:$K,"&gt;31/12/2021",E_Suivi_Eans!$K:$K,"&lt;01/05/2022")+COUNTIFS(E_Suivi_Eans!$C:$C,"03/2022",E_Suivi_Eans!$D:$D,"Emballages ménagers",E_Suivi_Eans!$J:$J,"Relance 3",E_Suivi_Eans!$K:$K,"&gt;31/12/2021",E_Suivi_Eans!$K:$K,"&lt;01/05/2022")</f>
        <v>0</v>
      </c>
      <c r="E33" s="21">
        <f>COUNTIFS(E_Suivi_Eans!$C:$C,"03/2022",E_Suivi_Eans!$D:$D,"Emballages ménagers",E_Suivi_Eans!$J:$J,"Abandon",E_Suivi_Eans!$K:$K,"&gt;31/12/2021",E_Suivi_Eans!K:K,"&lt;01/05/2022")</f>
        <v>0</v>
      </c>
      <c r="F33" s="21">
        <f>COUNTIFS(E_Suivi_Eans!$C:$C,"03/2022",E_Suivi_Eans!$D:$D,"Emballages ménagers")</f>
        <v>0</v>
      </c>
      <c r="G33" s="21">
        <f t="shared" si="6"/>
        <v>0</v>
      </c>
      <c r="J33" s="20" t="s">
        <v>5316</v>
      </c>
      <c r="K33" s="20" t="s">
        <v>5317</v>
      </c>
      <c r="L33" s="28" t="e">
        <f t="shared" si="7"/>
        <v>#DIV/0!</v>
      </c>
      <c r="M33" s="28" t="e">
        <f t="shared" si="7"/>
        <v>#DIV/0!</v>
      </c>
      <c r="N33" s="28" t="e">
        <f t="shared" si="7"/>
        <v>#DIV/0!</v>
      </c>
      <c r="O33" s="28">
        <v>1</v>
      </c>
      <c r="P33" s="28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COUNTIFS(E_Suivi_Eans!$C:$C,"03/2022",E_Suivi_Eans!$D:$D,"Emballages ménagers",E_Suivi_Eans!$J:$J,"Retour OK",E_Suivi_Eans!$K:$K,"&gt;31/12/2021",E_Suivi_Eans!K:K,"&lt;01/06/2022")</f>
        <v>0</v>
      </c>
      <c r="D34" s="21">
        <f>COUNTIFS(E_Suivi_Eans!$C:$C,"03/2022",E_Suivi_Eans!$D:$D,"Emballages ménagers",E_Suivi_Eans!$J:$J,"Rejet 0",E_Suivi_Eans!$K:$K,"&gt;31/12/2021",E_Suivi_Eans!$K:$K,"&lt;01/06/2022")+ COUNTIFS(E_Suivi_Eans!$C:$C,"03/2022",E_Suivi_Eans!$D:$D,"Emballages ménagers",E_Suivi_Eans!$J:$J,"Rejet 1",E_Suivi_Eans!$K:$K,"&gt;31/12/2021",E_Suivi_Eans!$K:$K,"&lt;01/06/2022")+COUNTIFS(E_Suivi_Eans!$C:$C,"03/2022",E_Suivi_Eans!$D:$D,"Emballages ménagers",E_Suivi_Eans!$J:$J,"Rejet 2",E_Suivi_Eans!$K:$K,"&gt;31/12/2021",E_Suivi_Eans!$K:$K,"&lt;01/06/2022")+COUNTIFS(E_Suivi_Eans!$C:$C,"03/2022",E_Suivi_Eans!$D:$D,"Emballages ménagers",E_Suivi_Eans!$J:$J,"Rejet 3",E_Suivi_Eans!$K:$K,"&gt;31/12/2021",E_Suivi_Eans!$K:$K,"&lt;01/06/2022")+ COUNTIFS(E_Suivi_Eans!$C:$C,"03/2022",E_Suivi_Eans!$D:$D,"Emballages ménagers",E_Suivi_Eans!$J:$J,"Rejet 4",E_Suivi_Eans!$K:$K,"&gt;31/12/2021",E_Suivi_Eans!$K:$K,"&lt;01/06/2022")+COUNTIFS(E_Suivi_Eans!$C:$C,"03/2022",E_Suivi_Eans!$D:$D,"Emballages ménagers",E_Suivi_Eans!$J:$J,"Relance 1",E_Suivi_Eans!$K:$K,"&gt;31/12/2021",E_Suivi_Eans!$K:$K,"&lt;01/06/2022")+COUNTIFS(E_Suivi_Eans!$C:$C,"03/2022",E_Suivi_Eans!$D:$D,"Emballages ménagers",E_Suivi_Eans!$J:$J,"Relance 2",E_Suivi_Eans!$K:$K,"&gt;31/12/2021",E_Suivi_Eans!$K:$K,"&lt;01/06/2022")+COUNTIFS(E_Suivi_Eans!$C:$C,"03/2022",E_Suivi_Eans!$D:$D,"Emballages ménagers",E_Suivi_Eans!$J:$J,"Relance 3",E_Suivi_Eans!$K:$K,"&gt;31/12/2021",E_Suivi_Eans!$K:$K,"&lt;01/06/2022")</f>
        <v>0</v>
      </c>
      <c r="E34" s="21">
        <f>COUNTIFS(E_Suivi_Eans!$C:$C,"03/2022",E_Suivi_Eans!$D:$D,"Emballages ménagers",E_Suivi_Eans!$J:$J,"Abandon",E_Suivi_Eans!$K:$K,"&gt;31/12/2021",E_Suivi_Eans!K:K,"&lt;01/06/2022")</f>
        <v>0</v>
      </c>
      <c r="F34" s="21">
        <f>COUNTIFS(E_Suivi_Eans!$C:$C,"03/2022",E_Suivi_Eans!$D:$D,"Emballages ménagers")</f>
        <v>0</v>
      </c>
      <c r="G34" s="21">
        <f t="shared" si="6"/>
        <v>0</v>
      </c>
      <c r="J34" s="20" t="s">
        <v>5316</v>
      </c>
      <c r="K34" s="20" t="s">
        <v>5318</v>
      </c>
      <c r="L34" s="28" t="e">
        <f t="shared" si="7"/>
        <v>#DIV/0!</v>
      </c>
      <c r="M34" s="28" t="e">
        <f t="shared" si="7"/>
        <v>#DIV/0!</v>
      </c>
      <c r="N34" s="28" t="e">
        <f t="shared" si="7"/>
        <v>#DIV/0!</v>
      </c>
      <c r="O34" s="28">
        <v>1</v>
      </c>
      <c r="P34" s="28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COUNTIFS(E_Suivi_Eans!$C:$C,"03/2022",E_Suivi_Eans!$D:$D,"Emballages ménagers",E_Suivi_Eans!$J:$J,"Retour OK",E_Suivi_Eans!$K:$K,"&gt;31/12/2021",E_Suivi_Eans!K:K,"&lt;01/07/2022")</f>
        <v>0</v>
      </c>
      <c r="D35" s="21">
        <f>COUNTIFS(E_Suivi_Eans!$C:$C,"03/2022",E_Suivi_Eans!$D:$D,"Emballages ménagers",E_Suivi_Eans!$J:$J,"Rejet 0",E_Suivi_Eans!$K:$K,"&gt;31/12/2021",E_Suivi_Eans!$K:$K,"&lt;01/07/2022")+ COUNTIFS(E_Suivi_Eans!$C:$C,"03/2022",E_Suivi_Eans!$D:$D,"Emballages ménagers",E_Suivi_Eans!$J:$J,"Rejet 1",E_Suivi_Eans!$K:$K,"&gt;31/12/2021",E_Suivi_Eans!$K:$K,"&lt;01/07/2022")+COUNTIFS(E_Suivi_Eans!$C:$C,"03/2022",E_Suivi_Eans!$D:$D,"Emballages ménagers",E_Suivi_Eans!$J:$J,"Rejet 2",E_Suivi_Eans!$K:$K,"&gt;31/12/2021",E_Suivi_Eans!$K:$K,"&lt;01/07/2022")+COUNTIFS(E_Suivi_Eans!$C:$C,"03/2022",E_Suivi_Eans!$D:$D,"Emballages ménagers",E_Suivi_Eans!$J:$J,"Rejet 3",E_Suivi_Eans!$K:$K,"&gt;31/12/2021",E_Suivi_Eans!$K:$K,"&lt;01/07/2022")+ COUNTIFS(E_Suivi_Eans!$C:$C,"03/2022",E_Suivi_Eans!$D:$D,"Emballages ménagers",E_Suivi_Eans!$J:$J,"Rejet 4",E_Suivi_Eans!$K:$K,"&gt;31/12/2021",E_Suivi_Eans!$K:$K,"&lt;01/07/2022")+COUNTIFS(E_Suivi_Eans!$C:$C,"03/2022",E_Suivi_Eans!$D:$D,"Emballages ménagers",E_Suivi_Eans!$J:$J,"Relance 1",E_Suivi_Eans!$K:$K,"&gt;31/12/2021",E_Suivi_Eans!$K:$K,"&lt;01/07/2022")+COUNTIFS(E_Suivi_Eans!$C:$C,"03/2022",E_Suivi_Eans!$D:$D,"Emballages ménagers",E_Suivi_Eans!$J:$J,"Relance 2",E_Suivi_Eans!$K:$K,"&gt;31/12/2021",E_Suivi_Eans!$K:$K,"&lt;01/07/2022")+COUNTIFS(E_Suivi_Eans!$C:$C,"03/2022",E_Suivi_Eans!$D:$D,"Emballages ménagers",E_Suivi_Eans!$J:$J,"Relance 3",E_Suivi_Eans!$K:$K,"&gt;31/12/2021",E_Suivi_Eans!$K:$K,"&lt;01/07/2022")</f>
        <v>0</v>
      </c>
      <c r="E35" s="21">
        <f>COUNTIFS(E_Suivi_Eans!$C:$C,"03/2022",E_Suivi_Eans!$D:$D,"Emballages ménagers",E_Suivi_Eans!$J:$J,"Abandon",E_Suivi_Eans!$K:$K,"&gt;31/12/2021",E_Suivi_Eans!K:K,"&lt;01/07/2022")</f>
        <v>0</v>
      </c>
      <c r="F35" s="21">
        <f>COUNTIFS(E_Suivi_Eans!$C:$C,"03/2022",E_Suivi_Eans!$D:$D,"Emballages ménagers")</f>
        <v>0</v>
      </c>
      <c r="G35" s="21">
        <f t="shared" si="6"/>
        <v>0</v>
      </c>
      <c r="J35" s="20" t="s">
        <v>5316</v>
      </c>
      <c r="K35" s="20" t="s">
        <v>5319</v>
      </c>
      <c r="L35" s="28" t="e">
        <f t="shared" si="7"/>
        <v>#DIV/0!</v>
      </c>
      <c r="M35" s="28" t="e">
        <f t="shared" si="7"/>
        <v>#DIV/0!</v>
      </c>
      <c r="N35" s="28" t="e">
        <f t="shared" si="7"/>
        <v>#DIV/0!</v>
      </c>
      <c r="O35" s="28">
        <v>1</v>
      </c>
      <c r="P35" s="28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COUNTIFS(E_Suivi_Eans!$C:$C,"03/2022",E_Suivi_Eans!$D:$D,"Emballages ménagers",E_Suivi_Eans!$J:$J,"Retour OK",E_Suivi_Eans!$K:$K,"&gt;31/12/2021",E_Suivi_Eans!K:K,"&lt;01/08/2022")</f>
        <v>0</v>
      </c>
      <c r="D36" s="21">
        <f>COUNTIFS(E_Suivi_Eans!$C:$C,"03/2022",E_Suivi_Eans!$D:$D,"Emballages ménagers",E_Suivi_Eans!$J:$J,"Rejet 0",E_Suivi_Eans!$K:$K,"&gt;31/12/2021",E_Suivi_Eans!$K:$K,"&lt;01/08/2022")+ COUNTIFS(E_Suivi_Eans!$C:$C,"03/2022",E_Suivi_Eans!$D:$D,"Emballages ménagers",E_Suivi_Eans!$J:$J,"Rejet 1",E_Suivi_Eans!$K:$K,"&gt;31/12/2021",E_Suivi_Eans!$K:$K,"&lt;01/08/2022")+COUNTIFS(E_Suivi_Eans!$C:$C,"03/2022",E_Suivi_Eans!$D:$D,"Emballages ménagers",E_Suivi_Eans!$J:$J,"Rejet 2",E_Suivi_Eans!$K:$K,"&gt;31/12/2021",E_Suivi_Eans!$K:$K,"&lt;01/08/2022")+COUNTIFS(E_Suivi_Eans!$C:$C,"03/2022",E_Suivi_Eans!$D:$D,"Emballages ménagers",E_Suivi_Eans!$J:$J,"Rejet 3",E_Suivi_Eans!$K:$K,"&gt;31/12/2021",E_Suivi_Eans!$K:$K,"&lt;01/08/2022")+ COUNTIFS(E_Suivi_Eans!$C:$C,"03/2022",E_Suivi_Eans!$D:$D,"Emballages ménagers",E_Suivi_Eans!$J:$J,"Rejet 4",E_Suivi_Eans!$K:$K,"&gt;31/12/2021",E_Suivi_Eans!$K:$K,"&lt;01/08/2022")+COUNTIFS(E_Suivi_Eans!$C:$C,"03/2022",E_Suivi_Eans!$D:$D,"Emballages ménagers",E_Suivi_Eans!$J:$J,"Relance 1",E_Suivi_Eans!$K:$K,"&gt;31/12/2021",E_Suivi_Eans!$K:$K,"&lt;01/08/2022")+COUNTIFS(E_Suivi_Eans!$C:$C,"03/2022",E_Suivi_Eans!$D:$D,"Emballages ménagers",E_Suivi_Eans!$J:$J,"Relance 2",E_Suivi_Eans!$K:$K,"&gt;31/12/2021",E_Suivi_Eans!$K:$K,"&lt;01/08/2022")+COUNTIFS(E_Suivi_Eans!$C:$C,"03/2022",E_Suivi_Eans!$D:$D,"Emballages ménagers",E_Suivi_Eans!$J:$J,"Relance 3",E_Suivi_Eans!$K:$K,"&gt;31/12/2021",E_Suivi_Eans!$K:$K,"&lt;01/08/2022")</f>
        <v>0</v>
      </c>
      <c r="E36" s="21">
        <f>COUNTIFS(E_Suivi_Eans!$C:$C,"03/2022",E_Suivi_Eans!$D:$D,"Emballages ménagers",E_Suivi_Eans!$J:$J,"Abandon",E_Suivi_Eans!$K:$K,"&gt;31/12/2021",E_Suivi_Eans!K:K,"&lt;01/08/2022")</f>
        <v>0</v>
      </c>
      <c r="F36" s="21">
        <f>COUNTIFS(E_Suivi_Eans!$C:$C,"03/2022",E_Suivi_Eans!$D:$D,"Emballages ménagers")</f>
        <v>0</v>
      </c>
      <c r="G36" s="21">
        <f t="shared" si="6"/>
        <v>0</v>
      </c>
      <c r="J36" s="20" t="s">
        <v>5316</v>
      </c>
      <c r="K36" s="20" t="s">
        <v>5320</v>
      </c>
      <c r="L36" s="28" t="e">
        <f t="shared" si="7"/>
        <v>#DIV/0!</v>
      </c>
      <c r="M36" s="28" t="e">
        <f t="shared" si="7"/>
        <v>#DIV/0!</v>
      </c>
      <c r="N36" s="28" t="e">
        <f t="shared" si="7"/>
        <v>#DIV/0!</v>
      </c>
      <c r="O36" s="28">
        <v>1</v>
      </c>
      <c r="P36" s="28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COUNTIFS(E_Suivi_Eans!$C:$C,"03/2022",E_Suivi_Eans!$D:$D,"Emballages ménagers",E_Suivi_Eans!$J:$J,"Retour OK",E_Suivi_Eans!$K:$K,"&gt;31/12/2021",E_Suivi_Eans!K:K,"&lt;01/09/2022")</f>
        <v>0</v>
      </c>
      <c r="D37" s="21">
        <f>COUNTIFS(E_Suivi_Eans!$C:$C,"03/2022",E_Suivi_Eans!$D:$D,"Emballages ménagers",E_Suivi_Eans!$J:$J,"Rejet 0",E_Suivi_Eans!$K:$K,"&gt;31/12/2021",E_Suivi_Eans!$K:$K,"&lt;01/09/2022")+ COUNTIFS(E_Suivi_Eans!$C:$C,"03/2022",E_Suivi_Eans!$D:$D,"Emballages ménagers",E_Suivi_Eans!$J:$J,"Rejet 1",E_Suivi_Eans!$K:$K,"&gt;31/12/2021",E_Suivi_Eans!$K:$K,"&lt;01/09/2022")+COUNTIFS(E_Suivi_Eans!$C:$C,"03/2022",E_Suivi_Eans!$D:$D,"Emballages ménagers",E_Suivi_Eans!$J:$J,"Rejet 2",E_Suivi_Eans!$K:$K,"&gt;31/12/2021",E_Suivi_Eans!$K:$K,"&lt;01/09/2022")+COUNTIFS(E_Suivi_Eans!$C:$C,"03/2022",E_Suivi_Eans!$D:$D,"Emballages ménagers",E_Suivi_Eans!$J:$J,"Rejet 3",E_Suivi_Eans!$K:$K,"&gt;31/12/2021",E_Suivi_Eans!$K:$K,"&lt;01/09/2022")+ COUNTIFS(E_Suivi_Eans!$C:$C,"03/2022",E_Suivi_Eans!$D:$D,"Emballages ménagers",E_Suivi_Eans!$J:$J,"Rejet 4",E_Suivi_Eans!$K:$K,"&gt;31/12/2021",E_Suivi_Eans!$K:$K,"&lt;01/09/2022")+COUNTIFS(E_Suivi_Eans!$C:$C,"03/2022",E_Suivi_Eans!$D:$D,"Emballages ménagers",E_Suivi_Eans!$J:$J,"Relance 1",E_Suivi_Eans!$K:$K,"&gt;31/12/2021",E_Suivi_Eans!$K:$K,"&lt;01/09/2022")+COUNTIFS(E_Suivi_Eans!$C:$C,"03/2022",E_Suivi_Eans!$D:$D,"Emballages ménagers",E_Suivi_Eans!$J:$J,"Relance 2",E_Suivi_Eans!$K:$K,"&gt;31/12/2021",E_Suivi_Eans!$K:$K,"&lt;01/09/2022")+COUNTIFS(E_Suivi_Eans!$C:$C,"03/2022",E_Suivi_Eans!$D:$D,"Emballages ménagers",E_Suivi_Eans!$J:$J,"Relance 3",E_Suivi_Eans!$K:$K,"&gt;31/12/2021",E_Suivi_Eans!$K:$K,"&lt;01/09/2022")</f>
        <v>0</v>
      </c>
      <c r="E37" s="21">
        <f>COUNTIFS(E_Suivi_Eans!$C:$C,"03/2022",E_Suivi_Eans!$D:$D,"Emballages ménagers",E_Suivi_Eans!$J:$J,"Abandon",E_Suivi_Eans!$K:$K,"&gt;31/12/2021",E_Suivi_Eans!K:K,"&lt;01/09/2022")</f>
        <v>0</v>
      </c>
      <c r="F37" s="21">
        <f>COUNTIFS(E_Suivi_Eans!$C:$C,"03/2022",E_Suivi_Eans!$D:$D,"Emballages ménagers")</f>
        <v>0</v>
      </c>
      <c r="G37" s="21">
        <f t="shared" si="6"/>
        <v>0</v>
      </c>
      <c r="J37" s="20" t="s">
        <v>5316</v>
      </c>
      <c r="K37" s="20" t="s">
        <v>5321</v>
      </c>
      <c r="L37" s="28" t="e">
        <f t="shared" si="7"/>
        <v>#DIV/0!</v>
      </c>
      <c r="M37" s="28" t="e">
        <f t="shared" si="7"/>
        <v>#DIV/0!</v>
      </c>
      <c r="N37" s="28" t="e">
        <f t="shared" si="7"/>
        <v>#DIV/0!</v>
      </c>
      <c r="O37" s="28">
        <v>1</v>
      </c>
      <c r="P37" s="28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COUNTIFS(E_Suivi_Eans!$C:$C,"03/2022",E_Suivi_Eans!$D:$D,"Emballages ménagers",E_Suivi_Eans!$J:$J,"Retour OK",E_Suivi_Eans!$K:$K,"&gt;31/12/2021",E_Suivi_Eans!K:K,"&lt;01/10/2022")</f>
        <v>0</v>
      </c>
      <c r="D38" s="21">
        <f>COUNTIFS(E_Suivi_Eans!$C:$C,"03/2022",E_Suivi_Eans!$D:$D,"Emballages ménagers",E_Suivi_Eans!$J:$J,"Rejet 0",E_Suivi_Eans!$K:$K,"&gt;31/12/2021",E_Suivi_Eans!$K:$K,"&lt;01/10/2022")+ COUNTIFS(E_Suivi_Eans!$C:$C,"03/2022",E_Suivi_Eans!$D:$D,"Emballages ménagers",E_Suivi_Eans!$J:$J,"Rejet 1",E_Suivi_Eans!$K:$K,"&gt;31/12/2021",E_Suivi_Eans!$K:$K,"&lt;01/10/2022")+COUNTIFS(E_Suivi_Eans!$C:$C,"03/2022",E_Suivi_Eans!$D:$D,"Emballages ménagers",E_Suivi_Eans!$J:$J,"Rejet 2",E_Suivi_Eans!$K:$K,"&gt;31/12/2021",E_Suivi_Eans!$K:$K,"&lt;01/10/2022")+COUNTIFS(E_Suivi_Eans!$C:$C,"03/2022",E_Suivi_Eans!$D:$D,"Emballages ménagers",E_Suivi_Eans!$J:$J,"Rejet 3",E_Suivi_Eans!$K:$K,"&gt;31/12/2021",E_Suivi_Eans!$K:$K,"&lt;01/10/2022")+ COUNTIFS(E_Suivi_Eans!$C:$C,"03/2022",E_Suivi_Eans!$D:$D,"Emballages ménagers",E_Suivi_Eans!$J:$J,"Rejet 4",E_Suivi_Eans!$K:$K,"&gt;31/12/2021",E_Suivi_Eans!$K:$K,"&lt;01/10/2022")+COUNTIFS(E_Suivi_Eans!$C:$C,"03/2022",E_Suivi_Eans!$D:$D,"Emballages ménagers",E_Suivi_Eans!$J:$J,"Relance 1",E_Suivi_Eans!$K:$K,"&gt;31/12/2021",E_Suivi_Eans!$K:$K,"&lt;01/10/2022")+COUNTIFS(E_Suivi_Eans!$C:$C,"03/2022",E_Suivi_Eans!$D:$D,"Emballages ménagers",E_Suivi_Eans!$J:$J,"Relance 2",E_Suivi_Eans!$K:$K,"&gt;31/12/2021",E_Suivi_Eans!$K:$K,"&lt;01/10/2022")+COUNTIFS(E_Suivi_Eans!$C:$C,"03/2022",E_Suivi_Eans!$D:$D,"Emballages ménagers",E_Suivi_Eans!$J:$J,"Relance 3",E_Suivi_Eans!$K:$K,"&gt;31/12/2021",E_Suivi_Eans!$K:$K,"&lt;01/10/2022")</f>
        <v>0</v>
      </c>
      <c r="E38" s="21">
        <f>COUNTIFS(E_Suivi_Eans!$C:$C,"03/2022",E_Suivi_Eans!$D:$D,"Emballages ménagers",E_Suivi_Eans!$J:$J,"Abandon",E_Suivi_Eans!$K:$K,"&gt;31/12/2021",E_Suivi_Eans!K:K,"&lt;01/10/2022")</f>
        <v>0</v>
      </c>
      <c r="F38" s="21">
        <f>COUNTIFS(E_Suivi_Eans!$C:$C,"03/2022",E_Suivi_Eans!$D:$D,"Emballages ménagers")</f>
        <v>0</v>
      </c>
      <c r="G38" s="21">
        <f t="shared" si="6"/>
        <v>0</v>
      </c>
      <c r="J38" s="20" t="s">
        <v>5316</v>
      </c>
      <c r="K38" s="20" t="s">
        <v>5325</v>
      </c>
      <c r="L38" s="28" t="e">
        <f t="shared" si="7"/>
        <v>#DIV/0!</v>
      </c>
      <c r="M38" s="28" t="e">
        <f t="shared" si="7"/>
        <v>#DIV/0!</v>
      </c>
      <c r="N38" s="28" t="e">
        <f t="shared" si="7"/>
        <v>#DIV/0!</v>
      </c>
      <c r="O38" s="28">
        <v>1</v>
      </c>
      <c r="P38" s="28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COUNTIFS(E_Suivi_Eans!$C:$C,"03/2022",E_Suivi_Eans!$D:$D,"Emballages ménagers",E_Suivi_Eans!$J:$J,"Retour OK",E_Suivi_Eans!$K:$K,"&gt;31/12/2021",E_Suivi_Eans!K:K,"&lt;01/11/2022")</f>
        <v>0</v>
      </c>
      <c r="D39" s="21">
        <f>COUNTIFS(E_Suivi_Eans!$C:$C,"03/2022",E_Suivi_Eans!$D:$D,"Emballages ménagers",E_Suivi_Eans!$J:$J,"Rejet 0",E_Suivi_Eans!$K:$K,"&gt;31/12/2021",E_Suivi_Eans!$K:$K,"&lt;01/11/2022")+ COUNTIFS(E_Suivi_Eans!$C:$C,"03/2022",E_Suivi_Eans!$D:$D,"Emballages ménagers",E_Suivi_Eans!$J:$J,"Rejet 1",E_Suivi_Eans!$K:$K,"&gt;31/12/2021",E_Suivi_Eans!$K:$K,"&lt;01/11/2022")+COUNTIFS(E_Suivi_Eans!$C:$C,"03/2022",E_Suivi_Eans!$D:$D,"Emballages ménagers",E_Suivi_Eans!$J:$J,"Rejet 2",E_Suivi_Eans!$K:$K,"&gt;31/12/2021",E_Suivi_Eans!$K:$K,"&lt;01/11/2022")+COUNTIFS(E_Suivi_Eans!$C:$C,"03/2022",E_Suivi_Eans!$D:$D,"Emballages ménagers",E_Suivi_Eans!$J:$J,"Rejet 3",E_Suivi_Eans!$K:$K,"&gt;31/12/2021",E_Suivi_Eans!$K:$K,"&lt;01/11/2022")+ COUNTIFS(E_Suivi_Eans!$C:$C,"03/2022",E_Suivi_Eans!$D:$D,"Emballages ménagers",E_Suivi_Eans!$J:$J,"Rejet 4",E_Suivi_Eans!$K:$K,"&gt;31/12/2021",E_Suivi_Eans!$K:$K,"&lt;01/11/2022")+COUNTIFS(E_Suivi_Eans!$C:$C,"03/2022",E_Suivi_Eans!$D:$D,"Emballages ménagers",E_Suivi_Eans!$J:$J,"Relance 1",E_Suivi_Eans!$K:$K,"&gt;31/12/2021",E_Suivi_Eans!$K:$K,"&lt;01/11/2022")+COUNTIFS(E_Suivi_Eans!$C:$C,"03/2022",E_Suivi_Eans!$D:$D,"Emballages ménagers",E_Suivi_Eans!$J:$J,"Relance 2",E_Suivi_Eans!$K:$K,"&gt;31/12/2021",E_Suivi_Eans!$K:$K,"&lt;01/11/2022")+COUNTIFS(E_Suivi_Eans!$C:$C,"03/2022",E_Suivi_Eans!$D:$D,"Emballages ménagers",E_Suivi_Eans!$J:$J,"Relance 3",E_Suivi_Eans!$K:$K,"&gt;31/12/2021",E_Suivi_Eans!$K:$K,"&lt;01/11/2022")</f>
        <v>0</v>
      </c>
      <c r="E39" s="21">
        <f>COUNTIFS(E_Suivi_Eans!$C:$C,"03/2022",E_Suivi_Eans!$D:$D,"Emballages ménagers",E_Suivi_Eans!$J:$J,"Abandon",E_Suivi_Eans!$K:$K,"&gt;31/12/2021",E_Suivi_Eans!K:K,"&lt;01/11/2022")</f>
        <v>0</v>
      </c>
      <c r="F39" s="21">
        <f>COUNTIFS(E_Suivi_Eans!$C:$C,"03/2022",E_Suivi_Eans!$D:$D,"Emballages ménagers")</f>
        <v>0</v>
      </c>
      <c r="G39" s="21">
        <f t="shared" si="6"/>
        <v>0</v>
      </c>
      <c r="J39" s="20" t="s">
        <v>5316</v>
      </c>
      <c r="K39" s="20" t="s">
        <v>5326</v>
      </c>
      <c r="L39" s="28" t="e">
        <f t="shared" si="7"/>
        <v>#DIV/0!</v>
      </c>
      <c r="M39" s="28" t="e">
        <f t="shared" si="7"/>
        <v>#DIV/0!</v>
      </c>
      <c r="N39" s="28" t="e">
        <f t="shared" si="7"/>
        <v>#DIV/0!</v>
      </c>
      <c r="O39" s="28">
        <v>1</v>
      </c>
      <c r="P39" s="28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COUNTIFS(E_Suivi_Eans!$C:$C,"03/2022",E_Suivi_Eans!$D:$D,"Emballages ménagers",E_Suivi_Eans!$J:$J,"Retour OK",E_Suivi_Eans!$K:$K,"&gt;31/12/2021",E_Suivi_Eans!K:K,"&lt;01/12/2022")</f>
        <v>0</v>
      </c>
      <c r="D40" s="21">
        <f>COUNTIFS(E_Suivi_Eans!$C:$C,"03/2022",E_Suivi_Eans!$D:$D,"Emballages ménagers",E_Suivi_Eans!$J:$J,"Rejet 0",E_Suivi_Eans!$K:$K,"&gt;31/12/2021",E_Suivi_Eans!$K:$K,"&lt;01/12/2022")+ COUNTIFS(E_Suivi_Eans!$C:$C,"03/2022",E_Suivi_Eans!$D:$D,"Emballages ménagers",E_Suivi_Eans!$J:$J,"Rejet 1",E_Suivi_Eans!$K:$K,"&gt;31/12/2021",E_Suivi_Eans!$K:$K,"&lt;01/12/2022")+COUNTIFS(E_Suivi_Eans!$C:$C,"03/2022",E_Suivi_Eans!$D:$D,"Emballages ménagers",E_Suivi_Eans!$J:$J,"Rejet 2",E_Suivi_Eans!$K:$K,"&gt;31/12/2021",E_Suivi_Eans!$K:$K,"&lt;01/12/2022")+COUNTIFS(E_Suivi_Eans!$C:$C,"03/2022",E_Suivi_Eans!$D:$D,"Emballages ménagers",E_Suivi_Eans!$J:$J,"Rejet 3",E_Suivi_Eans!$K:$K,"&gt;31/12/2021",E_Suivi_Eans!$K:$K,"&lt;01/12/2022")+ COUNTIFS(E_Suivi_Eans!$C:$C,"03/2022",E_Suivi_Eans!$D:$D,"Emballages ménagers",E_Suivi_Eans!$J:$J,"Rejet 4",E_Suivi_Eans!$K:$K,"&gt;31/12/2021",E_Suivi_Eans!$K:$K,"&lt;01/12/2022")+COUNTIFS(E_Suivi_Eans!$C:$C,"03/2022",E_Suivi_Eans!$D:$D,"Emballages ménagers",E_Suivi_Eans!$J:$J,"Relance 1",E_Suivi_Eans!$K:$K,"&gt;31/12/2021",E_Suivi_Eans!$K:$K,"&lt;01/12/2022")+COUNTIFS(E_Suivi_Eans!$C:$C,"03/2022",E_Suivi_Eans!$D:$D,"Emballages ménagers",E_Suivi_Eans!$J:$J,"Relance 2",E_Suivi_Eans!$K:$K,"&gt;31/12/2021",E_Suivi_Eans!$K:$K,"&lt;01/12/2022")+COUNTIFS(E_Suivi_Eans!$C:$C,"03/2022",E_Suivi_Eans!$D:$D,"Emballages ménagers",E_Suivi_Eans!$J:$J,"Relance 3",E_Suivi_Eans!$K:$K,"&gt;31/12/2021",E_Suivi_Eans!$K:$K,"&lt;01/12/2022")</f>
        <v>0</v>
      </c>
      <c r="E40" s="21">
        <f>COUNTIFS(E_Suivi_Eans!$C:$C,"03/2022",E_Suivi_Eans!$D:$D,"Emballages ménagers",E_Suivi_Eans!$J:$J,"Abandon",E_Suivi_Eans!$K:$K,"&gt;31/12/2021",E_Suivi_Eans!K:K,"&lt;01/12/2022")</f>
        <v>0</v>
      </c>
      <c r="F40" s="21">
        <f>COUNTIFS(E_Suivi_Eans!$C:$C,"03/2022",E_Suivi_Eans!$D:$D,"Emballages ménagers")</f>
        <v>0</v>
      </c>
      <c r="G40" s="21">
        <f t="shared" si="6"/>
        <v>0</v>
      </c>
      <c r="J40" s="20" t="s">
        <v>5316</v>
      </c>
      <c r="K40" s="20" t="s">
        <v>5327</v>
      </c>
      <c r="L40" s="28" t="e">
        <f t="shared" si="7"/>
        <v>#DIV/0!</v>
      </c>
      <c r="M40" s="28" t="e">
        <f t="shared" si="7"/>
        <v>#DIV/0!</v>
      </c>
      <c r="N40" s="28" t="e">
        <f t="shared" si="7"/>
        <v>#DIV/0!</v>
      </c>
      <c r="O40" s="28">
        <v>1</v>
      </c>
      <c r="P40" s="28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8"/>
      <c r="P41" s="28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5"/>
      <c r="E42" s="25"/>
      <c r="F42" s="25"/>
      <c r="G42" s="25"/>
      <c r="J42" s="22"/>
      <c r="K42" s="22"/>
      <c r="L42" s="23"/>
      <c r="M42" s="25"/>
      <c r="N42" s="25"/>
      <c r="O42" s="31"/>
      <c r="P42" s="31"/>
      <c r="S42" s="22"/>
      <c r="T42" s="22"/>
      <c r="U42" s="23"/>
      <c r="V42" s="25"/>
      <c r="W42" s="25"/>
      <c r="X42" s="25"/>
      <c r="Y42" s="25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8"/>
      <c r="P43" s="28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8"/>
      <c r="P44" s="28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8"/>
      <c r="P45" s="28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COUNTIFS(E_Suivi_Eans!$C:$C,"04/2022",E_Suivi_Eans!$D:$D,"Emballages ménagers",E_Suivi_Eans!$J:$J,"Retour OK",E_Suivi_Eans!$K:$K,"&gt;31/12/2021",E_Suivi_Eans!K:K,"&lt;01/05/2022")</f>
        <v>0</v>
      </c>
      <c r="D46" s="21">
        <f>COUNTIFS(E_Suivi_Eans!$C:$C,"04/2022",E_Suivi_Eans!$D:$D,"Emballages ménagers",E_Suivi_Eans!$J:$J,"Rejet 0",E_Suivi_Eans!$K:$K,"&gt;31/12/2021",E_Suivi_Eans!$K:$K,"&lt;01/05/2022")+ COUNTIFS(E_Suivi_Eans!$C:$C,"04/2022",E_Suivi_Eans!$D:$D,"Emballages ménagers",E_Suivi_Eans!$J:$J,"Rejet 1",E_Suivi_Eans!$K:$K,"&gt;31/12/2021",E_Suivi_Eans!$K:$K,"&lt;01/05/2022")+COUNTIFS(E_Suivi_Eans!$C:$C,"04/2022",E_Suivi_Eans!$D:$D,"Emballages ménagers",E_Suivi_Eans!$J:$J,"Rejet 2",E_Suivi_Eans!$K:$K,"&gt;31/12/2021",E_Suivi_Eans!$K:$K,"&lt;01/05/2022")+COUNTIFS(E_Suivi_Eans!$C:$C,"04/2022",E_Suivi_Eans!$D:$D,"Emballages ménagers",E_Suivi_Eans!$J:$J,"Rejet 3",E_Suivi_Eans!$K:$K,"&gt;31/12/2021",E_Suivi_Eans!$K:$K,"&lt;01/05/2022")+ COUNTIFS(E_Suivi_Eans!$C:$C,"04/2022",E_Suivi_Eans!$D:$D,"Emballages ménagers",E_Suivi_Eans!$J:$J,"Rejet 4",E_Suivi_Eans!$K:$K,"&gt;31/12/2021",E_Suivi_Eans!$K:$K,"&lt;01/05/2022")+COUNTIFS(E_Suivi_Eans!$C:$C,"04/2022",E_Suivi_Eans!$D:$D,"Emballages ménagers",E_Suivi_Eans!$J:$J,"Relance 1",E_Suivi_Eans!$K:$K,"&gt;31/12/2021",E_Suivi_Eans!$K:$K,"&lt;01/05/2022")+COUNTIFS(E_Suivi_Eans!$C:$C,"04/2022",E_Suivi_Eans!$D:$D,"Emballages ménagers",E_Suivi_Eans!$J:$J,"Relance 2",E_Suivi_Eans!$K:$K,"&gt;31/12/2021",E_Suivi_Eans!$K:$K,"&lt;01/05/2022")+COUNTIFS(E_Suivi_Eans!$C:$C,"04/2022",E_Suivi_Eans!$D:$D,"Emballages ménagers",E_Suivi_Eans!$J:$J,"Relance 3",E_Suivi_Eans!$K:$K,"&gt;31/12/2021",E_Suivi_Eans!$K:$K,"&lt;01/05/2022")</f>
        <v>0</v>
      </c>
      <c r="E46" s="21">
        <f>COUNTIFS(E_Suivi_Eans!$C:$C,"04/2022",E_Suivi_Eans!$D:$D,"Emballages ménagers",E_Suivi_Eans!$J:$J,"Abandon",E_Suivi_Eans!$K:$K,"&gt;31/12/2021",E_Suivi_Eans!K:K,"&lt;01/05/2022")</f>
        <v>0</v>
      </c>
      <c r="F46" s="21">
        <f>COUNTIFS(E_Suivi_Eans!$C:$C,"04/2022",E_Suivi_Eans!$D:$D,"Emballages ménagers")</f>
        <v>0</v>
      </c>
      <c r="G46" s="21">
        <f t="shared" ref="G46:G53" si="9">F46-E46</f>
        <v>0</v>
      </c>
      <c r="J46" s="20" t="s">
        <v>5317</v>
      </c>
      <c r="K46" s="20" t="s">
        <v>5317</v>
      </c>
      <c r="L46" s="28" t="e">
        <f t="shared" ref="L46:N53" si="10">C46/$G46</f>
        <v>#DIV/0!</v>
      </c>
      <c r="M46" s="28" t="e">
        <f t="shared" si="10"/>
        <v>#DIV/0!</v>
      </c>
      <c r="N46" s="28" t="e">
        <f t="shared" si="10"/>
        <v>#DIV/0!</v>
      </c>
      <c r="O46" s="28">
        <v>1</v>
      </c>
      <c r="P46" s="28" t="e">
        <f t="shared" ref="P46:P53" si="11">O46-N46</f>
        <v>#DIV/0!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COUNTIFS(E_Suivi_Eans!$C:$C,"04/2022",E_Suivi_Eans!$D:$D,"Emballages ménagers",E_Suivi_Eans!$J:$J,"Retour OK",E_Suivi_Eans!$K:$K,"&gt;31/12/2021",E_Suivi_Eans!K:K,"&lt;01/06/2022")</f>
        <v>0</v>
      </c>
      <c r="D47" s="21">
        <f>COUNTIFS(E_Suivi_Eans!$C:$C,"04/2022",E_Suivi_Eans!$D:$D,"Emballages ménagers",E_Suivi_Eans!$J:$J,"Rejet 0",E_Suivi_Eans!$K:$K,"&gt;31/12/2021",E_Suivi_Eans!$K:$K,"&lt;01/06/2022")+ COUNTIFS(E_Suivi_Eans!$C:$C,"04/2022",E_Suivi_Eans!$D:$D,"Emballages ménagers",E_Suivi_Eans!$J:$J,"Rejet 1",E_Suivi_Eans!$K:$K,"&gt;31/12/2021",E_Suivi_Eans!$K:$K,"&lt;01/06/2022")+COUNTIFS(E_Suivi_Eans!$C:$C,"04/2022",E_Suivi_Eans!$D:$D,"Emballages ménagers",E_Suivi_Eans!$J:$J,"Rejet 2",E_Suivi_Eans!$K:$K,"&gt;31/12/2021",E_Suivi_Eans!$K:$K,"&lt;01/06/2022")+COUNTIFS(E_Suivi_Eans!$C:$C,"04/2022",E_Suivi_Eans!$D:$D,"Emballages ménagers",E_Suivi_Eans!$J:$J,"Rejet 3",E_Suivi_Eans!$K:$K,"&gt;31/12/2021",E_Suivi_Eans!$K:$K,"&lt;01/06/2022")+ COUNTIFS(E_Suivi_Eans!$C:$C,"04/2022",E_Suivi_Eans!$D:$D,"Emballages ménagers",E_Suivi_Eans!$J:$J,"Rejet 4",E_Suivi_Eans!$K:$K,"&gt;31/12/2021",E_Suivi_Eans!$K:$K,"&lt;01/06/2022")+COUNTIFS(E_Suivi_Eans!$C:$C,"04/2022",E_Suivi_Eans!$D:$D,"Emballages ménagers",E_Suivi_Eans!$J:$J,"Relance 1",E_Suivi_Eans!$K:$K,"&gt;31/12/2021",E_Suivi_Eans!$K:$K,"&lt;01/06/2022")+COUNTIFS(E_Suivi_Eans!$C:$C,"04/2022",E_Suivi_Eans!$D:$D,"Emballages ménagers",E_Suivi_Eans!$J:$J,"Relance 2",E_Suivi_Eans!$K:$K,"&gt;31/12/2021",E_Suivi_Eans!$K:$K,"&lt;01/06/2022")+COUNTIFS(E_Suivi_Eans!$C:$C,"04/2022",E_Suivi_Eans!$D:$D,"Emballages ménagers",E_Suivi_Eans!$J:$J,"Relance 3",E_Suivi_Eans!$K:$K,"&gt;31/12/2021",E_Suivi_Eans!$K:$K,"&lt;01/06/2022")</f>
        <v>0</v>
      </c>
      <c r="E47" s="21">
        <f>COUNTIFS(E_Suivi_Eans!$C:$C,"04/2022",E_Suivi_Eans!$D:$D,"Emballages ménagers",E_Suivi_Eans!$J:$J,"Abandon",E_Suivi_Eans!$K:$K,"&gt;31/12/2021",E_Suivi_Eans!K:K,"&lt;01/06/2022")</f>
        <v>0</v>
      </c>
      <c r="F47" s="21">
        <f>COUNTIFS(E_Suivi_Eans!$C:$C,"04/2022",E_Suivi_Eans!$D:$D,"Emballages ménagers")</f>
        <v>0</v>
      </c>
      <c r="G47" s="21">
        <f t="shared" si="9"/>
        <v>0</v>
      </c>
      <c r="J47" s="20" t="s">
        <v>5317</v>
      </c>
      <c r="K47" s="20" t="s">
        <v>5318</v>
      </c>
      <c r="L47" s="28" t="e">
        <f t="shared" si="10"/>
        <v>#DIV/0!</v>
      </c>
      <c r="M47" s="28" t="e">
        <f t="shared" si="10"/>
        <v>#DIV/0!</v>
      </c>
      <c r="N47" s="28" t="e">
        <f t="shared" si="10"/>
        <v>#DIV/0!</v>
      </c>
      <c r="O47" s="28">
        <v>1</v>
      </c>
      <c r="P47" s="28" t="e">
        <f t="shared" si="11"/>
        <v>#DIV/0!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COUNTIFS(E_Suivi_Eans!$C:$C,"04/2022",E_Suivi_Eans!$D:$D,"Emballages ménagers",E_Suivi_Eans!$J:$J,"Retour OK",E_Suivi_Eans!$K:$K,"&gt;31/12/2021",E_Suivi_Eans!K:K,"&lt;01/07/2022")</f>
        <v>0</v>
      </c>
      <c r="D48" s="21">
        <f>COUNTIFS(E_Suivi_Eans!$C:$C,"04/2022",E_Suivi_Eans!$D:$D,"Emballages ménagers",E_Suivi_Eans!$J:$J,"Rejet 0",E_Suivi_Eans!$K:$K,"&gt;31/12/2021",E_Suivi_Eans!$K:$K,"&lt;01/07/2022")+ COUNTIFS(E_Suivi_Eans!$C:$C,"04/2022",E_Suivi_Eans!$D:$D,"Emballages ménagers",E_Suivi_Eans!$J:$J,"Rejet 1",E_Suivi_Eans!$K:$K,"&gt;31/12/2021",E_Suivi_Eans!$K:$K,"&lt;01/07/2022")+COUNTIFS(E_Suivi_Eans!$C:$C,"04/2022",E_Suivi_Eans!$D:$D,"Emballages ménagers",E_Suivi_Eans!$J:$J,"Rejet 2",E_Suivi_Eans!$K:$K,"&gt;31/12/2021",E_Suivi_Eans!$K:$K,"&lt;01/07/2022")+COUNTIFS(E_Suivi_Eans!$C:$C,"04/2022",E_Suivi_Eans!$D:$D,"Emballages ménagers",E_Suivi_Eans!$J:$J,"Rejet 3",E_Suivi_Eans!$K:$K,"&gt;31/12/2021",E_Suivi_Eans!$K:$K,"&lt;01/07/2022")+ COUNTIFS(E_Suivi_Eans!$C:$C,"04/2022",E_Suivi_Eans!$D:$D,"Emballages ménagers",E_Suivi_Eans!$J:$J,"Rejet 4",E_Suivi_Eans!$K:$K,"&gt;31/12/2021",E_Suivi_Eans!$K:$K,"&lt;01/07/2022")+COUNTIFS(E_Suivi_Eans!$C:$C,"04/2022",E_Suivi_Eans!$D:$D,"Emballages ménagers",E_Suivi_Eans!$J:$J,"Relance 1",E_Suivi_Eans!$K:$K,"&gt;31/12/2021",E_Suivi_Eans!$K:$K,"&lt;01/07/2022")+COUNTIFS(E_Suivi_Eans!$C:$C,"04/2022",E_Suivi_Eans!$D:$D,"Emballages ménagers",E_Suivi_Eans!$J:$J,"Relance 2",E_Suivi_Eans!$K:$K,"&gt;31/12/2021",E_Suivi_Eans!$K:$K,"&lt;01/07/2022")+COUNTIFS(E_Suivi_Eans!$C:$C,"04/2022",E_Suivi_Eans!$D:$D,"Emballages ménagers",E_Suivi_Eans!$J:$J,"Relance 3",E_Suivi_Eans!$K:$K,"&gt;31/12/2021",E_Suivi_Eans!$K:$K,"&lt;01/07/2022")</f>
        <v>0</v>
      </c>
      <c r="E48" s="21">
        <f>COUNTIFS(E_Suivi_Eans!$C:$C,"04/2022",E_Suivi_Eans!$D:$D,"Emballages ménagers",E_Suivi_Eans!$J:$J,"Abandon",E_Suivi_Eans!$K:$K,"&gt;31/12/2021",E_Suivi_Eans!K:K,"&lt;01/07/2022")</f>
        <v>0</v>
      </c>
      <c r="F48" s="21">
        <f>COUNTIFS(E_Suivi_Eans!$C:$C,"04/2022",E_Suivi_Eans!$D:$D,"Emballages ménagers")</f>
        <v>0</v>
      </c>
      <c r="G48" s="21">
        <f t="shared" si="9"/>
        <v>0</v>
      </c>
      <c r="J48" s="20" t="s">
        <v>5317</v>
      </c>
      <c r="K48" s="20" t="s">
        <v>5319</v>
      </c>
      <c r="L48" s="28" t="e">
        <f t="shared" si="10"/>
        <v>#DIV/0!</v>
      </c>
      <c r="M48" s="28" t="e">
        <f t="shared" si="10"/>
        <v>#DIV/0!</v>
      </c>
      <c r="N48" s="28" t="e">
        <f t="shared" si="10"/>
        <v>#DIV/0!</v>
      </c>
      <c r="O48" s="28">
        <v>1</v>
      </c>
      <c r="P48" s="28" t="e">
        <f t="shared" si="11"/>
        <v>#DIV/0!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COUNTIFS(E_Suivi_Eans!$C:$C,"04/2022",E_Suivi_Eans!$D:$D,"Emballages ménagers",E_Suivi_Eans!$J:$J,"Retour OK",E_Suivi_Eans!$K:$K,"&gt;31/12/2021",E_Suivi_Eans!K:K,"&lt;01/08/2022")</f>
        <v>0</v>
      </c>
      <c r="D49" s="21">
        <f>COUNTIFS(E_Suivi_Eans!$C:$C,"04/2022",E_Suivi_Eans!$D:$D,"Emballages ménagers",E_Suivi_Eans!$J:$J,"Rejet 0",E_Suivi_Eans!$K:$K,"&gt;31/12/2021",E_Suivi_Eans!$K:$K,"&lt;01/08/2022")+ COUNTIFS(E_Suivi_Eans!$C:$C,"04/2022",E_Suivi_Eans!$D:$D,"Emballages ménagers",E_Suivi_Eans!$J:$J,"Rejet 1",E_Suivi_Eans!$K:$K,"&gt;31/12/2021",E_Suivi_Eans!$K:$K,"&lt;01/08/2022")+COUNTIFS(E_Suivi_Eans!$C:$C,"04/2022",E_Suivi_Eans!$D:$D,"Emballages ménagers",E_Suivi_Eans!$J:$J,"Rejet 2",E_Suivi_Eans!$K:$K,"&gt;31/12/2021",E_Suivi_Eans!$K:$K,"&lt;01/08/2022")+COUNTIFS(E_Suivi_Eans!$C:$C,"04/2022",E_Suivi_Eans!$D:$D,"Emballages ménagers",E_Suivi_Eans!$J:$J,"Rejet 3",E_Suivi_Eans!$K:$K,"&gt;31/12/2021",E_Suivi_Eans!$K:$K,"&lt;01/08/2022")+ COUNTIFS(E_Suivi_Eans!$C:$C,"04/2022",E_Suivi_Eans!$D:$D,"Emballages ménagers",E_Suivi_Eans!$J:$J,"Rejet 4",E_Suivi_Eans!$K:$K,"&gt;31/12/2021",E_Suivi_Eans!$K:$K,"&lt;01/08/2022")+COUNTIFS(E_Suivi_Eans!$C:$C,"04/2022",E_Suivi_Eans!$D:$D,"Emballages ménagers",E_Suivi_Eans!$J:$J,"Relance 1",E_Suivi_Eans!$K:$K,"&gt;31/12/2021",E_Suivi_Eans!$K:$K,"&lt;01/08/2022")+COUNTIFS(E_Suivi_Eans!$C:$C,"04/2022",E_Suivi_Eans!$D:$D,"Emballages ménagers",E_Suivi_Eans!$J:$J,"Relance 2",E_Suivi_Eans!$K:$K,"&gt;31/12/2021",E_Suivi_Eans!$K:$K,"&lt;01/08/2022")+COUNTIFS(E_Suivi_Eans!$C:$C,"04/2022",E_Suivi_Eans!$D:$D,"Emballages ménagers",E_Suivi_Eans!$J:$J,"Relance 3",E_Suivi_Eans!$K:$K,"&gt;31/12/2021",E_Suivi_Eans!$K:$K,"&lt;01/08/2022")</f>
        <v>0</v>
      </c>
      <c r="E49" s="21">
        <f>COUNTIFS(E_Suivi_Eans!$C:$C,"04/2022",E_Suivi_Eans!$D:$D,"Emballages ménagers",E_Suivi_Eans!$J:$J,"Abandon",E_Suivi_Eans!$K:$K,"&gt;31/12/2021",E_Suivi_Eans!K:K,"&lt;01/08/2022")</f>
        <v>0</v>
      </c>
      <c r="F49" s="21">
        <f>COUNTIFS(E_Suivi_Eans!$C:$C,"04/2022",E_Suivi_Eans!$D:$D,"Emballages ménagers")</f>
        <v>0</v>
      </c>
      <c r="G49" s="21">
        <f t="shared" si="9"/>
        <v>0</v>
      </c>
      <c r="J49" s="20" t="s">
        <v>5317</v>
      </c>
      <c r="K49" s="20" t="s">
        <v>5320</v>
      </c>
      <c r="L49" s="28" t="e">
        <f t="shared" si="10"/>
        <v>#DIV/0!</v>
      </c>
      <c r="M49" s="28" t="e">
        <f t="shared" si="10"/>
        <v>#DIV/0!</v>
      </c>
      <c r="N49" s="28" t="e">
        <f t="shared" si="10"/>
        <v>#DIV/0!</v>
      </c>
      <c r="O49" s="28">
        <v>1</v>
      </c>
      <c r="P49" s="28" t="e">
        <f t="shared" si="11"/>
        <v>#DIV/0!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COUNTIFS(E_Suivi_Eans!$C:$C,"04/2022",E_Suivi_Eans!$D:$D,"Emballages ménagers",E_Suivi_Eans!$J:$J,"Retour OK",E_Suivi_Eans!$K:$K,"&gt;31/12/2021",E_Suivi_Eans!K:K,"&lt;01/09/2022")</f>
        <v>0</v>
      </c>
      <c r="D50" s="21">
        <f>COUNTIFS(E_Suivi_Eans!$C:$C,"04/2022",E_Suivi_Eans!$D:$D,"Emballages ménagers",E_Suivi_Eans!$J:$J,"Rejet 0",E_Suivi_Eans!$K:$K,"&gt;31/12/2021",E_Suivi_Eans!$K:$K,"&lt;01/09/2022")+ COUNTIFS(E_Suivi_Eans!$C:$C,"04/2022",E_Suivi_Eans!$D:$D,"Emballages ménagers",E_Suivi_Eans!$J:$J,"Rejet 1",E_Suivi_Eans!$K:$K,"&gt;31/12/2021",E_Suivi_Eans!$K:$K,"&lt;01/09/2022")+COUNTIFS(E_Suivi_Eans!$C:$C,"04/2022",E_Suivi_Eans!$D:$D,"Emballages ménagers",E_Suivi_Eans!$J:$J,"Rejet 2",E_Suivi_Eans!$K:$K,"&gt;31/12/2021",E_Suivi_Eans!$K:$K,"&lt;01/09/2022")+COUNTIFS(E_Suivi_Eans!$C:$C,"04/2022",E_Suivi_Eans!$D:$D,"Emballages ménagers",E_Suivi_Eans!$J:$J,"Rejet 3",E_Suivi_Eans!$K:$K,"&gt;31/12/2021",E_Suivi_Eans!$K:$K,"&lt;01/09/2022")+ COUNTIFS(E_Suivi_Eans!$C:$C,"04/2022",E_Suivi_Eans!$D:$D,"Emballages ménagers",E_Suivi_Eans!$J:$J,"Rejet 4",E_Suivi_Eans!$K:$K,"&gt;31/12/2021",E_Suivi_Eans!$K:$K,"&lt;01/09/2022")+COUNTIFS(E_Suivi_Eans!$C:$C,"04/2022",E_Suivi_Eans!$D:$D,"Emballages ménagers",E_Suivi_Eans!$J:$J,"Relance 1",E_Suivi_Eans!$K:$K,"&gt;31/12/2021",E_Suivi_Eans!$K:$K,"&lt;01/09/2022")+COUNTIFS(E_Suivi_Eans!$C:$C,"04/2022",E_Suivi_Eans!$D:$D,"Emballages ménagers",E_Suivi_Eans!$J:$J,"Relance 2",E_Suivi_Eans!$K:$K,"&gt;31/12/2021",E_Suivi_Eans!$K:$K,"&lt;01/09/2022")+COUNTIFS(E_Suivi_Eans!$C:$C,"04/2022",E_Suivi_Eans!$D:$D,"Emballages ménagers",E_Suivi_Eans!$J:$J,"Relance 3",E_Suivi_Eans!$K:$K,"&gt;31/12/2021",E_Suivi_Eans!$K:$K,"&lt;01/09/2022")</f>
        <v>0</v>
      </c>
      <c r="E50" s="21">
        <f>COUNTIFS(E_Suivi_Eans!$C:$C,"04/2022",E_Suivi_Eans!$D:$D,"Emballages ménagers",E_Suivi_Eans!$J:$J,"Abandon",E_Suivi_Eans!$K:$K,"&gt;31/12/2021",E_Suivi_Eans!K:K,"&lt;01/09/2022")</f>
        <v>0</v>
      </c>
      <c r="F50" s="21">
        <f>COUNTIFS(E_Suivi_Eans!$C:$C,"04/2022",E_Suivi_Eans!$D:$D,"Emballages ménagers")</f>
        <v>0</v>
      </c>
      <c r="G50" s="21">
        <f t="shared" si="9"/>
        <v>0</v>
      </c>
      <c r="J50" s="20" t="s">
        <v>5317</v>
      </c>
      <c r="K50" s="20" t="s">
        <v>5321</v>
      </c>
      <c r="L50" s="28" t="e">
        <f t="shared" si="10"/>
        <v>#DIV/0!</v>
      </c>
      <c r="M50" s="28" t="e">
        <f t="shared" si="10"/>
        <v>#DIV/0!</v>
      </c>
      <c r="N50" s="28" t="e">
        <f t="shared" si="10"/>
        <v>#DIV/0!</v>
      </c>
      <c r="O50" s="28">
        <v>1</v>
      </c>
      <c r="P50" s="28" t="e">
        <f t="shared" si="11"/>
        <v>#DIV/0!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COUNTIFS(E_Suivi_Eans!$C:$C,"04/2022",E_Suivi_Eans!$D:$D,"Emballages ménagers",E_Suivi_Eans!$J:$J,"Retour OK",E_Suivi_Eans!$K:$K,"&gt;31/12/2021",E_Suivi_Eans!K:K,"&lt;01/10/2022")</f>
        <v>0</v>
      </c>
      <c r="D51" s="21">
        <f>COUNTIFS(E_Suivi_Eans!$C:$C,"04/2022",E_Suivi_Eans!$D:$D,"Emballages ménagers",E_Suivi_Eans!$J:$J,"Rejet 0",E_Suivi_Eans!$K:$K,"&gt;31/12/2021",E_Suivi_Eans!$K:$K,"&lt;01/10/2022")+ COUNTIFS(E_Suivi_Eans!$C:$C,"04/2022",E_Suivi_Eans!$D:$D,"Emballages ménagers",E_Suivi_Eans!$J:$J,"Rejet 1",E_Suivi_Eans!$K:$K,"&gt;31/12/2021",E_Suivi_Eans!$K:$K,"&lt;01/10/2022")+COUNTIFS(E_Suivi_Eans!$C:$C,"04/2022",E_Suivi_Eans!$D:$D,"Emballages ménagers",E_Suivi_Eans!$J:$J,"Rejet 2",E_Suivi_Eans!$K:$K,"&gt;31/12/2021",E_Suivi_Eans!$K:$K,"&lt;01/10/2022")+COUNTIFS(E_Suivi_Eans!$C:$C,"04/2022",E_Suivi_Eans!$D:$D,"Emballages ménagers",E_Suivi_Eans!$J:$J,"Rejet 3",E_Suivi_Eans!$K:$K,"&gt;31/12/2021",E_Suivi_Eans!$K:$K,"&lt;01/10/2022")+ COUNTIFS(E_Suivi_Eans!$C:$C,"04/2022",E_Suivi_Eans!$D:$D,"Emballages ménagers",E_Suivi_Eans!$J:$J,"Rejet 4",E_Suivi_Eans!$K:$K,"&gt;31/12/2021",E_Suivi_Eans!$K:$K,"&lt;01/10/2022")+COUNTIFS(E_Suivi_Eans!$C:$C,"04/2022",E_Suivi_Eans!$D:$D,"Emballages ménagers",E_Suivi_Eans!$J:$J,"Relance 1",E_Suivi_Eans!$K:$K,"&gt;31/12/2021",E_Suivi_Eans!$K:$K,"&lt;01/10/2022")+COUNTIFS(E_Suivi_Eans!$C:$C,"04/2022",E_Suivi_Eans!$D:$D,"Emballages ménagers",E_Suivi_Eans!$J:$J,"Relance 2",E_Suivi_Eans!$K:$K,"&gt;31/12/2021",E_Suivi_Eans!$K:$K,"&lt;01/10/2022")+COUNTIFS(E_Suivi_Eans!$C:$C,"04/2022",E_Suivi_Eans!$D:$D,"Emballages ménagers",E_Suivi_Eans!$J:$J,"Relance 3",E_Suivi_Eans!$K:$K,"&gt;31/12/2021",E_Suivi_Eans!$K:$K,"&lt;01/10/2022")</f>
        <v>0</v>
      </c>
      <c r="E51" s="21">
        <f>COUNTIFS(E_Suivi_Eans!$C:$C,"04/2022",E_Suivi_Eans!$D:$D,"Emballages ménagers",E_Suivi_Eans!$J:$J,"Abandon",E_Suivi_Eans!$K:$K,"&gt;31/12/2021",E_Suivi_Eans!K:K,"&lt;01/10/2022")</f>
        <v>0</v>
      </c>
      <c r="F51" s="21">
        <f>COUNTIFS(E_Suivi_Eans!$C:$C,"04/2022",E_Suivi_Eans!$D:$D,"Emballages ménagers")</f>
        <v>0</v>
      </c>
      <c r="G51" s="21">
        <f t="shared" si="9"/>
        <v>0</v>
      </c>
      <c r="J51" s="20" t="s">
        <v>5317</v>
      </c>
      <c r="K51" s="20" t="s">
        <v>5325</v>
      </c>
      <c r="L51" s="28" t="e">
        <f t="shared" si="10"/>
        <v>#DIV/0!</v>
      </c>
      <c r="M51" s="28" t="e">
        <f t="shared" si="10"/>
        <v>#DIV/0!</v>
      </c>
      <c r="N51" s="28" t="e">
        <f t="shared" si="10"/>
        <v>#DIV/0!</v>
      </c>
      <c r="O51" s="28">
        <v>1</v>
      </c>
      <c r="P51" s="28" t="e">
        <f t="shared" si="11"/>
        <v>#DIV/0!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COUNTIFS(E_Suivi_Eans!$C:$C,"04/2022",E_Suivi_Eans!$D:$D,"Emballages ménagers",E_Suivi_Eans!$J:$J,"Retour OK",E_Suivi_Eans!$K:$K,"&gt;31/12/2021",E_Suivi_Eans!K:K,"&lt;01/11/2022")</f>
        <v>0</v>
      </c>
      <c r="D52" s="21">
        <f>COUNTIFS(E_Suivi_Eans!$C:$C,"04/2022",E_Suivi_Eans!$D:$D,"Emballages ménagers",E_Suivi_Eans!$J:$J,"Rejet 0",E_Suivi_Eans!$K:$K,"&gt;31/12/2021",E_Suivi_Eans!$K:$K,"&lt;01/11/2022")+ COUNTIFS(E_Suivi_Eans!$C:$C,"04/2022",E_Suivi_Eans!$D:$D,"Emballages ménagers",E_Suivi_Eans!$J:$J,"Rejet 1",E_Suivi_Eans!$K:$K,"&gt;31/12/2021",E_Suivi_Eans!$K:$K,"&lt;01/11/2022")+COUNTIFS(E_Suivi_Eans!$C:$C,"04/2022",E_Suivi_Eans!$D:$D,"Emballages ménagers",E_Suivi_Eans!$J:$J,"Rejet 2",E_Suivi_Eans!$K:$K,"&gt;31/12/2021",E_Suivi_Eans!$K:$K,"&lt;01/11/2022")+COUNTIFS(E_Suivi_Eans!$C:$C,"04/2022",E_Suivi_Eans!$D:$D,"Emballages ménagers",E_Suivi_Eans!$J:$J,"Rejet 3",E_Suivi_Eans!$K:$K,"&gt;31/12/2021",E_Suivi_Eans!$K:$K,"&lt;01/11/2022")+ COUNTIFS(E_Suivi_Eans!$C:$C,"04/2022",E_Suivi_Eans!$D:$D,"Emballages ménagers",E_Suivi_Eans!$J:$J,"Rejet 4",E_Suivi_Eans!$K:$K,"&gt;31/12/2021",E_Suivi_Eans!$K:$K,"&lt;01/11/2022")+COUNTIFS(E_Suivi_Eans!$C:$C,"04/2022",E_Suivi_Eans!$D:$D,"Emballages ménagers",E_Suivi_Eans!$J:$J,"Relance 1",E_Suivi_Eans!$K:$K,"&gt;31/12/2021",E_Suivi_Eans!$K:$K,"&lt;01/11/2022")+COUNTIFS(E_Suivi_Eans!$C:$C,"04/2022",E_Suivi_Eans!$D:$D,"Emballages ménagers",E_Suivi_Eans!$J:$J,"Relance 2",E_Suivi_Eans!$K:$K,"&gt;31/12/2021",E_Suivi_Eans!$K:$K,"&lt;01/11/2022")+COUNTIFS(E_Suivi_Eans!$C:$C,"04/2022",E_Suivi_Eans!$D:$D,"Emballages ménagers",E_Suivi_Eans!$J:$J,"Relance 3",E_Suivi_Eans!$K:$K,"&gt;31/12/2021",E_Suivi_Eans!$K:$K,"&lt;01/11/2022")</f>
        <v>0</v>
      </c>
      <c r="E52" s="21">
        <f>COUNTIFS(E_Suivi_Eans!$C:$C,"04/2022",E_Suivi_Eans!$D:$D,"Emballages ménagers",E_Suivi_Eans!$J:$J,"Abandon",E_Suivi_Eans!$K:$K,"&gt;31/12/2021",E_Suivi_Eans!K:K,"&lt;01/11/2022")</f>
        <v>0</v>
      </c>
      <c r="F52" s="21">
        <f>COUNTIFS(E_Suivi_Eans!$C:$C,"04/2022",E_Suivi_Eans!$D:$D,"Emballages ménagers")</f>
        <v>0</v>
      </c>
      <c r="G52" s="21">
        <f t="shared" si="9"/>
        <v>0</v>
      </c>
      <c r="J52" s="20" t="s">
        <v>5317</v>
      </c>
      <c r="K52" s="20" t="s">
        <v>5326</v>
      </c>
      <c r="L52" s="28" t="e">
        <f t="shared" si="10"/>
        <v>#DIV/0!</v>
      </c>
      <c r="M52" s="28" t="e">
        <f t="shared" si="10"/>
        <v>#DIV/0!</v>
      </c>
      <c r="N52" s="28" t="e">
        <f t="shared" si="10"/>
        <v>#DIV/0!</v>
      </c>
      <c r="O52" s="28">
        <v>1</v>
      </c>
      <c r="P52" s="28" t="e">
        <f t="shared" si="11"/>
        <v>#DIV/0!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COUNTIFS(E_Suivi_Eans!$C:$C,"04/2022",E_Suivi_Eans!$D:$D,"Emballages ménagers",E_Suivi_Eans!$J:$J,"Retour OK",E_Suivi_Eans!$K:$K,"&gt;31/12/2021",E_Suivi_Eans!K:K,"&lt;01/12/2022")</f>
        <v>0</v>
      </c>
      <c r="D53" s="21">
        <f>COUNTIFS(E_Suivi_Eans!$C:$C,"04/2022",E_Suivi_Eans!$D:$D,"Emballages ménagers",E_Suivi_Eans!$J:$J,"Rejet 0",E_Suivi_Eans!$K:$K,"&gt;31/12/2021",E_Suivi_Eans!$K:$K,"&lt;01/12/2022")+ COUNTIFS(E_Suivi_Eans!$C:$C,"04/2022",E_Suivi_Eans!$D:$D,"Emballages ménagers",E_Suivi_Eans!$J:$J,"Rejet 1",E_Suivi_Eans!$K:$K,"&gt;31/12/2021",E_Suivi_Eans!$K:$K,"&lt;01/12/2022")+COUNTIFS(E_Suivi_Eans!$C:$C,"04/2022",E_Suivi_Eans!$D:$D,"Emballages ménagers",E_Suivi_Eans!$J:$J,"Rejet 2",E_Suivi_Eans!$K:$K,"&gt;31/12/2021",E_Suivi_Eans!$K:$K,"&lt;01/12/2022")+COUNTIFS(E_Suivi_Eans!$C:$C,"04/2022",E_Suivi_Eans!$D:$D,"Emballages ménagers",E_Suivi_Eans!$J:$J,"Rejet 3",E_Suivi_Eans!$K:$K,"&gt;31/12/2021",E_Suivi_Eans!$K:$K,"&lt;01/12/2022")+ COUNTIFS(E_Suivi_Eans!$C:$C,"04/2022",E_Suivi_Eans!$D:$D,"Emballages ménagers",E_Suivi_Eans!$J:$J,"Rejet 4",E_Suivi_Eans!$K:$K,"&gt;31/12/2021",E_Suivi_Eans!$K:$K,"&lt;01/12/2022")+COUNTIFS(E_Suivi_Eans!$C:$C,"04/2022",E_Suivi_Eans!$D:$D,"Emballages ménagers",E_Suivi_Eans!$J:$J,"Relance 1",E_Suivi_Eans!$K:$K,"&gt;31/12/2021",E_Suivi_Eans!$K:$K,"&lt;01/12/2022")+COUNTIFS(E_Suivi_Eans!$C:$C,"04/2022",E_Suivi_Eans!$D:$D,"Emballages ménagers",E_Suivi_Eans!$J:$J,"Relance 2",E_Suivi_Eans!$K:$K,"&gt;31/12/2021",E_Suivi_Eans!$K:$K,"&lt;01/12/2022")+COUNTIFS(E_Suivi_Eans!$C:$C,"04/2022",E_Suivi_Eans!$D:$D,"Emballages ménagers",E_Suivi_Eans!$J:$J,"Relance 3",E_Suivi_Eans!$K:$K,"&gt;31/12/2021",E_Suivi_Eans!$K:$K,"&lt;01/12/2022")</f>
        <v>0</v>
      </c>
      <c r="E53" s="21">
        <f>COUNTIFS(E_Suivi_Eans!$C:$C,"04/2022",E_Suivi_Eans!$D:$D,"Emballages ménagers",E_Suivi_Eans!$J:$J,"Abandon",E_Suivi_Eans!$K:$K,"&gt;31/12/2021",E_Suivi_Eans!K:K,"&lt;01/12/2022")</f>
        <v>0</v>
      </c>
      <c r="F53" s="21">
        <f>COUNTIFS(E_Suivi_Eans!$C:$C,"04/2022",E_Suivi_Eans!$D:$D,"Emballages ménagers")</f>
        <v>0</v>
      </c>
      <c r="G53" s="21">
        <f t="shared" si="9"/>
        <v>0</v>
      </c>
      <c r="J53" s="20" t="s">
        <v>5317</v>
      </c>
      <c r="K53" s="20" t="s">
        <v>5327</v>
      </c>
      <c r="L53" s="28" t="e">
        <f t="shared" si="10"/>
        <v>#DIV/0!</v>
      </c>
      <c r="M53" s="28" t="e">
        <f t="shared" si="10"/>
        <v>#DIV/0!</v>
      </c>
      <c r="N53" s="28" t="e">
        <f t="shared" si="10"/>
        <v>#DIV/0!</v>
      </c>
      <c r="O53" s="28">
        <v>1</v>
      </c>
      <c r="P53" s="28" t="e">
        <f t="shared" si="11"/>
        <v>#DIV/0!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8"/>
      <c r="P54" s="28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5"/>
      <c r="E55" s="25"/>
      <c r="F55" s="25"/>
      <c r="G55" s="25"/>
      <c r="J55" s="22"/>
      <c r="K55" s="22"/>
      <c r="L55" s="23"/>
      <c r="M55" s="25"/>
      <c r="N55" s="25"/>
      <c r="O55" s="31"/>
      <c r="P55" s="31"/>
      <c r="S55" s="22"/>
      <c r="T55" s="22"/>
      <c r="U55" s="23"/>
      <c r="V55" s="25"/>
      <c r="W55" s="25"/>
      <c r="X55" s="25"/>
      <c r="Y55" s="25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8"/>
      <c r="P56" s="28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8"/>
      <c r="P57" s="28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8"/>
      <c r="P58" s="28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3"/>
      <c r="J59" s="20" t="s">
        <v>5318</v>
      </c>
      <c r="K59" s="20" t="s">
        <v>5317</v>
      </c>
      <c r="L59" s="21"/>
      <c r="M59" s="21"/>
      <c r="N59" s="21"/>
      <c r="O59" s="28"/>
      <c r="P59" s="28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COUNTIFS(E_Suivi_Eans!$C:$C,"05/2022",E_Suivi_Eans!$D:$D,"Emballages ménagers",E_Suivi_Eans!$J:$J,"Retour OK",E_Suivi_Eans!$K:$K,"&gt;31/12/2021",E_Suivi_Eans!K:K,"&lt;01/06/2022")</f>
        <v>0</v>
      </c>
      <c r="D60" s="21">
        <f>COUNTIFS(E_Suivi_Eans!$C:$C,"05/2022",E_Suivi_Eans!$D:$D,"Emballages ménagers",E_Suivi_Eans!$J:$J,"Rejet 0",E_Suivi_Eans!$K:$K,"&gt;31/12/2021",E_Suivi_Eans!$K:$K,"&lt;01/06/2022")+ COUNTIFS(E_Suivi_Eans!$C:$C,"05/2022",E_Suivi_Eans!$D:$D,"Emballages ménagers",E_Suivi_Eans!$J:$J,"Rejet 1",E_Suivi_Eans!$K:$K,"&gt;31/12/2021",E_Suivi_Eans!$K:$K,"&lt;01/06/2022")+COUNTIFS(E_Suivi_Eans!$C:$C,"05/2022",E_Suivi_Eans!$D:$D,"Emballages ménagers",E_Suivi_Eans!$J:$J,"Rejet 2",E_Suivi_Eans!$K:$K,"&gt;31/12/2021",E_Suivi_Eans!$K:$K,"&lt;01/06/2022")+COUNTIFS(E_Suivi_Eans!$C:$C,"05/2022",E_Suivi_Eans!$D:$D,"Emballages ménagers",E_Suivi_Eans!$J:$J,"Rejet 3",E_Suivi_Eans!$K:$K,"&gt;31/12/2021",E_Suivi_Eans!$K:$K,"&lt;01/06/2022")+ COUNTIFS(E_Suivi_Eans!$C:$C,"05/2022",E_Suivi_Eans!$D:$D,"Emballages ménagers",E_Suivi_Eans!$J:$J,"Rejet 4",E_Suivi_Eans!$K:$K,"&gt;31/12/2021",E_Suivi_Eans!$K:$K,"&lt;01/06/2022")+COUNTIFS(E_Suivi_Eans!$C:$C,"05/2022",E_Suivi_Eans!$D:$D,"Emballages ménagers",E_Suivi_Eans!$J:$J,"Relance 1",E_Suivi_Eans!$K:$K,"&gt;31/12/2021",E_Suivi_Eans!$K:$K,"&lt;01/06/2022")+COUNTIFS(E_Suivi_Eans!$C:$C,"05/2022",E_Suivi_Eans!$D:$D,"Emballages ménagers",E_Suivi_Eans!$J:$J,"Relance 2",E_Suivi_Eans!$K:$K,"&gt;31/12/2021",E_Suivi_Eans!$K:$K,"&lt;01/06/2022")+COUNTIFS(E_Suivi_Eans!$C:$C,"05/2022",E_Suivi_Eans!$D:$D,"Emballages ménagers",E_Suivi_Eans!$J:$J,"Relance 3",E_Suivi_Eans!$K:$K,"&gt;31/12/2021",E_Suivi_Eans!$K:$K,"&lt;01/06/2022")</f>
        <v>0</v>
      </c>
      <c r="E60" s="21">
        <f>COUNTIFS(E_Suivi_Eans!$C:$C,"05/2022",E_Suivi_Eans!$D:$D,"Emballages ménagers",E_Suivi_Eans!$J:$J,"Abandon",E_Suivi_Eans!$K:$K,"&gt;31/12/2021",E_Suivi_Eans!K:K,"&lt;01/06/2022")</f>
        <v>0</v>
      </c>
      <c r="F60" s="21">
        <f>COUNTIFS(E_Suivi_Eans!$C:$C,"05/2022",E_Suivi_Eans!$D:$D,"Emballages ménagers")</f>
        <v>0</v>
      </c>
      <c r="G60" s="21">
        <f t="shared" ref="G60:G66" si="12">F60-E60</f>
        <v>0</v>
      </c>
      <c r="J60" s="20" t="s">
        <v>5318</v>
      </c>
      <c r="K60" s="20" t="s">
        <v>5318</v>
      </c>
      <c r="L60" s="28">
        <f>IF($G60=0,0,C60/$G60)</f>
        <v>0</v>
      </c>
      <c r="M60" s="28">
        <f t="shared" ref="M60:N66" si="13">IF($G60=0,0,D60/$G60)</f>
        <v>0</v>
      </c>
      <c r="N60" s="28">
        <f t="shared" si="13"/>
        <v>0</v>
      </c>
      <c r="O60" s="28">
        <v>1</v>
      </c>
      <c r="P60" s="28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COUNTIFS(E_Suivi_Eans!$C:$C,"05/2022",E_Suivi_Eans!$D:$D,"Emballages ménagers",E_Suivi_Eans!$J:$J,"Retour OK",E_Suivi_Eans!$K:$K,"&gt;31/12/2021",E_Suivi_Eans!K:K,"&lt;01/07/2022")</f>
        <v>0</v>
      </c>
      <c r="D61" s="21">
        <f>COUNTIFS(E_Suivi_Eans!$C:$C,"05/2022",E_Suivi_Eans!$D:$D,"Emballages ménagers",E_Suivi_Eans!$J:$J,"Rejet 0",E_Suivi_Eans!$K:$K,"&gt;31/12/2021",E_Suivi_Eans!$K:$K,"&lt;01/07/2022")+ COUNTIFS(E_Suivi_Eans!$C:$C,"05/2022",E_Suivi_Eans!$D:$D,"Emballages ménagers",E_Suivi_Eans!$J:$J,"Rejet 1",E_Suivi_Eans!$K:$K,"&gt;31/12/2021",E_Suivi_Eans!$K:$K,"&lt;01/07/2022")+COUNTIFS(E_Suivi_Eans!$C:$C,"05/2022",E_Suivi_Eans!$D:$D,"Emballages ménagers",E_Suivi_Eans!$J:$J,"Rejet 2",E_Suivi_Eans!$K:$K,"&gt;31/12/2021",E_Suivi_Eans!$K:$K,"&lt;01/07/2022")+COUNTIFS(E_Suivi_Eans!$C:$C,"05/2022",E_Suivi_Eans!$D:$D,"Emballages ménagers",E_Suivi_Eans!$J:$J,"Rejet 3",E_Suivi_Eans!$K:$K,"&gt;31/12/2021",E_Suivi_Eans!$K:$K,"&lt;01/07/2022")+ COUNTIFS(E_Suivi_Eans!$C:$C,"05/2022",E_Suivi_Eans!$D:$D,"Emballages ménagers",E_Suivi_Eans!$J:$J,"Rejet 4",E_Suivi_Eans!$K:$K,"&gt;31/12/2021",E_Suivi_Eans!$K:$K,"&lt;01/07/2022")+COUNTIFS(E_Suivi_Eans!$C:$C,"05/2022",E_Suivi_Eans!$D:$D,"Emballages ménagers",E_Suivi_Eans!$J:$J,"Relance 1",E_Suivi_Eans!$K:$K,"&gt;31/12/2021",E_Suivi_Eans!$K:$K,"&lt;01/07/2022")+COUNTIFS(E_Suivi_Eans!$C:$C,"05/2022",E_Suivi_Eans!$D:$D,"Emballages ménagers",E_Suivi_Eans!$J:$J,"Relance 2",E_Suivi_Eans!$K:$K,"&gt;31/12/2021",E_Suivi_Eans!$K:$K,"&lt;01/07/2022")+COUNTIFS(E_Suivi_Eans!$C:$C,"05/2022",E_Suivi_Eans!$D:$D,"Emballages ménagers",E_Suivi_Eans!$J:$J,"Relance 3",E_Suivi_Eans!$K:$K,"&gt;31/12/2021",E_Suivi_Eans!$K:$K,"&lt;01/07/2022")</f>
        <v>0</v>
      </c>
      <c r="E61" s="21">
        <f>COUNTIFS(E_Suivi_Eans!$C:$C,"05/2022",E_Suivi_Eans!$D:$D,"Emballages ménagers",E_Suivi_Eans!$J:$J,"Abandon",E_Suivi_Eans!$K:$K,"&gt;31/12/2021",E_Suivi_Eans!K:K,"&lt;01/07/2022")</f>
        <v>0</v>
      </c>
      <c r="F61" s="21">
        <f>COUNTIFS(E_Suivi_Eans!$C:$C,"05/2022",E_Suivi_Eans!$D:$D,"Emballages ménagers")</f>
        <v>0</v>
      </c>
      <c r="G61" s="21">
        <f t="shared" si="12"/>
        <v>0</v>
      </c>
      <c r="J61" s="20" t="s">
        <v>5318</v>
      </c>
      <c r="K61" s="20" t="s">
        <v>5319</v>
      </c>
      <c r="L61" s="28">
        <f t="shared" ref="L61:L66" si="15">IF($G61=0,0,C61/$G61)</f>
        <v>0</v>
      </c>
      <c r="M61" s="28">
        <f t="shared" si="13"/>
        <v>0</v>
      </c>
      <c r="N61" s="28">
        <f t="shared" si="13"/>
        <v>0</v>
      </c>
      <c r="O61" s="28">
        <v>1</v>
      </c>
      <c r="P61" s="28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COUNTIFS(E_Suivi_Eans!$C:$C,"05/2022",E_Suivi_Eans!$D:$D,"Emballages ménagers",E_Suivi_Eans!$J:$J,"Retour OK",E_Suivi_Eans!$K:$K,"&gt;31/12/2021",E_Suivi_Eans!K:K,"&lt;01/08/2022")</f>
        <v>0</v>
      </c>
      <c r="D62" s="21">
        <f>COUNTIFS(E_Suivi_Eans!$C:$C,"05/2022",E_Suivi_Eans!$D:$D,"Emballages ménagers",E_Suivi_Eans!$J:$J,"Rejet 0",E_Suivi_Eans!$K:$K,"&gt;31/12/2021",E_Suivi_Eans!$K:$K,"&lt;01/08/2022")+ COUNTIFS(E_Suivi_Eans!$C:$C,"05/2022",E_Suivi_Eans!$D:$D,"Emballages ménagers",E_Suivi_Eans!$J:$J,"Rejet 1",E_Suivi_Eans!$K:$K,"&gt;31/12/2021",E_Suivi_Eans!$K:$K,"&lt;01/08/2022")+COUNTIFS(E_Suivi_Eans!$C:$C,"05/2022",E_Suivi_Eans!$D:$D,"Emballages ménagers",E_Suivi_Eans!$J:$J,"Rejet 2",E_Suivi_Eans!$K:$K,"&gt;31/12/2021",E_Suivi_Eans!$K:$K,"&lt;01/08/2022")+COUNTIFS(E_Suivi_Eans!$C:$C,"05/2022",E_Suivi_Eans!$D:$D,"Emballages ménagers",E_Suivi_Eans!$J:$J,"Rejet 3",E_Suivi_Eans!$K:$K,"&gt;31/12/2021",E_Suivi_Eans!$K:$K,"&lt;01/08/2022")+ COUNTIFS(E_Suivi_Eans!$C:$C,"05/2022",E_Suivi_Eans!$D:$D,"Emballages ménagers",E_Suivi_Eans!$J:$J,"Rejet 4",E_Suivi_Eans!$K:$K,"&gt;31/12/2021",E_Suivi_Eans!$K:$K,"&lt;01/08/2022")+COUNTIFS(E_Suivi_Eans!$C:$C,"05/2022",E_Suivi_Eans!$D:$D,"Emballages ménagers",E_Suivi_Eans!$J:$J,"Relance 1",E_Suivi_Eans!$K:$K,"&gt;31/12/2021",E_Suivi_Eans!$K:$K,"&lt;01/08/2022")+COUNTIFS(E_Suivi_Eans!$C:$C,"05/2022",E_Suivi_Eans!$D:$D,"Emballages ménagers",E_Suivi_Eans!$J:$J,"Relance 2",E_Suivi_Eans!$K:$K,"&gt;31/12/2021",E_Suivi_Eans!$K:$K,"&lt;01/08/2022")+COUNTIFS(E_Suivi_Eans!$C:$C,"05/2022",E_Suivi_Eans!$D:$D,"Emballages ménagers",E_Suivi_Eans!$J:$J,"Relance 3",E_Suivi_Eans!$K:$K,"&gt;31/12/2021",E_Suivi_Eans!$K:$K,"&lt;01/08/2022")</f>
        <v>0</v>
      </c>
      <c r="E62" s="21">
        <f>COUNTIFS(E_Suivi_Eans!$C:$C,"05/2022",E_Suivi_Eans!$D:$D,"Emballages ménagers",E_Suivi_Eans!$J:$J,"Abandon",E_Suivi_Eans!$K:$K,"&gt;31/12/2021",E_Suivi_Eans!K:K,"&lt;01/08/2022")</f>
        <v>0</v>
      </c>
      <c r="F62" s="21">
        <f>COUNTIFS(E_Suivi_Eans!$C:$C,"05/2022",E_Suivi_Eans!$D:$D,"Emballages ménagers")</f>
        <v>0</v>
      </c>
      <c r="G62" s="21">
        <f t="shared" si="12"/>
        <v>0</v>
      </c>
      <c r="J62" s="20" t="s">
        <v>5318</v>
      </c>
      <c r="K62" s="20" t="s">
        <v>5320</v>
      </c>
      <c r="L62" s="28">
        <f t="shared" si="15"/>
        <v>0</v>
      </c>
      <c r="M62" s="28">
        <f t="shared" si="13"/>
        <v>0</v>
      </c>
      <c r="N62" s="28">
        <f t="shared" si="13"/>
        <v>0</v>
      </c>
      <c r="O62" s="28">
        <v>1</v>
      </c>
      <c r="P62" s="28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COUNTIFS(E_Suivi_Eans!$C:$C,"05/2022",E_Suivi_Eans!$D:$D,"Emballages ménagers",E_Suivi_Eans!$J:$J,"Retour OK",E_Suivi_Eans!$K:$K,"&gt;31/12/2021",E_Suivi_Eans!K:K,"&lt;01/09/2022")</f>
        <v>0</v>
      </c>
      <c r="D63" s="21">
        <f>COUNTIFS(E_Suivi_Eans!$C:$C,"05/2022",E_Suivi_Eans!$D:$D,"Emballages ménagers",E_Suivi_Eans!$J:$J,"Rejet 0",E_Suivi_Eans!$K:$K,"&gt;31/12/2021",E_Suivi_Eans!$K:$K,"&lt;01/09/2022")+ COUNTIFS(E_Suivi_Eans!$C:$C,"05/2022",E_Suivi_Eans!$D:$D,"Emballages ménagers",E_Suivi_Eans!$J:$J,"Rejet 1",E_Suivi_Eans!$K:$K,"&gt;31/12/2021",E_Suivi_Eans!$K:$K,"&lt;01/09/2022")+COUNTIFS(E_Suivi_Eans!$C:$C,"05/2022",E_Suivi_Eans!$D:$D,"Emballages ménagers",E_Suivi_Eans!$J:$J,"Rejet 2",E_Suivi_Eans!$K:$K,"&gt;31/12/2021",E_Suivi_Eans!$K:$K,"&lt;01/09/2022")+COUNTIFS(E_Suivi_Eans!$C:$C,"05/2022",E_Suivi_Eans!$D:$D,"Emballages ménagers",E_Suivi_Eans!$J:$J,"Rejet 3",E_Suivi_Eans!$K:$K,"&gt;31/12/2021",E_Suivi_Eans!$K:$K,"&lt;01/09/2022")+ COUNTIFS(E_Suivi_Eans!$C:$C,"05/2022",E_Suivi_Eans!$D:$D,"Emballages ménagers",E_Suivi_Eans!$J:$J,"Rejet 4",E_Suivi_Eans!$K:$K,"&gt;31/12/2021",E_Suivi_Eans!$K:$K,"&lt;01/09/2022")+COUNTIFS(E_Suivi_Eans!$C:$C,"05/2022",E_Suivi_Eans!$D:$D,"Emballages ménagers",E_Suivi_Eans!$J:$J,"Relance 1",E_Suivi_Eans!$K:$K,"&gt;31/12/2021",E_Suivi_Eans!$K:$K,"&lt;01/09/2022")+COUNTIFS(E_Suivi_Eans!$C:$C,"05/2022",E_Suivi_Eans!$D:$D,"Emballages ménagers",E_Suivi_Eans!$J:$J,"Relance 2",E_Suivi_Eans!$K:$K,"&gt;31/12/2021",E_Suivi_Eans!$K:$K,"&lt;01/09/2022")+COUNTIFS(E_Suivi_Eans!$C:$C,"05/2022",E_Suivi_Eans!$D:$D,"Emballages ménagers",E_Suivi_Eans!$J:$J,"Relance 3",E_Suivi_Eans!$K:$K,"&gt;31/12/2021",E_Suivi_Eans!$K:$K,"&lt;01/09/2022")</f>
        <v>0</v>
      </c>
      <c r="E63" s="21">
        <f>COUNTIFS(E_Suivi_Eans!$C:$C,"05/2022",E_Suivi_Eans!$D:$D,"Emballages ménagers",E_Suivi_Eans!$J:$J,"Abandon",E_Suivi_Eans!$K:$K,"&gt;31/12/2021",E_Suivi_Eans!K:K,"&lt;01/09/2022")</f>
        <v>0</v>
      </c>
      <c r="F63" s="21">
        <f>COUNTIFS(E_Suivi_Eans!$C:$C,"05/2022",E_Suivi_Eans!$D:$D,"Emballages ménagers")</f>
        <v>0</v>
      </c>
      <c r="G63" s="21">
        <f t="shared" si="12"/>
        <v>0</v>
      </c>
      <c r="J63" s="20" t="s">
        <v>5318</v>
      </c>
      <c r="K63" s="20" t="s">
        <v>5321</v>
      </c>
      <c r="L63" s="28">
        <f t="shared" si="15"/>
        <v>0</v>
      </c>
      <c r="M63" s="28">
        <f t="shared" si="13"/>
        <v>0</v>
      </c>
      <c r="N63" s="28">
        <f t="shared" si="13"/>
        <v>0</v>
      </c>
      <c r="O63" s="28">
        <v>1</v>
      </c>
      <c r="P63" s="28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COUNTIFS(E_Suivi_Eans!$C:$C,"05/2022",E_Suivi_Eans!$D:$D,"Emballages ménagers",E_Suivi_Eans!$J:$J,"Retour OK",E_Suivi_Eans!$K:$K,"&gt;31/12/2021",E_Suivi_Eans!K:K,"&lt;01/10/2022")</f>
        <v>0</v>
      </c>
      <c r="D64" s="21">
        <f>COUNTIFS(E_Suivi_Eans!$C:$C,"05/2022",E_Suivi_Eans!$D:$D,"Emballages ménagers",E_Suivi_Eans!$J:$J,"Rejet 0",E_Suivi_Eans!$K:$K,"&gt;31/12/2021",E_Suivi_Eans!$K:$K,"&lt;01/10/2022")+ COUNTIFS(E_Suivi_Eans!$C:$C,"05/2022",E_Suivi_Eans!$D:$D,"Emballages ménagers",E_Suivi_Eans!$J:$J,"Rejet 1",E_Suivi_Eans!$K:$K,"&gt;31/12/2021",E_Suivi_Eans!$K:$K,"&lt;01/10/2022")+COUNTIFS(E_Suivi_Eans!$C:$C,"05/2022",E_Suivi_Eans!$D:$D,"Emballages ménagers",E_Suivi_Eans!$J:$J,"Rejet 2",E_Suivi_Eans!$K:$K,"&gt;31/12/2021",E_Suivi_Eans!$K:$K,"&lt;01/10/2022")+COUNTIFS(E_Suivi_Eans!$C:$C,"05/2022",E_Suivi_Eans!$D:$D,"Emballages ménagers",E_Suivi_Eans!$J:$J,"Rejet 3",E_Suivi_Eans!$K:$K,"&gt;31/12/2021",E_Suivi_Eans!$K:$K,"&lt;01/10/2022")+ COUNTIFS(E_Suivi_Eans!$C:$C,"05/2022",E_Suivi_Eans!$D:$D,"Emballages ménagers",E_Suivi_Eans!$J:$J,"Rejet 4",E_Suivi_Eans!$K:$K,"&gt;31/12/2021",E_Suivi_Eans!$K:$K,"&lt;01/10/2022")+COUNTIFS(E_Suivi_Eans!$C:$C,"05/2022",E_Suivi_Eans!$D:$D,"Emballages ménagers",E_Suivi_Eans!$J:$J,"Relance 1",E_Suivi_Eans!$K:$K,"&gt;31/12/2021",E_Suivi_Eans!$K:$K,"&lt;01/10/2022")+COUNTIFS(E_Suivi_Eans!$C:$C,"05/2022",E_Suivi_Eans!$D:$D,"Emballages ménagers",E_Suivi_Eans!$J:$J,"Relance 2",E_Suivi_Eans!$K:$K,"&gt;31/12/2021",E_Suivi_Eans!$K:$K,"&lt;01/10/2022")+COUNTIFS(E_Suivi_Eans!$C:$C,"05/2022",E_Suivi_Eans!$D:$D,"Emballages ménagers",E_Suivi_Eans!$J:$J,"Relance 3",E_Suivi_Eans!$K:$K,"&gt;31/12/2021",E_Suivi_Eans!$K:$K,"&lt;01/10/2022")</f>
        <v>0</v>
      </c>
      <c r="E64" s="21">
        <f>COUNTIFS(E_Suivi_Eans!$C:$C,"05/2022",E_Suivi_Eans!$D:$D,"Emballages ménagers",E_Suivi_Eans!$J:$J,"Abandon",E_Suivi_Eans!$K:$K,"&gt;31/12/2021",E_Suivi_Eans!K:K,"&lt;01/10/2022")</f>
        <v>0</v>
      </c>
      <c r="F64" s="21">
        <f>COUNTIFS(E_Suivi_Eans!$C:$C,"05/2022",E_Suivi_Eans!$D:$D,"Emballages ménagers")</f>
        <v>0</v>
      </c>
      <c r="G64" s="21">
        <f t="shared" si="12"/>
        <v>0</v>
      </c>
      <c r="J64" s="20" t="s">
        <v>5318</v>
      </c>
      <c r="K64" s="20" t="s">
        <v>5325</v>
      </c>
      <c r="L64" s="28">
        <f t="shared" si="15"/>
        <v>0</v>
      </c>
      <c r="M64" s="28">
        <f t="shared" si="13"/>
        <v>0</v>
      </c>
      <c r="N64" s="28">
        <f t="shared" si="13"/>
        <v>0</v>
      </c>
      <c r="O64" s="28">
        <v>1</v>
      </c>
      <c r="P64" s="28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COUNTIFS(E_Suivi_Eans!$C:$C,"05/2022",E_Suivi_Eans!$D:$D,"Emballages ménagers",E_Suivi_Eans!$J:$J,"Retour OK",E_Suivi_Eans!$K:$K,"&gt;31/12/2021",E_Suivi_Eans!K:K,"&lt;01/11/2022")</f>
        <v>0</v>
      </c>
      <c r="D65" s="21">
        <f>COUNTIFS(E_Suivi_Eans!$C:$C,"05/2022",E_Suivi_Eans!$D:$D,"Emballages ménagers",E_Suivi_Eans!$J:$J,"Rejet 0",E_Suivi_Eans!$K:$K,"&gt;31/12/2021",E_Suivi_Eans!$K:$K,"&lt;01/11/2022")+ COUNTIFS(E_Suivi_Eans!$C:$C,"05/2022",E_Suivi_Eans!$D:$D,"Emballages ménagers",E_Suivi_Eans!$J:$J,"Rejet 1",E_Suivi_Eans!$K:$K,"&gt;31/12/2021",E_Suivi_Eans!$K:$K,"&lt;01/11/2022")+COUNTIFS(E_Suivi_Eans!$C:$C,"05/2022",E_Suivi_Eans!$D:$D,"Emballages ménagers",E_Suivi_Eans!$J:$J,"Rejet 2",E_Suivi_Eans!$K:$K,"&gt;31/12/2021",E_Suivi_Eans!$K:$K,"&lt;01/11/2022")+COUNTIFS(E_Suivi_Eans!$C:$C,"05/2022",E_Suivi_Eans!$D:$D,"Emballages ménagers",E_Suivi_Eans!$J:$J,"Rejet 3",E_Suivi_Eans!$K:$K,"&gt;31/12/2021",E_Suivi_Eans!$K:$K,"&lt;01/11/2022")+ COUNTIFS(E_Suivi_Eans!$C:$C,"05/2022",E_Suivi_Eans!$D:$D,"Emballages ménagers",E_Suivi_Eans!$J:$J,"Rejet 4",E_Suivi_Eans!$K:$K,"&gt;31/12/2021",E_Suivi_Eans!$K:$K,"&lt;01/11/2022")+COUNTIFS(E_Suivi_Eans!$C:$C,"05/2022",E_Suivi_Eans!$D:$D,"Emballages ménagers",E_Suivi_Eans!$J:$J,"Relance 1",E_Suivi_Eans!$K:$K,"&gt;31/12/2021",E_Suivi_Eans!$K:$K,"&lt;01/11/2022")+COUNTIFS(E_Suivi_Eans!$C:$C,"05/2022",E_Suivi_Eans!$D:$D,"Emballages ménagers",E_Suivi_Eans!$J:$J,"Relance 2",E_Suivi_Eans!$K:$K,"&gt;31/12/2021",E_Suivi_Eans!$K:$K,"&lt;01/11/2022")+COUNTIFS(E_Suivi_Eans!$C:$C,"05/2022",E_Suivi_Eans!$D:$D,"Emballages ménagers",E_Suivi_Eans!$J:$J,"Relance 3",E_Suivi_Eans!$K:$K,"&gt;31/12/2021",E_Suivi_Eans!$K:$K,"&lt;01/11/2022")</f>
        <v>0</v>
      </c>
      <c r="E65" s="21">
        <f>COUNTIFS(E_Suivi_Eans!$C:$C,"05/2022",E_Suivi_Eans!$D:$D,"Emballages ménagers",E_Suivi_Eans!$J:$J,"Abandon",E_Suivi_Eans!$K:$K,"&gt;31/12/2021",E_Suivi_Eans!K:K,"&lt;01/11/2022")</f>
        <v>0</v>
      </c>
      <c r="F65" s="21">
        <f>COUNTIFS(E_Suivi_Eans!$C:$C,"05/2022",E_Suivi_Eans!$D:$D,"Emballages ménagers")</f>
        <v>0</v>
      </c>
      <c r="G65" s="21">
        <f t="shared" si="12"/>
        <v>0</v>
      </c>
      <c r="J65" s="20" t="s">
        <v>5318</v>
      </c>
      <c r="K65" s="20" t="s">
        <v>5326</v>
      </c>
      <c r="L65" s="28">
        <f t="shared" si="15"/>
        <v>0</v>
      </c>
      <c r="M65" s="28">
        <f t="shared" si="13"/>
        <v>0</v>
      </c>
      <c r="N65" s="28">
        <f t="shared" si="13"/>
        <v>0</v>
      </c>
      <c r="O65" s="28">
        <v>1</v>
      </c>
      <c r="P65" s="28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COUNTIFS(E_Suivi_Eans!$C:$C,"05/2022",E_Suivi_Eans!$D:$D,"Emballages ménagers",E_Suivi_Eans!$J:$J,"Retour OK",E_Suivi_Eans!$K:$K,"&gt;31/12/2021",E_Suivi_Eans!K:K,"&lt;01/12/2022")</f>
        <v>0</v>
      </c>
      <c r="D66" s="21">
        <f>COUNTIFS(E_Suivi_Eans!$C:$C,"05/2022",E_Suivi_Eans!$D:$D,"Emballages ménagers",E_Suivi_Eans!$J:$J,"Rejet 0",E_Suivi_Eans!$K:$K,"&gt;31/12/2021",E_Suivi_Eans!$K:$K,"&lt;01/12/2022")+ COUNTIFS(E_Suivi_Eans!$C:$C,"05/2022",E_Suivi_Eans!$D:$D,"Emballages ménagers",E_Suivi_Eans!$J:$J,"Rejet 1",E_Suivi_Eans!$K:$K,"&gt;31/12/2021",E_Suivi_Eans!$K:$K,"&lt;01/12/2022")+COUNTIFS(E_Suivi_Eans!$C:$C,"05/2022",E_Suivi_Eans!$D:$D,"Emballages ménagers",E_Suivi_Eans!$J:$J,"Rejet 2",E_Suivi_Eans!$K:$K,"&gt;31/12/2021",E_Suivi_Eans!$K:$K,"&lt;01/12/2022")+COUNTIFS(E_Suivi_Eans!$C:$C,"05/2022",E_Suivi_Eans!$D:$D,"Emballages ménagers",E_Suivi_Eans!$J:$J,"Rejet 3",E_Suivi_Eans!$K:$K,"&gt;31/12/2021",E_Suivi_Eans!$K:$K,"&lt;01/12/2022")+ COUNTIFS(E_Suivi_Eans!$C:$C,"05/2022",E_Suivi_Eans!$D:$D,"Emballages ménagers",E_Suivi_Eans!$J:$J,"Rejet 4",E_Suivi_Eans!$K:$K,"&gt;31/12/2021",E_Suivi_Eans!$K:$K,"&lt;01/12/2022")+COUNTIFS(E_Suivi_Eans!$C:$C,"05/2022",E_Suivi_Eans!$D:$D,"Emballages ménagers",E_Suivi_Eans!$J:$J,"Relance 1",E_Suivi_Eans!$K:$K,"&gt;31/12/2021",E_Suivi_Eans!$K:$K,"&lt;01/12/2022")+COUNTIFS(E_Suivi_Eans!$C:$C,"05/2022",E_Suivi_Eans!$D:$D,"Emballages ménagers",E_Suivi_Eans!$J:$J,"Relance 2",E_Suivi_Eans!$K:$K,"&gt;31/12/2021",E_Suivi_Eans!$K:$K,"&lt;01/12/2022")+COUNTIFS(E_Suivi_Eans!$C:$C,"05/2022",E_Suivi_Eans!$D:$D,"Emballages ménagers",E_Suivi_Eans!$J:$J,"Relance 3",E_Suivi_Eans!$K:$K,"&gt;31/12/2021",E_Suivi_Eans!$K:$K,"&lt;01/12/2022")</f>
        <v>0</v>
      </c>
      <c r="E66" s="21">
        <f>COUNTIFS(E_Suivi_Eans!$C:$C,"05/2022",E_Suivi_Eans!$D:$D,"Emballages ménagers",E_Suivi_Eans!$J:$J,"Abandon",E_Suivi_Eans!$K:$K,"&gt;31/12/2021",E_Suivi_Eans!K:K,"&lt;01/12/2022")</f>
        <v>0</v>
      </c>
      <c r="F66" s="21">
        <f>COUNTIFS(E_Suivi_Eans!$C:$C,"05/2022",E_Suivi_Eans!$D:$D,"Emballages ménagers")</f>
        <v>0</v>
      </c>
      <c r="G66" s="21">
        <f t="shared" si="12"/>
        <v>0</v>
      </c>
      <c r="J66" s="20" t="s">
        <v>5318</v>
      </c>
      <c r="K66" s="20" t="s">
        <v>5327</v>
      </c>
      <c r="L66" s="28">
        <f t="shared" si="15"/>
        <v>0</v>
      </c>
      <c r="M66" s="28">
        <f t="shared" si="13"/>
        <v>0</v>
      </c>
      <c r="N66" s="28">
        <f t="shared" si="13"/>
        <v>0</v>
      </c>
      <c r="O66" s="28">
        <v>1</v>
      </c>
      <c r="P66" s="28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8"/>
      <c r="P67" s="28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5"/>
      <c r="E68" s="25"/>
      <c r="F68" s="25"/>
      <c r="G68" s="25"/>
      <c r="J68" s="22"/>
      <c r="K68" s="22"/>
      <c r="L68" s="23"/>
      <c r="M68" s="25"/>
      <c r="N68" s="25"/>
      <c r="O68" s="31"/>
      <c r="P68" s="31"/>
      <c r="S68" s="22"/>
      <c r="T68" s="22"/>
      <c r="U68" s="23"/>
      <c r="V68" s="25"/>
      <c r="W68" s="25"/>
      <c r="X68" s="25"/>
      <c r="Y68" s="25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8"/>
      <c r="P69" s="28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8"/>
      <c r="P70" s="28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8"/>
      <c r="P71" s="28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8"/>
      <c r="P72" s="28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8"/>
      <c r="P73" s="28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COUNTIFS(E_Suivi_Eans!$C:$C,"06/2022",E_Suivi_Eans!$D:$D,"Emballages ménagers",E_Suivi_Eans!$J:$J,"Retour OK",E_Suivi_Eans!$K:$K,"&gt;31/12/2021",E_Suivi_Eans!K:K,"&lt;01/07/2022")</f>
        <v>0</v>
      </c>
      <c r="D74" s="21">
        <f>COUNTIFS(E_Suivi_Eans!$C:$C,"06/2022",E_Suivi_Eans!$D:$D,"Emballages ménagers",E_Suivi_Eans!$J:$J,"Rejet 0",E_Suivi_Eans!$K:$K,"&gt;31/12/2021",E_Suivi_Eans!$K:$K,"&lt;01/07/2022")+ COUNTIFS(E_Suivi_Eans!$C:$C,"06/2022",E_Suivi_Eans!$D:$D,"Emballages ménagers",E_Suivi_Eans!$J:$J,"Rejet 1",E_Suivi_Eans!$K:$K,"&gt;31/12/2021",E_Suivi_Eans!$K:$K,"&lt;01/07/2022")+COUNTIFS(E_Suivi_Eans!$C:$C,"06/2022",E_Suivi_Eans!$D:$D,"Emballages ménagers",E_Suivi_Eans!$J:$J,"Rejet 2",E_Suivi_Eans!$K:$K,"&gt;31/12/2021",E_Suivi_Eans!$K:$K,"&lt;01/07/2022")+COUNTIFS(E_Suivi_Eans!$C:$C,"06/2022",E_Suivi_Eans!$D:$D,"Emballages ménagers",E_Suivi_Eans!$J:$J,"Rejet 3",E_Suivi_Eans!$K:$K,"&gt;31/12/2021",E_Suivi_Eans!$K:$K,"&lt;01/07/2022")+ COUNTIFS(E_Suivi_Eans!$C:$C,"06/2022",E_Suivi_Eans!$D:$D,"Emballages ménagers",E_Suivi_Eans!$J:$J,"Rejet 4",E_Suivi_Eans!$K:$K,"&gt;31/12/2021",E_Suivi_Eans!$K:$K,"&lt;01/07/2022")+COUNTIFS(E_Suivi_Eans!$C:$C,"06/2022",E_Suivi_Eans!$D:$D,"Emballages ménagers",E_Suivi_Eans!$J:$J,"Relance 1",E_Suivi_Eans!$K:$K,"&gt;31/12/2021",E_Suivi_Eans!$K:$K,"&lt;01/07/2022")+COUNTIFS(E_Suivi_Eans!$C:$C,"06/2022",E_Suivi_Eans!$D:$D,"Emballages ménagers",E_Suivi_Eans!$J:$J,"Relance 2",E_Suivi_Eans!$K:$K,"&gt;31/12/2021",E_Suivi_Eans!$K:$K,"&lt;01/07/2022")+COUNTIFS(E_Suivi_Eans!$C:$C,"06/2022",E_Suivi_Eans!$D:$D,"Emballages ménagers",E_Suivi_Eans!$J:$J,"Relance 3",E_Suivi_Eans!$K:$K,"&gt;31/12/2021",E_Suivi_Eans!$K:$K,"&lt;01/07/2022")</f>
        <v>0</v>
      </c>
      <c r="E74" s="21">
        <f>COUNTIFS(E_Suivi_Eans!$C:$C,"06/2022",E_Suivi_Eans!$D:$D,"Emballages ménagers",E_Suivi_Eans!$J:$J,"Abandon",E_Suivi_Eans!$K:$K,"&gt;31/12/2021",E_Suivi_Eans!K:K,"&lt;01/07/2022")</f>
        <v>0</v>
      </c>
      <c r="F74" s="21">
        <f>COUNTIFS(E_Suivi_Eans!$C:$C,"06/2022",E_Suivi_Eans!$D:$D,"Emballages ménagers")</f>
        <v>0</v>
      </c>
      <c r="G74" s="21">
        <f t="shared" ref="G74:G79" si="16">F74-E74</f>
        <v>0</v>
      </c>
      <c r="J74" s="20" t="s">
        <v>5319</v>
      </c>
      <c r="K74" s="20" t="s">
        <v>5319</v>
      </c>
      <c r="L74" s="28">
        <f t="shared" ref="L74:N79" si="17">IF($G74=0,0,C74/$G74)</f>
        <v>0</v>
      </c>
      <c r="M74" s="28">
        <f t="shared" si="17"/>
        <v>0</v>
      </c>
      <c r="N74" s="28">
        <f t="shared" si="17"/>
        <v>0</v>
      </c>
      <c r="O74" s="28">
        <v>1</v>
      </c>
      <c r="P74" s="28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COUNTIFS(E_Suivi_Eans!$C:$C,"06/2022",E_Suivi_Eans!$D:$D,"Emballages ménagers",E_Suivi_Eans!$J:$J,"Retour OK",E_Suivi_Eans!$K:$K,"&gt;31/12/2021",E_Suivi_Eans!K:K,"&lt;01/08/2022")</f>
        <v>0</v>
      </c>
      <c r="D75" s="21">
        <f>COUNTIFS(E_Suivi_Eans!$C:$C,"06/2022",E_Suivi_Eans!$D:$D,"Emballages ménagers",E_Suivi_Eans!$J:$J,"Rejet 0",E_Suivi_Eans!$K:$K,"&gt;31/12/2021",E_Suivi_Eans!$K:$K,"&lt;01/08/2022")+ COUNTIFS(E_Suivi_Eans!$C:$C,"06/2022",E_Suivi_Eans!$D:$D,"Emballages ménagers",E_Suivi_Eans!$J:$J,"Rejet 1",E_Suivi_Eans!$K:$K,"&gt;31/12/2021",E_Suivi_Eans!$K:$K,"&lt;01/08/2022")+COUNTIFS(E_Suivi_Eans!$C:$C,"06/2022",E_Suivi_Eans!$D:$D,"Emballages ménagers",E_Suivi_Eans!$J:$J,"Rejet 2",E_Suivi_Eans!$K:$K,"&gt;31/12/2021",E_Suivi_Eans!$K:$K,"&lt;01/08/2022")+COUNTIFS(E_Suivi_Eans!$C:$C,"06/2022",E_Suivi_Eans!$D:$D,"Emballages ménagers",E_Suivi_Eans!$J:$J,"Rejet 3",E_Suivi_Eans!$K:$K,"&gt;31/12/2021",E_Suivi_Eans!$K:$K,"&lt;01/08/2022")+ COUNTIFS(E_Suivi_Eans!$C:$C,"06/2022",E_Suivi_Eans!$D:$D,"Emballages ménagers",E_Suivi_Eans!$J:$J,"Rejet 4",E_Suivi_Eans!$K:$K,"&gt;31/12/2021",E_Suivi_Eans!$K:$K,"&lt;01/08/2022")+COUNTIFS(E_Suivi_Eans!$C:$C,"06/2022",E_Suivi_Eans!$D:$D,"Emballages ménagers",E_Suivi_Eans!$J:$J,"Relance 1",E_Suivi_Eans!$K:$K,"&gt;31/12/2021",E_Suivi_Eans!$K:$K,"&lt;01/08/2022")+COUNTIFS(E_Suivi_Eans!$C:$C,"06/2022",E_Suivi_Eans!$D:$D,"Emballages ménagers",E_Suivi_Eans!$J:$J,"Relance 2",E_Suivi_Eans!$K:$K,"&gt;31/12/2021",E_Suivi_Eans!$K:$K,"&lt;01/08/2022")+COUNTIFS(E_Suivi_Eans!$C:$C,"06/2022",E_Suivi_Eans!$D:$D,"Emballages ménagers",E_Suivi_Eans!$J:$J,"Relance 3",E_Suivi_Eans!$K:$K,"&gt;31/12/2021",E_Suivi_Eans!$K:$K,"&lt;01/08/2022")</f>
        <v>0</v>
      </c>
      <c r="E75" s="21">
        <f>COUNTIFS(E_Suivi_Eans!$C:$C,"06/2022",E_Suivi_Eans!$D:$D,"Emballages ménagers",E_Suivi_Eans!$J:$J,"Abandon",E_Suivi_Eans!$K:$K,"&gt;31/12/2021",E_Suivi_Eans!K:K,"&lt;01/08/2022")</f>
        <v>0</v>
      </c>
      <c r="F75" s="21">
        <f>COUNTIFS(E_Suivi_Eans!$C:$C,"06/2022",E_Suivi_Eans!$D:$D,"Emballages ménagers")</f>
        <v>0</v>
      </c>
      <c r="G75" s="21">
        <f t="shared" si="16"/>
        <v>0</v>
      </c>
      <c r="J75" s="20" t="s">
        <v>5319</v>
      </c>
      <c r="K75" s="20" t="s">
        <v>5320</v>
      </c>
      <c r="L75" s="28">
        <f t="shared" si="17"/>
        <v>0</v>
      </c>
      <c r="M75" s="28">
        <f t="shared" si="17"/>
        <v>0</v>
      </c>
      <c r="N75" s="28">
        <f t="shared" si="17"/>
        <v>0</v>
      </c>
      <c r="O75" s="28">
        <v>1</v>
      </c>
      <c r="P75" s="28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COUNTIFS(E_Suivi_Eans!$C:$C,"06/2022",E_Suivi_Eans!$D:$D,"Emballages ménagers",E_Suivi_Eans!$J:$J,"Retour OK",E_Suivi_Eans!$K:$K,"&gt;31/12/2021",E_Suivi_Eans!K:K,"&lt;01/09/2022")</f>
        <v>0</v>
      </c>
      <c r="D76" s="21">
        <f>COUNTIFS(E_Suivi_Eans!$C:$C,"06/2022",E_Suivi_Eans!$D:$D,"Emballages ménagers",E_Suivi_Eans!$J:$J,"Rejet 0",E_Suivi_Eans!$K:$K,"&gt;31/12/2021",E_Suivi_Eans!$K:$K,"&lt;01/09/2022")+ COUNTIFS(E_Suivi_Eans!$C:$C,"06/2022",E_Suivi_Eans!$D:$D,"Emballages ménagers",E_Suivi_Eans!$J:$J,"Rejet 1",E_Suivi_Eans!$K:$K,"&gt;31/12/2021",E_Suivi_Eans!$K:$K,"&lt;01/09/2022")+COUNTIFS(E_Suivi_Eans!$C:$C,"06/2022",E_Suivi_Eans!$D:$D,"Emballages ménagers",E_Suivi_Eans!$J:$J,"Rejet 2",E_Suivi_Eans!$K:$K,"&gt;31/12/2021",E_Suivi_Eans!$K:$K,"&lt;01/09/2022")+COUNTIFS(E_Suivi_Eans!$C:$C,"06/2022",E_Suivi_Eans!$D:$D,"Emballages ménagers",E_Suivi_Eans!$J:$J,"Rejet 3",E_Suivi_Eans!$K:$K,"&gt;31/12/2021",E_Suivi_Eans!$K:$K,"&lt;01/09/2022")+ COUNTIFS(E_Suivi_Eans!$C:$C,"06/2022",E_Suivi_Eans!$D:$D,"Emballages ménagers",E_Suivi_Eans!$J:$J,"Rejet 4",E_Suivi_Eans!$K:$K,"&gt;31/12/2021",E_Suivi_Eans!$K:$K,"&lt;01/09/2022")+COUNTIFS(E_Suivi_Eans!$C:$C,"06/2022",E_Suivi_Eans!$D:$D,"Emballages ménagers",E_Suivi_Eans!$J:$J,"Relance 1",E_Suivi_Eans!$K:$K,"&gt;31/12/2021",E_Suivi_Eans!$K:$K,"&lt;01/09/2022")+COUNTIFS(E_Suivi_Eans!$C:$C,"06/2022",E_Suivi_Eans!$D:$D,"Emballages ménagers",E_Suivi_Eans!$J:$J,"Relance 2",E_Suivi_Eans!$K:$K,"&gt;31/12/2021",E_Suivi_Eans!$K:$K,"&lt;01/09/2022")+COUNTIFS(E_Suivi_Eans!$C:$C,"06/2022",E_Suivi_Eans!$D:$D,"Emballages ménagers",E_Suivi_Eans!$J:$J,"Relance 3",E_Suivi_Eans!$K:$K,"&gt;31/12/2021",E_Suivi_Eans!$K:$K,"&lt;01/09/2022")</f>
        <v>0</v>
      </c>
      <c r="E76" s="21">
        <f>COUNTIFS(E_Suivi_Eans!$C:$C,"06/2022",E_Suivi_Eans!$D:$D,"Emballages ménagers",E_Suivi_Eans!$J:$J,"Abandon",E_Suivi_Eans!$K:$K,"&gt;31/12/2021",E_Suivi_Eans!K:K,"&lt;01/09/2022")</f>
        <v>0</v>
      </c>
      <c r="F76" s="21">
        <f>COUNTIFS(E_Suivi_Eans!$C:$C,"06/2022",E_Suivi_Eans!$D:$D,"Emballages ménagers")</f>
        <v>0</v>
      </c>
      <c r="G76" s="21">
        <f t="shared" si="16"/>
        <v>0</v>
      </c>
      <c r="J76" s="20" t="s">
        <v>5319</v>
      </c>
      <c r="K76" s="20" t="s">
        <v>5321</v>
      </c>
      <c r="L76" s="28">
        <f t="shared" si="17"/>
        <v>0</v>
      </c>
      <c r="M76" s="28">
        <f t="shared" si="17"/>
        <v>0</v>
      </c>
      <c r="N76" s="28">
        <f t="shared" si="17"/>
        <v>0</v>
      </c>
      <c r="O76" s="28">
        <v>1</v>
      </c>
      <c r="P76" s="28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COUNTIFS(E_Suivi_Eans!$C:$C,"06/2022",E_Suivi_Eans!$D:$D,"Emballages ménagers",E_Suivi_Eans!$J:$J,"Retour OK",E_Suivi_Eans!$K:$K,"&gt;31/12/2021",E_Suivi_Eans!K:K,"&lt;01/10/2022")</f>
        <v>0</v>
      </c>
      <c r="D77" s="21">
        <f>COUNTIFS(E_Suivi_Eans!$C:$C,"06/2022",E_Suivi_Eans!$D:$D,"Emballages ménagers",E_Suivi_Eans!$J:$J,"Rejet 0",E_Suivi_Eans!$K:$K,"&gt;31/12/2021",E_Suivi_Eans!$K:$K,"&lt;01/10/2022")+ COUNTIFS(E_Suivi_Eans!$C:$C,"06/2022",E_Suivi_Eans!$D:$D,"Emballages ménagers",E_Suivi_Eans!$J:$J,"Rejet 1",E_Suivi_Eans!$K:$K,"&gt;31/12/2021",E_Suivi_Eans!$K:$K,"&lt;01/10/2022")+COUNTIFS(E_Suivi_Eans!$C:$C,"06/2022",E_Suivi_Eans!$D:$D,"Emballages ménagers",E_Suivi_Eans!$J:$J,"Rejet 2",E_Suivi_Eans!$K:$K,"&gt;31/12/2021",E_Suivi_Eans!$K:$K,"&lt;01/10/2022")+COUNTIFS(E_Suivi_Eans!$C:$C,"06/2022",E_Suivi_Eans!$D:$D,"Emballages ménagers",E_Suivi_Eans!$J:$J,"Rejet 3",E_Suivi_Eans!$K:$K,"&gt;31/12/2021",E_Suivi_Eans!$K:$K,"&lt;01/10/2022")+ COUNTIFS(E_Suivi_Eans!$C:$C,"06/2022",E_Suivi_Eans!$D:$D,"Emballages ménagers",E_Suivi_Eans!$J:$J,"Rejet 4",E_Suivi_Eans!$K:$K,"&gt;31/12/2021",E_Suivi_Eans!$K:$K,"&lt;01/10/2022")+COUNTIFS(E_Suivi_Eans!$C:$C,"06/2022",E_Suivi_Eans!$D:$D,"Emballages ménagers",E_Suivi_Eans!$J:$J,"Relance 1",E_Suivi_Eans!$K:$K,"&gt;31/12/2021",E_Suivi_Eans!$K:$K,"&lt;01/10/2022")+COUNTIFS(E_Suivi_Eans!$C:$C,"06/2022",E_Suivi_Eans!$D:$D,"Emballages ménagers",E_Suivi_Eans!$J:$J,"Relance 2",E_Suivi_Eans!$K:$K,"&gt;31/12/2021",E_Suivi_Eans!$K:$K,"&lt;01/10/2022")+COUNTIFS(E_Suivi_Eans!$C:$C,"06/2022",E_Suivi_Eans!$D:$D,"Emballages ménagers",E_Suivi_Eans!$J:$J,"Relance 3",E_Suivi_Eans!$K:$K,"&gt;31/12/2021",E_Suivi_Eans!$K:$K,"&lt;01/10/2022")</f>
        <v>0</v>
      </c>
      <c r="E77" s="21">
        <f>COUNTIFS(E_Suivi_Eans!$C:$C,"06/2022",E_Suivi_Eans!$D:$D,"Emballages ménagers",E_Suivi_Eans!$J:$J,"Abandon",E_Suivi_Eans!$K:$K,"&gt;31/12/2021",E_Suivi_Eans!K:K,"&lt;01/10/2022")</f>
        <v>0</v>
      </c>
      <c r="F77" s="21">
        <f>COUNTIFS(E_Suivi_Eans!$C:$C,"06/2022",E_Suivi_Eans!$D:$D,"Emballages ménagers")</f>
        <v>0</v>
      </c>
      <c r="G77" s="21">
        <f t="shared" si="16"/>
        <v>0</v>
      </c>
      <c r="J77" s="20" t="s">
        <v>5319</v>
      </c>
      <c r="K77" s="20" t="s">
        <v>5325</v>
      </c>
      <c r="L77" s="28">
        <f t="shared" si="17"/>
        <v>0</v>
      </c>
      <c r="M77" s="28">
        <f t="shared" si="17"/>
        <v>0</v>
      </c>
      <c r="N77" s="28">
        <f t="shared" si="17"/>
        <v>0</v>
      </c>
      <c r="O77" s="28">
        <v>1</v>
      </c>
      <c r="P77" s="28">
        <f t="shared" si="18"/>
        <v>1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COUNTIFS(E_Suivi_Eans!$C:$C,"06/2022",E_Suivi_Eans!$D:$D,"Emballages ménagers",E_Suivi_Eans!$J:$J,"Retour OK",E_Suivi_Eans!$K:$K,"&gt;31/12/2021",E_Suivi_Eans!K:K,"&lt;01/11/2022")</f>
        <v>0</v>
      </c>
      <c r="D78" s="21">
        <f>COUNTIFS(E_Suivi_Eans!$C:$C,"06/2022",E_Suivi_Eans!$D:$D,"Emballages ménagers",E_Suivi_Eans!$J:$J,"Rejet 0",E_Suivi_Eans!$K:$K,"&gt;31/12/2021",E_Suivi_Eans!$K:$K,"&lt;01/11/2022")+ COUNTIFS(E_Suivi_Eans!$C:$C,"06/2022",E_Suivi_Eans!$D:$D,"Emballages ménagers",E_Suivi_Eans!$J:$J,"Rejet 1",E_Suivi_Eans!$K:$K,"&gt;31/12/2021",E_Suivi_Eans!$K:$K,"&lt;01/11/2022")+COUNTIFS(E_Suivi_Eans!$C:$C,"06/2022",E_Suivi_Eans!$D:$D,"Emballages ménagers",E_Suivi_Eans!$J:$J,"Rejet 2",E_Suivi_Eans!$K:$K,"&gt;31/12/2021",E_Suivi_Eans!$K:$K,"&lt;01/11/2022")+COUNTIFS(E_Suivi_Eans!$C:$C,"06/2022",E_Suivi_Eans!$D:$D,"Emballages ménagers",E_Suivi_Eans!$J:$J,"Rejet 3",E_Suivi_Eans!$K:$K,"&gt;31/12/2021",E_Suivi_Eans!$K:$K,"&lt;01/11/2022")+ COUNTIFS(E_Suivi_Eans!$C:$C,"06/2022",E_Suivi_Eans!$D:$D,"Emballages ménagers",E_Suivi_Eans!$J:$J,"Rejet 4",E_Suivi_Eans!$K:$K,"&gt;31/12/2021",E_Suivi_Eans!$K:$K,"&lt;01/11/2022")+COUNTIFS(E_Suivi_Eans!$C:$C,"06/2022",E_Suivi_Eans!$D:$D,"Emballages ménagers",E_Suivi_Eans!$J:$J,"Relance 1",E_Suivi_Eans!$K:$K,"&gt;31/12/2021",E_Suivi_Eans!$K:$K,"&lt;01/11/2022")+COUNTIFS(E_Suivi_Eans!$C:$C,"06/2022",E_Suivi_Eans!$D:$D,"Emballages ménagers",E_Suivi_Eans!$J:$J,"Relance 2",E_Suivi_Eans!$K:$K,"&gt;31/12/2021",E_Suivi_Eans!$K:$K,"&lt;01/11/2022")+COUNTIFS(E_Suivi_Eans!$C:$C,"06/2022",E_Suivi_Eans!$D:$D,"Emballages ménagers",E_Suivi_Eans!$J:$J,"Relance 3",E_Suivi_Eans!$K:$K,"&gt;31/12/2021",E_Suivi_Eans!$K:$K,"&lt;01/11/2022")</f>
        <v>0</v>
      </c>
      <c r="E78" s="21">
        <f>COUNTIFS(E_Suivi_Eans!$C:$C,"06/2022",E_Suivi_Eans!$D:$D,"Emballages ménagers",E_Suivi_Eans!$J:$J,"Abandon",E_Suivi_Eans!$K:$K,"&gt;31/12/2021",E_Suivi_Eans!K:K,"&lt;01/11/2022")</f>
        <v>0</v>
      </c>
      <c r="F78" s="21">
        <f>COUNTIFS(E_Suivi_Eans!$C:$C,"06/2022",E_Suivi_Eans!$D:$D,"Emballages ménagers")</f>
        <v>0</v>
      </c>
      <c r="G78" s="21">
        <f t="shared" si="16"/>
        <v>0</v>
      </c>
      <c r="J78" s="20" t="s">
        <v>5319</v>
      </c>
      <c r="K78" s="20" t="s">
        <v>5326</v>
      </c>
      <c r="L78" s="28">
        <f t="shared" si="17"/>
        <v>0</v>
      </c>
      <c r="M78" s="28">
        <f t="shared" si="17"/>
        <v>0</v>
      </c>
      <c r="N78" s="28">
        <f t="shared" si="17"/>
        <v>0</v>
      </c>
      <c r="O78" s="28">
        <v>1</v>
      </c>
      <c r="P78" s="28">
        <f t="shared" si="18"/>
        <v>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COUNTIFS(E_Suivi_Eans!$C:$C,"06/2022",E_Suivi_Eans!$D:$D,"Emballages ménagers",E_Suivi_Eans!$J:$J,"Retour OK",E_Suivi_Eans!$K:$K,"&gt;31/12/2021",E_Suivi_Eans!K:K,"&lt;01/12/2022")</f>
        <v>0</v>
      </c>
      <c r="D79" s="21">
        <f>COUNTIFS(E_Suivi_Eans!$C:$C,"06/2022",E_Suivi_Eans!$D:$D,"Emballages ménagers",E_Suivi_Eans!$J:$J,"Rejet 0",E_Suivi_Eans!$K:$K,"&gt;31/12/2021",E_Suivi_Eans!$K:$K,"&lt;01/12/2022")+ COUNTIFS(E_Suivi_Eans!$C:$C,"06/2022",E_Suivi_Eans!$D:$D,"Emballages ménagers",E_Suivi_Eans!$J:$J,"Rejet 1",E_Suivi_Eans!$K:$K,"&gt;31/12/2021",E_Suivi_Eans!$K:$K,"&lt;01/12/2022")+COUNTIFS(E_Suivi_Eans!$C:$C,"06/2022",E_Suivi_Eans!$D:$D,"Emballages ménagers",E_Suivi_Eans!$J:$J,"Rejet 2",E_Suivi_Eans!$K:$K,"&gt;31/12/2021",E_Suivi_Eans!$K:$K,"&lt;01/12/2022")+COUNTIFS(E_Suivi_Eans!$C:$C,"06/2022",E_Suivi_Eans!$D:$D,"Emballages ménagers",E_Suivi_Eans!$J:$J,"Rejet 3",E_Suivi_Eans!$K:$K,"&gt;31/12/2021",E_Suivi_Eans!$K:$K,"&lt;01/12/2022")+ COUNTIFS(E_Suivi_Eans!$C:$C,"06/2022",E_Suivi_Eans!$D:$D,"Emballages ménagers",E_Suivi_Eans!$J:$J,"Rejet 4",E_Suivi_Eans!$K:$K,"&gt;31/12/2021",E_Suivi_Eans!$K:$K,"&lt;01/12/2022")+COUNTIFS(E_Suivi_Eans!$C:$C,"06/2022",E_Suivi_Eans!$D:$D,"Emballages ménagers",E_Suivi_Eans!$J:$J,"Relance 1",E_Suivi_Eans!$K:$K,"&gt;31/12/2021",E_Suivi_Eans!$K:$K,"&lt;01/12/2022")+COUNTIFS(E_Suivi_Eans!$C:$C,"06/2022",E_Suivi_Eans!$D:$D,"Emballages ménagers",E_Suivi_Eans!$J:$J,"Relance 2",E_Suivi_Eans!$K:$K,"&gt;31/12/2021",E_Suivi_Eans!$K:$K,"&lt;01/12/2022")+COUNTIFS(E_Suivi_Eans!$C:$C,"06/2022",E_Suivi_Eans!$D:$D,"Emballages ménagers",E_Suivi_Eans!$J:$J,"Relance 3",E_Suivi_Eans!$K:$K,"&gt;31/12/2021",E_Suivi_Eans!$K:$K,"&lt;01/12/2022")</f>
        <v>0</v>
      </c>
      <c r="E79" s="21">
        <f>COUNTIFS(E_Suivi_Eans!$C:$C,"06/2022",E_Suivi_Eans!$D:$D,"Emballages ménagers",E_Suivi_Eans!$J:$J,"Abandon",E_Suivi_Eans!$K:$K,"&gt;31/12/2021",E_Suivi_Eans!K:K,"&lt;01/12/2022")</f>
        <v>0</v>
      </c>
      <c r="F79" s="21">
        <f>COUNTIFS(E_Suivi_Eans!$C:$C,"06/2022",E_Suivi_Eans!$D:$D,"Emballages ménagers")</f>
        <v>0</v>
      </c>
      <c r="G79" s="21">
        <f t="shared" si="16"/>
        <v>0</v>
      </c>
      <c r="J79" s="20" t="s">
        <v>5319</v>
      </c>
      <c r="K79" s="20" t="s">
        <v>5327</v>
      </c>
      <c r="L79" s="28">
        <f t="shared" si="17"/>
        <v>0</v>
      </c>
      <c r="M79" s="28">
        <f t="shared" si="17"/>
        <v>0</v>
      </c>
      <c r="N79" s="28">
        <f t="shared" si="17"/>
        <v>0</v>
      </c>
      <c r="O79" s="28">
        <v>1</v>
      </c>
      <c r="P79" s="28">
        <f t="shared" si="18"/>
        <v>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8"/>
      <c r="P80" s="28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5"/>
      <c r="E81" s="25"/>
      <c r="F81" s="25"/>
      <c r="G81" s="25"/>
      <c r="J81" s="22"/>
      <c r="K81" s="22"/>
      <c r="L81" s="23"/>
      <c r="M81" s="25"/>
      <c r="N81" s="25"/>
      <c r="O81" s="31"/>
      <c r="P81" s="31"/>
      <c r="S81" s="22"/>
      <c r="T81" s="22"/>
      <c r="U81" s="23"/>
      <c r="V81" s="25"/>
      <c r="W81" s="25"/>
      <c r="X81" s="25"/>
      <c r="Y81" s="25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8"/>
      <c r="P82" s="28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8"/>
      <c r="P83" s="28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8"/>
      <c r="P84" s="28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8"/>
      <c r="P85" s="28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8"/>
      <c r="P86" s="28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8"/>
      <c r="P87" s="28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COUNTIFS(E_Suivi_Eans!$C:$C,"07/2022",E_Suivi_Eans!$D:$D,"Emballages ménagers",E_Suivi_Eans!$J:$J,"Retour OK",E_Suivi_Eans!$K:$K,"&gt;31/12/2021",E_Suivi_Eans!K:K,"&lt;01/08/2022")</f>
        <v>0</v>
      </c>
      <c r="D88" s="21">
        <f>COUNTIFS(E_Suivi_Eans!$C:$C,"07/2022",E_Suivi_Eans!$D:$D,"Emballages ménagers",E_Suivi_Eans!$J:$J,"Rejet 0",E_Suivi_Eans!$K:$K,"&gt;31/12/2021",E_Suivi_Eans!$K:$K,"&lt;01/08/2022")+ COUNTIFS(E_Suivi_Eans!$C:$C,"07/2022",E_Suivi_Eans!$D:$D,"Emballages ménagers",E_Suivi_Eans!$J:$J,"Rejet 1",E_Suivi_Eans!$K:$K,"&gt;31/12/2021",E_Suivi_Eans!$K:$K,"&lt;01/08/2022")+COUNTIFS(E_Suivi_Eans!$C:$C,"07/2022",E_Suivi_Eans!$D:$D,"Emballages ménagers",E_Suivi_Eans!$J:$J,"Rejet 2",E_Suivi_Eans!$K:$K,"&gt;31/12/2021",E_Suivi_Eans!$K:$K,"&lt;01/08/2022")+COUNTIFS(E_Suivi_Eans!$C:$C,"07/2022",E_Suivi_Eans!$D:$D,"Emballages ménagers",E_Suivi_Eans!$J:$J,"Rejet 3",E_Suivi_Eans!$K:$K,"&gt;31/12/2021",E_Suivi_Eans!$K:$K,"&lt;01/08/2022")+ COUNTIFS(E_Suivi_Eans!$C:$C,"07/2022",E_Suivi_Eans!$D:$D,"Emballages ménagers",E_Suivi_Eans!$J:$J,"Rejet 4",E_Suivi_Eans!$K:$K,"&gt;31/12/2021",E_Suivi_Eans!$K:$K,"&lt;01/08/2022")+COUNTIFS(E_Suivi_Eans!$C:$C,"07/2022",E_Suivi_Eans!$D:$D,"Emballages ménagers",E_Suivi_Eans!$J:$J,"Relance 1",E_Suivi_Eans!$K:$K,"&gt;31/12/2021",E_Suivi_Eans!$K:$K,"&lt;01/08/2022")+COUNTIFS(E_Suivi_Eans!$C:$C,"07/2022",E_Suivi_Eans!$D:$D,"Emballages ménagers",E_Suivi_Eans!$J:$J,"Relance 2",E_Suivi_Eans!$K:$K,"&gt;31/12/2021",E_Suivi_Eans!$K:$K,"&lt;01/08/2022")+COUNTIFS(E_Suivi_Eans!$C:$C,"07/2022",E_Suivi_Eans!$D:$D,"Emballages ménagers",E_Suivi_Eans!$J:$J,"Relance 3",E_Suivi_Eans!$K:$K,"&gt;31/12/2021",E_Suivi_Eans!$K:$K,"&lt;01/08/2022")</f>
        <v>0</v>
      </c>
      <c r="E88" s="21">
        <f>COUNTIFS(E_Suivi_Eans!$C:$C,"07/2022",E_Suivi_Eans!$D:$D,"Emballages ménagers",E_Suivi_Eans!$J:$J,"Abandon",E_Suivi_Eans!$K:$K,"&gt;31/12/2021",E_Suivi_Eans!K:K,"&lt;01/08/2022")</f>
        <v>0</v>
      </c>
      <c r="F88" s="21">
        <f>COUNTIFS(E_Suivi_Eans!$C:$C,"07/2022",E_Suivi_Eans!$D:$D,"Emballages ménagers")</f>
        <v>0</v>
      </c>
      <c r="G88" s="21">
        <f>F88-E88</f>
        <v>0</v>
      </c>
      <c r="J88" s="20" t="s">
        <v>5320</v>
      </c>
      <c r="K88" s="20" t="s">
        <v>5320</v>
      </c>
      <c r="L88" s="28">
        <f t="shared" ref="L88:N92" si="19">IF($G88=0,0,C88/$G88)</f>
        <v>0</v>
      </c>
      <c r="M88" s="28">
        <f t="shared" si="19"/>
        <v>0</v>
      </c>
      <c r="N88" s="28">
        <f t="shared" si="19"/>
        <v>0</v>
      </c>
      <c r="O88" s="28">
        <v>1</v>
      </c>
      <c r="P88" s="28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COUNTIFS(E_Suivi_Eans!$C:$C,"07/2022",E_Suivi_Eans!$D:$D,"Emballages ménagers",E_Suivi_Eans!$J:$J,"Retour OK",E_Suivi_Eans!$K:$K,"&gt;31/12/2021",E_Suivi_Eans!K:K,"&lt;01/09/2022")</f>
        <v>0</v>
      </c>
      <c r="D89" s="21">
        <f>COUNTIFS(E_Suivi_Eans!$C:$C,"07/2022",E_Suivi_Eans!$D:$D,"Emballages ménagers",E_Suivi_Eans!$J:$J,"Rejet 0",E_Suivi_Eans!$K:$K,"&gt;31/12/2021",E_Suivi_Eans!$K:$K,"&lt;01/09/2022")+ COUNTIFS(E_Suivi_Eans!$C:$C,"07/2022",E_Suivi_Eans!$D:$D,"Emballages ménagers",E_Suivi_Eans!$J:$J,"Rejet 1",E_Suivi_Eans!$K:$K,"&gt;31/12/2021",E_Suivi_Eans!$K:$K,"&lt;01/09/2022")+COUNTIFS(E_Suivi_Eans!$C:$C,"07/2022",E_Suivi_Eans!$D:$D,"Emballages ménagers",E_Suivi_Eans!$J:$J,"Rejet 2",E_Suivi_Eans!$K:$K,"&gt;31/12/2021",E_Suivi_Eans!$K:$K,"&lt;01/09/2022")+COUNTIFS(E_Suivi_Eans!$C:$C,"07/2022",E_Suivi_Eans!$D:$D,"Emballages ménagers",E_Suivi_Eans!$J:$J,"Rejet 3",E_Suivi_Eans!$K:$K,"&gt;31/12/2021",E_Suivi_Eans!$K:$K,"&lt;01/09/2022")+ COUNTIFS(E_Suivi_Eans!$C:$C,"07/2022",E_Suivi_Eans!$D:$D,"Emballages ménagers",E_Suivi_Eans!$J:$J,"Rejet 4",E_Suivi_Eans!$K:$K,"&gt;31/12/2021",E_Suivi_Eans!$K:$K,"&lt;01/09/2022")+COUNTIFS(E_Suivi_Eans!$C:$C,"07/2022",E_Suivi_Eans!$D:$D,"Emballages ménagers",E_Suivi_Eans!$J:$J,"Relance 1",E_Suivi_Eans!$K:$K,"&gt;31/12/2021",E_Suivi_Eans!$K:$K,"&lt;01/09/2022")+COUNTIFS(E_Suivi_Eans!$C:$C,"07/2022",E_Suivi_Eans!$D:$D,"Emballages ménagers",E_Suivi_Eans!$J:$J,"Relance 2",E_Suivi_Eans!$K:$K,"&gt;31/12/2021",E_Suivi_Eans!$K:$K,"&lt;01/09/2022")+COUNTIFS(E_Suivi_Eans!$C:$C,"07/2022",E_Suivi_Eans!$D:$D,"Emballages ménagers",E_Suivi_Eans!$J:$J,"Relance 3",E_Suivi_Eans!$K:$K,"&gt;31/12/2021",E_Suivi_Eans!$K:$K,"&lt;01/09/2022")</f>
        <v>0</v>
      </c>
      <c r="E89" s="21">
        <f>COUNTIFS(E_Suivi_Eans!$C:$C,"07/2022",E_Suivi_Eans!$D:$D,"Emballages ménagers",E_Suivi_Eans!$J:$J,"Abandon",E_Suivi_Eans!$K:$K,"&gt;31/12/2021",E_Suivi_Eans!K:K,"&lt;01/09/2022")</f>
        <v>0</v>
      </c>
      <c r="F89" s="21">
        <f>COUNTIFS(E_Suivi_Eans!$C:$C,"07/2022",E_Suivi_Eans!$D:$D,"Emballages ménagers")</f>
        <v>0</v>
      </c>
      <c r="G89" s="21">
        <f t="shared" ref="G89:G92" si="21">F89-E89</f>
        <v>0</v>
      </c>
      <c r="J89" s="20" t="s">
        <v>5320</v>
      </c>
      <c r="K89" s="20" t="s">
        <v>5321</v>
      </c>
      <c r="L89" s="28">
        <f t="shared" si="19"/>
        <v>0</v>
      </c>
      <c r="M89" s="28">
        <f t="shared" si="19"/>
        <v>0</v>
      </c>
      <c r="N89" s="28">
        <f t="shared" si="19"/>
        <v>0</v>
      </c>
      <c r="O89" s="28">
        <v>1</v>
      </c>
      <c r="P89" s="28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COUNTIFS(E_Suivi_Eans!$C:$C,"07/2022",E_Suivi_Eans!$D:$D,"Emballages ménagers",E_Suivi_Eans!$J:$J,"Retour OK",E_Suivi_Eans!$K:$K,"&gt;31/12/2021",E_Suivi_Eans!K:K,"&lt;01/10/2022")</f>
        <v>0</v>
      </c>
      <c r="D90" s="21">
        <f>COUNTIFS(E_Suivi_Eans!$C:$C,"07/2022",E_Suivi_Eans!$D:$D,"Emballages ménagers",E_Suivi_Eans!$J:$J,"Rejet 0",E_Suivi_Eans!$K:$K,"&gt;31/12/2021",E_Suivi_Eans!$K:$K,"&lt;01/10/2022")+ COUNTIFS(E_Suivi_Eans!$C:$C,"07/2022",E_Suivi_Eans!$D:$D,"Emballages ménagers",E_Suivi_Eans!$J:$J,"Rejet 1",E_Suivi_Eans!$K:$K,"&gt;31/12/2021",E_Suivi_Eans!$K:$K,"&lt;01/10/2022")+COUNTIFS(E_Suivi_Eans!$C:$C,"07/2022",E_Suivi_Eans!$D:$D,"Emballages ménagers",E_Suivi_Eans!$J:$J,"Rejet 2",E_Suivi_Eans!$K:$K,"&gt;31/12/2021",E_Suivi_Eans!$K:$K,"&lt;01/10/2022")+COUNTIFS(E_Suivi_Eans!$C:$C,"07/2022",E_Suivi_Eans!$D:$D,"Emballages ménagers",E_Suivi_Eans!$J:$J,"Rejet 3",E_Suivi_Eans!$K:$K,"&gt;31/12/2021",E_Suivi_Eans!$K:$K,"&lt;01/10/2022")+ COUNTIFS(E_Suivi_Eans!$C:$C,"07/2022",E_Suivi_Eans!$D:$D,"Emballages ménagers",E_Suivi_Eans!$J:$J,"Rejet 4",E_Suivi_Eans!$K:$K,"&gt;31/12/2021",E_Suivi_Eans!$K:$K,"&lt;01/10/2022")+COUNTIFS(E_Suivi_Eans!$C:$C,"07/2022",E_Suivi_Eans!$D:$D,"Emballages ménagers",E_Suivi_Eans!$J:$J,"Relance 1",E_Suivi_Eans!$K:$K,"&gt;31/12/2021",E_Suivi_Eans!$K:$K,"&lt;01/10/2022")+COUNTIFS(E_Suivi_Eans!$C:$C,"07/2022",E_Suivi_Eans!$D:$D,"Emballages ménagers",E_Suivi_Eans!$J:$J,"Relance 2",E_Suivi_Eans!$K:$K,"&gt;31/12/2021",E_Suivi_Eans!$K:$K,"&lt;01/10/2022")+COUNTIFS(E_Suivi_Eans!$C:$C,"07/2022",E_Suivi_Eans!$D:$D,"Emballages ménagers",E_Suivi_Eans!$J:$J,"Relance 3",E_Suivi_Eans!$K:$K,"&gt;31/12/2021",E_Suivi_Eans!$K:$K,"&lt;01/10/2022")</f>
        <v>0</v>
      </c>
      <c r="E90" s="21">
        <f>COUNTIFS(E_Suivi_Eans!$C:$C,"07/2022",E_Suivi_Eans!$D:$D,"Emballages ménagers",E_Suivi_Eans!$J:$J,"Abandon",E_Suivi_Eans!$K:$K,"&gt;31/12/2021",E_Suivi_Eans!K:K,"&lt;01/10/2022")</f>
        <v>0</v>
      </c>
      <c r="F90" s="21">
        <f>COUNTIFS(E_Suivi_Eans!$C:$C,"07/2022",E_Suivi_Eans!$D:$D,"Emballages ménagers")</f>
        <v>0</v>
      </c>
      <c r="G90" s="21">
        <f t="shared" si="21"/>
        <v>0</v>
      </c>
      <c r="J90" s="20" t="s">
        <v>5320</v>
      </c>
      <c r="K90" s="20" t="s">
        <v>5325</v>
      </c>
      <c r="L90" s="28">
        <f t="shared" si="19"/>
        <v>0</v>
      </c>
      <c r="M90" s="28">
        <f t="shared" si="19"/>
        <v>0</v>
      </c>
      <c r="N90" s="28">
        <f t="shared" si="19"/>
        <v>0</v>
      </c>
      <c r="O90" s="28">
        <v>1</v>
      </c>
      <c r="P90" s="28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COUNTIFS(E_Suivi_Eans!$C:$C,"07/2022",E_Suivi_Eans!$D:$D,"Emballages ménagers",E_Suivi_Eans!$J:$J,"Retour OK",E_Suivi_Eans!$K:$K,"&gt;31/12/2021",E_Suivi_Eans!K:K,"&lt;01/11/2022")</f>
        <v>0</v>
      </c>
      <c r="D91" s="21">
        <f>COUNTIFS(E_Suivi_Eans!$C:$C,"07/2022",E_Suivi_Eans!$D:$D,"Emballages ménagers",E_Suivi_Eans!$J:$J,"Rejet 0",E_Suivi_Eans!$K:$K,"&gt;31/12/2021",E_Suivi_Eans!$K:$K,"&lt;01/11/2022")+ COUNTIFS(E_Suivi_Eans!$C:$C,"07/2022",E_Suivi_Eans!$D:$D,"Emballages ménagers",E_Suivi_Eans!$J:$J,"Rejet 1",E_Suivi_Eans!$K:$K,"&gt;31/12/2021",E_Suivi_Eans!$K:$K,"&lt;01/11/2022")+COUNTIFS(E_Suivi_Eans!$C:$C,"07/2022",E_Suivi_Eans!$D:$D,"Emballages ménagers",E_Suivi_Eans!$J:$J,"Rejet 2",E_Suivi_Eans!$K:$K,"&gt;31/12/2021",E_Suivi_Eans!$K:$K,"&lt;01/11/2022")+COUNTIFS(E_Suivi_Eans!$C:$C,"07/2022",E_Suivi_Eans!$D:$D,"Emballages ménagers",E_Suivi_Eans!$J:$J,"Rejet 3",E_Suivi_Eans!$K:$K,"&gt;31/12/2021",E_Suivi_Eans!$K:$K,"&lt;01/11/2022")+ COUNTIFS(E_Suivi_Eans!$C:$C,"07/2022",E_Suivi_Eans!$D:$D,"Emballages ménagers",E_Suivi_Eans!$J:$J,"Rejet 4",E_Suivi_Eans!$K:$K,"&gt;31/12/2021",E_Suivi_Eans!$K:$K,"&lt;01/11/2022")+COUNTIFS(E_Suivi_Eans!$C:$C,"07/2022",E_Suivi_Eans!$D:$D,"Emballages ménagers",E_Suivi_Eans!$J:$J,"Relance 1",E_Suivi_Eans!$K:$K,"&gt;31/12/2021",E_Suivi_Eans!$K:$K,"&lt;01/11/2022")+COUNTIFS(E_Suivi_Eans!$C:$C,"07/2022",E_Suivi_Eans!$D:$D,"Emballages ménagers",E_Suivi_Eans!$J:$J,"Relance 2",E_Suivi_Eans!$K:$K,"&gt;31/12/2021",E_Suivi_Eans!$K:$K,"&lt;01/11/2022")+COUNTIFS(E_Suivi_Eans!$C:$C,"07/2022",E_Suivi_Eans!$D:$D,"Emballages ménagers",E_Suivi_Eans!$J:$J,"Relance 3",E_Suivi_Eans!$K:$K,"&gt;31/12/2021",E_Suivi_Eans!$K:$K,"&lt;01/11/2022")</f>
        <v>0</v>
      </c>
      <c r="E91" s="21">
        <f>COUNTIFS(E_Suivi_Eans!$C:$C,"07/2022",E_Suivi_Eans!$D:$D,"Emballages ménagers",E_Suivi_Eans!$J:$J,"Abandon",E_Suivi_Eans!$K:$K,"&gt;31/12/2021",E_Suivi_Eans!K:K,"&lt;01/11/2022")</f>
        <v>0</v>
      </c>
      <c r="F91" s="21">
        <f>COUNTIFS(E_Suivi_Eans!$C:$C,"07/2022",E_Suivi_Eans!$D:$D,"Emballages ménagers")</f>
        <v>0</v>
      </c>
      <c r="G91" s="21">
        <f t="shared" si="21"/>
        <v>0</v>
      </c>
      <c r="J91" s="20" t="s">
        <v>5320</v>
      </c>
      <c r="K91" s="20" t="s">
        <v>5326</v>
      </c>
      <c r="L91" s="28">
        <f t="shared" si="19"/>
        <v>0</v>
      </c>
      <c r="M91" s="28">
        <f t="shared" si="19"/>
        <v>0</v>
      </c>
      <c r="N91" s="28">
        <f t="shared" si="19"/>
        <v>0</v>
      </c>
      <c r="O91" s="28">
        <v>1</v>
      </c>
      <c r="P91" s="28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COUNTIFS(E_Suivi_Eans!$C:$C,"07/2022",E_Suivi_Eans!$D:$D,"Emballages ménagers",E_Suivi_Eans!$J:$J,"Retour OK",E_Suivi_Eans!$K:$K,"&gt;31/12/2021",E_Suivi_Eans!K:K,"&lt;01/12/2022")</f>
        <v>0</v>
      </c>
      <c r="D92" s="21">
        <f>COUNTIFS(E_Suivi_Eans!$C:$C,"07/2022",E_Suivi_Eans!$D:$D,"Emballages ménagers",E_Suivi_Eans!$J:$J,"Rejet 0",E_Suivi_Eans!$K:$K,"&gt;31/12/2021",E_Suivi_Eans!$K:$K,"&lt;01/12/2022")+ COUNTIFS(E_Suivi_Eans!$C:$C,"07/2022",E_Suivi_Eans!$D:$D,"Emballages ménagers",E_Suivi_Eans!$J:$J,"Rejet 1",E_Suivi_Eans!$K:$K,"&gt;31/12/2021",E_Suivi_Eans!$K:$K,"&lt;01/12/2022")+COUNTIFS(E_Suivi_Eans!$C:$C,"07/2022",E_Suivi_Eans!$D:$D,"Emballages ménagers",E_Suivi_Eans!$J:$J,"Rejet 2",E_Suivi_Eans!$K:$K,"&gt;31/12/2021",E_Suivi_Eans!$K:$K,"&lt;01/12/2022")+COUNTIFS(E_Suivi_Eans!$C:$C,"07/2022",E_Suivi_Eans!$D:$D,"Emballages ménagers",E_Suivi_Eans!$J:$J,"Rejet 3",E_Suivi_Eans!$K:$K,"&gt;31/12/2021",E_Suivi_Eans!$K:$K,"&lt;01/12/2022")+ COUNTIFS(E_Suivi_Eans!$C:$C,"07/2022",E_Suivi_Eans!$D:$D,"Emballages ménagers",E_Suivi_Eans!$J:$J,"Rejet 4",E_Suivi_Eans!$K:$K,"&gt;31/12/2021",E_Suivi_Eans!$K:$K,"&lt;01/12/2022")+COUNTIFS(E_Suivi_Eans!$C:$C,"07/2022",E_Suivi_Eans!$D:$D,"Emballages ménagers",E_Suivi_Eans!$J:$J,"Relance 1",E_Suivi_Eans!$K:$K,"&gt;31/12/2021",E_Suivi_Eans!$K:$K,"&lt;01/12/2022")+COUNTIFS(E_Suivi_Eans!$C:$C,"07/2022",E_Suivi_Eans!$D:$D,"Emballages ménagers",E_Suivi_Eans!$J:$J,"Relance 2",E_Suivi_Eans!$K:$K,"&gt;31/12/2021",E_Suivi_Eans!$K:$K,"&lt;01/12/2022")+COUNTIFS(E_Suivi_Eans!$C:$C,"07/2022",E_Suivi_Eans!$D:$D,"Emballages ménagers",E_Suivi_Eans!$J:$J,"Relance 3",E_Suivi_Eans!$K:$K,"&gt;31/12/2021",E_Suivi_Eans!$K:$K,"&lt;01/12/2022")</f>
        <v>0</v>
      </c>
      <c r="E92" s="21">
        <f>COUNTIFS(E_Suivi_Eans!$C:$C,"07/2022",E_Suivi_Eans!$D:$D,"Emballages ménagers",E_Suivi_Eans!$J:$J,"Abandon",E_Suivi_Eans!$K:$K,"&gt;31/12/2021",E_Suivi_Eans!K:K,"&lt;01/12/2022")</f>
        <v>0</v>
      </c>
      <c r="F92" s="21">
        <f>COUNTIFS(E_Suivi_Eans!$C:$C,"07/2022",E_Suivi_Eans!$D:$D,"Emballages ménagers")</f>
        <v>0</v>
      </c>
      <c r="G92" s="21">
        <f t="shared" si="21"/>
        <v>0</v>
      </c>
      <c r="J92" s="20" t="s">
        <v>5320</v>
      </c>
      <c r="K92" s="20" t="s">
        <v>5327</v>
      </c>
      <c r="L92" s="28">
        <f t="shared" si="19"/>
        <v>0</v>
      </c>
      <c r="M92" s="28">
        <f t="shared" si="19"/>
        <v>0</v>
      </c>
      <c r="N92" s="28">
        <f t="shared" si="19"/>
        <v>0</v>
      </c>
      <c r="O92" s="28">
        <v>1</v>
      </c>
      <c r="P92" s="28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8"/>
      <c r="P93" s="28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5"/>
      <c r="E94" s="25"/>
      <c r="F94" s="25"/>
      <c r="G94" s="25"/>
      <c r="J94" s="22"/>
      <c r="K94" s="22"/>
      <c r="L94" s="23"/>
      <c r="M94" s="25"/>
      <c r="N94" s="25"/>
      <c r="O94" s="31"/>
      <c r="P94" s="31"/>
      <c r="S94" s="22"/>
      <c r="T94" s="22"/>
      <c r="U94" s="23"/>
      <c r="V94" s="25"/>
      <c r="W94" s="25"/>
      <c r="X94" s="25"/>
      <c r="Y94" s="25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8"/>
      <c r="P95" s="28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8"/>
      <c r="P96" s="28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8"/>
      <c r="P97" s="28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8"/>
      <c r="P98" s="28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8"/>
      <c r="P99" s="28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8"/>
      <c r="P100" s="28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8"/>
      <c r="P101" s="28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COUNTIFS(E_Suivi_Eans!$C:$C,"08/2022",E_Suivi_Eans!$D:$D,"Emballages ménagers",E_Suivi_Eans!$J:$J,"Retour OK",E_Suivi_Eans!$K:$K,"&gt;31/12/2021",E_Suivi_Eans!K:K,"&lt;01/09/2022")</f>
        <v>0</v>
      </c>
      <c r="D102" s="21">
        <f>COUNTIFS(E_Suivi_Eans!$C:$C,"08/2022",E_Suivi_Eans!$D:$D,"Emballages ménagers",E_Suivi_Eans!$J:$J,"Rejet 0",E_Suivi_Eans!$K:$K,"&gt;31/12/2021",E_Suivi_Eans!$K:$K,"&lt;01/09/2022")+ COUNTIFS(E_Suivi_Eans!$C:$C,"08/2022",E_Suivi_Eans!$D:$D,"Emballages ménagers",E_Suivi_Eans!$J:$J,"Rejet 1",E_Suivi_Eans!$K:$K,"&gt;31/12/2021",E_Suivi_Eans!$K:$K,"&lt;01/09/2022")+COUNTIFS(E_Suivi_Eans!$C:$C,"08/2022",E_Suivi_Eans!$D:$D,"Emballages ménagers",E_Suivi_Eans!$J:$J,"Rejet 2",E_Suivi_Eans!$K:$K,"&gt;31/12/2021",E_Suivi_Eans!$K:$K,"&lt;01/09/2022")+COUNTIFS(E_Suivi_Eans!$C:$C,"08/2022",E_Suivi_Eans!$D:$D,"Emballages ménagers",E_Suivi_Eans!$J:$J,"Rejet 3",E_Suivi_Eans!$K:$K,"&gt;31/12/2021",E_Suivi_Eans!$K:$K,"&lt;01/09/2022")+ COUNTIFS(E_Suivi_Eans!$C:$C,"08/2022",E_Suivi_Eans!$D:$D,"Emballages ménagers",E_Suivi_Eans!$J:$J,"Rejet 4",E_Suivi_Eans!$K:$K,"&gt;31/12/2021",E_Suivi_Eans!$K:$K,"&lt;01/09/2022")+COUNTIFS(E_Suivi_Eans!$C:$C,"08/2022",E_Suivi_Eans!$D:$D,"Emballages ménagers",E_Suivi_Eans!$J:$J,"Relance 1",E_Suivi_Eans!$K:$K,"&gt;31/12/2021",E_Suivi_Eans!$K:$K,"&lt;01/09/2022")+COUNTIFS(E_Suivi_Eans!$C:$C,"08/2022",E_Suivi_Eans!$D:$D,"Emballages ménagers",E_Suivi_Eans!$J:$J,"Relance 2",E_Suivi_Eans!$K:$K,"&gt;31/12/2021",E_Suivi_Eans!$K:$K,"&lt;01/09/2022")+COUNTIFS(E_Suivi_Eans!$C:$C,"08/2022",E_Suivi_Eans!$D:$D,"Emballages ménagers",E_Suivi_Eans!$J:$J,"Relance 3",E_Suivi_Eans!$K:$K,"&gt;31/12/2021",E_Suivi_Eans!$K:$K,"&lt;01/09/2022")</f>
        <v>0</v>
      </c>
      <c r="E102" s="21">
        <f>COUNTIFS(E_Suivi_Eans!$C:$C,"08/2022",E_Suivi_Eans!$D:$D,"Emballages ménagers",E_Suivi_Eans!$J:$J,"Abandon",E_Suivi_Eans!$K:$K,"&gt;31/12/2021",E_Suivi_Eans!K:K,"&lt;01/09/2022")</f>
        <v>0</v>
      </c>
      <c r="F102" s="21">
        <f>COUNTIFS(E_Suivi_Eans!$C:$C,"08/2022",E_Suivi_Eans!$D:$D,"Emballages ménagers")</f>
        <v>0</v>
      </c>
      <c r="G102" s="21">
        <f>F102-E102</f>
        <v>0</v>
      </c>
      <c r="J102" s="20" t="s">
        <v>5321</v>
      </c>
      <c r="K102" s="20" t="s">
        <v>5321</v>
      </c>
      <c r="L102" s="28">
        <f t="shared" ref="L102:N105" si="22">IF($G102=0,0,C102/$G102)</f>
        <v>0</v>
      </c>
      <c r="M102" s="28">
        <f t="shared" si="22"/>
        <v>0</v>
      </c>
      <c r="N102" s="28">
        <f t="shared" si="22"/>
        <v>0</v>
      </c>
      <c r="O102" s="28">
        <v>1</v>
      </c>
      <c r="P102" s="28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COUNTIFS(E_Suivi_Eans!$C:$C,"08/2022",E_Suivi_Eans!$D:$D,"Emballages ménagers",E_Suivi_Eans!$J:$J,"Retour OK",E_Suivi_Eans!$K:$K,"&gt;31/12/2021",E_Suivi_Eans!K:K,"&lt;01/10/2022")</f>
        <v>0</v>
      </c>
      <c r="D103" s="21">
        <f>COUNTIFS(E_Suivi_Eans!$C:$C,"08/2022",E_Suivi_Eans!$D:$D,"Emballages ménagers",E_Suivi_Eans!$J:$J,"Rejet 0",E_Suivi_Eans!$K:$K,"&gt;31/12/2021",E_Suivi_Eans!$K:$K,"&lt;01/10/2022")+ COUNTIFS(E_Suivi_Eans!$C:$C,"08/2022",E_Suivi_Eans!$D:$D,"Emballages ménagers",E_Suivi_Eans!$J:$J,"Rejet 1",E_Suivi_Eans!$K:$K,"&gt;31/12/2021",E_Suivi_Eans!$K:$K,"&lt;01/10/2022")+COUNTIFS(E_Suivi_Eans!$C:$C,"08/2022",E_Suivi_Eans!$D:$D,"Emballages ménagers",E_Suivi_Eans!$J:$J,"Rejet 2",E_Suivi_Eans!$K:$K,"&gt;31/12/2021",E_Suivi_Eans!$K:$K,"&lt;01/10/2022")+COUNTIFS(E_Suivi_Eans!$C:$C,"08/2022",E_Suivi_Eans!$D:$D,"Emballages ménagers",E_Suivi_Eans!$J:$J,"Rejet 3",E_Suivi_Eans!$K:$K,"&gt;31/12/2021",E_Suivi_Eans!$K:$K,"&lt;01/10/2022")+ COUNTIFS(E_Suivi_Eans!$C:$C,"08/2022",E_Suivi_Eans!$D:$D,"Emballages ménagers",E_Suivi_Eans!$J:$J,"Rejet 4",E_Suivi_Eans!$K:$K,"&gt;31/12/2021",E_Suivi_Eans!$K:$K,"&lt;01/10/2022")+COUNTIFS(E_Suivi_Eans!$C:$C,"08/2022",E_Suivi_Eans!$D:$D,"Emballages ménagers",E_Suivi_Eans!$J:$J,"Relance 1",E_Suivi_Eans!$K:$K,"&gt;31/12/2021",E_Suivi_Eans!$K:$K,"&lt;01/10/2022")+COUNTIFS(E_Suivi_Eans!$C:$C,"08/2022",E_Suivi_Eans!$D:$D,"Emballages ménagers",E_Suivi_Eans!$J:$J,"Relance 2",E_Suivi_Eans!$K:$K,"&gt;31/12/2021",E_Suivi_Eans!$K:$K,"&lt;01/10/2022")+COUNTIFS(E_Suivi_Eans!$C:$C,"08/2022",E_Suivi_Eans!$D:$D,"Emballages ménagers",E_Suivi_Eans!$J:$J,"Relance 3",E_Suivi_Eans!$K:$K,"&gt;31/12/2021",E_Suivi_Eans!$K:$K,"&lt;01/10/2022")</f>
        <v>0</v>
      </c>
      <c r="E103" s="21">
        <f>COUNTIFS(E_Suivi_Eans!$C:$C,"08/2022",E_Suivi_Eans!$D:$D,"Emballages ménagers",E_Suivi_Eans!$J:$J,"Abandon",E_Suivi_Eans!$K:$K,"&gt;31/12/2021",E_Suivi_Eans!K:K,"&lt;01/10/2022")</f>
        <v>0</v>
      </c>
      <c r="F103" s="21">
        <f>COUNTIFS(E_Suivi_Eans!$C:$C,"08/2022",E_Suivi_Eans!$D:$D,"Emballages ménagers")</f>
        <v>0</v>
      </c>
      <c r="G103" s="21">
        <f t="shared" ref="G103:G105" si="24">F103-E103</f>
        <v>0</v>
      </c>
      <c r="J103" s="20" t="s">
        <v>5321</v>
      </c>
      <c r="K103" s="20" t="s">
        <v>5325</v>
      </c>
      <c r="L103" s="28">
        <f t="shared" si="22"/>
        <v>0</v>
      </c>
      <c r="M103" s="28">
        <f t="shared" si="22"/>
        <v>0</v>
      </c>
      <c r="N103" s="28">
        <f t="shared" si="22"/>
        <v>0</v>
      </c>
      <c r="O103" s="28">
        <v>1</v>
      </c>
      <c r="P103" s="28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COUNTIFS(E_Suivi_Eans!$C:$C,"08/2022",E_Suivi_Eans!$D:$D,"Emballages ménagers",E_Suivi_Eans!$J:$J,"Retour OK",E_Suivi_Eans!$K:$K,"&gt;31/12/2021",E_Suivi_Eans!K:K,"&lt;01/11/2022")</f>
        <v>0</v>
      </c>
      <c r="D104" s="21">
        <f>COUNTIFS(E_Suivi_Eans!$C:$C,"08/2022",E_Suivi_Eans!$D:$D,"Emballages ménagers",E_Suivi_Eans!$J:$J,"Rejet 0",E_Suivi_Eans!$K:$K,"&gt;31/12/2021",E_Suivi_Eans!$K:$K,"&lt;01/11/2022")+ COUNTIFS(E_Suivi_Eans!$C:$C,"08/2022",E_Suivi_Eans!$D:$D,"Emballages ménagers",E_Suivi_Eans!$J:$J,"Rejet 1",E_Suivi_Eans!$K:$K,"&gt;31/12/2021",E_Suivi_Eans!$K:$K,"&lt;01/11/2022")+COUNTIFS(E_Suivi_Eans!$C:$C,"08/2022",E_Suivi_Eans!$D:$D,"Emballages ménagers",E_Suivi_Eans!$J:$J,"Rejet 2",E_Suivi_Eans!$K:$K,"&gt;31/12/2021",E_Suivi_Eans!$K:$K,"&lt;01/11/2022")+COUNTIFS(E_Suivi_Eans!$C:$C,"08/2022",E_Suivi_Eans!$D:$D,"Emballages ménagers",E_Suivi_Eans!$J:$J,"Rejet 3",E_Suivi_Eans!$K:$K,"&gt;31/12/2021",E_Suivi_Eans!$K:$K,"&lt;01/11/2022")+ COUNTIFS(E_Suivi_Eans!$C:$C,"08/2022",E_Suivi_Eans!$D:$D,"Emballages ménagers",E_Suivi_Eans!$J:$J,"Rejet 4",E_Suivi_Eans!$K:$K,"&gt;31/12/2021",E_Suivi_Eans!$K:$K,"&lt;01/11/2022")+COUNTIFS(E_Suivi_Eans!$C:$C,"08/2022",E_Suivi_Eans!$D:$D,"Emballages ménagers",E_Suivi_Eans!$J:$J,"Relance 1",E_Suivi_Eans!$K:$K,"&gt;31/12/2021",E_Suivi_Eans!$K:$K,"&lt;01/11/2022")+COUNTIFS(E_Suivi_Eans!$C:$C,"08/2022",E_Suivi_Eans!$D:$D,"Emballages ménagers",E_Suivi_Eans!$J:$J,"Relance 2",E_Suivi_Eans!$K:$K,"&gt;31/12/2021",E_Suivi_Eans!$K:$K,"&lt;01/11/2022")+COUNTIFS(E_Suivi_Eans!$C:$C,"08/2022",E_Suivi_Eans!$D:$D,"Emballages ménagers",E_Suivi_Eans!$J:$J,"Relance 3",E_Suivi_Eans!$K:$K,"&gt;31/12/2021",E_Suivi_Eans!$K:$K,"&lt;01/11/2022")</f>
        <v>0</v>
      </c>
      <c r="E104" s="21">
        <f>COUNTIFS(E_Suivi_Eans!$C:$C,"08/2022",E_Suivi_Eans!$D:$D,"Emballages ménagers",E_Suivi_Eans!$J:$J,"Abandon",E_Suivi_Eans!$K:$K,"&gt;31/12/2021",E_Suivi_Eans!K:K,"&lt;01/11/2022")</f>
        <v>0</v>
      </c>
      <c r="F104" s="21">
        <f>COUNTIFS(E_Suivi_Eans!$C:$C,"08/2022",E_Suivi_Eans!$D:$D,"Emballages ménagers")</f>
        <v>0</v>
      </c>
      <c r="G104" s="21">
        <f t="shared" si="24"/>
        <v>0</v>
      </c>
      <c r="J104" s="20" t="s">
        <v>5321</v>
      </c>
      <c r="K104" s="20" t="s">
        <v>5326</v>
      </c>
      <c r="L104" s="28">
        <f t="shared" si="22"/>
        <v>0</v>
      </c>
      <c r="M104" s="28">
        <f t="shared" si="22"/>
        <v>0</v>
      </c>
      <c r="N104" s="28">
        <f t="shared" si="22"/>
        <v>0</v>
      </c>
      <c r="O104" s="28">
        <v>1</v>
      </c>
      <c r="P104" s="28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COUNTIFS(E_Suivi_Eans!$C:$C,"08/2022",E_Suivi_Eans!$D:$D,"Emballages ménagers",E_Suivi_Eans!$J:$J,"Retour OK",E_Suivi_Eans!$K:$K,"&gt;31/12/2021",E_Suivi_Eans!K:K,"&lt;01/12/2022")</f>
        <v>0</v>
      </c>
      <c r="D105" s="21">
        <f>COUNTIFS(E_Suivi_Eans!$C:$C,"08/2022",E_Suivi_Eans!$D:$D,"Emballages ménagers",E_Suivi_Eans!$J:$J,"Rejet 0",E_Suivi_Eans!$K:$K,"&gt;31/12/2021",E_Suivi_Eans!$K:$K,"&lt;01/12/2022")+ COUNTIFS(E_Suivi_Eans!$C:$C,"08/2022",E_Suivi_Eans!$D:$D,"Emballages ménagers",E_Suivi_Eans!$J:$J,"Rejet 1",E_Suivi_Eans!$K:$K,"&gt;31/12/2021",E_Suivi_Eans!$K:$K,"&lt;01/12/2022")+COUNTIFS(E_Suivi_Eans!$C:$C,"08/2022",E_Suivi_Eans!$D:$D,"Emballages ménagers",E_Suivi_Eans!$J:$J,"Rejet 2",E_Suivi_Eans!$K:$K,"&gt;31/12/2021",E_Suivi_Eans!$K:$K,"&lt;01/12/2022")+COUNTIFS(E_Suivi_Eans!$C:$C,"08/2022",E_Suivi_Eans!$D:$D,"Emballages ménagers",E_Suivi_Eans!$J:$J,"Rejet 3",E_Suivi_Eans!$K:$K,"&gt;31/12/2021",E_Suivi_Eans!$K:$K,"&lt;01/12/2022")+ COUNTIFS(E_Suivi_Eans!$C:$C,"08/2022",E_Suivi_Eans!$D:$D,"Emballages ménagers",E_Suivi_Eans!$J:$J,"Rejet 4",E_Suivi_Eans!$K:$K,"&gt;31/12/2021",E_Suivi_Eans!$K:$K,"&lt;01/12/2022")+COUNTIFS(E_Suivi_Eans!$C:$C,"08/2022",E_Suivi_Eans!$D:$D,"Emballages ménagers",E_Suivi_Eans!$J:$J,"Relance 1",E_Suivi_Eans!$K:$K,"&gt;31/12/2021",E_Suivi_Eans!$K:$K,"&lt;01/12/2022")+COUNTIFS(E_Suivi_Eans!$C:$C,"08/2022",E_Suivi_Eans!$D:$D,"Emballages ménagers",E_Suivi_Eans!$J:$J,"Relance 2",E_Suivi_Eans!$K:$K,"&gt;31/12/2021",E_Suivi_Eans!$K:$K,"&lt;01/12/2022")+COUNTIFS(E_Suivi_Eans!$C:$C,"08/2022",E_Suivi_Eans!$D:$D,"Emballages ménagers",E_Suivi_Eans!$J:$J,"Relance 3",E_Suivi_Eans!$K:$K,"&gt;31/12/2021",E_Suivi_Eans!$K:$K,"&lt;01/12/2022")</f>
        <v>0</v>
      </c>
      <c r="E105" s="21">
        <f>COUNTIFS(E_Suivi_Eans!$C:$C,"08/2022",E_Suivi_Eans!$D:$D,"Emballages ménagers",E_Suivi_Eans!$J:$J,"Abandon",E_Suivi_Eans!$K:$K,"&gt;31/12/2021",E_Suivi_Eans!K:K,"&lt;01/12/2022")</f>
        <v>0</v>
      </c>
      <c r="F105" s="21">
        <f>COUNTIFS(E_Suivi_Eans!$C:$C,"08/2022",E_Suivi_Eans!$D:$D,"Emballages ménagers")</f>
        <v>0</v>
      </c>
      <c r="G105" s="21">
        <f t="shared" si="24"/>
        <v>0</v>
      </c>
      <c r="J105" s="20" t="s">
        <v>5321</v>
      </c>
      <c r="K105" s="20" t="s">
        <v>5327</v>
      </c>
      <c r="L105" s="28">
        <f t="shared" si="22"/>
        <v>0</v>
      </c>
      <c r="M105" s="28">
        <f t="shared" si="22"/>
        <v>0</v>
      </c>
      <c r="N105" s="28">
        <f t="shared" si="22"/>
        <v>0</v>
      </c>
      <c r="O105" s="28">
        <v>1</v>
      </c>
      <c r="P105" s="28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8"/>
      <c r="P106" s="28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5"/>
      <c r="E107" s="25"/>
      <c r="F107" s="25"/>
      <c r="G107" s="25"/>
      <c r="J107" s="22"/>
      <c r="K107" s="22"/>
      <c r="L107" s="23"/>
      <c r="M107" s="25"/>
      <c r="N107" s="25"/>
      <c r="O107" s="31"/>
      <c r="P107" s="31"/>
      <c r="S107" s="22"/>
      <c r="T107" s="22"/>
      <c r="U107" s="23"/>
      <c r="V107" s="25"/>
      <c r="W107" s="25"/>
      <c r="X107" s="25"/>
      <c r="Y107" s="25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8"/>
      <c r="P108" s="28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8"/>
      <c r="P109" s="28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8"/>
      <c r="P110" s="28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8"/>
      <c r="P111" s="28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8"/>
      <c r="P112" s="28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8"/>
      <c r="P113" s="28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8"/>
      <c r="P114" s="28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8"/>
      <c r="P115" s="28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COUNTIFS(E_Suivi_Eans!$C:$C,"09/2022",E_Suivi_Eans!$D:$D,"Emballages ménagers",E_Suivi_Eans!$J:$J,"Retour OK",E_Suivi_Eans!$K:$K,"&gt;31/12/2021",E_Suivi_Eans!K:K,"&lt;01/10/2022")</f>
        <v>0</v>
      </c>
      <c r="D116" s="21">
        <f>COUNTIFS(E_Suivi_Eans!$C:$C,"09/2022",E_Suivi_Eans!$D:$D,"Emballages ménagers",E_Suivi_Eans!$J:$J,"Rejet 0",E_Suivi_Eans!$K:$K,"&gt;31/12/2021",E_Suivi_Eans!$K:$K,"&lt;01/10/2022")+ COUNTIFS(E_Suivi_Eans!$C:$C,"09/2022",E_Suivi_Eans!$D:$D,"Emballages ménagers",E_Suivi_Eans!$J:$J,"Rejet 1",E_Suivi_Eans!$K:$K,"&gt;31/12/2021",E_Suivi_Eans!$K:$K,"&lt;01/10/2022")+COUNTIFS(E_Suivi_Eans!$C:$C,"09/2022",E_Suivi_Eans!$D:$D,"Emballages ménagers",E_Suivi_Eans!$J:$J,"Rejet 2",E_Suivi_Eans!$K:$K,"&gt;31/12/2021",E_Suivi_Eans!$K:$K,"&lt;01/10/2022")+COUNTIFS(E_Suivi_Eans!$C:$C,"09/2022",E_Suivi_Eans!$D:$D,"Emballages ménagers",E_Suivi_Eans!$J:$J,"Rejet 3",E_Suivi_Eans!$K:$K,"&gt;31/12/2021",E_Suivi_Eans!$K:$K,"&lt;01/10/2022")+ COUNTIFS(E_Suivi_Eans!$C:$C,"09/2022",E_Suivi_Eans!$D:$D,"Emballages ménagers",E_Suivi_Eans!$J:$J,"Rejet 4",E_Suivi_Eans!$K:$K,"&gt;31/12/2021",E_Suivi_Eans!$K:$K,"&lt;01/10/2022")+COUNTIFS(E_Suivi_Eans!$C:$C,"09/2022",E_Suivi_Eans!$D:$D,"Emballages ménagers",E_Suivi_Eans!$J:$J,"Relance 1",E_Suivi_Eans!$K:$K,"&gt;31/12/2021",E_Suivi_Eans!$K:$K,"&lt;01/10/2022")+COUNTIFS(E_Suivi_Eans!$C:$C,"09/2022",E_Suivi_Eans!$D:$D,"Emballages ménagers",E_Suivi_Eans!$J:$J,"Relance 2",E_Suivi_Eans!$K:$K,"&gt;31/12/2021",E_Suivi_Eans!$K:$K,"&lt;01/10/2022")+COUNTIFS(E_Suivi_Eans!$C:$C,"09/2022",E_Suivi_Eans!$D:$D,"Emballages ménagers",E_Suivi_Eans!$J:$J,"Relance 3",E_Suivi_Eans!$K:$K,"&gt;31/12/2021",E_Suivi_Eans!$K:$K,"&lt;01/10/2022")</f>
        <v>0</v>
      </c>
      <c r="E116" s="21">
        <f>COUNTIFS(E_Suivi_Eans!$C:$C,"09/2022",E_Suivi_Eans!$D:$D,"Emballages ménagers",E_Suivi_Eans!$J:$J,"Abandon",E_Suivi_Eans!$K:$K,"&gt;31/12/2021",E_Suivi_Eans!K:K,"&lt;01/10/2022")</f>
        <v>0</v>
      </c>
      <c r="F116" s="21">
        <f>COUNTIFS(E_Suivi_Eans!$C:$C,"09/2022",E_Suivi_Eans!$D:$D,"Emballages ménagers")</f>
        <v>0</v>
      </c>
      <c r="G116" s="21">
        <f t="shared" ref="G116:G118" si="25">F116-E116</f>
        <v>0</v>
      </c>
      <c r="J116" s="20" t="s">
        <v>5325</v>
      </c>
      <c r="K116" s="20" t="s">
        <v>5325</v>
      </c>
      <c r="L116" s="28">
        <f t="shared" ref="L116:N118" si="26">IF($G116=0,0,C116/$G116)</f>
        <v>0</v>
      </c>
      <c r="M116" s="28">
        <f t="shared" si="26"/>
        <v>0</v>
      </c>
      <c r="N116" s="28">
        <f t="shared" si="26"/>
        <v>0</v>
      </c>
      <c r="O116" s="28">
        <v>1</v>
      </c>
      <c r="P116" s="28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COUNTIFS(E_Suivi_Eans!$C:$C,"09/2022",E_Suivi_Eans!$D:$D,"Emballages ménagers",E_Suivi_Eans!$J:$J,"Retour OK",E_Suivi_Eans!$K:$K,"&gt;31/12/2021",E_Suivi_Eans!K:K,"&lt;01/11/2022")</f>
        <v>0</v>
      </c>
      <c r="D117" s="21">
        <f>COUNTIFS(E_Suivi_Eans!$C:$C,"09/2022",E_Suivi_Eans!$D:$D,"Emballages ménagers",E_Suivi_Eans!$J:$J,"Rejet 0",E_Suivi_Eans!$K:$K,"&gt;31/12/2021",E_Suivi_Eans!$K:$K,"&lt;01/11/2022")+ COUNTIFS(E_Suivi_Eans!$C:$C,"09/2022",E_Suivi_Eans!$D:$D,"Emballages ménagers",E_Suivi_Eans!$J:$J,"Rejet 1",E_Suivi_Eans!$K:$K,"&gt;31/12/2021",E_Suivi_Eans!$K:$K,"&lt;01/11/2022")+COUNTIFS(E_Suivi_Eans!$C:$C,"09/2022",E_Suivi_Eans!$D:$D,"Emballages ménagers",E_Suivi_Eans!$J:$J,"Rejet 2",E_Suivi_Eans!$K:$K,"&gt;31/12/2021",E_Suivi_Eans!$K:$K,"&lt;01/11/2022")+COUNTIFS(E_Suivi_Eans!$C:$C,"09/2022",E_Suivi_Eans!$D:$D,"Emballages ménagers",E_Suivi_Eans!$J:$J,"Rejet 3",E_Suivi_Eans!$K:$K,"&gt;31/12/2021",E_Suivi_Eans!$K:$K,"&lt;01/11/2022")+ COUNTIFS(E_Suivi_Eans!$C:$C,"09/2022",E_Suivi_Eans!$D:$D,"Emballages ménagers",E_Suivi_Eans!$J:$J,"Rejet 4",E_Suivi_Eans!$K:$K,"&gt;31/12/2021",E_Suivi_Eans!$K:$K,"&lt;01/11/2022")+COUNTIFS(E_Suivi_Eans!$C:$C,"09/2022",E_Suivi_Eans!$D:$D,"Emballages ménagers",E_Suivi_Eans!$J:$J,"Relance 1",E_Suivi_Eans!$K:$K,"&gt;31/12/2021",E_Suivi_Eans!$K:$K,"&lt;01/11/2022")+COUNTIFS(E_Suivi_Eans!$C:$C,"09/2022",E_Suivi_Eans!$D:$D,"Emballages ménagers",E_Suivi_Eans!$J:$J,"Relance 2",E_Suivi_Eans!$K:$K,"&gt;31/12/2021",E_Suivi_Eans!$K:$K,"&lt;01/11/2022")+COUNTIFS(E_Suivi_Eans!$C:$C,"09/2022",E_Suivi_Eans!$D:$D,"Emballages ménagers",E_Suivi_Eans!$J:$J,"Relance 3",E_Suivi_Eans!$K:$K,"&gt;31/12/2021",E_Suivi_Eans!$K:$K,"&lt;01/11/2022")</f>
        <v>0</v>
      </c>
      <c r="E117" s="21">
        <f>COUNTIFS(E_Suivi_Eans!$C:$C,"09/2022",E_Suivi_Eans!$D:$D,"Emballages ménagers",E_Suivi_Eans!$J:$J,"Abandon",E_Suivi_Eans!$K:$K,"&gt;31/12/2021",E_Suivi_Eans!K:K,"&lt;01/11/2022")</f>
        <v>0</v>
      </c>
      <c r="F117" s="21">
        <f>COUNTIFS(E_Suivi_Eans!$C:$C,"09/2022",E_Suivi_Eans!$D:$D,"Emballages ménagers")</f>
        <v>0</v>
      </c>
      <c r="G117" s="21">
        <f t="shared" si="25"/>
        <v>0</v>
      </c>
      <c r="J117" s="20" t="s">
        <v>5325</v>
      </c>
      <c r="K117" s="20" t="s">
        <v>5326</v>
      </c>
      <c r="L117" s="28">
        <f t="shared" si="26"/>
        <v>0</v>
      </c>
      <c r="M117" s="28">
        <f t="shared" si="26"/>
        <v>0</v>
      </c>
      <c r="N117" s="28">
        <f t="shared" si="26"/>
        <v>0</v>
      </c>
      <c r="O117" s="28">
        <v>1</v>
      </c>
      <c r="P117" s="28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COUNTIFS(E_Suivi_Eans!$C:$C,"09/2022",E_Suivi_Eans!$D:$D,"Emballages ménagers",E_Suivi_Eans!$J:$J,"Retour OK",E_Suivi_Eans!$K:$K,"&gt;31/12/2021",E_Suivi_Eans!K:K,"&lt;01/12/2022")</f>
        <v>0</v>
      </c>
      <c r="D118" s="21">
        <f>COUNTIFS(E_Suivi_Eans!$C:$C,"09/2022",E_Suivi_Eans!$D:$D,"Emballages ménagers",E_Suivi_Eans!$J:$J,"Rejet 0",E_Suivi_Eans!$K:$K,"&gt;31/12/2021",E_Suivi_Eans!$K:$K,"&lt;01/12/2022")+ COUNTIFS(E_Suivi_Eans!$C:$C,"09/2022",E_Suivi_Eans!$D:$D,"Emballages ménagers",E_Suivi_Eans!$J:$J,"Rejet 1",E_Suivi_Eans!$K:$K,"&gt;31/12/2021",E_Suivi_Eans!$K:$K,"&lt;01/12/2022")+COUNTIFS(E_Suivi_Eans!$C:$C,"09/2022",E_Suivi_Eans!$D:$D,"Emballages ménagers",E_Suivi_Eans!$J:$J,"Rejet 2",E_Suivi_Eans!$K:$K,"&gt;31/12/2021",E_Suivi_Eans!$K:$K,"&lt;01/12/2022")+COUNTIFS(E_Suivi_Eans!$C:$C,"09/2022",E_Suivi_Eans!$D:$D,"Emballages ménagers",E_Suivi_Eans!$J:$J,"Rejet 3",E_Suivi_Eans!$K:$K,"&gt;31/12/2021",E_Suivi_Eans!$K:$K,"&lt;01/12/2022")+ COUNTIFS(E_Suivi_Eans!$C:$C,"09/2022",E_Suivi_Eans!$D:$D,"Emballages ménagers",E_Suivi_Eans!$J:$J,"Rejet 4",E_Suivi_Eans!$K:$K,"&gt;31/12/2021",E_Suivi_Eans!$K:$K,"&lt;01/12/2022")+COUNTIFS(E_Suivi_Eans!$C:$C,"09/2022",E_Suivi_Eans!$D:$D,"Emballages ménagers",E_Suivi_Eans!$J:$J,"Relance 1",E_Suivi_Eans!$K:$K,"&gt;31/12/2021",E_Suivi_Eans!$K:$K,"&lt;01/12/2022")+COUNTIFS(E_Suivi_Eans!$C:$C,"09/2022",E_Suivi_Eans!$D:$D,"Emballages ménagers",E_Suivi_Eans!$J:$J,"Relance 2",E_Suivi_Eans!$K:$K,"&gt;31/12/2021",E_Suivi_Eans!$K:$K,"&lt;01/12/2022")+COUNTIFS(E_Suivi_Eans!$C:$C,"09/2022",E_Suivi_Eans!$D:$D,"Emballages ménagers",E_Suivi_Eans!$J:$J,"Relance 3",E_Suivi_Eans!$K:$K,"&gt;31/12/2021",E_Suivi_Eans!$K:$K,"&lt;01/12/2022")</f>
        <v>0</v>
      </c>
      <c r="E118" s="21">
        <f>COUNTIFS(E_Suivi_Eans!$C:$C,"09/2022",E_Suivi_Eans!$D:$D,"Emballages ménagers",E_Suivi_Eans!$J:$J,"Abandon",E_Suivi_Eans!$K:$K,"&gt;31/12/2021",E_Suivi_Eans!K:K,"&lt;01/12/2022")</f>
        <v>0</v>
      </c>
      <c r="F118" s="21">
        <f>COUNTIFS(E_Suivi_Eans!$C:$C,"09/2022",E_Suivi_Eans!$D:$D,"Emballages ménagers")</f>
        <v>0</v>
      </c>
      <c r="G118" s="21">
        <f t="shared" si="25"/>
        <v>0</v>
      </c>
      <c r="J118" s="20" t="s">
        <v>5325</v>
      </c>
      <c r="K118" s="20" t="s">
        <v>5327</v>
      </c>
      <c r="L118" s="28">
        <f t="shared" si="26"/>
        <v>0</v>
      </c>
      <c r="M118" s="28">
        <f t="shared" si="26"/>
        <v>0</v>
      </c>
      <c r="N118" s="28">
        <f t="shared" si="26"/>
        <v>0</v>
      </c>
      <c r="O118" s="28">
        <v>1</v>
      </c>
      <c r="P118" s="28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8"/>
      <c r="P119" s="28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5"/>
      <c r="E120" s="25"/>
      <c r="F120" s="25"/>
      <c r="G120" s="25"/>
      <c r="J120" s="22"/>
      <c r="K120" s="22"/>
      <c r="L120" s="23"/>
      <c r="M120" s="25"/>
      <c r="N120" s="25"/>
      <c r="O120" s="31"/>
      <c r="P120" s="31"/>
      <c r="S120" s="22"/>
      <c r="T120" s="22"/>
      <c r="U120" s="23"/>
      <c r="V120" s="25"/>
      <c r="W120" s="25"/>
      <c r="X120" s="25"/>
      <c r="Y120" s="25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8"/>
      <c r="P121" s="28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8"/>
      <c r="P122" s="28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8"/>
      <c r="P123" s="28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8"/>
      <c r="P124" s="28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8"/>
      <c r="P125" s="28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8"/>
      <c r="P126" s="28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8"/>
      <c r="P127" s="28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8"/>
      <c r="P128" s="28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8"/>
      <c r="P129" s="28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COUNTIFS(E_Suivi_Eans!$C:$C,"10/2022",E_Suivi_Eans!$D:$D,"Emballages ménagers",E_Suivi_Eans!$J:$J,"Retour OK",E_Suivi_Eans!$K:$K,"&gt;31/12/2021",E_Suivi_Eans!K:K,"&lt;01/11/2022")</f>
        <v>0</v>
      </c>
      <c r="D130" s="21">
        <f>COUNTIFS(E_Suivi_Eans!$C:$C,"10/2022",E_Suivi_Eans!$D:$D,"Emballages ménagers",E_Suivi_Eans!$J:$J,"Rejet 0",E_Suivi_Eans!$K:$K,"&gt;31/12/2021",E_Suivi_Eans!$K:$K,"&lt;01/11/2022")+ COUNTIFS(E_Suivi_Eans!$C:$C,"10/2022",E_Suivi_Eans!$D:$D,"Emballages ménagers",E_Suivi_Eans!$J:$J,"Rejet 1",E_Suivi_Eans!$K:$K,"&gt;31/12/2021",E_Suivi_Eans!$K:$K,"&lt;01/11/2022")+COUNTIFS(E_Suivi_Eans!$C:$C,"10/2022",E_Suivi_Eans!$D:$D,"Emballages ménagers",E_Suivi_Eans!$J:$J,"Rejet 2",E_Suivi_Eans!$K:$K,"&gt;31/12/2021",E_Suivi_Eans!$K:$K,"&lt;01/11/2022")+COUNTIFS(E_Suivi_Eans!$C:$C,"10/2022",E_Suivi_Eans!$D:$D,"Emballages ménagers",E_Suivi_Eans!$J:$J,"Rejet 3",E_Suivi_Eans!$K:$K,"&gt;31/12/2021",E_Suivi_Eans!$K:$K,"&lt;01/11/2022")+ COUNTIFS(E_Suivi_Eans!$C:$C,"10/2022",E_Suivi_Eans!$D:$D,"Emballages ménagers",E_Suivi_Eans!$J:$J,"Rejet 4",E_Suivi_Eans!$K:$K,"&gt;31/12/2021",E_Suivi_Eans!$K:$K,"&lt;01/11/2022")+COUNTIFS(E_Suivi_Eans!$C:$C,"10/2022",E_Suivi_Eans!$D:$D,"Emballages ménagers",E_Suivi_Eans!$J:$J,"Relance 1",E_Suivi_Eans!$K:$K,"&gt;31/12/2021",E_Suivi_Eans!$K:$K,"&lt;01/11/2022")+COUNTIFS(E_Suivi_Eans!$C:$C,"10/2022",E_Suivi_Eans!$D:$D,"Emballages ménagers",E_Suivi_Eans!$J:$J,"Relance 2",E_Suivi_Eans!$K:$K,"&gt;31/12/2021",E_Suivi_Eans!$K:$K,"&lt;01/11/2022")+COUNTIFS(E_Suivi_Eans!$C:$C,"10/2022",E_Suivi_Eans!$D:$D,"Emballages ménagers",E_Suivi_Eans!$J:$J,"Relance 3",E_Suivi_Eans!$K:$K,"&gt;31/12/2021",E_Suivi_Eans!$K:$K,"&lt;01/11/2022")</f>
        <v>0</v>
      </c>
      <c r="E130" s="21">
        <f>COUNTIFS(E_Suivi_Eans!$C:$C,"10/2022",E_Suivi_Eans!$D:$D,"Emballages ménagers",E_Suivi_Eans!$J:$J,"Abandon",E_Suivi_Eans!$K:$K,"&gt;31/12/2021",E_Suivi_Eans!K:K,"&lt;01/11/2022")</f>
        <v>0</v>
      </c>
      <c r="F130" s="21">
        <f>COUNTIFS(E_Suivi_Eans!$C:$C,"10/2022",E_Suivi_Eans!$D:$D,"Emballages ménagers")</f>
        <v>0</v>
      </c>
      <c r="G130" s="21">
        <f>F130-E130</f>
        <v>0</v>
      </c>
      <c r="J130" s="20" t="s">
        <v>5326</v>
      </c>
      <c r="K130" s="20" t="s">
        <v>5326</v>
      </c>
      <c r="L130" s="28">
        <f t="shared" ref="L130:N131" si="28">IF($G130=0,0,C130/$G130)</f>
        <v>0</v>
      </c>
      <c r="M130" s="28">
        <f t="shared" si="28"/>
        <v>0</v>
      </c>
      <c r="N130" s="28">
        <f t="shared" si="28"/>
        <v>0</v>
      </c>
      <c r="O130" s="28">
        <v>1</v>
      </c>
      <c r="P130" s="28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COUNTIFS(E_Suivi_Eans!$C:$C,"10/2022",E_Suivi_Eans!$D:$D,"Emballages ménagers",E_Suivi_Eans!$J:$J,"Retour OK",E_Suivi_Eans!$K:$K,"&gt;31/12/2021",E_Suivi_Eans!K:K,"&lt;01/12/2022")</f>
        <v>0</v>
      </c>
      <c r="D131" s="21">
        <f>COUNTIFS(E_Suivi_Eans!$C:$C,"10/2022",E_Suivi_Eans!$D:$D,"Emballages ménagers",E_Suivi_Eans!$J:$J,"Rejet 0",E_Suivi_Eans!$K:$K,"&gt;31/12/2021",E_Suivi_Eans!$K:$K,"&lt;01/12/2022")+ COUNTIFS(E_Suivi_Eans!$C:$C,"10/2022",E_Suivi_Eans!$D:$D,"Emballages ménagers",E_Suivi_Eans!$J:$J,"Rejet 1",E_Suivi_Eans!$K:$K,"&gt;31/12/2021",E_Suivi_Eans!$K:$K,"&lt;01/12/2022")+COUNTIFS(E_Suivi_Eans!$C:$C,"10/2022",E_Suivi_Eans!$D:$D,"Emballages ménagers",E_Suivi_Eans!$J:$J,"Rejet 2",E_Suivi_Eans!$K:$K,"&gt;31/12/2021",E_Suivi_Eans!$K:$K,"&lt;01/12/2022")+COUNTIFS(E_Suivi_Eans!$C:$C,"10/2022",E_Suivi_Eans!$D:$D,"Emballages ménagers",E_Suivi_Eans!$J:$J,"Rejet 3",E_Suivi_Eans!$K:$K,"&gt;31/12/2021",E_Suivi_Eans!$K:$K,"&lt;01/12/2022")+ COUNTIFS(E_Suivi_Eans!$C:$C,"10/2022",E_Suivi_Eans!$D:$D,"Emballages ménagers",E_Suivi_Eans!$J:$J,"Rejet 4",E_Suivi_Eans!$K:$K,"&gt;31/12/2021",E_Suivi_Eans!$K:$K,"&lt;01/12/2022")+COUNTIFS(E_Suivi_Eans!$C:$C,"10/2022",E_Suivi_Eans!$D:$D,"Emballages ménagers",E_Suivi_Eans!$J:$J,"Relance 1",E_Suivi_Eans!$K:$K,"&gt;31/12/2021",E_Suivi_Eans!$K:$K,"&lt;01/12/2022")+COUNTIFS(E_Suivi_Eans!$C:$C,"10/2022",E_Suivi_Eans!$D:$D,"Emballages ménagers",E_Suivi_Eans!$J:$J,"Relance 2",E_Suivi_Eans!$K:$K,"&gt;31/12/2021",E_Suivi_Eans!$K:$K,"&lt;01/12/2022")+COUNTIFS(E_Suivi_Eans!$C:$C,"10/2022",E_Suivi_Eans!$D:$D,"Emballages ménagers",E_Suivi_Eans!$J:$J,"Relance 3",E_Suivi_Eans!$K:$K,"&gt;31/12/2021",E_Suivi_Eans!$K:$K,"&lt;01/12/2022")</f>
        <v>0</v>
      </c>
      <c r="E131" s="21">
        <f>COUNTIFS(E_Suivi_Eans!$C:$C,"10/2022",E_Suivi_Eans!$D:$D,"Emballages ménagers",E_Suivi_Eans!$J:$J,"Abandon",E_Suivi_Eans!$K:$K,"&gt;31/12/2021",E_Suivi_Eans!K:K,"&lt;01/12/2022")</f>
        <v>0</v>
      </c>
      <c r="F131" s="21">
        <f>COUNTIFS(E_Suivi_Eans!$C:$C,"10/2022",E_Suivi_Eans!$D:$D,"Emballages ménagers")</f>
        <v>0</v>
      </c>
      <c r="G131" s="21">
        <f t="shared" ref="G131" si="30">F131-E131</f>
        <v>0</v>
      </c>
      <c r="J131" s="20" t="s">
        <v>5326</v>
      </c>
      <c r="K131" s="20" t="s">
        <v>5327</v>
      </c>
      <c r="L131" s="28">
        <f t="shared" si="28"/>
        <v>0</v>
      </c>
      <c r="M131" s="28">
        <f t="shared" si="28"/>
        <v>0</v>
      </c>
      <c r="N131" s="28">
        <f t="shared" si="28"/>
        <v>0</v>
      </c>
      <c r="O131" s="28">
        <v>1</v>
      </c>
      <c r="P131" s="28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8"/>
      <c r="P132" s="28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5"/>
      <c r="E133" s="25"/>
      <c r="F133" s="25"/>
      <c r="G133" s="25"/>
      <c r="J133" s="22"/>
      <c r="K133" s="22"/>
      <c r="L133" s="23"/>
      <c r="M133" s="25"/>
      <c r="N133" s="25"/>
      <c r="O133" s="31"/>
      <c r="P133" s="31"/>
      <c r="S133" s="22"/>
      <c r="T133" s="22"/>
      <c r="U133" s="23"/>
      <c r="V133" s="25"/>
      <c r="W133" s="25"/>
      <c r="X133" s="25"/>
      <c r="Y133" s="25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8"/>
      <c r="P134" s="28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8"/>
      <c r="P135" s="28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8"/>
      <c r="P136" s="28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8"/>
      <c r="P137" s="28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8"/>
      <c r="P138" s="28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8"/>
      <c r="P139" s="28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8"/>
      <c r="P140" s="28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8"/>
      <c r="P141" s="28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8"/>
      <c r="P142" s="28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8"/>
      <c r="P143" s="28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COUNTIFS(E_Suivi_Eans!$C:$C,"11/2022",E_Suivi_Eans!$D:$D,"Emballages ménagers",E_Suivi_Eans!$J:$J,"Retour OK",E_Suivi_Eans!$K:$K,"&gt;31/12/2021",E_Suivi_Eans!K:K,"&lt;01/12/2022")</f>
        <v>0</v>
      </c>
      <c r="D144" s="21">
        <f>COUNTIFS(E_Suivi_Eans!$C:$C,"11/2022",E_Suivi_Eans!$D:$D,"Emballages ménagers",E_Suivi_Eans!$J:$J,"Rejet 0",E_Suivi_Eans!$K:$K,"&gt;31/12/2021",E_Suivi_Eans!$K:$K,"&lt;01/12/2022")+ COUNTIFS(E_Suivi_Eans!$C:$C,"11/2022",E_Suivi_Eans!$D:$D,"Emballages ménagers",E_Suivi_Eans!$J:$J,"Rejet 1",E_Suivi_Eans!$K:$K,"&gt;31/12/2021",E_Suivi_Eans!$K:$K,"&lt;01/12/2022")+COUNTIFS(E_Suivi_Eans!$C:$C,"11/2022",E_Suivi_Eans!$D:$D,"Emballages ménagers",E_Suivi_Eans!$J:$J,"Rejet 2",E_Suivi_Eans!$K:$K,"&gt;31/12/2021",E_Suivi_Eans!$K:$K,"&lt;01/12/2022")+COUNTIFS(E_Suivi_Eans!$C:$C,"11/2022",E_Suivi_Eans!$D:$D,"Emballages ménagers",E_Suivi_Eans!$J:$J,"Rejet 3",E_Suivi_Eans!$K:$K,"&gt;31/12/2021",E_Suivi_Eans!$K:$K,"&lt;01/12/2022")+ COUNTIFS(E_Suivi_Eans!$C:$C,"11/2022",E_Suivi_Eans!$D:$D,"Emballages ménagers",E_Suivi_Eans!$J:$J,"Rejet 4",E_Suivi_Eans!$K:$K,"&gt;31/12/2021",E_Suivi_Eans!$K:$K,"&lt;01/12/2022")+COUNTIFS(E_Suivi_Eans!$C:$C,"11/2022",E_Suivi_Eans!$D:$D,"Emballages ménagers",E_Suivi_Eans!$J:$J,"Relance 1",E_Suivi_Eans!$K:$K,"&gt;31/12/2021",E_Suivi_Eans!$K:$K,"&lt;01/12/2022")+COUNTIFS(E_Suivi_Eans!$C:$C,"11/2022",E_Suivi_Eans!$D:$D,"Emballages ménagers",E_Suivi_Eans!$J:$J,"Relance 2",E_Suivi_Eans!$K:$K,"&gt;31/12/2021",E_Suivi_Eans!$K:$K,"&lt;01/12/2022")+COUNTIFS(E_Suivi_Eans!$C:$C,"11/2022",E_Suivi_Eans!$D:$D,"Emballages ménagers",E_Suivi_Eans!$J:$J,"Relance 3",E_Suivi_Eans!$K:$K,"&gt;31/12/2021",E_Suivi_Eans!$K:$K,"&lt;01/12/2022")</f>
        <v>0</v>
      </c>
      <c r="E144" s="21">
        <f>COUNTIFS(E_Suivi_Eans!$C:$C,"11/2022",E_Suivi_Eans!$D:$D,"Emballages ménagers",E_Suivi_Eans!$J:$J,"Abandon",E_Suivi_Eans!$K:$K,"&gt;31/12/2021",E_Suivi_Eans!K:K,"&lt;01/12/2022")</f>
        <v>0</v>
      </c>
      <c r="F144" s="21">
        <f>COUNTIFS(E_Suivi_Eans!$C:$C,"11/2022",E_Suivi_Eans!$D:$D,"Emballages ménagers")</f>
        <v>0</v>
      </c>
      <c r="G144" s="21">
        <f>F144-E144</f>
        <v>0</v>
      </c>
      <c r="J144" s="20" t="s">
        <v>5327</v>
      </c>
      <c r="K144" s="20" t="s">
        <v>5327</v>
      </c>
      <c r="L144" s="28">
        <f>IF($G144=0,0,C144/$G144)</f>
        <v>0</v>
      </c>
      <c r="M144" s="28">
        <f t="shared" ref="M144:N144" si="31">IF($G144=0,0,D144/$G144)</f>
        <v>0</v>
      </c>
      <c r="N144" s="28">
        <f t="shared" si="31"/>
        <v>0</v>
      </c>
      <c r="O144" s="28">
        <v>1</v>
      </c>
      <c r="P144" s="28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8"/>
      <c r="P145" s="28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5"/>
      <c r="E146" s="25"/>
      <c r="F146" s="25"/>
      <c r="G146" s="25"/>
      <c r="J146" s="22"/>
      <c r="K146" s="22"/>
      <c r="L146" s="23"/>
      <c r="M146" s="25"/>
      <c r="N146" s="25"/>
      <c r="O146" s="31"/>
      <c r="P146" s="31"/>
      <c r="S146" s="22"/>
      <c r="T146" s="22"/>
      <c r="U146" s="23"/>
      <c r="V146" s="25"/>
      <c r="W146" s="25"/>
      <c r="X146" s="25"/>
      <c r="Y146" s="25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8"/>
      <c r="M147" s="28"/>
      <c r="N147" s="28"/>
      <c r="O147" s="28"/>
      <c r="P147" s="28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8"/>
      <c r="P148" s="28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8"/>
      <c r="P149" s="28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8"/>
      <c r="P150" s="28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8"/>
      <c r="P151" s="28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8"/>
      <c r="P152" s="28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8"/>
      <c r="P153" s="28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8"/>
      <c r="P154" s="28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8"/>
      <c r="P155" s="28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8"/>
      <c r="P156" s="28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8"/>
      <c r="P157" s="28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8"/>
      <c r="P158" s="28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5"/>
      <c r="E159" s="25"/>
      <c r="F159" s="25"/>
      <c r="G159" s="25"/>
      <c r="J159" s="22"/>
      <c r="K159" s="22"/>
      <c r="L159" s="23"/>
      <c r="M159" s="25"/>
      <c r="N159" s="25"/>
      <c r="O159" s="31"/>
      <c r="P159" s="31"/>
      <c r="S159" s="22"/>
      <c r="T159" s="22"/>
      <c r="U159" s="23"/>
      <c r="V159" s="25"/>
      <c r="W159" s="25"/>
      <c r="X159" s="25"/>
      <c r="Y159" s="25"/>
    </row>
    <row r="160" spans="1:25">
      <c r="A160" s="27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7" t="s">
        <v>5396</v>
      </c>
      <c r="K160" s="20" t="s">
        <v>5314</v>
      </c>
      <c r="L160" s="28">
        <f t="shared" ref="L160:N170" si="35">IF($G160=0,0,C160/$G160)</f>
        <v>0</v>
      </c>
      <c r="M160" s="28">
        <f t="shared" si="35"/>
        <v>0</v>
      </c>
      <c r="N160" s="28">
        <f t="shared" si="35"/>
        <v>0</v>
      </c>
      <c r="O160" s="28">
        <v>1</v>
      </c>
      <c r="P160" s="28">
        <f t="shared" ref="P160:P170" si="36">O160-N160</f>
        <v>1</v>
      </c>
      <c r="S160" s="27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7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7" t="s">
        <v>5396</v>
      </c>
      <c r="K161" s="20" t="s">
        <v>5315</v>
      </c>
      <c r="L161" s="28">
        <f t="shared" si="35"/>
        <v>0</v>
      </c>
      <c r="M161" s="28">
        <f t="shared" si="35"/>
        <v>0</v>
      </c>
      <c r="N161" s="28">
        <f t="shared" si="35"/>
        <v>0</v>
      </c>
      <c r="O161" s="28">
        <v>1</v>
      </c>
      <c r="P161" s="28">
        <f t="shared" si="36"/>
        <v>1</v>
      </c>
      <c r="S161" s="27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7" t="s">
        <v>5396</v>
      </c>
      <c r="B162" s="20" t="s">
        <v>5316</v>
      </c>
      <c r="C162" s="21">
        <f t="shared" si="37"/>
        <v>0</v>
      </c>
      <c r="D162" s="21">
        <f t="shared" si="37"/>
        <v>0</v>
      </c>
      <c r="E162" s="21">
        <f t="shared" si="37"/>
        <v>0</v>
      </c>
      <c r="F162" s="21">
        <f t="shared" si="37"/>
        <v>0</v>
      </c>
      <c r="G162" s="21">
        <f t="shared" si="34"/>
        <v>0</v>
      </c>
      <c r="J162" s="27" t="s">
        <v>5396</v>
      </c>
      <c r="K162" s="20" t="s">
        <v>5316</v>
      </c>
      <c r="L162" s="28">
        <f t="shared" si="35"/>
        <v>0</v>
      </c>
      <c r="M162" s="28">
        <f t="shared" si="35"/>
        <v>0</v>
      </c>
      <c r="N162" s="28">
        <f t="shared" si="35"/>
        <v>0</v>
      </c>
      <c r="O162" s="28">
        <v>1</v>
      </c>
      <c r="P162" s="28">
        <f t="shared" si="36"/>
        <v>1</v>
      </c>
      <c r="S162" s="27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7" t="s">
        <v>5396</v>
      </c>
      <c r="B163" s="20" t="s">
        <v>5317</v>
      </c>
      <c r="C163" s="21">
        <f t="shared" si="37"/>
        <v>0</v>
      </c>
      <c r="D163" s="21">
        <f t="shared" si="37"/>
        <v>0</v>
      </c>
      <c r="E163" s="21">
        <f t="shared" si="37"/>
        <v>0</v>
      </c>
      <c r="F163" s="21">
        <f t="shared" si="37"/>
        <v>0</v>
      </c>
      <c r="G163" s="21">
        <f t="shared" si="34"/>
        <v>0</v>
      </c>
      <c r="J163" s="27" t="s">
        <v>5396</v>
      </c>
      <c r="K163" s="20" t="s">
        <v>5317</v>
      </c>
      <c r="L163" s="28">
        <f t="shared" si="35"/>
        <v>0</v>
      </c>
      <c r="M163" s="28">
        <f t="shared" si="35"/>
        <v>0</v>
      </c>
      <c r="N163" s="28">
        <f t="shared" si="35"/>
        <v>0</v>
      </c>
      <c r="O163" s="28">
        <v>1</v>
      </c>
      <c r="P163" s="28">
        <f>O163-N163</f>
        <v>1</v>
      </c>
      <c r="S163" s="27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7" t="s">
        <v>5396</v>
      </c>
      <c r="B164" s="20" t="s">
        <v>5318</v>
      </c>
      <c r="C164" s="21">
        <f t="shared" si="37"/>
        <v>0</v>
      </c>
      <c r="D164" s="21">
        <f t="shared" si="37"/>
        <v>0</v>
      </c>
      <c r="E164" s="21">
        <f t="shared" si="37"/>
        <v>0</v>
      </c>
      <c r="F164" s="21">
        <f t="shared" si="37"/>
        <v>0</v>
      </c>
      <c r="G164" s="21">
        <f t="shared" si="34"/>
        <v>0</v>
      </c>
      <c r="J164" s="27" t="s">
        <v>5396</v>
      </c>
      <c r="K164" s="20" t="s">
        <v>5318</v>
      </c>
      <c r="L164" s="28">
        <f t="shared" si="35"/>
        <v>0</v>
      </c>
      <c r="M164" s="28">
        <f t="shared" si="35"/>
        <v>0</v>
      </c>
      <c r="N164" s="28">
        <f t="shared" si="35"/>
        <v>0</v>
      </c>
      <c r="O164" s="28">
        <v>1</v>
      </c>
      <c r="P164" s="28">
        <f t="shared" si="36"/>
        <v>1</v>
      </c>
      <c r="S164" s="27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7" t="s">
        <v>5396</v>
      </c>
      <c r="B165" s="20" t="s">
        <v>5319</v>
      </c>
      <c r="C165" s="21">
        <f t="shared" si="37"/>
        <v>0</v>
      </c>
      <c r="D165" s="21">
        <f t="shared" si="37"/>
        <v>0</v>
      </c>
      <c r="E165" s="21">
        <f t="shared" si="37"/>
        <v>0</v>
      </c>
      <c r="F165" s="21">
        <f t="shared" si="37"/>
        <v>0</v>
      </c>
      <c r="G165" s="21">
        <f t="shared" si="34"/>
        <v>0</v>
      </c>
      <c r="I165" s="33"/>
      <c r="J165" s="27" t="s">
        <v>5396</v>
      </c>
      <c r="K165" s="20" t="s">
        <v>5319</v>
      </c>
      <c r="L165" s="28">
        <f t="shared" si="35"/>
        <v>0</v>
      </c>
      <c r="M165" s="28">
        <f t="shared" si="35"/>
        <v>0</v>
      </c>
      <c r="N165" s="28">
        <f t="shared" si="35"/>
        <v>0</v>
      </c>
      <c r="O165" s="28">
        <v>1</v>
      </c>
      <c r="P165" s="28">
        <f t="shared" si="36"/>
        <v>1</v>
      </c>
      <c r="S165" s="27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7" t="s">
        <v>5396</v>
      </c>
      <c r="B166" s="20" t="s">
        <v>5320</v>
      </c>
      <c r="C166" s="21">
        <f t="shared" si="37"/>
        <v>0</v>
      </c>
      <c r="D166" s="21">
        <f t="shared" si="37"/>
        <v>0</v>
      </c>
      <c r="E166" s="21">
        <f t="shared" si="37"/>
        <v>0</v>
      </c>
      <c r="F166" s="21">
        <f t="shared" si="37"/>
        <v>0</v>
      </c>
      <c r="G166" s="21">
        <f t="shared" si="34"/>
        <v>0</v>
      </c>
      <c r="J166" s="27" t="s">
        <v>5396</v>
      </c>
      <c r="K166" s="20" t="s">
        <v>5320</v>
      </c>
      <c r="L166" s="28">
        <f t="shared" si="35"/>
        <v>0</v>
      </c>
      <c r="M166" s="28">
        <f t="shared" si="35"/>
        <v>0</v>
      </c>
      <c r="N166" s="28">
        <f t="shared" si="35"/>
        <v>0</v>
      </c>
      <c r="O166" s="28">
        <v>1</v>
      </c>
      <c r="P166" s="28">
        <f t="shared" si="36"/>
        <v>1</v>
      </c>
      <c r="S166" s="27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7" t="s">
        <v>5396</v>
      </c>
      <c r="B167" s="20" t="s">
        <v>5321</v>
      </c>
      <c r="C167" s="21">
        <f t="shared" si="37"/>
        <v>0</v>
      </c>
      <c r="D167" s="21">
        <f t="shared" si="37"/>
        <v>0</v>
      </c>
      <c r="E167" s="21">
        <f t="shared" si="37"/>
        <v>0</v>
      </c>
      <c r="F167" s="21">
        <f t="shared" si="37"/>
        <v>0</v>
      </c>
      <c r="G167" s="21">
        <f t="shared" si="34"/>
        <v>0</v>
      </c>
      <c r="J167" s="27" t="s">
        <v>5396</v>
      </c>
      <c r="K167" s="20" t="s">
        <v>5321</v>
      </c>
      <c r="L167" s="28">
        <f t="shared" si="35"/>
        <v>0</v>
      </c>
      <c r="M167" s="28">
        <f t="shared" si="35"/>
        <v>0</v>
      </c>
      <c r="N167" s="28">
        <f t="shared" si="35"/>
        <v>0</v>
      </c>
      <c r="O167" s="28">
        <v>1</v>
      </c>
      <c r="P167" s="28">
        <f t="shared" si="36"/>
        <v>1</v>
      </c>
      <c r="S167" s="27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7" t="s">
        <v>5396</v>
      </c>
      <c r="B168" s="20" t="s">
        <v>5325</v>
      </c>
      <c r="C168" s="21">
        <f t="shared" si="37"/>
        <v>0</v>
      </c>
      <c r="D168" s="21">
        <f t="shared" si="37"/>
        <v>0</v>
      </c>
      <c r="E168" s="21">
        <f t="shared" si="37"/>
        <v>0</v>
      </c>
      <c r="F168" s="21">
        <f t="shared" si="37"/>
        <v>0</v>
      </c>
      <c r="G168" s="21">
        <f t="shared" si="34"/>
        <v>0</v>
      </c>
      <c r="J168" s="27" t="s">
        <v>5396</v>
      </c>
      <c r="K168" s="20" t="s">
        <v>5325</v>
      </c>
      <c r="L168" s="28">
        <f t="shared" si="35"/>
        <v>0</v>
      </c>
      <c r="M168" s="28">
        <f t="shared" si="35"/>
        <v>0</v>
      </c>
      <c r="N168" s="28">
        <f t="shared" si="35"/>
        <v>0</v>
      </c>
      <c r="O168" s="28">
        <v>1</v>
      </c>
      <c r="P168" s="28">
        <f t="shared" si="36"/>
        <v>1</v>
      </c>
      <c r="S168" s="27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7" t="s">
        <v>5396</v>
      </c>
      <c r="B169" s="20" t="s">
        <v>5326</v>
      </c>
      <c r="C169" s="21">
        <f t="shared" si="37"/>
        <v>0</v>
      </c>
      <c r="D169" s="21">
        <f t="shared" si="37"/>
        <v>0</v>
      </c>
      <c r="E169" s="21">
        <f t="shared" si="37"/>
        <v>0</v>
      </c>
      <c r="F169" s="21">
        <f t="shared" si="37"/>
        <v>0</v>
      </c>
      <c r="G169" s="21">
        <f t="shared" si="34"/>
        <v>0</v>
      </c>
      <c r="J169" s="27" t="s">
        <v>5396</v>
      </c>
      <c r="K169" s="20" t="s">
        <v>5326</v>
      </c>
      <c r="L169" s="28">
        <f t="shared" si="35"/>
        <v>0</v>
      </c>
      <c r="M169" s="28">
        <f t="shared" si="35"/>
        <v>0</v>
      </c>
      <c r="N169" s="28">
        <f t="shared" si="35"/>
        <v>0</v>
      </c>
      <c r="O169" s="28">
        <v>1</v>
      </c>
      <c r="P169" s="28">
        <f t="shared" si="36"/>
        <v>1</v>
      </c>
      <c r="S169" s="27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7" t="s">
        <v>5396</v>
      </c>
      <c r="B170" s="20" t="s">
        <v>5327</v>
      </c>
      <c r="C170" s="21">
        <f t="shared" si="37"/>
        <v>0</v>
      </c>
      <c r="D170" s="21">
        <f t="shared" si="37"/>
        <v>0</v>
      </c>
      <c r="E170" s="21">
        <f t="shared" si="37"/>
        <v>0</v>
      </c>
      <c r="F170" s="21">
        <f t="shared" si="37"/>
        <v>0</v>
      </c>
      <c r="G170" s="21">
        <f t="shared" si="34"/>
        <v>0</v>
      </c>
      <c r="I170" s="33"/>
      <c r="J170" s="27" t="s">
        <v>5396</v>
      </c>
      <c r="K170" s="20" t="s">
        <v>5327</v>
      </c>
      <c r="L170" s="28">
        <f t="shared" si="35"/>
        <v>0</v>
      </c>
      <c r="M170" s="28">
        <f t="shared" si="35"/>
        <v>0</v>
      </c>
      <c r="N170" s="28">
        <f t="shared" si="35"/>
        <v>0</v>
      </c>
      <c r="O170" s="28">
        <v>1</v>
      </c>
      <c r="P170" s="28">
        <f t="shared" si="36"/>
        <v>1</v>
      </c>
      <c r="S170" s="27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7" t="s">
        <v>5396</v>
      </c>
      <c r="B171" s="20" t="s">
        <v>5328</v>
      </c>
      <c r="C171" s="21"/>
      <c r="D171" s="21"/>
      <c r="E171" s="21"/>
      <c r="F171" s="21"/>
      <c r="G171" s="21"/>
      <c r="J171" s="27" t="s">
        <v>5396</v>
      </c>
      <c r="K171" s="20" t="s">
        <v>5328</v>
      </c>
      <c r="L171" s="21"/>
      <c r="M171" s="21"/>
      <c r="N171" s="21"/>
      <c r="O171" s="28"/>
      <c r="P171" s="28"/>
      <c r="S171" s="27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B2"/>
    <mergeCell ref="J2:K2"/>
    <mergeCell ref="S2:T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K1:O58"/>
  <sheetViews>
    <sheetView zoomScale="130" zoomScaleNormal="130" workbookViewId="0">
      <selection activeCell="K1" sqref="K1"/>
    </sheetView>
  </sheetViews>
  <sheetFormatPr baseColWidth="10" defaultRowHeight="13"/>
  <sheetData>
    <row r="1" spans="11:15">
      <c r="K1" s="32"/>
      <c r="N1" s="40"/>
      <c r="O1" s="40"/>
    </row>
    <row r="51" spans="11:11">
      <c r="K51" s="40"/>
    </row>
    <row r="52" spans="11:11">
      <c r="K52" s="40"/>
    </row>
    <row r="53" spans="11:11">
      <c r="K53" s="40"/>
    </row>
    <row r="54" spans="11:11">
      <c r="K54" s="40"/>
    </row>
    <row r="55" spans="11:11">
      <c r="K55" s="40"/>
    </row>
    <row r="56" spans="11:11">
      <c r="K56" s="40"/>
    </row>
    <row r="57" spans="11:11">
      <c r="K57" s="40"/>
    </row>
    <row r="58" spans="11:11">
      <c r="K58" s="4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activeCell="K1" sqref="K1"/>
      <selection pane="bottomLeft" activeCell="K1" sqref="K1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2695312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26953125" style="16" customWidth="1"/>
    <col min="13" max="13" width="10.54296875" style="16" customWidth="1"/>
    <col min="14" max="14" width="11" style="16" customWidth="1"/>
    <col min="15" max="16" width="7.81640625" style="29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5" customFormat="1" ht="27.65" customHeight="1">
      <c r="A1" s="34" t="s">
        <v>5399</v>
      </c>
      <c r="B1" s="34"/>
      <c r="J1" s="34" t="s">
        <v>5398</v>
      </c>
      <c r="K1" s="34"/>
      <c r="O1" s="36"/>
      <c r="P1" s="36"/>
      <c r="S1" s="34" t="s">
        <v>5397</v>
      </c>
      <c r="T1" s="34"/>
      <c r="W1" s="39"/>
    </row>
    <row r="2" spans="1:27">
      <c r="A2" s="56" t="s">
        <v>4040</v>
      </c>
      <c r="B2" s="57"/>
      <c r="J2" s="56" t="s">
        <v>4040</v>
      </c>
      <c r="K2" s="57"/>
      <c r="S2" s="56" t="s">
        <v>4040</v>
      </c>
      <c r="T2" s="5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30" t="s">
        <v>5324</v>
      </c>
      <c r="P3" s="30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COUNTIFS(E_Suivi_Eans!$C:$C,"01/2022",E_Suivi_Eans!$D:$D,"Economat",E_Suivi_Eans!$J:$J,"Retour OK",E_Suivi_Eans!$K:$K,"&gt;31/12/2021",E_Suivi_Eans!K:K,"&lt;01/02/2022")</f>
        <v>0</v>
      </c>
      <c r="D4" s="21">
        <f>COUNTIFS(E_Suivi_Eans!$C:$C,"01/2022",E_Suivi_Eans!$D:$D,"Economat",E_Suivi_Eans!$J:$J,"Rejet 0",E_Suivi_Eans!$K:$K,"&gt;31/12/2021",E_Suivi_Eans!$K:$K,"&lt;01/02/2022")+ COUNTIFS(E_Suivi_Eans!$C:$C,"01/2022",E_Suivi_Eans!$D:$D,"Economat",E_Suivi_Eans!$J:$J,"Rejet 1",E_Suivi_Eans!$K:$K,"&gt;31/12/2021",E_Suivi_Eans!$K:$K,"&lt;01/02/2022")+COUNTIFS(E_Suivi_Eans!$C:$C,"01/2022",E_Suivi_Eans!$D:$D,"Economat",E_Suivi_Eans!$J:$J,"Rejet 2",E_Suivi_Eans!$K:$K,"&gt;31/12/2021",E_Suivi_Eans!$K:$K,"&lt;01/02/2022")+COUNTIFS(E_Suivi_Eans!$C:$C,"01/2022",E_Suivi_Eans!$D:$D,"Economat",E_Suivi_Eans!$J:$J,"Rejet 3",E_Suivi_Eans!$K:$K,"&gt;31/12/2021",E_Suivi_Eans!$K:$K,"&lt;01/02/2022")+ COUNTIFS(E_Suivi_Eans!$C:$C,"01/2022",E_Suivi_Eans!$D:$D,"Economat",E_Suivi_Eans!$J:$J,"Rejet 4",E_Suivi_Eans!$K:$K,"&gt;31/12/2021",E_Suivi_Eans!$K:$K,"&lt;01/02/2022")+COUNTIFS(E_Suivi_Eans!$C:$C,"01/2022",E_Suivi_Eans!$D:$D,"Economat",E_Suivi_Eans!$J:$J,"Relance 1",E_Suivi_Eans!$K:$K,"&gt;31/12/2021",E_Suivi_Eans!$K:$K,"&lt;01/02/2022")+COUNTIFS(E_Suivi_Eans!$C:$C,"01/2022",E_Suivi_Eans!$D:$D,"Economat",E_Suivi_Eans!$J:$J,"Relance 2",E_Suivi_Eans!$K:$K,"&gt;31/12/2021",E_Suivi_Eans!$K:$K,"&lt;01/02/2022")+COUNTIFS(E_Suivi_Eans!$C:$C,"01/2022",E_Suivi_Eans!$D:$D,"Economat",E_Suivi_Eans!$J:$J,"Relance 3",E_Suivi_Eans!$K:$K,"&gt;31/12/2021",E_Suivi_Eans!$K:$K,"&lt;01/02/2022")</f>
        <v>0</v>
      </c>
      <c r="E4" s="21">
        <f>COUNTIFS(E_Suivi_Eans!$C:$C,"01/2022",E_Suivi_Eans!$D:$D,"Economat",E_Suivi_Eans!$J:$J,"Abandon",E_Suivi_Eans!$K:$K,"&gt;31/12/2021",E_Suivi_Eans!K:K,"&lt;01/02/2022")</f>
        <v>0</v>
      </c>
      <c r="F4" s="21">
        <f>COUNTIFS(E_Suivi_Eans!$C:$C,"01/2022",E_Suivi_Eans!$D:$D,"Economat")</f>
        <v>0</v>
      </c>
      <c r="G4" s="21">
        <f>F4-E4</f>
        <v>0</v>
      </c>
      <c r="J4" s="20" t="s">
        <v>5314</v>
      </c>
      <c r="K4" s="20" t="s">
        <v>5314</v>
      </c>
      <c r="L4" s="28" t="e">
        <f>C4/$G4</f>
        <v>#DIV/0!</v>
      </c>
      <c r="M4" s="28" t="e">
        <f t="shared" ref="M4:N14" si="0">D4/$G4</f>
        <v>#DIV/0!</v>
      </c>
      <c r="N4" s="28" t="e">
        <f t="shared" si="0"/>
        <v>#DIV/0!</v>
      </c>
      <c r="O4" s="28">
        <v>1</v>
      </c>
      <c r="P4" s="28" t="e">
        <f>O4-N4</f>
        <v>#DIV/0!</v>
      </c>
      <c r="S4" s="20" t="s">
        <v>5314</v>
      </c>
      <c r="T4" s="20" t="s">
        <v>5314</v>
      </c>
      <c r="U4" s="38"/>
      <c r="V4" s="21"/>
      <c r="W4" s="21"/>
      <c r="X4" s="38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COUNTIFS(E_Suivi_Eans!$C:$C,"01/2022",E_Suivi_Eans!$D:$D,"Economat",E_Suivi_Eans!$J:$J,"Retour OK",E_Suivi_Eans!$K:$K,"&gt;31/12/2021",E_Suivi_Eans!$K:$K,"&lt;01/03/2022")</f>
        <v>0</v>
      </c>
      <c r="D5" s="21">
        <f>COUNTIFS(E_Suivi_Eans!$C:$C,"01/2022",E_Suivi_Eans!$D:$D,"Economat",E_Suivi_Eans!$J:$J,"Rejet 0",E_Suivi_Eans!$K:$K,"&gt;31/12/2021",E_Suivi_Eans!$K:$K,"&lt;01/03/2022")+ COUNTIFS(E_Suivi_Eans!$C:$C,"01/2022",E_Suivi_Eans!$D:$D,"Economat",E_Suivi_Eans!$J:$J,"Rejet 1",E_Suivi_Eans!$K:$K,"&gt;31/12/2021",E_Suivi_Eans!$K:$K,"&lt;01/03/2022")+COUNTIFS(E_Suivi_Eans!$C:$C,"01/2022",E_Suivi_Eans!$D:$D,"Economat",E_Suivi_Eans!$J:$J,"Rejet 2",E_Suivi_Eans!$K:$K,"&gt;31/12/2021",E_Suivi_Eans!$K:$K,"&lt;01/03/2022")+COUNTIFS(E_Suivi_Eans!$C:$C,"01/2022",E_Suivi_Eans!$D:$D,"Economat",E_Suivi_Eans!$J:$J,"Rejet 3",E_Suivi_Eans!$K:$K,"&gt;31/12/2021",E_Suivi_Eans!$K:$K,"&lt;01/03/2022")+ COUNTIFS(E_Suivi_Eans!$C:$C,"01/2022",E_Suivi_Eans!$D:$D,"Economat",E_Suivi_Eans!$J:$J,"Rejet 4",E_Suivi_Eans!$K:$K,"&gt;31/12/2021",E_Suivi_Eans!$K:$K,"&lt;01/03/2022")+COUNTIFS(E_Suivi_Eans!$C:$C,"01/2022",E_Suivi_Eans!$D:$D,"Economat",E_Suivi_Eans!$J:$J,"Relance 1",E_Suivi_Eans!$K:$K,"&gt;31/12/2021",E_Suivi_Eans!$K:$K,"&lt;01/03/2022")+COUNTIFS(E_Suivi_Eans!$C:$C,"01/2022",E_Suivi_Eans!$D:$D,"Economat",E_Suivi_Eans!$J:$J,"Relance 2",E_Suivi_Eans!$K:$K,"&gt;31/12/2021",E_Suivi_Eans!$K:$K,"&lt;01/03/2022")+COUNTIFS(E_Suivi_Eans!$C:$C,"01/2022",E_Suivi_Eans!$D:$D,"Economat",E_Suivi_Eans!$J:$J,"Relance 3",E_Suivi_Eans!$K:$K,"&gt;31/12/2021",E_Suivi_Eans!$K:$K,"&lt;01/03/2022")</f>
        <v>0</v>
      </c>
      <c r="E5" s="21">
        <f>COUNTIFS(E_Suivi_Eans!$C:$C,"01/2022",E_Suivi_Eans!$D:$D,"Economat",E_Suivi_Eans!$J:$J,"Abandon",E_Suivi_Eans!$K:$K,"&gt;31/12/2021",E_Suivi_Eans!K:K,"&lt;01/03/2022")</f>
        <v>0</v>
      </c>
      <c r="F5" s="21">
        <f>COUNTIFS(E_Suivi_Eans!$C:$C,"01/2022",E_Suivi_Eans!$D:$D,"Economat")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8" t="e">
        <f t="shared" ref="L5:L14" si="2">C5/$G5</f>
        <v>#DIV/0!</v>
      </c>
      <c r="M5" s="28" t="e">
        <f t="shared" si="0"/>
        <v>#DIV/0!</v>
      </c>
      <c r="N5" s="28" t="e">
        <f t="shared" si="0"/>
        <v>#DIV/0!</v>
      </c>
      <c r="O5" s="28">
        <v>1</v>
      </c>
      <c r="P5" s="28" t="e">
        <f t="shared" ref="P5:P14" si="3">O5-N5</f>
        <v>#DIV/0!</v>
      </c>
      <c r="S5" s="20" t="s">
        <v>5314</v>
      </c>
      <c r="T5" s="20" t="s">
        <v>5315</v>
      </c>
      <c r="U5" s="38"/>
      <c r="V5" s="21"/>
      <c r="W5" s="21"/>
      <c r="X5" s="38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COUNTIFS(E_Suivi_Eans!$C:$C,"01/2022",E_Suivi_Eans!$D:$D,"Economat",E_Suivi_Eans!$J:$J,"Retour OK",E_Suivi_Eans!$K:$K,"&gt;31/12/2021",E_Suivi_Eans!$K:$K,"&lt;01/04/2022")</f>
        <v>0</v>
      </c>
      <c r="D6" s="21">
        <f>COUNTIFS(E_Suivi_Eans!$C:$C,"01/2022",E_Suivi_Eans!$D:$D,"Economat",E_Suivi_Eans!$J:$J,"Rejet 0",E_Suivi_Eans!$K:$K,"&gt;31/12/2021",E_Suivi_Eans!$K:$K,"&lt;01/04/2022")+ COUNTIFS(E_Suivi_Eans!$C:$C,"01/2022",E_Suivi_Eans!$D:$D,"Economat",E_Suivi_Eans!$J:$J,"Rejet 1",E_Suivi_Eans!$K:$K,"&gt;31/12/2021",E_Suivi_Eans!$K:$K,"&lt;01/04/2022")+COUNTIFS(E_Suivi_Eans!$C:$C,"01/2022",E_Suivi_Eans!$D:$D,"Economat",E_Suivi_Eans!$J:$J,"Rejet 2",E_Suivi_Eans!$K:$K,"&gt;31/12/2021",E_Suivi_Eans!$K:$K,"&lt;01/04/2022")+COUNTIFS(E_Suivi_Eans!$C:$C,"01/2022",E_Suivi_Eans!$D:$D,"Economat",E_Suivi_Eans!$J:$J,"Rejet 3",E_Suivi_Eans!$K:$K,"&gt;31/12/2021",E_Suivi_Eans!$K:$K,"&lt;01/04/2022")+ COUNTIFS(E_Suivi_Eans!$C:$C,"01/2022",E_Suivi_Eans!$D:$D,"Economat",E_Suivi_Eans!$J:$J,"Rejet 4",E_Suivi_Eans!$K:$K,"&gt;31/12/2021",E_Suivi_Eans!$K:$K,"&lt;01/04/2022")+COUNTIFS(E_Suivi_Eans!$C:$C,"01/2022",E_Suivi_Eans!$D:$D,"Economat",E_Suivi_Eans!$J:$J,"Relance 1",E_Suivi_Eans!$K:$K,"&gt;31/12/2021",E_Suivi_Eans!$K:$K,"&lt;01/04/2022")+COUNTIFS(E_Suivi_Eans!$C:$C,"01/2022",E_Suivi_Eans!$D:$D,"Economat",E_Suivi_Eans!$J:$J,"Relance 2",E_Suivi_Eans!$K:$K,"&gt;31/12/2021",E_Suivi_Eans!$K:$K,"&lt;01/04/2022")+COUNTIFS(E_Suivi_Eans!$C:$C,"01/2022",E_Suivi_Eans!$D:$D,"Economat",E_Suivi_Eans!$J:$J,"Relance 3",E_Suivi_Eans!$K:$K,"&gt;31/12/2021",E_Suivi_Eans!$K:$K,"&lt;01/04/2022")</f>
        <v>0</v>
      </c>
      <c r="E6" s="21">
        <f>COUNTIFS(E_Suivi_Eans!$C:$C,"01/2022",E_Suivi_Eans!$D:$D,"Economat",E_Suivi_Eans!$J:$J,"Abandon",E_Suivi_Eans!$K:$K,"&gt;31/12/2021",E_Suivi_Eans!K:K,"&lt;01/04/2022")</f>
        <v>0</v>
      </c>
      <c r="F6" s="21">
        <f>COUNTIFS(E_Suivi_Eans!$C:$C,"01/2022",E_Suivi_Eans!$D:$D,"Economat")</f>
        <v>0</v>
      </c>
      <c r="G6" s="21">
        <f t="shared" si="1"/>
        <v>0</v>
      </c>
      <c r="J6" s="20" t="s">
        <v>5314</v>
      </c>
      <c r="K6" s="20" t="s">
        <v>5316</v>
      </c>
      <c r="L6" s="28" t="e">
        <f t="shared" si="2"/>
        <v>#DIV/0!</v>
      </c>
      <c r="M6" s="28" t="e">
        <f t="shared" si="0"/>
        <v>#DIV/0!</v>
      </c>
      <c r="N6" s="28" t="e">
        <f t="shared" si="0"/>
        <v>#DIV/0!</v>
      </c>
      <c r="O6" s="28">
        <v>1</v>
      </c>
      <c r="P6" s="28" t="e">
        <f t="shared" si="3"/>
        <v>#DIV/0!</v>
      </c>
      <c r="S6" s="20" t="s">
        <v>5314</v>
      </c>
      <c r="T6" s="20" t="s">
        <v>5316</v>
      </c>
      <c r="U6" s="38"/>
      <c r="V6" s="21"/>
      <c r="W6" s="21"/>
      <c r="X6" s="38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COUNTIFS(E_Suivi_Eans!$C:$C,"01/2022",E_Suivi_Eans!$D:$D,"Economat",E_Suivi_Eans!$J:$J,"Retour OK",E_Suivi_Eans!$K:$K,"&gt;31/12/2021",E_Suivi_Eans!$K:$K,"&lt;01/05/2022")</f>
        <v>0</v>
      </c>
      <c r="D7" s="21">
        <f>COUNTIFS(E_Suivi_Eans!$C:$C,"01/2022",E_Suivi_Eans!$D:$D,"Economat",E_Suivi_Eans!$J:$J,"Rejet 0",E_Suivi_Eans!$K:$K,"&gt;31/12/2021",E_Suivi_Eans!$K:$K,"&lt;01/05/2022")+ COUNTIFS(E_Suivi_Eans!$C:$C,"01/2022",E_Suivi_Eans!$D:$D,"Economat",E_Suivi_Eans!$J:$J,"Rejet 1",E_Suivi_Eans!$K:$K,"&gt;31/12/2021",E_Suivi_Eans!$K:$K,"&lt;01/05/2022")+COUNTIFS(E_Suivi_Eans!$C:$C,"01/2022",E_Suivi_Eans!$D:$D,"Economat",E_Suivi_Eans!$J:$J,"Rejet 2",E_Suivi_Eans!$K:$K,"&gt;31/12/2021",E_Suivi_Eans!$K:$K,"&lt;01/05/2022")+COUNTIFS(E_Suivi_Eans!$C:$C,"01/2022",E_Suivi_Eans!$D:$D,"Economat",E_Suivi_Eans!$J:$J,"Rejet 3",E_Suivi_Eans!$K:$K,"&gt;31/12/2021",E_Suivi_Eans!$K:$K,"&lt;01/05/2022")+ COUNTIFS(E_Suivi_Eans!$C:$C,"01/2022",E_Suivi_Eans!$D:$D,"Economat",E_Suivi_Eans!$J:$J,"Rejet 4",E_Suivi_Eans!$K:$K,"&gt;31/12/2021",E_Suivi_Eans!$K:$K,"&lt;01/05/2022")+COUNTIFS(E_Suivi_Eans!$C:$C,"01/2022",E_Suivi_Eans!$D:$D,"Economat",E_Suivi_Eans!$J:$J,"Relance 1",E_Suivi_Eans!$K:$K,"&gt;31/12/2021",E_Suivi_Eans!$K:$K,"&lt;01/05/2022")+COUNTIFS(E_Suivi_Eans!$C:$C,"01/2022",E_Suivi_Eans!$D:$D,"Economat",E_Suivi_Eans!$J:$J,"Relance 2",E_Suivi_Eans!$K:$K,"&gt;31/12/2021",E_Suivi_Eans!$K:$K,"&lt;01/05/2022")+COUNTIFS(E_Suivi_Eans!$C:$C,"01/2022",E_Suivi_Eans!$D:$D,"Economat",E_Suivi_Eans!$J:$J,"Relance 3",E_Suivi_Eans!$K:$K,"&gt;31/12/2021",E_Suivi_Eans!$K:$K,"&lt;01/05/2022")</f>
        <v>0</v>
      </c>
      <c r="E7" s="21">
        <f>COUNTIFS(E_Suivi_Eans!$C:$C,"01/2022",E_Suivi_Eans!$D:$D,"Economat",E_Suivi_Eans!$J:$J,"Abandon",E_Suivi_Eans!$K:$K,"&gt;31/12/2021",E_Suivi_Eans!K:K,"&lt;01/05/2022")</f>
        <v>0</v>
      </c>
      <c r="F7" s="21">
        <f>COUNTIFS(E_Suivi_Eans!$C:$C,"01/2022",E_Suivi_Eans!$D:$D,"Economat")</f>
        <v>0</v>
      </c>
      <c r="G7" s="21">
        <f t="shared" si="1"/>
        <v>0</v>
      </c>
      <c r="J7" s="20" t="s">
        <v>5314</v>
      </c>
      <c r="K7" s="20" t="s">
        <v>5317</v>
      </c>
      <c r="L7" s="28" t="e">
        <f t="shared" si="2"/>
        <v>#DIV/0!</v>
      </c>
      <c r="M7" s="28" t="e">
        <f t="shared" si="0"/>
        <v>#DIV/0!</v>
      </c>
      <c r="N7" s="28" t="e">
        <f t="shared" si="0"/>
        <v>#DIV/0!</v>
      </c>
      <c r="O7" s="28">
        <v>1</v>
      </c>
      <c r="P7" s="28" t="e">
        <f t="shared" si="3"/>
        <v>#DIV/0!</v>
      </c>
      <c r="S7" s="20" t="s">
        <v>5314</v>
      </c>
      <c r="T7" s="20" t="s">
        <v>5317</v>
      </c>
      <c r="U7" s="38"/>
      <c r="V7" s="21"/>
      <c r="W7" s="21"/>
      <c r="X7" s="38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COUNTIFS(E_Suivi_Eans!$C:$C,"01/2022",E_Suivi_Eans!$D:$D,"Economat",E_Suivi_Eans!$J:$J,"Retour OK",E_Suivi_Eans!$K:$K,"&gt;31/12/2021",E_Suivi_Eans!$K:$K,"&lt;01/06/2022")</f>
        <v>0</v>
      </c>
      <c r="D8" s="21">
        <f>COUNTIFS(E_Suivi_Eans!$C:$C,"01/2022",E_Suivi_Eans!$D:$D,"Economat",E_Suivi_Eans!$J:$J,"Rejet 0",E_Suivi_Eans!$K:$K,"&gt;31/12/2021",E_Suivi_Eans!$K:$K,"&lt;01/06/2022")+ COUNTIFS(E_Suivi_Eans!$C:$C,"01/2022",E_Suivi_Eans!$D:$D,"Economat",E_Suivi_Eans!$J:$J,"Rejet 1",E_Suivi_Eans!$K:$K,"&gt;31/12/2021",E_Suivi_Eans!$K:$K,"&lt;01/06/2022")+COUNTIFS(E_Suivi_Eans!$C:$C,"01/2022",E_Suivi_Eans!$D:$D,"Economat",E_Suivi_Eans!$J:$J,"Rejet 2",E_Suivi_Eans!$K:$K,"&gt;31/12/2021",E_Suivi_Eans!$K:$K,"&lt;01/06/2022")+COUNTIFS(E_Suivi_Eans!$C:$C,"01/2022",E_Suivi_Eans!$D:$D,"Economat",E_Suivi_Eans!$J:$J,"Rejet 3",E_Suivi_Eans!$K:$K,"&gt;31/12/2021",E_Suivi_Eans!$K:$K,"&lt;01/06/2022")+ COUNTIFS(E_Suivi_Eans!$C:$C,"01/2022",E_Suivi_Eans!$D:$D,"Economat",E_Suivi_Eans!$J:$J,"Rejet 4",E_Suivi_Eans!$K:$K,"&gt;31/12/2021",E_Suivi_Eans!$K:$K,"&lt;01/06/2022")+COUNTIFS(E_Suivi_Eans!$C:$C,"01/2022",E_Suivi_Eans!$D:$D,"Economat",E_Suivi_Eans!$J:$J,"Relance 1",E_Suivi_Eans!$K:$K,"&gt;31/12/2021",E_Suivi_Eans!$K:$K,"&lt;01/06/2022")+COUNTIFS(E_Suivi_Eans!$C:$C,"01/2022",E_Suivi_Eans!$D:$D,"Economat",E_Suivi_Eans!$J:$J,"Relance 2",E_Suivi_Eans!$K:$K,"&gt;31/12/2021",E_Suivi_Eans!$K:$K,"&lt;01/06/2022")+COUNTIFS(E_Suivi_Eans!$C:$C,"01/2022",E_Suivi_Eans!$D:$D,"Economat",E_Suivi_Eans!$J:$J,"Relance 3",E_Suivi_Eans!$K:$K,"&gt;31/12/2021",E_Suivi_Eans!$K:$K,"&lt;01/06/2022")</f>
        <v>0</v>
      </c>
      <c r="E8" s="21">
        <f>COUNTIFS(E_Suivi_Eans!$C:$C,"01/2022",E_Suivi_Eans!$D:$D,"Economat",E_Suivi_Eans!$J:$J,"Abandon",E_Suivi_Eans!$K:$K,"&gt;31/12/2021",E_Suivi_Eans!K:K,"&lt;01/06/2022")</f>
        <v>0</v>
      </c>
      <c r="F8" s="21">
        <f>COUNTIFS(E_Suivi_Eans!$C:$C,"01/2022",E_Suivi_Eans!$D:$D,"Economat")</f>
        <v>0</v>
      </c>
      <c r="G8" s="21">
        <f t="shared" si="1"/>
        <v>0</v>
      </c>
      <c r="J8" s="20" t="s">
        <v>5314</v>
      </c>
      <c r="K8" s="20" t="s">
        <v>5318</v>
      </c>
      <c r="L8" s="28" t="e">
        <f t="shared" si="2"/>
        <v>#DIV/0!</v>
      </c>
      <c r="M8" s="28" t="e">
        <f t="shared" si="0"/>
        <v>#DIV/0!</v>
      </c>
      <c r="N8" s="28" t="e">
        <f t="shared" si="0"/>
        <v>#DIV/0!</v>
      </c>
      <c r="O8" s="28">
        <v>1</v>
      </c>
      <c r="P8" s="28" t="e">
        <f t="shared" si="3"/>
        <v>#DIV/0!</v>
      </c>
      <c r="S8" s="20" t="s">
        <v>5314</v>
      </c>
      <c r="T8" s="20" t="s">
        <v>5318</v>
      </c>
      <c r="U8" s="38"/>
      <c r="V8" s="21"/>
      <c r="W8" s="21"/>
      <c r="X8" s="38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COUNTIFS(E_Suivi_Eans!$C:$C,"01/2022",E_Suivi_Eans!$D:$D,"Economat",E_Suivi_Eans!$J:$J,"Retour OK",E_Suivi_Eans!$K:$K,"&gt;31/12/2021",E_Suivi_Eans!$K:$K,"&lt;01/07/2022")</f>
        <v>0</v>
      </c>
      <c r="D9" s="21">
        <f>COUNTIFS(E_Suivi_Eans!$C:$C,"01/2022",E_Suivi_Eans!$D:$D,"Economat",E_Suivi_Eans!$J:$J,"Rejet 0",E_Suivi_Eans!$K:$K,"&gt;31/12/2021",E_Suivi_Eans!$K:$K,"&lt;01/07/2022")+ COUNTIFS(E_Suivi_Eans!$C:$C,"01/2022",E_Suivi_Eans!$D:$D,"Economat",E_Suivi_Eans!$J:$J,"Rejet 1",E_Suivi_Eans!$K:$K,"&gt;31/12/2021",E_Suivi_Eans!$K:$K,"&lt;01/07/2022")+COUNTIFS(E_Suivi_Eans!$C:$C,"01/2022",E_Suivi_Eans!$D:$D,"Economat",E_Suivi_Eans!$J:$J,"Rejet 2",E_Suivi_Eans!$K:$K,"&gt;31/12/2021",E_Suivi_Eans!$K:$K,"&lt;01/07/2022")+COUNTIFS(E_Suivi_Eans!$C:$C,"01/2022",E_Suivi_Eans!$D:$D,"Economat",E_Suivi_Eans!$J:$J,"Rejet 3",E_Suivi_Eans!$K:$K,"&gt;31/12/2021",E_Suivi_Eans!$K:$K,"&lt;01/07/2022")+ COUNTIFS(E_Suivi_Eans!$C:$C,"01/2022",E_Suivi_Eans!$D:$D,"Economat",E_Suivi_Eans!$J:$J,"Rejet 4",E_Suivi_Eans!$K:$K,"&gt;31/12/2021",E_Suivi_Eans!$K:$K,"&lt;01/07/2022")+COUNTIFS(E_Suivi_Eans!$C:$C,"01/2022",E_Suivi_Eans!$D:$D,"Economat",E_Suivi_Eans!$J:$J,"Relance 1",E_Suivi_Eans!$K:$K,"&gt;31/12/2021",E_Suivi_Eans!$K:$K,"&lt;01/07/2022")+COUNTIFS(E_Suivi_Eans!$C:$C,"01/2022",E_Suivi_Eans!$D:$D,"Economat",E_Suivi_Eans!$J:$J,"Relance 2",E_Suivi_Eans!$K:$K,"&gt;31/12/2021",E_Suivi_Eans!$K:$K,"&lt;01/07/2022")+COUNTIFS(E_Suivi_Eans!$C:$C,"01/2022",E_Suivi_Eans!$D:$D,"Economat",E_Suivi_Eans!$J:$J,"Relance 3",E_Suivi_Eans!$K:$K,"&gt;31/12/2021",E_Suivi_Eans!$K:$K,"&lt;01/07/2022")</f>
        <v>0</v>
      </c>
      <c r="E9" s="21">
        <f>COUNTIFS(E_Suivi_Eans!$C:$C,"01/2022",E_Suivi_Eans!$D:$D,"Economat",E_Suivi_Eans!$J:$J,"Abandon",E_Suivi_Eans!$K:$K,"&gt;31/12/2021",E_Suivi_Eans!K:K,"&lt;01/07/2022")</f>
        <v>0</v>
      </c>
      <c r="F9" s="21">
        <f>COUNTIFS(E_Suivi_Eans!$C:$C,"01/2022",E_Suivi_Eans!$D:$D,"Economat")</f>
        <v>0</v>
      </c>
      <c r="G9" s="21">
        <f t="shared" si="1"/>
        <v>0</v>
      </c>
      <c r="J9" s="20" t="s">
        <v>5314</v>
      </c>
      <c r="K9" s="20" t="s">
        <v>5319</v>
      </c>
      <c r="L9" s="28" t="e">
        <f t="shared" si="2"/>
        <v>#DIV/0!</v>
      </c>
      <c r="M9" s="28" t="e">
        <f t="shared" si="0"/>
        <v>#DIV/0!</v>
      </c>
      <c r="N9" s="28" t="e">
        <f t="shared" si="0"/>
        <v>#DIV/0!</v>
      </c>
      <c r="O9" s="28">
        <v>1</v>
      </c>
      <c r="P9" s="28" t="e">
        <f t="shared" si="3"/>
        <v>#DIV/0!</v>
      </c>
      <c r="S9" s="20" t="s">
        <v>5314</v>
      </c>
      <c r="T9" s="20" t="s">
        <v>5319</v>
      </c>
      <c r="U9" s="38"/>
      <c r="V9" s="21"/>
      <c r="W9" s="21"/>
      <c r="X9" s="38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COUNTIFS(E_Suivi_Eans!$C:$C,"01/2022",E_Suivi_Eans!$D:$D,"Economat",E_Suivi_Eans!$J:$J,"Retour OK",E_Suivi_Eans!$K:$K,"&gt;31/12/2021",E_Suivi_Eans!$K:$K,"&lt;01/08/2022")</f>
        <v>0</v>
      </c>
      <c r="D10" s="21">
        <f>COUNTIFS(E_Suivi_Eans!$C:$C,"01/2022",E_Suivi_Eans!$D:$D,"Economat",E_Suivi_Eans!$J:$J,"Rejet 0",E_Suivi_Eans!$K:$K,"&gt;31/12/2021",E_Suivi_Eans!$K:$K,"&lt;01/08/2022")+ COUNTIFS(E_Suivi_Eans!$C:$C,"01/2022",E_Suivi_Eans!$D:$D,"Economat",E_Suivi_Eans!$J:$J,"Rejet 1",E_Suivi_Eans!$K:$K,"&gt;31/12/2021",E_Suivi_Eans!$K:$K,"&lt;01/08/2022")+COUNTIFS(E_Suivi_Eans!$C:$C,"01/2022",E_Suivi_Eans!$D:$D,"Economat",E_Suivi_Eans!$J:$J,"Rejet 2",E_Suivi_Eans!$K:$K,"&gt;31/12/2021",E_Suivi_Eans!$K:$K,"&lt;01/08/2022")+COUNTIFS(E_Suivi_Eans!$C:$C,"01/2022",E_Suivi_Eans!$D:$D,"Economat",E_Suivi_Eans!$J:$J,"Rejet 3",E_Suivi_Eans!$K:$K,"&gt;31/12/2021",E_Suivi_Eans!$K:$K,"&lt;01/08/2022")+ COUNTIFS(E_Suivi_Eans!$C:$C,"01/2022",E_Suivi_Eans!$D:$D,"Economat",E_Suivi_Eans!$J:$J,"Rejet 4",E_Suivi_Eans!$K:$K,"&gt;31/12/2021",E_Suivi_Eans!$K:$K,"&lt;01/08/2022")+COUNTIFS(E_Suivi_Eans!$C:$C,"01/2022",E_Suivi_Eans!$D:$D,"Economat",E_Suivi_Eans!$J:$J,"Relance 1",E_Suivi_Eans!$K:$K,"&gt;31/12/2021",E_Suivi_Eans!$K:$K,"&lt;01/08/2022")+COUNTIFS(E_Suivi_Eans!$C:$C,"01/2022",E_Suivi_Eans!$D:$D,"Economat",E_Suivi_Eans!$J:$J,"Relance 2",E_Suivi_Eans!$K:$K,"&gt;31/12/2021",E_Suivi_Eans!$K:$K,"&lt;01/08/2022")+COUNTIFS(E_Suivi_Eans!$C:$C,"01/2022",E_Suivi_Eans!$D:$D,"Economat",E_Suivi_Eans!$J:$J,"Relance 3",E_Suivi_Eans!$K:$K,"&gt;31/12/2021",E_Suivi_Eans!$K:$K,"&lt;01/08/2022")</f>
        <v>0</v>
      </c>
      <c r="E10" s="21">
        <f>COUNTIFS(E_Suivi_Eans!$C:$C,"01/2022",E_Suivi_Eans!$D:$D,"Economat",E_Suivi_Eans!$J:$J,"Abandon",E_Suivi_Eans!$K:$K,"&gt;31/12/2021",E_Suivi_Eans!K:K,"&lt;01/08/2022")</f>
        <v>0</v>
      </c>
      <c r="F10" s="21">
        <f>COUNTIFS(E_Suivi_Eans!$C:$C,"01/2022",E_Suivi_Eans!$D:$D,"Economat")</f>
        <v>0</v>
      </c>
      <c r="G10" s="21">
        <f t="shared" si="1"/>
        <v>0</v>
      </c>
      <c r="J10" s="20" t="s">
        <v>5314</v>
      </c>
      <c r="K10" s="20" t="s">
        <v>5320</v>
      </c>
      <c r="L10" s="28" t="e">
        <f t="shared" si="2"/>
        <v>#DIV/0!</v>
      </c>
      <c r="M10" s="28" t="e">
        <f t="shared" si="0"/>
        <v>#DIV/0!</v>
      </c>
      <c r="N10" s="28" t="e">
        <f t="shared" si="0"/>
        <v>#DIV/0!</v>
      </c>
      <c r="O10" s="28">
        <v>1</v>
      </c>
      <c r="P10" s="28" t="e">
        <f t="shared" si="3"/>
        <v>#DIV/0!</v>
      </c>
      <c r="S10" s="20" t="s">
        <v>5314</v>
      </c>
      <c r="T10" s="20" t="s">
        <v>5320</v>
      </c>
      <c r="U10" s="38"/>
      <c r="V10" s="21"/>
      <c r="W10" s="21"/>
      <c r="X10" s="38"/>
      <c r="Y10" s="21"/>
      <c r="AA10" s="37"/>
    </row>
    <row r="11" spans="1:27">
      <c r="A11" s="20" t="s">
        <v>5314</v>
      </c>
      <c r="B11" s="20" t="s">
        <v>5321</v>
      </c>
      <c r="C11" s="21">
        <f>COUNTIFS(E_Suivi_Eans!$C:$C,"01/2022",E_Suivi_Eans!$D:$D,"Economat",E_Suivi_Eans!$J:$J,"Retour OK",E_Suivi_Eans!$K:$K,"&gt;31/12/2021",E_Suivi_Eans!$K:$K,"&lt;01/09/2022")</f>
        <v>0</v>
      </c>
      <c r="D11" s="21">
        <f>COUNTIFS(E_Suivi_Eans!$C:$C,"01/2022",E_Suivi_Eans!$D:$D,"Economat",E_Suivi_Eans!$J:$J,"Rejet 0",E_Suivi_Eans!$K:$K,"&gt;31/12/2021",E_Suivi_Eans!$K:$K,"&lt;01/09/2022")+ COUNTIFS(E_Suivi_Eans!$C:$C,"01/2022",E_Suivi_Eans!$D:$D,"Economat",E_Suivi_Eans!$J:$J,"Rejet 1",E_Suivi_Eans!$K:$K,"&gt;31/12/2021",E_Suivi_Eans!$K:$K,"&lt;01/09/2022")+COUNTIFS(E_Suivi_Eans!$C:$C,"01/2022",E_Suivi_Eans!$D:$D,"Economat",E_Suivi_Eans!$J:$J,"Rejet 2",E_Suivi_Eans!$K:$K,"&gt;31/12/2021",E_Suivi_Eans!$K:$K,"&lt;01/09/2022")+COUNTIFS(E_Suivi_Eans!$C:$C,"01/2022",E_Suivi_Eans!$D:$D,"Economat",E_Suivi_Eans!$J:$J,"Rejet 3",E_Suivi_Eans!$K:$K,"&gt;31/12/2021",E_Suivi_Eans!$K:$K,"&lt;01/09/2022")+ COUNTIFS(E_Suivi_Eans!$C:$C,"01/2022",E_Suivi_Eans!$D:$D,"Economat",E_Suivi_Eans!$J:$J,"Rejet 4",E_Suivi_Eans!$K:$K,"&gt;31/12/2021",E_Suivi_Eans!$K:$K,"&lt;01/09/2022")+COUNTIFS(E_Suivi_Eans!$C:$C,"01/2022",E_Suivi_Eans!$D:$D,"Economat",E_Suivi_Eans!$J:$J,"Relance 1",E_Suivi_Eans!$K:$K,"&gt;31/12/2021",E_Suivi_Eans!$K:$K,"&lt;01/09/2022")+COUNTIFS(E_Suivi_Eans!$C:$C,"01/2022",E_Suivi_Eans!$D:$D,"Economat",E_Suivi_Eans!$J:$J,"Relance 2",E_Suivi_Eans!$K:$K,"&gt;31/12/2021",E_Suivi_Eans!$K:$K,"&lt;01/09/2022")+COUNTIFS(E_Suivi_Eans!$C:$C,"01/2022",E_Suivi_Eans!$D:$D,"Economat",E_Suivi_Eans!$J:$J,"Relance 3",E_Suivi_Eans!$K:$K,"&gt;31/12/2021",E_Suivi_Eans!$K:$K,"&lt;01/09/2022")</f>
        <v>0</v>
      </c>
      <c r="E11" s="21">
        <f>COUNTIFS(E_Suivi_Eans!$C:$C,"01/2022",E_Suivi_Eans!$D:$D,"Economat",E_Suivi_Eans!$J:$J,"Abandon",E_Suivi_Eans!$K:$K,"&gt;31/12/2021",E_Suivi_Eans!K:K,"&lt;01/09/2022")</f>
        <v>0</v>
      </c>
      <c r="F11" s="21">
        <f>COUNTIFS(E_Suivi_Eans!$C:$C,"01/2022",E_Suivi_Eans!$D:$D,"Economat")</f>
        <v>0</v>
      </c>
      <c r="G11" s="21">
        <f t="shared" si="1"/>
        <v>0</v>
      </c>
      <c r="J11" s="20" t="s">
        <v>5314</v>
      </c>
      <c r="K11" s="20" t="s">
        <v>5321</v>
      </c>
      <c r="L11" s="28" t="e">
        <f t="shared" si="2"/>
        <v>#DIV/0!</v>
      </c>
      <c r="M11" s="28" t="e">
        <f t="shared" si="0"/>
        <v>#DIV/0!</v>
      </c>
      <c r="N11" s="28" t="e">
        <f t="shared" si="0"/>
        <v>#DIV/0!</v>
      </c>
      <c r="O11" s="28">
        <v>1</v>
      </c>
      <c r="P11" s="28" t="e">
        <f t="shared" si="3"/>
        <v>#DIV/0!</v>
      </c>
      <c r="S11" s="20" t="s">
        <v>5314</v>
      </c>
      <c r="T11" s="20" t="s">
        <v>5321</v>
      </c>
      <c r="U11" s="38"/>
      <c r="V11" s="21"/>
      <c r="W11" s="21"/>
      <c r="X11" s="38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COUNTIFS(E_Suivi_Eans!$C:$C,"01/2022",E_Suivi_Eans!$D:$D,"Economat",E_Suivi_Eans!$J:$J,"Retour OK",E_Suivi_Eans!$K:$K,"&gt;31/12/2021",E_Suivi_Eans!$K:$K,"&lt;01/10/2022")</f>
        <v>0</v>
      </c>
      <c r="D12" s="21">
        <f>COUNTIFS(E_Suivi_Eans!$C:$C,"01/2022",E_Suivi_Eans!$D:$D,"Economat",E_Suivi_Eans!$J:$J,"Rejet 0",E_Suivi_Eans!$K:$K,"&gt;31/12/2021",E_Suivi_Eans!$K:$K,"&lt;01/10/2022")+ COUNTIFS(E_Suivi_Eans!$C:$C,"01/2022",E_Suivi_Eans!$D:$D,"Economat",E_Suivi_Eans!$J:$J,"Rejet 1",E_Suivi_Eans!$K:$K,"&gt;31/12/2021",E_Suivi_Eans!$K:$K,"&lt;01/10/2022")+COUNTIFS(E_Suivi_Eans!$C:$C,"01/2022",E_Suivi_Eans!$D:$D,"Economat",E_Suivi_Eans!$J:$J,"Rejet 2",E_Suivi_Eans!$K:$K,"&gt;31/12/2021",E_Suivi_Eans!$K:$K,"&lt;01/10/2022")+COUNTIFS(E_Suivi_Eans!$C:$C,"01/2022",E_Suivi_Eans!$D:$D,"Economat",E_Suivi_Eans!$J:$J,"Rejet 3",E_Suivi_Eans!$K:$K,"&gt;31/12/2021",E_Suivi_Eans!$K:$K,"&lt;01/10/2022")+ COUNTIFS(E_Suivi_Eans!$C:$C,"01/2022",E_Suivi_Eans!$D:$D,"Economat",E_Suivi_Eans!$J:$J,"Rejet 4",E_Suivi_Eans!$K:$K,"&gt;31/12/2021",E_Suivi_Eans!$K:$K,"&lt;01/10/2022")+COUNTIFS(E_Suivi_Eans!$C:$C,"01/2022",E_Suivi_Eans!$D:$D,"Economat",E_Suivi_Eans!$J:$J,"Relance 1",E_Suivi_Eans!$K:$K,"&gt;31/12/2021",E_Suivi_Eans!$K:$K,"&lt;01/10/2022")+COUNTIFS(E_Suivi_Eans!$C:$C,"01/2022",E_Suivi_Eans!$D:$D,"Economat",E_Suivi_Eans!$J:$J,"Relance 2",E_Suivi_Eans!$K:$K,"&gt;31/12/2021",E_Suivi_Eans!$K:$K,"&lt;01/10/2022")+COUNTIFS(E_Suivi_Eans!$C:$C,"01/2022",E_Suivi_Eans!$D:$D,"Economat",E_Suivi_Eans!$J:$J,"Relance 3",E_Suivi_Eans!$K:$K,"&gt;31/12/2021",E_Suivi_Eans!$K:$K,"&lt;01/10/2022")</f>
        <v>0</v>
      </c>
      <c r="E12" s="21">
        <f>COUNTIFS(E_Suivi_Eans!$C:$C,"01/2022",E_Suivi_Eans!$D:$D,"Economat",E_Suivi_Eans!$J:$J,"Abandon",E_Suivi_Eans!$K:$K,"&gt;31/12/2021",E_Suivi_Eans!K:K,"&lt;01/10/2022")</f>
        <v>0</v>
      </c>
      <c r="F12" s="21">
        <f>COUNTIFS(E_Suivi_Eans!$C:$C,"01/2022",E_Suivi_Eans!$D:$D,"Economat")</f>
        <v>0</v>
      </c>
      <c r="G12" s="21">
        <f t="shared" si="1"/>
        <v>0</v>
      </c>
      <c r="J12" s="20" t="s">
        <v>5314</v>
      </c>
      <c r="K12" s="20" t="s">
        <v>5325</v>
      </c>
      <c r="L12" s="28" t="e">
        <f t="shared" si="2"/>
        <v>#DIV/0!</v>
      </c>
      <c r="M12" s="28" t="e">
        <f t="shared" si="0"/>
        <v>#DIV/0!</v>
      </c>
      <c r="N12" s="28" t="e">
        <f t="shared" si="0"/>
        <v>#DIV/0!</v>
      </c>
      <c r="O12" s="28">
        <v>1</v>
      </c>
      <c r="P12" s="28" t="e">
        <f t="shared" si="3"/>
        <v>#DIV/0!</v>
      </c>
      <c r="S12" s="20" t="s">
        <v>5314</v>
      </c>
      <c r="T12" s="20" t="s">
        <v>5325</v>
      </c>
      <c r="U12" s="38"/>
      <c r="V12" s="21"/>
      <c r="W12" s="21"/>
      <c r="X12" s="38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COUNTIFS(E_Suivi_Eans!$C:$C,"01/2022",E_Suivi_Eans!$D:$D,"Economat",E_Suivi_Eans!$J:$J,"Retour OK",E_Suivi_Eans!$K:$K,"&gt;31/12/2021",E_Suivi_Eans!$K:$K,"&lt;01/11/2022")</f>
        <v>0</v>
      </c>
      <c r="D13" s="21">
        <f>COUNTIFS(E_Suivi_Eans!$C:$C,"01/2022",E_Suivi_Eans!$D:$D,"Economat",E_Suivi_Eans!$J:$J,"Rejet 0",E_Suivi_Eans!$K:$K,"&gt;31/12/2021",E_Suivi_Eans!$K:$K,"&lt;01/11/2022")+ COUNTIFS(E_Suivi_Eans!$C:$C,"01/2022",E_Suivi_Eans!$D:$D,"Economat",E_Suivi_Eans!$J:$J,"Rejet 1",E_Suivi_Eans!$K:$K,"&gt;31/12/2021",E_Suivi_Eans!$K:$K,"&lt;01/11/2022")+COUNTIFS(E_Suivi_Eans!$C:$C,"01/2022",E_Suivi_Eans!$D:$D,"Economat",E_Suivi_Eans!$J:$J,"Rejet 2",E_Suivi_Eans!$K:$K,"&gt;31/12/2021",E_Suivi_Eans!$K:$K,"&lt;01/11/2022")+COUNTIFS(E_Suivi_Eans!$C:$C,"01/2022",E_Suivi_Eans!$D:$D,"Economat",E_Suivi_Eans!$J:$J,"Rejet 3",E_Suivi_Eans!$K:$K,"&gt;31/12/2021",E_Suivi_Eans!$K:$K,"&lt;01/11/2022")+ COUNTIFS(E_Suivi_Eans!$C:$C,"01/2022",E_Suivi_Eans!$D:$D,"Economat",E_Suivi_Eans!$J:$J,"Rejet 4",E_Suivi_Eans!$K:$K,"&gt;31/12/2021",E_Suivi_Eans!$K:$K,"&lt;01/11/2022")+COUNTIFS(E_Suivi_Eans!$C:$C,"01/2022",E_Suivi_Eans!$D:$D,"Economat",E_Suivi_Eans!$J:$J,"Relance 1",E_Suivi_Eans!$K:$K,"&gt;31/12/2021",E_Suivi_Eans!$K:$K,"&lt;01/11/2022")+COUNTIFS(E_Suivi_Eans!$C:$C,"01/2022",E_Suivi_Eans!$D:$D,"Economat",E_Suivi_Eans!$J:$J,"Relance 2",E_Suivi_Eans!$K:$K,"&gt;31/12/2021",E_Suivi_Eans!$K:$K,"&lt;01/11/2022")+COUNTIFS(E_Suivi_Eans!$C:$C,"01/2022",E_Suivi_Eans!$D:$D,"Economat",E_Suivi_Eans!$J:$J,"Relance 3",E_Suivi_Eans!$K:$K,"&gt;31/12/2021",E_Suivi_Eans!$K:$K,"&lt;01/11/2022")</f>
        <v>0</v>
      </c>
      <c r="E13" s="21">
        <f>COUNTIFS(E_Suivi_Eans!$C:$C,"01/2022",E_Suivi_Eans!$D:$D,"Economat",E_Suivi_Eans!$J:$J,"Abandon",E_Suivi_Eans!$K:$K,"&gt;31/12/2021",E_Suivi_Eans!K:K,"&lt;01/11/2022")</f>
        <v>0</v>
      </c>
      <c r="F13" s="21">
        <f>COUNTIFS(E_Suivi_Eans!$C:$C,"01/2022",E_Suivi_Eans!$D:$D,"Economat")</f>
        <v>0</v>
      </c>
      <c r="G13" s="21">
        <f t="shared" si="1"/>
        <v>0</v>
      </c>
      <c r="J13" s="20" t="s">
        <v>5314</v>
      </c>
      <c r="K13" s="20" t="s">
        <v>5326</v>
      </c>
      <c r="L13" s="28" t="e">
        <f t="shared" si="2"/>
        <v>#DIV/0!</v>
      </c>
      <c r="M13" s="28" t="e">
        <f t="shared" si="0"/>
        <v>#DIV/0!</v>
      </c>
      <c r="N13" s="28" t="e">
        <f t="shared" si="0"/>
        <v>#DIV/0!</v>
      </c>
      <c r="O13" s="28">
        <v>1</v>
      </c>
      <c r="P13" s="28" t="e">
        <f t="shared" si="3"/>
        <v>#DIV/0!</v>
      </c>
      <c r="S13" s="20" t="s">
        <v>5314</v>
      </c>
      <c r="T13" s="20" t="s">
        <v>5326</v>
      </c>
      <c r="U13" s="38"/>
      <c r="V13" s="21"/>
      <c r="W13" s="21"/>
      <c r="X13" s="38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COUNTIFS(E_Suivi_Eans!$C:$C,"01/2022",E_Suivi_Eans!$D:$D,"Economat",E_Suivi_Eans!$J:$J,"Retour OK",E_Suivi_Eans!$K:$K,"&gt;31/12/2021",E_Suivi_Eans!$K:$K,"&lt;01/12/2022")</f>
        <v>0</v>
      </c>
      <c r="D14" s="21">
        <f>COUNTIFS(E_Suivi_Eans!$C:$C,"01/2022",E_Suivi_Eans!$D:$D,"Economat",E_Suivi_Eans!$J:$J,"Rejet 0",E_Suivi_Eans!$K:$K,"&gt;31/12/2021",E_Suivi_Eans!$K:$K,"&lt;01/12/2022")+ COUNTIFS(E_Suivi_Eans!$C:$C,"01/2022",E_Suivi_Eans!$D:$D,"Economat",E_Suivi_Eans!$J:$J,"Rejet 1",E_Suivi_Eans!$K:$K,"&gt;31/12/2021",E_Suivi_Eans!$K:$K,"&lt;01/12/2022")+COUNTIFS(E_Suivi_Eans!$C:$C,"01/2022",E_Suivi_Eans!$D:$D,"Economat",E_Suivi_Eans!$J:$J,"Rejet 2",E_Suivi_Eans!$K:$K,"&gt;31/12/2021",E_Suivi_Eans!$K:$K,"&lt;01/12/2022")+COUNTIFS(E_Suivi_Eans!$C:$C,"01/2022",E_Suivi_Eans!$D:$D,"Economat",E_Suivi_Eans!$J:$J,"Rejet 3",E_Suivi_Eans!$K:$K,"&gt;31/12/2021",E_Suivi_Eans!$K:$K,"&lt;01/12/2022")+ COUNTIFS(E_Suivi_Eans!$C:$C,"01/2022",E_Suivi_Eans!$D:$D,"Economat",E_Suivi_Eans!$J:$J,"Rejet 4",E_Suivi_Eans!$K:$K,"&gt;31/12/2021",E_Suivi_Eans!$K:$K,"&lt;01/12/2022")+COUNTIFS(E_Suivi_Eans!$C:$C,"01/2022",E_Suivi_Eans!$D:$D,"Economat",E_Suivi_Eans!$J:$J,"Relance 1",E_Suivi_Eans!$K:$K,"&gt;31/12/2021",E_Suivi_Eans!$K:$K,"&lt;01/12/2022")+COUNTIFS(E_Suivi_Eans!$C:$C,"01/2022",E_Suivi_Eans!$D:$D,"Economat",E_Suivi_Eans!$J:$J,"Relance 2",E_Suivi_Eans!$K:$K,"&gt;31/12/2021",E_Suivi_Eans!$K:$K,"&lt;01/12/2022")+COUNTIFS(E_Suivi_Eans!$C:$C,"01/2022",E_Suivi_Eans!$D:$D,"Economat",E_Suivi_Eans!$J:$J,"Relance 3",E_Suivi_Eans!$K:$K,"&gt;31/12/2021",E_Suivi_Eans!$K:$K,"&lt;01/12/2022")</f>
        <v>0</v>
      </c>
      <c r="E14" s="21">
        <f>COUNTIFS(E_Suivi_Eans!$C:$C,"01/2022",E_Suivi_Eans!$D:$D,"Economat",E_Suivi_Eans!$J:$J,"Abandon",E_Suivi_Eans!$K:$K,"&gt;31/12/2021",E_Suivi_Eans!K:K,"&lt;01/12/2022")</f>
        <v>0</v>
      </c>
      <c r="F14" s="21">
        <f>COUNTIFS(E_Suivi_Eans!$C:$C,"01/2022",E_Suivi_Eans!$D:$D,"Economat")</f>
        <v>0</v>
      </c>
      <c r="G14" s="21">
        <f t="shared" si="1"/>
        <v>0</v>
      </c>
      <c r="J14" s="20" t="s">
        <v>5314</v>
      </c>
      <c r="K14" s="20" t="s">
        <v>5327</v>
      </c>
      <c r="L14" s="28" t="e">
        <f t="shared" si="2"/>
        <v>#DIV/0!</v>
      </c>
      <c r="M14" s="28" t="e">
        <f t="shared" si="0"/>
        <v>#DIV/0!</v>
      </c>
      <c r="N14" s="28" t="e">
        <f t="shared" si="0"/>
        <v>#DIV/0!</v>
      </c>
      <c r="O14" s="28">
        <v>1</v>
      </c>
      <c r="P14" s="28" t="e">
        <f t="shared" si="3"/>
        <v>#DIV/0!</v>
      </c>
      <c r="S14" s="20" t="s">
        <v>5314</v>
      </c>
      <c r="T14" s="20" t="s">
        <v>5327</v>
      </c>
      <c r="U14" s="38"/>
      <c r="V14" s="21"/>
      <c r="W14" s="21"/>
      <c r="X14" s="38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8"/>
      <c r="P15" s="28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5"/>
      <c r="F16" s="25"/>
      <c r="G16" s="25"/>
      <c r="J16" s="22"/>
      <c r="K16" s="22"/>
      <c r="L16" s="23"/>
      <c r="M16" s="24"/>
      <c r="N16" s="25"/>
      <c r="O16" s="31"/>
      <c r="P16" s="31"/>
      <c r="S16" s="22"/>
      <c r="T16" s="22"/>
      <c r="U16" s="23"/>
      <c r="V16" s="24"/>
      <c r="W16" s="25"/>
      <c r="X16" s="25"/>
      <c r="Y16" s="25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8"/>
      <c r="P17" s="28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COUNTIFS(E_Suivi_Eans!$C:$C,"02/2022",E_Suivi_Eans!$D:$D,"Economat",E_Suivi_Eans!$J:$J,"Retour OK",E_Suivi_Eans!$K:$K,"&gt;31/12/2021",E_Suivi_Eans!K:K,"&lt;01/03/2022")</f>
        <v>0</v>
      </c>
      <c r="D18" s="21">
        <f>COUNTIFS(E_Suivi_Eans!$C:$C,"02/2022",E_Suivi_Eans!$D:$D,"Economat",E_Suivi_Eans!$J:$J,"Rejet 0",E_Suivi_Eans!$K:$K,"&gt;31/12/2021",E_Suivi_Eans!$K:$K,"&lt;01/03/2022")+ COUNTIFS(E_Suivi_Eans!$C:$C,"02/2022",E_Suivi_Eans!$D:$D,"Economat",E_Suivi_Eans!$J:$J,"Rejet 1",E_Suivi_Eans!$K:$K,"&gt;31/12/2021",E_Suivi_Eans!$K:$K,"&lt;01/03/2022")+COUNTIFS(E_Suivi_Eans!$C:$C,"02/2022",E_Suivi_Eans!$D:$D,"Economat",E_Suivi_Eans!$J:$J,"Rejet 2",E_Suivi_Eans!$K:$K,"&gt;31/12/2021",E_Suivi_Eans!$K:$K,"&lt;01/03/2022")+COUNTIFS(E_Suivi_Eans!$C:$C,"02/2022",E_Suivi_Eans!$D:$D,"Economat",E_Suivi_Eans!$J:$J,"Rejet 3",E_Suivi_Eans!$K:$K,"&gt;31/12/2021",E_Suivi_Eans!$K:$K,"&lt;01/03/2022")+ COUNTIFS(E_Suivi_Eans!$C:$C,"02/2022",E_Suivi_Eans!$D:$D,"Economat",E_Suivi_Eans!$J:$J,"Rejet 4",E_Suivi_Eans!$K:$K,"&gt;31/12/2021",E_Suivi_Eans!$K:$K,"&lt;01/03/2022")+COUNTIFS(E_Suivi_Eans!$C:$C,"02/2022",E_Suivi_Eans!$D:$D,"Economat",E_Suivi_Eans!$J:$J,"Relance 1",E_Suivi_Eans!$K:$K,"&gt;31/12/2021",E_Suivi_Eans!$K:$K,"&lt;01/03/2022")+COUNTIFS(E_Suivi_Eans!$C:$C,"02/2022",E_Suivi_Eans!$D:$D,"Economat",E_Suivi_Eans!$J:$J,"Relance 2",E_Suivi_Eans!$K:$K,"&gt;31/12/2021",E_Suivi_Eans!$K:$K,"&lt;01/03/2022")+COUNTIFS(E_Suivi_Eans!$C:$C,"02/2022",E_Suivi_Eans!$D:$D,"Economat",E_Suivi_Eans!$J:$J,"Relance 3",E_Suivi_Eans!$K:$K,"&gt;31/12/2021",E_Suivi_Eans!$K:$K,"&lt;01/03/2022")</f>
        <v>0</v>
      </c>
      <c r="E18" s="21">
        <f>COUNTIFS(E_Suivi_Eans!$C:$C,"02/2022",E_Suivi_Eans!$D:$D,"Economat",E_Suivi_Eans!$J:$J,"Abandon",E_Suivi_Eans!$K:$K,"&gt;31/12/2021",E_Suivi_Eans!K:K,"&lt;01/03/2022")</f>
        <v>0</v>
      </c>
      <c r="F18" s="21">
        <f>COUNTIFS(E_Suivi_Eans!$C:$C,"02/2022",E_Suivi_Eans!$D:$D,"Economat")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8" t="e">
        <f t="shared" ref="L18:N27" si="5">C18/$G18</f>
        <v>#DIV/0!</v>
      </c>
      <c r="M18" s="28" t="e">
        <f t="shared" si="5"/>
        <v>#DIV/0!</v>
      </c>
      <c r="N18" s="28" t="e">
        <f t="shared" si="5"/>
        <v>#DIV/0!</v>
      </c>
      <c r="O18" s="28">
        <v>1</v>
      </c>
      <c r="P18" s="28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COUNTIFS(E_Suivi_Eans!$C:$C,"02/2022",E_Suivi_Eans!$D:$D,"Economat",E_Suivi_Eans!$J:$J,"Retour OK",E_Suivi_Eans!$K:$K,"&gt;31/12/2021",E_Suivi_Eans!K:K,"&lt;01/04/2022")</f>
        <v>0</v>
      </c>
      <c r="D19" s="21">
        <f>COUNTIFS(E_Suivi_Eans!$C:$C,"02/2022",E_Suivi_Eans!$D:$D,"Economat",E_Suivi_Eans!$J:$J,"Rejet 0",E_Suivi_Eans!$K:$K,"&gt;31/12/2021",E_Suivi_Eans!$K:$K,"&lt;01/04/2022")+ COUNTIFS(E_Suivi_Eans!$C:$C,"02/2022",E_Suivi_Eans!$D:$D,"Economat",E_Suivi_Eans!$J:$J,"Rejet 1",E_Suivi_Eans!$K:$K,"&gt;31/12/2021",E_Suivi_Eans!$K:$K,"&lt;01/04/2022")+COUNTIFS(E_Suivi_Eans!$C:$C,"02/2022",E_Suivi_Eans!$D:$D,"Economat",E_Suivi_Eans!$J:$J,"Rejet 2",E_Suivi_Eans!$K:$K,"&gt;31/12/2021",E_Suivi_Eans!$K:$K,"&lt;01/04/2022")+COUNTIFS(E_Suivi_Eans!$C:$C,"02/2022",E_Suivi_Eans!$D:$D,"Economat",E_Suivi_Eans!$J:$J,"Rejet 3",E_Suivi_Eans!$K:$K,"&gt;31/12/2021",E_Suivi_Eans!$K:$K,"&lt;01/04/2022")+ COUNTIFS(E_Suivi_Eans!$C:$C,"02/2022",E_Suivi_Eans!$D:$D,"Economat",E_Suivi_Eans!$J:$J,"Rejet 4",E_Suivi_Eans!$K:$K,"&gt;31/12/2021",E_Suivi_Eans!$K:$K,"&lt;01/04/2022")+COUNTIFS(E_Suivi_Eans!$C:$C,"02/2022",E_Suivi_Eans!$D:$D,"Economat",E_Suivi_Eans!$J:$J,"Relance 1",E_Suivi_Eans!$K:$K,"&gt;31/12/2021",E_Suivi_Eans!$K:$K,"&lt;01/04/2022")+COUNTIFS(E_Suivi_Eans!$C:$C,"02/2022",E_Suivi_Eans!$D:$D,"Economat",E_Suivi_Eans!$J:$J,"Relance 2",E_Suivi_Eans!$K:$K,"&gt;31/12/2021",E_Suivi_Eans!$K:$K,"&lt;01/04/2022")+COUNTIFS(E_Suivi_Eans!$C:$C,"02/2022",E_Suivi_Eans!$D:$D,"Economat",E_Suivi_Eans!$J:$J,"Relance 3",E_Suivi_Eans!$K:$K,"&gt;31/12/2021",E_Suivi_Eans!$K:$K,"&lt;01/04/2022")</f>
        <v>0</v>
      </c>
      <c r="E19" s="21">
        <f>COUNTIFS(E_Suivi_Eans!$C:$C,"02/2022",E_Suivi_Eans!$D:$D,"Economat",E_Suivi_Eans!$J:$J,"Abandon",E_Suivi_Eans!$K:$K,"&gt;31/12/2021",E_Suivi_Eans!K:K,"&lt;01/04/2022")</f>
        <v>0</v>
      </c>
      <c r="F19" s="21">
        <f>COUNTIFS(E_Suivi_Eans!$C:$C,"02/2022",E_Suivi_Eans!$D:$D,"Economat")</f>
        <v>0</v>
      </c>
      <c r="G19" s="21">
        <f t="shared" si="4"/>
        <v>0</v>
      </c>
      <c r="J19" s="20" t="s">
        <v>5315</v>
      </c>
      <c r="K19" s="20" t="s">
        <v>5316</v>
      </c>
      <c r="L19" s="28" t="e">
        <f t="shared" si="5"/>
        <v>#DIV/0!</v>
      </c>
      <c r="M19" s="28" t="e">
        <f t="shared" si="5"/>
        <v>#DIV/0!</v>
      </c>
      <c r="N19" s="28" t="e">
        <f t="shared" si="5"/>
        <v>#DIV/0!</v>
      </c>
      <c r="O19" s="28">
        <v>1</v>
      </c>
      <c r="P19" s="28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COUNTIFS(E_Suivi_Eans!$C:$C,"02/2022",E_Suivi_Eans!$D:$D,"Economat",E_Suivi_Eans!$J:$J,"Retour OK",E_Suivi_Eans!$K:$K,"&gt;31/12/2021",E_Suivi_Eans!K:K,"&lt;01/05/2022")</f>
        <v>0</v>
      </c>
      <c r="D20" s="21">
        <f>COUNTIFS(E_Suivi_Eans!$C:$C,"02/2022",E_Suivi_Eans!$D:$D,"Economat",E_Suivi_Eans!$J:$J,"Rejet 0",E_Suivi_Eans!$K:$K,"&gt;31/12/2021",E_Suivi_Eans!$K:$K,"&lt;01/05/2022")+ COUNTIFS(E_Suivi_Eans!$C:$C,"02/2022",E_Suivi_Eans!$D:$D,"Economat",E_Suivi_Eans!$J:$J,"Rejet 1",E_Suivi_Eans!$K:$K,"&gt;31/12/2021",E_Suivi_Eans!$K:$K,"&lt;01/05/2022")+COUNTIFS(E_Suivi_Eans!$C:$C,"02/2022",E_Suivi_Eans!$D:$D,"Economat",E_Suivi_Eans!$J:$J,"Rejet 2",E_Suivi_Eans!$K:$K,"&gt;31/12/2021",E_Suivi_Eans!$K:$K,"&lt;01/05/2022")+COUNTIFS(E_Suivi_Eans!$C:$C,"02/2022",E_Suivi_Eans!$D:$D,"Economat",E_Suivi_Eans!$J:$J,"Rejet 3",E_Suivi_Eans!$K:$K,"&gt;31/12/2021",E_Suivi_Eans!$K:$K,"&lt;01/05/2022")+ COUNTIFS(E_Suivi_Eans!$C:$C,"02/2022",E_Suivi_Eans!$D:$D,"Economat",E_Suivi_Eans!$J:$J,"Rejet 4",E_Suivi_Eans!$K:$K,"&gt;31/12/2021",E_Suivi_Eans!$K:$K,"&lt;01/05/2022")+COUNTIFS(E_Suivi_Eans!$C:$C,"02/2022",E_Suivi_Eans!$D:$D,"Economat",E_Suivi_Eans!$J:$J,"Relance 1",E_Suivi_Eans!$K:$K,"&gt;31/12/2021",E_Suivi_Eans!$K:$K,"&lt;01/05/2022")+COUNTIFS(E_Suivi_Eans!$C:$C,"02/2022",E_Suivi_Eans!$D:$D,"Economat",E_Suivi_Eans!$J:$J,"Relance 2",E_Suivi_Eans!$K:$K,"&gt;31/12/2021",E_Suivi_Eans!$K:$K,"&lt;01/05/2022")+COUNTIFS(E_Suivi_Eans!$C:$C,"02/2022",E_Suivi_Eans!$D:$D,"Economat",E_Suivi_Eans!$J:$J,"Relance 3",E_Suivi_Eans!$K:$K,"&gt;31/12/2021",E_Suivi_Eans!$K:$K,"&lt;01/05/2022")</f>
        <v>0</v>
      </c>
      <c r="E20" s="21">
        <f>COUNTIFS(E_Suivi_Eans!$C:$C,"02/2022",E_Suivi_Eans!$D:$D,"Economat",E_Suivi_Eans!$J:$J,"Abandon",E_Suivi_Eans!$K:$K,"&gt;31/12/2021",E_Suivi_Eans!K:K,"&lt;01/05/2022")</f>
        <v>0</v>
      </c>
      <c r="F20" s="21">
        <f>COUNTIFS(E_Suivi_Eans!$C:$C,"02/2022",E_Suivi_Eans!$D:$D,"Economat")</f>
        <v>0</v>
      </c>
      <c r="G20" s="21">
        <f t="shared" si="4"/>
        <v>0</v>
      </c>
      <c r="J20" s="20" t="s">
        <v>5315</v>
      </c>
      <c r="K20" s="20" t="s">
        <v>5317</v>
      </c>
      <c r="L20" s="28" t="e">
        <f t="shared" si="5"/>
        <v>#DIV/0!</v>
      </c>
      <c r="M20" s="28" t="e">
        <f t="shared" si="5"/>
        <v>#DIV/0!</v>
      </c>
      <c r="N20" s="28" t="e">
        <f t="shared" si="5"/>
        <v>#DIV/0!</v>
      </c>
      <c r="O20" s="28">
        <v>1</v>
      </c>
      <c r="P20" s="28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COUNTIFS(E_Suivi_Eans!$C:$C,"02/2022",E_Suivi_Eans!$D:$D,"Economat",E_Suivi_Eans!$J:$J,"Retour OK",E_Suivi_Eans!$K:$K,"&gt;31/12/2021",E_Suivi_Eans!K:K,"&lt;01/06/2022")</f>
        <v>0</v>
      </c>
      <c r="D21" s="21">
        <f>COUNTIFS(E_Suivi_Eans!$C:$C,"02/2022",E_Suivi_Eans!$D:$D,"Economat",E_Suivi_Eans!$J:$J,"Rejet 0",E_Suivi_Eans!$K:$K,"&gt;31/12/2021",E_Suivi_Eans!$K:$K,"&lt;01/06/2022")+ COUNTIFS(E_Suivi_Eans!$C:$C,"02/2022",E_Suivi_Eans!$D:$D,"Economat",E_Suivi_Eans!$J:$J,"Rejet 1",E_Suivi_Eans!$K:$K,"&gt;31/12/2021",E_Suivi_Eans!$K:$K,"&lt;01/06/2022")+COUNTIFS(E_Suivi_Eans!$C:$C,"02/2022",E_Suivi_Eans!$D:$D,"Economat",E_Suivi_Eans!$J:$J,"Rejet 2",E_Suivi_Eans!$K:$K,"&gt;31/12/2021",E_Suivi_Eans!$K:$K,"&lt;01/06/2022")+COUNTIFS(E_Suivi_Eans!$C:$C,"02/2022",E_Suivi_Eans!$D:$D,"Economat",E_Suivi_Eans!$J:$J,"Rejet 3",E_Suivi_Eans!$K:$K,"&gt;31/12/2021",E_Suivi_Eans!$K:$K,"&lt;01/06/2022")+ COUNTIFS(E_Suivi_Eans!$C:$C,"02/2022",E_Suivi_Eans!$D:$D,"Economat",E_Suivi_Eans!$J:$J,"Rejet 4",E_Suivi_Eans!$K:$K,"&gt;31/12/2021",E_Suivi_Eans!$K:$K,"&lt;01/06/2022")+COUNTIFS(E_Suivi_Eans!$C:$C,"02/2022",E_Suivi_Eans!$D:$D,"Economat",E_Suivi_Eans!$J:$J,"Relance 1",E_Suivi_Eans!$K:$K,"&gt;31/12/2021",E_Suivi_Eans!$K:$K,"&lt;01/06/2022")+COUNTIFS(E_Suivi_Eans!$C:$C,"02/2022",E_Suivi_Eans!$D:$D,"Economat",E_Suivi_Eans!$J:$J,"Relance 2",E_Suivi_Eans!$K:$K,"&gt;31/12/2021",E_Suivi_Eans!$K:$K,"&lt;01/06/2022")+COUNTIFS(E_Suivi_Eans!$C:$C,"02/2022",E_Suivi_Eans!$D:$D,"Economat",E_Suivi_Eans!$J:$J,"Relance 3",E_Suivi_Eans!$K:$K,"&gt;31/12/2021",E_Suivi_Eans!$K:$K,"&lt;01/06/2022")</f>
        <v>0</v>
      </c>
      <c r="E21" s="21">
        <f>COUNTIFS(E_Suivi_Eans!$C:$C,"02/2022",E_Suivi_Eans!$D:$D,"Economat",E_Suivi_Eans!$J:$J,"Abandon",E_Suivi_Eans!$K:$K,"&gt;31/12/2021",E_Suivi_Eans!K:K,"&lt;01/06/2022")</f>
        <v>0</v>
      </c>
      <c r="F21" s="21">
        <f>COUNTIFS(E_Suivi_Eans!$C:$C,"02/2022",E_Suivi_Eans!$D:$D,"Economat")</f>
        <v>0</v>
      </c>
      <c r="G21" s="21">
        <f t="shared" si="4"/>
        <v>0</v>
      </c>
      <c r="J21" s="20" t="s">
        <v>5315</v>
      </c>
      <c r="K21" s="20" t="s">
        <v>5318</v>
      </c>
      <c r="L21" s="28" t="e">
        <f t="shared" si="5"/>
        <v>#DIV/0!</v>
      </c>
      <c r="M21" s="28" t="e">
        <f t="shared" si="5"/>
        <v>#DIV/0!</v>
      </c>
      <c r="N21" s="28" t="e">
        <f t="shared" si="5"/>
        <v>#DIV/0!</v>
      </c>
      <c r="O21" s="28">
        <v>1</v>
      </c>
      <c r="P21" s="28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COUNTIFS(E_Suivi_Eans!$C:$C,"02/2022",E_Suivi_Eans!$D:$D,"Economat",E_Suivi_Eans!$J:$J,"Retour OK",E_Suivi_Eans!$K:$K,"&gt;31/12/2021",E_Suivi_Eans!K:K,"&lt;01/07/2022")</f>
        <v>0</v>
      </c>
      <c r="D22" s="21">
        <f>COUNTIFS(E_Suivi_Eans!$C:$C,"02/2022",E_Suivi_Eans!$D:$D,"Economat",E_Suivi_Eans!$J:$J,"Rejet 0",E_Suivi_Eans!$K:$K,"&gt;31/12/2021",E_Suivi_Eans!$K:$K,"&lt;01/07/2022")+ COUNTIFS(E_Suivi_Eans!$C:$C,"02/2022",E_Suivi_Eans!$D:$D,"Economat",E_Suivi_Eans!$J:$J,"Rejet 1",E_Suivi_Eans!$K:$K,"&gt;31/12/2021",E_Suivi_Eans!$K:$K,"&lt;01/07/2022")+COUNTIFS(E_Suivi_Eans!$C:$C,"02/2022",E_Suivi_Eans!$D:$D,"Economat",E_Suivi_Eans!$J:$J,"Rejet 2",E_Suivi_Eans!$K:$K,"&gt;31/12/2021",E_Suivi_Eans!$K:$K,"&lt;01/07/2022")+COUNTIFS(E_Suivi_Eans!$C:$C,"02/2022",E_Suivi_Eans!$D:$D,"Economat",E_Suivi_Eans!$J:$J,"Rejet 3",E_Suivi_Eans!$K:$K,"&gt;31/12/2021",E_Suivi_Eans!$K:$K,"&lt;01/07/2022")+ COUNTIFS(E_Suivi_Eans!$C:$C,"02/2022",E_Suivi_Eans!$D:$D,"Economat",E_Suivi_Eans!$J:$J,"Rejet 4",E_Suivi_Eans!$K:$K,"&gt;31/12/2021",E_Suivi_Eans!$K:$K,"&lt;01/07/2022")+COUNTIFS(E_Suivi_Eans!$C:$C,"02/2022",E_Suivi_Eans!$D:$D,"Economat",E_Suivi_Eans!$J:$J,"Relance 1",E_Suivi_Eans!$K:$K,"&gt;31/12/2021",E_Suivi_Eans!$K:$K,"&lt;01/07/2022")+COUNTIFS(E_Suivi_Eans!$C:$C,"02/2022",E_Suivi_Eans!$D:$D,"Economat",E_Suivi_Eans!$J:$J,"Relance 2",E_Suivi_Eans!$K:$K,"&gt;31/12/2021",E_Suivi_Eans!$K:$K,"&lt;01/07/2022")+COUNTIFS(E_Suivi_Eans!$C:$C,"02/2022",E_Suivi_Eans!$D:$D,"Economat",E_Suivi_Eans!$J:$J,"Relance 3",E_Suivi_Eans!$K:$K,"&gt;31/12/2021",E_Suivi_Eans!$K:$K,"&lt;01/07/2022")</f>
        <v>0</v>
      </c>
      <c r="E22" s="21">
        <f>COUNTIFS(E_Suivi_Eans!$C:$C,"02/2022",E_Suivi_Eans!$D:$D,"Economat",E_Suivi_Eans!$J:$J,"Abandon",E_Suivi_Eans!$K:$K,"&gt;31/12/2021",E_Suivi_Eans!K:K,"&lt;01/07/2022")</f>
        <v>0</v>
      </c>
      <c r="F22" s="21">
        <f>COUNTIFS(E_Suivi_Eans!$C:$C,"02/2022",E_Suivi_Eans!$D:$D,"Economat")</f>
        <v>0</v>
      </c>
      <c r="G22" s="21">
        <f t="shared" si="4"/>
        <v>0</v>
      </c>
      <c r="J22" s="20" t="s">
        <v>5315</v>
      </c>
      <c r="K22" s="20" t="s">
        <v>5319</v>
      </c>
      <c r="L22" s="28" t="e">
        <f t="shared" si="5"/>
        <v>#DIV/0!</v>
      </c>
      <c r="M22" s="28" t="e">
        <f t="shared" si="5"/>
        <v>#DIV/0!</v>
      </c>
      <c r="N22" s="28" t="e">
        <f t="shared" si="5"/>
        <v>#DIV/0!</v>
      </c>
      <c r="O22" s="28">
        <v>1</v>
      </c>
      <c r="P22" s="28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COUNTIFS(E_Suivi_Eans!$C:$C,"02/2022",E_Suivi_Eans!$D:$D,"Economat",E_Suivi_Eans!$J:$J,"Retour OK",E_Suivi_Eans!$K:$K,"&gt;31/12/2021",E_Suivi_Eans!K:K,"&lt;01/08/2022")</f>
        <v>0</v>
      </c>
      <c r="D23" s="21">
        <f>COUNTIFS(E_Suivi_Eans!$C:$C,"02/2022",E_Suivi_Eans!$D:$D,"Economat",E_Suivi_Eans!$J:$J,"Rejet 0",E_Suivi_Eans!$K:$K,"&gt;31/12/2021",E_Suivi_Eans!$K:$K,"&lt;01/08/2022")+ COUNTIFS(E_Suivi_Eans!$C:$C,"02/2022",E_Suivi_Eans!$D:$D,"Economat",E_Suivi_Eans!$J:$J,"Rejet 1",E_Suivi_Eans!$K:$K,"&gt;31/12/2021",E_Suivi_Eans!$K:$K,"&lt;01/08/2022")+COUNTIFS(E_Suivi_Eans!$C:$C,"02/2022",E_Suivi_Eans!$D:$D,"Economat",E_Suivi_Eans!$J:$J,"Rejet 2",E_Suivi_Eans!$K:$K,"&gt;31/12/2021",E_Suivi_Eans!$K:$K,"&lt;01/08/2022")+COUNTIFS(E_Suivi_Eans!$C:$C,"02/2022",E_Suivi_Eans!$D:$D,"Economat",E_Suivi_Eans!$J:$J,"Rejet 3",E_Suivi_Eans!$K:$K,"&gt;31/12/2021",E_Suivi_Eans!$K:$K,"&lt;01/08/2022")+ COUNTIFS(E_Suivi_Eans!$C:$C,"02/2022",E_Suivi_Eans!$D:$D,"Economat",E_Suivi_Eans!$J:$J,"Rejet 4",E_Suivi_Eans!$K:$K,"&gt;31/12/2021",E_Suivi_Eans!$K:$K,"&lt;01/08/2022")+COUNTIFS(E_Suivi_Eans!$C:$C,"02/2022",E_Suivi_Eans!$D:$D,"Economat",E_Suivi_Eans!$J:$J,"Relance 1",E_Suivi_Eans!$K:$K,"&gt;31/12/2021",E_Suivi_Eans!$K:$K,"&lt;01/08/2022")+COUNTIFS(E_Suivi_Eans!$C:$C,"02/2022",E_Suivi_Eans!$D:$D,"Economat",E_Suivi_Eans!$J:$J,"Relance 2",E_Suivi_Eans!$K:$K,"&gt;31/12/2021",E_Suivi_Eans!$K:$K,"&lt;01/08/2022")+COUNTIFS(E_Suivi_Eans!$C:$C,"02/2022",E_Suivi_Eans!$D:$D,"Economat",E_Suivi_Eans!$J:$J,"Relance 3",E_Suivi_Eans!$K:$K,"&gt;31/12/2021",E_Suivi_Eans!$K:$K,"&lt;01/08/2022")</f>
        <v>0</v>
      </c>
      <c r="E23" s="21">
        <f>COUNTIFS(E_Suivi_Eans!$C:$C,"02/2022",E_Suivi_Eans!$D:$D,"Economat",E_Suivi_Eans!$J:$J,"Abandon",E_Suivi_Eans!$K:$K,"&gt;31/12/2021",E_Suivi_Eans!K:K,"&lt;01/08/2022")</f>
        <v>0</v>
      </c>
      <c r="F23" s="21">
        <f>COUNTIFS(E_Suivi_Eans!$C:$C,"02/2022",E_Suivi_Eans!$D:$D,"Economat")</f>
        <v>0</v>
      </c>
      <c r="G23" s="21">
        <f t="shared" si="4"/>
        <v>0</v>
      </c>
      <c r="J23" s="20" t="s">
        <v>5315</v>
      </c>
      <c r="K23" s="20" t="s">
        <v>5320</v>
      </c>
      <c r="L23" s="28" t="e">
        <f t="shared" si="5"/>
        <v>#DIV/0!</v>
      </c>
      <c r="M23" s="28" t="e">
        <f t="shared" si="5"/>
        <v>#DIV/0!</v>
      </c>
      <c r="N23" s="28" t="e">
        <f t="shared" si="5"/>
        <v>#DIV/0!</v>
      </c>
      <c r="O23" s="28">
        <v>1</v>
      </c>
      <c r="P23" s="28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7"/>
    </row>
    <row r="24" spans="1:27">
      <c r="A24" s="20" t="s">
        <v>5315</v>
      </c>
      <c r="B24" s="20" t="s">
        <v>5321</v>
      </c>
      <c r="C24" s="21">
        <f>COUNTIFS(E_Suivi_Eans!$C:$C,"02/2022",E_Suivi_Eans!$D:$D,"Economat",E_Suivi_Eans!$J:$J,"Retour OK",E_Suivi_Eans!$K:$K,"&gt;31/12/2021",E_Suivi_Eans!K:K,"&lt;01/09/2022")</f>
        <v>0</v>
      </c>
      <c r="D24" s="21">
        <f>COUNTIFS(E_Suivi_Eans!$C:$C,"02/2022",E_Suivi_Eans!$D:$D,"Economat",E_Suivi_Eans!$J:$J,"Rejet 0",E_Suivi_Eans!$K:$K,"&gt;31/12/2021",E_Suivi_Eans!$K:$K,"&lt;01/09/2022")+ COUNTIFS(E_Suivi_Eans!$C:$C,"02/2022",E_Suivi_Eans!$D:$D,"Economat",E_Suivi_Eans!$J:$J,"Rejet 1",E_Suivi_Eans!$K:$K,"&gt;31/12/2021",E_Suivi_Eans!$K:$K,"&lt;01/09/2022")+COUNTIFS(E_Suivi_Eans!$C:$C,"02/2022",E_Suivi_Eans!$D:$D,"Economat",E_Suivi_Eans!$J:$J,"Rejet 2",E_Suivi_Eans!$K:$K,"&gt;31/12/2021",E_Suivi_Eans!$K:$K,"&lt;01/09/2022")+COUNTIFS(E_Suivi_Eans!$C:$C,"02/2022",E_Suivi_Eans!$D:$D,"Economat",E_Suivi_Eans!$J:$J,"Rejet 3",E_Suivi_Eans!$K:$K,"&gt;31/12/2021",E_Suivi_Eans!$K:$K,"&lt;01/09/2022")+ COUNTIFS(E_Suivi_Eans!$C:$C,"02/2022",E_Suivi_Eans!$D:$D,"Economat",E_Suivi_Eans!$J:$J,"Rejet 4",E_Suivi_Eans!$K:$K,"&gt;31/12/2021",E_Suivi_Eans!$K:$K,"&lt;01/09/2022")+COUNTIFS(E_Suivi_Eans!$C:$C,"02/2022",E_Suivi_Eans!$D:$D,"Economat",E_Suivi_Eans!$J:$J,"Relance 1",E_Suivi_Eans!$K:$K,"&gt;31/12/2021",E_Suivi_Eans!$K:$K,"&lt;01/09/2022")+COUNTIFS(E_Suivi_Eans!$C:$C,"02/2022",E_Suivi_Eans!$D:$D,"Economat",E_Suivi_Eans!$J:$J,"Relance 2",E_Suivi_Eans!$K:$K,"&gt;31/12/2021",E_Suivi_Eans!$K:$K,"&lt;01/09/2022")+COUNTIFS(E_Suivi_Eans!$C:$C,"02/2022",E_Suivi_Eans!$D:$D,"Economat",E_Suivi_Eans!$J:$J,"Relance 3",E_Suivi_Eans!$K:$K,"&gt;31/12/2021",E_Suivi_Eans!$K:$K,"&lt;01/09/2022")</f>
        <v>0</v>
      </c>
      <c r="E24" s="21">
        <f>COUNTIFS(E_Suivi_Eans!$C:$C,"02/2022",E_Suivi_Eans!$D:$D,"Economat",E_Suivi_Eans!$J:$J,"Abandon",E_Suivi_Eans!$K:$K,"&gt;31/12/2021",E_Suivi_Eans!K:K,"&lt;01/09/2022")</f>
        <v>0</v>
      </c>
      <c r="F24" s="21">
        <f>COUNTIFS(E_Suivi_Eans!$C:$C,"02/2022",E_Suivi_Eans!$D:$D,"Economat")</f>
        <v>0</v>
      </c>
      <c r="G24" s="21">
        <f t="shared" si="4"/>
        <v>0</v>
      </c>
      <c r="J24" s="20" t="s">
        <v>5315</v>
      </c>
      <c r="K24" s="20" t="s">
        <v>5321</v>
      </c>
      <c r="L24" s="28" t="e">
        <f t="shared" si="5"/>
        <v>#DIV/0!</v>
      </c>
      <c r="M24" s="28" t="e">
        <f t="shared" si="5"/>
        <v>#DIV/0!</v>
      </c>
      <c r="N24" s="28" t="e">
        <f t="shared" si="5"/>
        <v>#DIV/0!</v>
      </c>
      <c r="O24" s="28">
        <v>1</v>
      </c>
      <c r="P24" s="28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COUNTIFS(E_Suivi_Eans!$C:$C,"02/2022",E_Suivi_Eans!$D:$D,"Economat",E_Suivi_Eans!$J:$J,"Retour OK",E_Suivi_Eans!$K:$K,"&gt;31/12/2021",E_Suivi_Eans!K:K,"&lt;01/10/2022")</f>
        <v>0</v>
      </c>
      <c r="D25" s="21">
        <f>COUNTIFS(E_Suivi_Eans!$C:$C,"02/2022",E_Suivi_Eans!$D:$D,"Economat",E_Suivi_Eans!$J:$J,"Rejet 0",E_Suivi_Eans!$K:$K,"&gt;31/12/2021",E_Suivi_Eans!$K:$K,"&lt;01/10/2022")+ COUNTIFS(E_Suivi_Eans!$C:$C,"02/2022",E_Suivi_Eans!$D:$D,"Economat",E_Suivi_Eans!$J:$J,"Rejet 1",E_Suivi_Eans!$K:$K,"&gt;31/12/2021",E_Suivi_Eans!$K:$K,"&lt;01/10/2022")+COUNTIFS(E_Suivi_Eans!$C:$C,"02/2022",E_Suivi_Eans!$D:$D,"Economat",E_Suivi_Eans!$J:$J,"Rejet 2",E_Suivi_Eans!$K:$K,"&gt;31/12/2021",E_Suivi_Eans!$K:$K,"&lt;01/10/2022")+COUNTIFS(E_Suivi_Eans!$C:$C,"02/2022",E_Suivi_Eans!$D:$D,"Economat",E_Suivi_Eans!$J:$J,"Rejet 3",E_Suivi_Eans!$K:$K,"&gt;31/12/2021",E_Suivi_Eans!$K:$K,"&lt;01/10/2022")+ COUNTIFS(E_Suivi_Eans!$C:$C,"02/2022",E_Suivi_Eans!$D:$D,"Economat",E_Suivi_Eans!$J:$J,"Rejet 4",E_Suivi_Eans!$K:$K,"&gt;31/12/2021",E_Suivi_Eans!$K:$K,"&lt;01/10/2022")+COUNTIFS(E_Suivi_Eans!$C:$C,"02/2022",E_Suivi_Eans!$D:$D,"Economat",E_Suivi_Eans!$J:$J,"Relance 1",E_Suivi_Eans!$K:$K,"&gt;31/12/2021",E_Suivi_Eans!$K:$K,"&lt;01/10/2022")+COUNTIFS(E_Suivi_Eans!$C:$C,"02/2022",E_Suivi_Eans!$D:$D,"Economat",E_Suivi_Eans!$J:$J,"Relance 2",E_Suivi_Eans!$K:$K,"&gt;31/12/2021",E_Suivi_Eans!$K:$K,"&lt;01/10/2022")+COUNTIFS(E_Suivi_Eans!$C:$C,"02/2022",E_Suivi_Eans!$D:$D,"Economat",E_Suivi_Eans!$J:$J,"Relance 3",E_Suivi_Eans!$K:$K,"&gt;31/12/2021",E_Suivi_Eans!$K:$K,"&lt;01/10/2022")</f>
        <v>0</v>
      </c>
      <c r="E25" s="21">
        <f>COUNTIFS(E_Suivi_Eans!$C:$C,"02/2022",E_Suivi_Eans!$D:$D,"Economat",E_Suivi_Eans!$J:$J,"Abandon",E_Suivi_Eans!$K:$K,"&gt;31/12/2021",E_Suivi_Eans!K:K,"&lt;01/10/2022")</f>
        <v>0</v>
      </c>
      <c r="F25" s="21">
        <f>COUNTIFS(E_Suivi_Eans!$C:$C,"02/2022",E_Suivi_Eans!$D:$D,"Economat")</f>
        <v>0</v>
      </c>
      <c r="G25" s="21">
        <f t="shared" si="4"/>
        <v>0</v>
      </c>
      <c r="J25" s="20" t="s">
        <v>5315</v>
      </c>
      <c r="K25" s="20" t="s">
        <v>5325</v>
      </c>
      <c r="L25" s="28" t="e">
        <f t="shared" si="5"/>
        <v>#DIV/0!</v>
      </c>
      <c r="M25" s="28" t="e">
        <f t="shared" si="5"/>
        <v>#DIV/0!</v>
      </c>
      <c r="N25" s="28" t="e">
        <f t="shared" si="5"/>
        <v>#DIV/0!</v>
      </c>
      <c r="O25" s="28">
        <v>1</v>
      </c>
      <c r="P25" s="28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COUNTIFS(E_Suivi_Eans!$C:$C,"02/2022",E_Suivi_Eans!$D:$D,"Economat",E_Suivi_Eans!$J:$J,"Retour OK",E_Suivi_Eans!$K:$K,"&gt;31/12/2021",E_Suivi_Eans!K:K,"&lt;01/11/2022")</f>
        <v>0</v>
      </c>
      <c r="D26" s="21">
        <f>COUNTIFS(E_Suivi_Eans!$C:$C,"02/2022",E_Suivi_Eans!$D:$D,"Economat",E_Suivi_Eans!$J:$J,"Rejet 0",E_Suivi_Eans!$K:$K,"&gt;31/12/2021",E_Suivi_Eans!$K:$K,"&lt;01/11/2022")+ COUNTIFS(E_Suivi_Eans!$C:$C,"02/2022",E_Suivi_Eans!$D:$D,"Economat",E_Suivi_Eans!$J:$J,"Rejet 1",E_Suivi_Eans!$K:$K,"&gt;31/12/2021",E_Suivi_Eans!$K:$K,"&lt;01/11/2022")+COUNTIFS(E_Suivi_Eans!$C:$C,"02/2022",E_Suivi_Eans!$D:$D,"Economat",E_Suivi_Eans!$J:$J,"Rejet 2",E_Suivi_Eans!$K:$K,"&gt;31/12/2021",E_Suivi_Eans!$K:$K,"&lt;01/11/2022")+COUNTIFS(E_Suivi_Eans!$C:$C,"02/2022",E_Suivi_Eans!$D:$D,"Economat",E_Suivi_Eans!$J:$J,"Rejet 3",E_Suivi_Eans!$K:$K,"&gt;31/12/2021",E_Suivi_Eans!$K:$K,"&lt;01/11/2022")+ COUNTIFS(E_Suivi_Eans!$C:$C,"02/2022",E_Suivi_Eans!$D:$D,"Economat",E_Suivi_Eans!$J:$J,"Rejet 4",E_Suivi_Eans!$K:$K,"&gt;31/12/2021",E_Suivi_Eans!$K:$K,"&lt;01/11/2022")+COUNTIFS(E_Suivi_Eans!$C:$C,"02/2022",E_Suivi_Eans!$D:$D,"Economat",E_Suivi_Eans!$J:$J,"Relance 1",E_Suivi_Eans!$K:$K,"&gt;31/12/2021",E_Suivi_Eans!$K:$K,"&lt;01/11/2022")+COUNTIFS(E_Suivi_Eans!$C:$C,"02/2022",E_Suivi_Eans!$D:$D,"Economat",E_Suivi_Eans!$J:$J,"Relance 2",E_Suivi_Eans!$K:$K,"&gt;31/12/2021",E_Suivi_Eans!$K:$K,"&lt;01/11/2022")+COUNTIFS(E_Suivi_Eans!$C:$C,"02/2022",E_Suivi_Eans!$D:$D,"Economat",E_Suivi_Eans!$J:$J,"Relance 3",E_Suivi_Eans!$K:$K,"&gt;31/12/2021",E_Suivi_Eans!$K:$K,"&lt;01/11/2022")</f>
        <v>0</v>
      </c>
      <c r="E26" s="21">
        <f>COUNTIFS(E_Suivi_Eans!$C:$C,"02/2022",E_Suivi_Eans!$D:$D,"Economat",E_Suivi_Eans!$J:$J,"Abandon",E_Suivi_Eans!$K:$K,"&gt;31/12/2021",E_Suivi_Eans!K:K,"&lt;01/11/2022")</f>
        <v>0</v>
      </c>
      <c r="F26" s="21">
        <f>COUNTIFS(E_Suivi_Eans!$C:$C,"02/2022",E_Suivi_Eans!$D:$D,"Economat")</f>
        <v>0</v>
      </c>
      <c r="G26" s="21">
        <f t="shared" si="4"/>
        <v>0</v>
      </c>
      <c r="J26" s="20" t="s">
        <v>5315</v>
      </c>
      <c r="K26" s="20" t="s">
        <v>5326</v>
      </c>
      <c r="L26" s="28" t="e">
        <f t="shared" si="5"/>
        <v>#DIV/0!</v>
      </c>
      <c r="M26" s="28" t="e">
        <f t="shared" si="5"/>
        <v>#DIV/0!</v>
      </c>
      <c r="N26" s="28" t="e">
        <f t="shared" si="5"/>
        <v>#DIV/0!</v>
      </c>
      <c r="O26" s="28">
        <v>1</v>
      </c>
      <c r="P26" s="28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COUNTIFS(E_Suivi_Eans!$C:$C,"02/2022",E_Suivi_Eans!$D:$D,"Economat",E_Suivi_Eans!$J:$J,"Retour OK",E_Suivi_Eans!$K:$K,"&gt;31/12/2021",E_Suivi_Eans!K:K,"&lt;01/12/2022")</f>
        <v>0</v>
      </c>
      <c r="D27" s="21">
        <f>COUNTIFS(E_Suivi_Eans!$C:$C,"02/2022",E_Suivi_Eans!$D:$D,"Economat",E_Suivi_Eans!$J:$J,"Rejet 0",E_Suivi_Eans!$K:$K,"&gt;31/12/2021",E_Suivi_Eans!$K:$K,"&lt;01/12/2022")+ COUNTIFS(E_Suivi_Eans!$C:$C,"02/2022",E_Suivi_Eans!$D:$D,"Economat",E_Suivi_Eans!$J:$J,"Rejet 1",E_Suivi_Eans!$K:$K,"&gt;31/12/2021",E_Suivi_Eans!$K:$K,"&lt;01/12/2022")+COUNTIFS(E_Suivi_Eans!$C:$C,"02/2022",E_Suivi_Eans!$D:$D,"Economat",E_Suivi_Eans!$J:$J,"Rejet 2",E_Suivi_Eans!$K:$K,"&gt;31/12/2021",E_Suivi_Eans!$K:$K,"&lt;01/12/2022")+COUNTIFS(E_Suivi_Eans!$C:$C,"02/2022",E_Suivi_Eans!$D:$D,"Economat",E_Suivi_Eans!$J:$J,"Rejet 3",E_Suivi_Eans!$K:$K,"&gt;31/12/2021",E_Suivi_Eans!$K:$K,"&lt;01/12/2022")+ COUNTIFS(E_Suivi_Eans!$C:$C,"02/2022",E_Suivi_Eans!$D:$D,"Economat",E_Suivi_Eans!$J:$J,"Rejet 4",E_Suivi_Eans!$K:$K,"&gt;31/12/2021",E_Suivi_Eans!$K:$K,"&lt;01/12/2022")+COUNTIFS(E_Suivi_Eans!$C:$C,"02/2022",E_Suivi_Eans!$D:$D,"Economat",E_Suivi_Eans!$J:$J,"Relance 1",E_Suivi_Eans!$K:$K,"&gt;31/12/2021",E_Suivi_Eans!$K:$K,"&lt;01/12/2022")+COUNTIFS(E_Suivi_Eans!$C:$C,"02/2022",E_Suivi_Eans!$D:$D,"Economat",E_Suivi_Eans!$J:$J,"Relance 2",E_Suivi_Eans!$K:$K,"&gt;31/12/2021",E_Suivi_Eans!$K:$K,"&lt;01/12/2022")+COUNTIFS(E_Suivi_Eans!$C:$C,"02/2022",E_Suivi_Eans!$D:$D,"Economat",E_Suivi_Eans!$J:$J,"Relance 3",E_Suivi_Eans!$K:$K,"&gt;31/12/2021",E_Suivi_Eans!$K:$K,"&lt;01/12/2022")</f>
        <v>0</v>
      </c>
      <c r="E27" s="21">
        <f>COUNTIFS(E_Suivi_Eans!$C:$C,"02/2022",E_Suivi_Eans!$D:$D,"Economat",E_Suivi_Eans!$J:$J,"Abandon",E_Suivi_Eans!$K:$K,"&gt;31/12/2021",E_Suivi_Eans!K:K,"&lt;01/12/2022")</f>
        <v>0</v>
      </c>
      <c r="F27" s="21">
        <f>COUNTIFS(E_Suivi_Eans!$C:$C,"02/2022",E_Suivi_Eans!$D:$D,"Economat")</f>
        <v>0</v>
      </c>
      <c r="G27" s="21">
        <f t="shared" si="4"/>
        <v>0</v>
      </c>
      <c r="J27" s="20" t="s">
        <v>5315</v>
      </c>
      <c r="K27" s="20" t="s">
        <v>5327</v>
      </c>
      <c r="L27" s="28" t="e">
        <f t="shared" si="5"/>
        <v>#DIV/0!</v>
      </c>
      <c r="M27" s="28" t="e">
        <f t="shared" si="5"/>
        <v>#DIV/0!</v>
      </c>
      <c r="N27" s="28" t="e">
        <f t="shared" si="5"/>
        <v>#DIV/0!</v>
      </c>
      <c r="O27" s="28">
        <v>1</v>
      </c>
      <c r="P27" s="28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8"/>
      <c r="P28" s="28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5"/>
      <c r="F29" s="25"/>
      <c r="G29" s="25"/>
      <c r="J29" s="22"/>
      <c r="K29" s="22"/>
      <c r="L29" s="23"/>
      <c r="M29" s="24"/>
      <c r="N29" s="25"/>
      <c r="O29" s="31"/>
      <c r="P29" s="31"/>
      <c r="S29" s="22"/>
      <c r="T29" s="22"/>
      <c r="U29" s="23"/>
      <c r="V29" s="24"/>
      <c r="W29" s="25"/>
      <c r="X29" s="25"/>
      <c r="Y29" s="25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8"/>
      <c r="P30" s="28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8"/>
      <c r="P31" s="28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COUNTIFS(E_Suivi_Eans!$C:$C,"03/2022",E_Suivi_Eans!$D:$D,"Economat",E_Suivi_Eans!$J:$J,"Retour OK",E_Suivi_Eans!$K:$K,"&gt;31/12/2021",E_Suivi_Eans!K:K,"&lt;01/04/2022")</f>
        <v>0</v>
      </c>
      <c r="D32" s="21">
        <f>COUNTIFS(E_Suivi_Eans!$C:$C,"03/2022",E_Suivi_Eans!$D:$D,"Economat",E_Suivi_Eans!$J:$J,"Rejet 0",E_Suivi_Eans!$K:$K,"&gt;31/12/2021",E_Suivi_Eans!$K:$K,"&lt;01/04/2022")+ COUNTIFS(E_Suivi_Eans!$C:$C,"03/2022",E_Suivi_Eans!$D:$D,"Economat",E_Suivi_Eans!$J:$J,"Rejet 1",E_Suivi_Eans!$K:$K,"&gt;31/12/2021",E_Suivi_Eans!$K:$K,"&lt;01/04/2022")+COUNTIFS(E_Suivi_Eans!$C:$C,"03/2022",E_Suivi_Eans!$D:$D,"Economat",E_Suivi_Eans!$J:$J,"Rejet 2",E_Suivi_Eans!$K:$K,"&gt;31/12/2021",E_Suivi_Eans!$K:$K,"&lt;01/04/2022")+COUNTIFS(E_Suivi_Eans!$C:$C,"03/2022",E_Suivi_Eans!$D:$D,"Economat",E_Suivi_Eans!$J:$J,"Rejet 3",E_Suivi_Eans!$K:$K,"&gt;31/12/2021",E_Suivi_Eans!$K:$K,"&lt;01/04/2022")+ COUNTIFS(E_Suivi_Eans!$C:$C,"03/2022",E_Suivi_Eans!$D:$D,"Economat",E_Suivi_Eans!$J:$J,"Rejet 4",E_Suivi_Eans!$K:$K,"&gt;31/12/2021",E_Suivi_Eans!$K:$K,"&lt;01/04/2022")+COUNTIFS(E_Suivi_Eans!$C:$C,"03/2022",E_Suivi_Eans!$D:$D,"Economat",E_Suivi_Eans!$J:$J,"Relance 1",E_Suivi_Eans!$K:$K,"&gt;31/12/2021",E_Suivi_Eans!$K:$K,"&lt;01/04/2022")+COUNTIFS(E_Suivi_Eans!$C:$C,"03/2022",E_Suivi_Eans!$D:$D,"Economat",E_Suivi_Eans!$J:$J,"Relance 2",E_Suivi_Eans!$K:$K,"&gt;31/12/2021",E_Suivi_Eans!$K:$K,"&lt;01/04/2022")+COUNTIFS(E_Suivi_Eans!$C:$C,"03/2022",E_Suivi_Eans!$D:$D,"Economat",E_Suivi_Eans!$J:$J,"Relance 3",E_Suivi_Eans!$K:$K,"&gt;31/12/2021",E_Suivi_Eans!$K:$K,"&lt;01/04/2022")</f>
        <v>0</v>
      </c>
      <c r="E32" s="21">
        <f>COUNTIFS(E_Suivi_Eans!$C:$C,"03/2022",E_Suivi_Eans!$D:$D,"Economat",E_Suivi_Eans!$J:$J,"Abandon",E_Suivi_Eans!$K:$K,"&gt;31/12/2021",E_Suivi_Eans!K:K,"&lt;01/04/2022")</f>
        <v>0</v>
      </c>
      <c r="F32" s="21">
        <f>COUNTIFS(E_Suivi_Eans!$C:$C,"03/2022",E_Suivi_Eans!$D:$D,"Economat")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8" t="e">
        <f t="shared" ref="L32:N40" si="7">C32/$G32</f>
        <v>#DIV/0!</v>
      </c>
      <c r="M32" s="28" t="e">
        <f t="shared" si="7"/>
        <v>#DIV/0!</v>
      </c>
      <c r="N32" s="28" t="e">
        <f t="shared" si="7"/>
        <v>#DIV/0!</v>
      </c>
      <c r="O32" s="28">
        <v>1</v>
      </c>
      <c r="P32" s="28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COUNTIFS(E_Suivi_Eans!$C:$C,"03/2022",E_Suivi_Eans!$D:$D,"Economat",E_Suivi_Eans!$J:$J,"Retour OK",E_Suivi_Eans!$K:$K,"&gt;31/12/2021",E_Suivi_Eans!K:K,"&lt;01/05/2022")</f>
        <v>0</v>
      </c>
      <c r="D33" s="21">
        <f>COUNTIFS(E_Suivi_Eans!$C:$C,"03/2022",E_Suivi_Eans!$D:$D,"Economat",E_Suivi_Eans!$J:$J,"Rejet 0",E_Suivi_Eans!$K:$K,"&gt;31/12/2021",E_Suivi_Eans!$K:$K,"&lt;01/05/2022")+ COUNTIFS(E_Suivi_Eans!$C:$C,"03/2022",E_Suivi_Eans!$D:$D,"Economat",E_Suivi_Eans!$J:$J,"Rejet 1",E_Suivi_Eans!$K:$K,"&gt;31/12/2021",E_Suivi_Eans!$K:$K,"&lt;01/05/2022")+COUNTIFS(E_Suivi_Eans!$C:$C,"03/2022",E_Suivi_Eans!$D:$D,"Economat",E_Suivi_Eans!$J:$J,"Rejet 2",E_Suivi_Eans!$K:$K,"&gt;31/12/2021",E_Suivi_Eans!$K:$K,"&lt;01/05/2022")+COUNTIFS(E_Suivi_Eans!$C:$C,"03/2022",E_Suivi_Eans!$D:$D,"Economat",E_Suivi_Eans!$J:$J,"Rejet 3",E_Suivi_Eans!$K:$K,"&gt;31/12/2021",E_Suivi_Eans!$K:$K,"&lt;01/05/2022")+ COUNTIFS(E_Suivi_Eans!$C:$C,"03/2022",E_Suivi_Eans!$D:$D,"Economat",E_Suivi_Eans!$J:$J,"Rejet 4",E_Suivi_Eans!$K:$K,"&gt;31/12/2021",E_Suivi_Eans!$K:$K,"&lt;01/05/2022")+COUNTIFS(E_Suivi_Eans!$C:$C,"03/2022",E_Suivi_Eans!$D:$D,"Economat",E_Suivi_Eans!$J:$J,"Relance 1",E_Suivi_Eans!$K:$K,"&gt;31/12/2021",E_Suivi_Eans!$K:$K,"&lt;01/05/2022")+COUNTIFS(E_Suivi_Eans!$C:$C,"03/2022",E_Suivi_Eans!$D:$D,"Economat",E_Suivi_Eans!$J:$J,"Relance 2",E_Suivi_Eans!$K:$K,"&gt;31/12/2021",E_Suivi_Eans!$K:$K,"&lt;01/05/2022")+COUNTIFS(E_Suivi_Eans!$C:$C,"03/2022",E_Suivi_Eans!$D:$D,"Economat",E_Suivi_Eans!$J:$J,"Relance 3",E_Suivi_Eans!$K:$K,"&gt;31/12/2021",E_Suivi_Eans!$K:$K,"&lt;01/05/2022")</f>
        <v>0</v>
      </c>
      <c r="E33" s="21">
        <f>COUNTIFS(E_Suivi_Eans!$C:$C,"03/2022",E_Suivi_Eans!$D:$D,"Economat",E_Suivi_Eans!$J:$J,"Abandon",E_Suivi_Eans!$K:$K,"&gt;31/12/2021",E_Suivi_Eans!K:K,"&lt;01/05/2022")</f>
        <v>0</v>
      </c>
      <c r="F33" s="21">
        <f>COUNTIFS(E_Suivi_Eans!$C:$C,"03/2022",E_Suivi_Eans!$D:$D,"Economat")</f>
        <v>0</v>
      </c>
      <c r="G33" s="21">
        <f t="shared" si="6"/>
        <v>0</v>
      </c>
      <c r="J33" s="20" t="s">
        <v>5316</v>
      </c>
      <c r="K33" s="20" t="s">
        <v>5317</v>
      </c>
      <c r="L33" s="28" t="e">
        <f t="shared" si="7"/>
        <v>#DIV/0!</v>
      </c>
      <c r="M33" s="28" t="e">
        <f t="shared" si="7"/>
        <v>#DIV/0!</v>
      </c>
      <c r="N33" s="28" t="e">
        <f t="shared" si="7"/>
        <v>#DIV/0!</v>
      </c>
      <c r="O33" s="28">
        <v>1</v>
      </c>
      <c r="P33" s="28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COUNTIFS(E_Suivi_Eans!$C:$C,"03/2022",E_Suivi_Eans!$D:$D,"Economat",E_Suivi_Eans!$J:$J,"Retour OK",E_Suivi_Eans!$K:$K,"&gt;31/12/2021",E_Suivi_Eans!K:K,"&lt;01/06/2022")</f>
        <v>0</v>
      </c>
      <c r="D34" s="21">
        <f>COUNTIFS(E_Suivi_Eans!$C:$C,"03/2022",E_Suivi_Eans!$D:$D,"Economat",E_Suivi_Eans!$J:$J,"Rejet 0",E_Suivi_Eans!$K:$K,"&gt;31/12/2021",E_Suivi_Eans!$K:$K,"&lt;01/06/2022")+ COUNTIFS(E_Suivi_Eans!$C:$C,"03/2022",E_Suivi_Eans!$D:$D,"Economat",E_Suivi_Eans!$J:$J,"Rejet 1",E_Suivi_Eans!$K:$K,"&gt;31/12/2021",E_Suivi_Eans!$K:$K,"&lt;01/06/2022")+COUNTIFS(E_Suivi_Eans!$C:$C,"03/2022",E_Suivi_Eans!$D:$D,"Economat",E_Suivi_Eans!$J:$J,"Rejet 2",E_Suivi_Eans!$K:$K,"&gt;31/12/2021",E_Suivi_Eans!$K:$K,"&lt;01/06/2022")+COUNTIFS(E_Suivi_Eans!$C:$C,"03/2022",E_Suivi_Eans!$D:$D,"Economat",E_Suivi_Eans!$J:$J,"Rejet 3",E_Suivi_Eans!$K:$K,"&gt;31/12/2021",E_Suivi_Eans!$K:$K,"&lt;01/06/2022")+ COUNTIFS(E_Suivi_Eans!$C:$C,"03/2022",E_Suivi_Eans!$D:$D,"Economat",E_Suivi_Eans!$J:$J,"Rejet 4",E_Suivi_Eans!$K:$K,"&gt;31/12/2021",E_Suivi_Eans!$K:$K,"&lt;01/06/2022")+COUNTIFS(E_Suivi_Eans!$C:$C,"03/2022",E_Suivi_Eans!$D:$D,"Economat",E_Suivi_Eans!$J:$J,"Relance 1",E_Suivi_Eans!$K:$K,"&gt;31/12/2021",E_Suivi_Eans!$K:$K,"&lt;01/06/2022")+COUNTIFS(E_Suivi_Eans!$C:$C,"03/2022",E_Suivi_Eans!$D:$D,"Economat",E_Suivi_Eans!$J:$J,"Relance 2",E_Suivi_Eans!$K:$K,"&gt;31/12/2021",E_Suivi_Eans!$K:$K,"&lt;01/06/2022")+COUNTIFS(E_Suivi_Eans!$C:$C,"03/2022",E_Suivi_Eans!$D:$D,"Economat",E_Suivi_Eans!$J:$J,"Relance 3",E_Suivi_Eans!$K:$K,"&gt;31/12/2021",E_Suivi_Eans!$K:$K,"&lt;01/06/2022")</f>
        <v>0</v>
      </c>
      <c r="E34" s="21">
        <f>COUNTIFS(E_Suivi_Eans!$C:$C,"03/2022",E_Suivi_Eans!$D:$D,"Economat",E_Suivi_Eans!$J:$J,"Abandon",E_Suivi_Eans!$K:$K,"&gt;31/12/2021",E_Suivi_Eans!K:K,"&lt;01/06/2022")</f>
        <v>0</v>
      </c>
      <c r="F34" s="21">
        <f>COUNTIFS(E_Suivi_Eans!$C:$C,"03/2022",E_Suivi_Eans!$D:$D,"Economat")</f>
        <v>0</v>
      </c>
      <c r="G34" s="21">
        <f t="shared" si="6"/>
        <v>0</v>
      </c>
      <c r="J34" s="20" t="s">
        <v>5316</v>
      </c>
      <c r="K34" s="20" t="s">
        <v>5318</v>
      </c>
      <c r="L34" s="28" t="e">
        <f t="shared" si="7"/>
        <v>#DIV/0!</v>
      </c>
      <c r="M34" s="28" t="e">
        <f t="shared" si="7"/>
        <v>#DIV/0!</v>
      </c>
      <c r="N34" s="28" t="e">
        <f t="shared" si="7"/>
        <v>#DIV/0!</v>
      </c>
      <c r="O34" s="28">
        <v>1</v>
      </c>
      <c r="P34" s="28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COUNTIFS(E_Suivi_Eans!$C:$C,"03/2022",E_Suivi_Eans!$D:$D,"Economat",E_Suivi_Eans!$J:$J,"Retour OK",E_Suivi_Eans!$K:$K,"&gt;31/12/2021",E_Suivi_Eans!K:K,"&lt;01/07/2022")</f>
        <v>0</v>
      </c>
      <c r="D35" s="21">
        <f>COUNTIFS(E_Suivi_Eans!$C:$C,"03/2022",E_Suivi_Eans!$D:$D,"Economat",E_Suivi_Eans!$J:$J,"Rejet 0",E_Suivi_Eans!$K:$K,"&gt;31/12/2021",E_Suivi_Eans!$K:$K,"&lt;01/07/2022")+ COUNTIFS(E_Suivi_Eans!$C:$C,"03/2022",E_Suivi_Eans!$D:$D,"Economat",E_Suivi_Eans!$J:$J,"Rejet 1",E_Suivi_Eans!$K:$K,"&gt;31/12/2021",E_Suivi_Eans!$K:$K,"&lt;01/07/2022")+COUNTIFS(E_Suivi_Eans!$C:$C,"03/2022",E_Suivi_Eans!$D:$D,"Economat",E_Suivi_Eans!$J:$J,"Rejet 2",E_Suivi_Eans!$K:$K,"&gt;31/12/2021",E_Suivi_Eans!$K:$K,"&lt;01/07/2022")+COUNTIFS(E_Suivi_Eans!$C:$C,"03/2022",E_Suivi_Eans!$D:$D,"Economat",E_Suivi_Eans!$J:$J,"Rejet 3",E_Suivi_Eans!$K:$K,"&gt;31/12/2021",E_Suivi_Eans!$K:$K,"&lt;01/07/2022")+ COUNTIFS(E_Suivi_Eans!$C:$C,"03/2022",E_Suivi_Eans!$D:$D,"Economat",E_Suivi_Eans!$J:$J,"Rejet 4",E_Suivi_Eans!$K:$K,"&gt;31/12/2021",E_Suivi_Eans!$K:$K,"&lt;01/07/2022")+COUNTIFS(E_Suivi_Eans!$C:$C,"03/2022",E_Suivi_Eans!$D:$D,"Economat",E_Suivi_Eans!$J:$J,"Relance 1",E_Suivi_Eans!$K:$K,"&gt;31/12/2021",E_Suivi_Eans!$K:$K,"&lt;01/07/2022")+COUNTIFS(E_Suivi_Eans!$C:$C,"03/2022",E_Suivi_Eans!$D:$D,"Economat",E_Suivi_Eans!$J:$J,"Relance 2",E_Suivi_Eans!$K:$K,"&gt;31/12/2021",E_Suivi_Eans!$K:$K,"&lt;01/07/2022")+COUNTIFS(E_Suivi_Eans!$C:$C,"03/2022",E_Suivi_Eans!$D:$D,"Economat",E_Suivi_Eans!$J:$J,"Relance 3",E_Suivi_Eans!$K:$K,"&gt;31/12/2021",E_Suivi_Eans!$K:$K,"&lt;01/07/2022")</f>
        <v>0</v>
      </c>
      <c r="E35" s="21">
        <f>COUNTIFS(E_Suivi_Eans!$C:$C,"03/2022",E_Suivi_Eans!$D:$D,"Economat",E_Suivi_Eans!$J:$J,"Abandon",E_Suivi_Eans!$K:$K,"&gt;31/12/2021",E_Suivi_Eans!K:K,"&lt;01/07/2022")</f>
        <v>0</v>
      </c>
      <c r="F35" s="21">
        <f>COUNTIFS(E_Suivi_Eans!$C:$C,"03/2022",E_Suivi_Eans!$D:$D,"Economat")</f>
        <v>0</v>
      </c>
      <c r="G35" s="21">
        <f t="shared" si="6"/>
        <v>0</v>
      </c>
      <c r="J35" s="20" t="s">
        <v>5316</v>
      </c>
      <c r="K35" s="20" t="s">
        <v>5319</v>
      </c>
      <c r="L35" s="28" t="e">
        <f t="shared" si="7"/>
        <v>#DIV/0!</v>
      </c>
      <c r="M35" s="28" t="e">
        <f t="shared" si="7"/>
        <v>#DIV/0!</v>
      </c>
      <c r="N35" s="28" t="e">
        <f t="shared" si="7"/>
        <v>#DIV/0!</v>
      </c>
      <c r="O35" s="28">
        <v>1</v>
      </c>
      <c r="P35" s="28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COUNTIFS(E_Suivi_Eans!$C:$C,"03/2022",E_Suivi_Eans!$D:$D,"Economat",E_Suivi_Eans!$J:$J,"Retour OK",E_Suivi_Eans!$K:$K,"&gt;31/12/2021",E_Suivi_Eans!K:K,"&lt;01/08/2022")</f>
        <v>0</v>
      </c>
      <c r="D36" s="21">
        <f>COUNTIFS(E_Suivi_Eans!$C:$C,"03/2022",E_Suivi_Eans!$D:$D,"Economat",E_Suivi_Eans!$J:$J,"Rejet 0",E_Suivi_Eans!$K:$K,"&gt;31/12/2021",E_Suivi_Eans!$K:$K,"&lt;01/08/2022")+ COUNTIFS(E_Suivi_Eans!$C:$C,"03/2022",E_Suivi_Eans!$D:$D,"Economat",E_Suivi_Eans!$J:$J,"Rejet 1",E_Suivi_Eans!$K:$K,"&gt;31/12/2021",E_Suivi_Eans!$K:$K,"&lt;01/08/2022")+COUNTIFS(E_Suivi_Eans!$C:$C,"03/2022",E_Suivi_Eans!$D:$D,"Economat",E_Suivi_Eans!$J:$J,"Rejet 2",E_Suivi_Eans!$K:$K,"&gt;31/12/2021",E_Suivi_Eans!$K:$K,"&lt;01/08/2022")+COUNTIFS(E_Suivi_Eans!$C:$C,"03/2022",E_Suivi_Eans!$D:$D,"Economat",E_Suivi_Eans!$J:$J,"Rejet 3",E_Suivi_Eans!$K:$K,"&gt;31/12/2021",E_Suivi_Eans!$K:$K,"&lt;01/08/2022")+ COUNTIFS(E_Suivi_Eans!$C:$C,"03/2022",E_Suivi_Eans!$D:$D,"Economat",E_Suivi_Eans!$J:$J,"Rejet 4",E_Suivi_Eans!$K:$K,"&gt;31/12/2021",E_Suivi_Eans!$K:$K,"&lt;01/08/2022")+COUNTIFS(E_Suivi_Eans!$C:$C,"03/2022",E_Suivi_Eans!$D:$D,"Economat",E_Suivi_Eans!$J:$J,"Relance 1",E_Suivi_Eans!$K:$K,"&gt;31/12/2021",E_Suivi_Eans!$K:$K,"&lt;01/08/2022")+COUNTIFS(E_Suivi_Eans!$C:$C,"03/2022",E_Suivi_Eans!$D:$D,"Economat",E_Suivi_Eans!$J:$J,"Relance 2",E_Suivi_Eans!$K:$K,"&gt;31/12/2021",E_Suivi_Eans!$K:$K,"&lt;01/08/2022")+COUNTIFS(E_Suivi_Eans!$C:$C,"03/2022",E_Suivi_Eans!$D:$D,"Economat",E_Suivi_Eans!$J:$J,"Relance 3",E_Suivi_Eans!$K:$K,"&gt;31/12/2021",E_Suivi_Eans!$K:$K,"&lt;01/08/2022")</f>
        <v>0</v>
      </c>
      <c r="E36" s="21">
        <f>COUNTIFS(E_Suivi_Eans!$C:$C,"03/2022",E_Suivi_Eans!$D:$D,"Economat",E_Suivi_Eans!$J:$J,"Abandon",E_Suivi_Eans!$K:$K,"&gt;31/12/2021",E_Suivi_Eans!K:K,"&lt;01/08/2022")</f>
        <v>0</v>
      </c>
      <c r="F36" s="21">
        <f>COUNTIFS(E_Suivi_Eans!$C:$C,"03/2022",E_Suivi_Eans!$D:$D,"Economat")</f>
        <v>0</v>
      </c>
      <c r="G36" s="21">
        <f t="shared" si="6"/>
        <v>0</v>
      </c>
      <c r="J36" s="20" t="s">
        <v>5316</v>
      </c>
      <c r="K36" s="20" t="s">
        <v>5320</v>
      </c>
      <c r="L36" s="28" t="e">
        <f t="shared" si="7"/>
        <v>#DIV/0!</v>
      </c>
      <c r="M36" s="28" t="e">
        <f t="shared" si="7"/>
        <v>#DIV/0!</v>
      </c>
      <c r="N36" s="28" t="e">
        <f t="shared" si="7"/>
        <v>#DIV/0!</v>
      </c>
      <c r="O36" s="28">
        <v>1</v>
      </c>
      <c r="P36" s="28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COUNTIFS(E_Suivi_Eans!$C:$C,"03/2022",E_Suivi_Eans!$D:$D,"Economat",E_Suivi_Eans!$J:$J,"Retour OK",E_Suivi_Eans!$K:$K,"&gt;31/12/2021",E_Suivi_Eans!K:K,"&lt;01/09/2022")</f>
        <v>0</v>
      </c>
      <c r="D37" s="21">
        <f>COUNTIFS(E_Suivi_Eans!$C:$C,"03/2022",E_Suivi_Eans!$D:$D,"Economat",E_Suivi_Eans!$J:$J,"Rejet 0",E_Suivi_Eans!$K:$K,"&gt;31/12/2021",E_Suivi_Eans!$K:$K,"&lt;01/09/2022")+ COUNTIFS(E_Suivi_Eans!$C:$C,"03/2022",E_Suivi_Eans!$D:$D,"Economat",E_Suivi_Eans!$J:$J,"Rejet 1",E_Suivi_Eans!$K:$K,"&gt;31/12/2021",E_Suivi_Eans!$K:$K,"&lt;01/09/2022")+COUNTIFS(E_Suivi_Eans!$C:$C,"03/2022",E_Suivi_Eans!$D:$D,"Economat",E_Suivi_Eans!$J:$J,"Rejet 2",E_Suivi_Eans!$K:$K,"&gt;31/12/2021",E_Suivi_Eans!$K:$K,"&lt;01/09/2022")+COUNTIFS(E_Suivi_Eans!$C:$C,"03/2022",E_Suivi_Eans!$D:$D,"Economat",E_Suivi_Eans!$J:$J,"Rejet 3",E_Suivi_Eans!$K:$K,"&gt;31/12/2021",E_Suivi_Eans!$K:$K,"&lt;01/09/2022")+ COUNTIFS(E_Suivi_Eans!$C:$C,"03/2022",E_Suivi_Eans!$D:$D,"Economat",E_Suivi_Eans!$J:$J,"Rejet 4",E_Suivi_Eans!$K:$K,"&gt;31/12/2021",E_Suivi_Eans!$K:$K,"&lt;01/09/2022")+COUNTIFS(E_Suivi_Eans!$C:$C,"03/2022",E_Suivi_Eans!$D:$D,"Economat",E_Suivi_Eans!$J:$J,"Relance 1",E_Suivi_Eans!$K:$K,"&gt;31/12/2021",E_Suivi_Eans!$K:$K,"&lt;01/09/2022")+COUNTIFS(E_Suivi_Eans!$C:$C,"03/2022",E_Suivi_Eans!$D:$D,"Economat",E_Suivi_Eans!$J:$J,"Relance 2",E_Suivi_Eans!$K:$K,"&gt;31/12/2021",E_Suivi_Eans!$K:$K,"&lt;01/09/2022")+COUNTIFS(E_Suivi_Eans!$C:$C,"03/2022",E_Suivi_Eans!$D:$D,"Economat",E_Suivi_Eans!$J:$J,"Relance 3",E_Suivi_Eans!$K:$K,"&gt;31/12/2021",E_Suivi_Eans!$K:$K,"&lt;01/09/2022")</f>
        <v>0</v>
      </c>
      <c r="E37" s="21">
        <f>COUNTIFS(E_Suivi_Eans!$C:$C,"03/2022",E_Suivi_Eans!$D:$D,"Economat",E_Suivi_Eans!$J:$J,"Abandon",E_Suivi_Eans!$K:$K,"&gt;31/12/2021",E_Suivi_Eans!K:K,"&lt;01/09/2022")</f>
        <v>0</v>
      </c>
      <c r="F37" s="21">
        <f>COUNTIFS(E_Suivi_Eans!$C:$C,"03/2022",E_Suivi_Eans!$D:$D,"Economat")</f>
        <v>0</v>
      </c>
      <c r="G37" s="21">
        <f t="shared" si="6"/>
        <v>0</v>
      </c>
      <c r="J37" s="20" t="s">
        <v>5316</v>
      </c>
      <c r="K37" s="20" t="s">
        <v>5321</v>
      </c>
      <c r="L37" s="28" t="e">
        <f t="shared" si="7"/>
        <v>#DIV/0!</v>
      </c>
      <c r="M37" s="28" t="e">
        <f t="shared" si="7"/>
        <v>#DIV/0!</v>
      </c>
      <c r="N37" s="28" t="e">
        <f t="shared" si="7"/>
        <v>#DIV/0!</v>
      </c>
      <c r="O37" s="28">
        <v>1</v>
      </c>
      <c r="P37" s="28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COUNTIFS(E_Suivi_Eans!$C:$C,"03/2022",E_Suivi_Eans!$D:$D,"Economat",E_Suivi_Eans!$J:$J,"Retour OK",E_Suivi_Eans!$K:$K,"&gt;31/12/2021",E_Suivi_Eans!K:K,"&lt;01/10/2022")</f>
        <v>0</v>
      </c>
      <c r="D38" s="21">
        <f>COUNTIFS(E_Suivi_Eans!$C:$C,"03/2022",E_Suivi_Eans!$D:$D,"Economat",E_Suivi_Eans!$J:$J,"Rejet 0",E_Suivi_Eans!$K:$K,"&gt;31/12/2021",E_Suivi_Eans!$K:$K,"&lt;01/10/2022")+ COUNTIFS(E_Suivi_Eans!$C:$C,"03/2022",E_Suivi_Eans!$D:$D,"Economat",E_Suivi_Eans!$J:$J,"Rejet 1",E_Suivi_Eans!$K:$K,"&gt;31/12/2021",E_Suivi_Eans!$K:$K,"&lt;01/10/2022")+COUNTIFS(E_Suivi_Eans!$C:$C,"03/2022",E_Suivi_Eans!$D:$D,"Economat",E_Suivi_Eans!$J:$J,"Rejet 2",E_Suivi_Eans!$K:$K,"&gt;31/12/2021",E_Suivi_Eans!$K:$K,"&lt;01/10/2022")+COUNTIFS(E_Suivi_Eans!$C:$C,"03/2022",E_Suivi_Eans!$D:$D,"Economat",E_Suivi_Eans!$J:$J,"Rejet 3",E_Suivi_Eans!$K:$K,"&gt;31/12/2021",E_Suivi_Eans!$K:$K,"&lt;01/10/2022")+ COUNTIFS(E_Suivi_Eans!$C:$C,"03/2022",E_Suivi_Eans!$D:$D,"Economat",E_Suivi_Eans!$J:$J,"Rejet 4",E_Suivi_Eans!$K:$K,"&gt;31/12/2021",E_Suivi_Eans!$K:$K,"&lt;01/10/2022")+COUNTIFS(E_Suivi_Eans!$C:$C,"03/2022",E_Suivi_Eans!$D:$D,"Economat",E_Suivi_Eans!$J:$J,"Relance 1",E_Suivi_Eans!$K:$K,"&gt;31/12/2021",E_Suivi_Eans!$K:$K,"&lt;01/10/2022")+COUNTIFS(E_Suivi_Eans!$C:$C,"03/2022",E_Suivi_Eans!$D:$D,"Economat",E_Suivi_Eans!$J:$J,"Relance 2",E_Suivi_Eans!$K:$K,"&gt;31/12/2021",E_Suivi_Eans!$K:$K,"&lt;01/10/2022")+COUNTIFS(E_Suivi_Eans!$C:$C,"03/2022",E_Suivi_Eans!$D:$D,"Economat",E_Suivi_Eans!$J:$J,"Relance 3",E_Suivi_Eans!$K:$K,"&gt;31/12/2021",E_Suivi_Eans!$K:$K,"&lt;01/10/2022")</f>
        <v>0</v>
      </c>
      <c r="E38" s="21">
        <f>COUNTIFS(E_Suivi_Eans!$C:$C,"03/2022",E_Suivi_Eans!$D:$D,"Economat",E_Suivi_Eans!$J:$J,"Abandon",E_Suivi_Eans!$K:$K,"&gt;31/12/2021",E_Suivi_Eans!K:K,"&lt;01/10/2022")</f>
        <v>0</v>
      </c>
      <c r="F38" s="21">
        <f>COUNTIFS(E_Suivi_Eans!$C:$C,"03/2022",E_Suivi_Eans!$D:$D,"Economat")</f>
        <v>0</v>
      </c>
      <c r="G38" s="21">
        <f t="shared" si="6"/>
        <v>0</v>
      </c>
      <c r="J38" s="20" t="s">
        <v>5316</v>
      </c>
      <c r="K38" s="20" t="s">
        <v>5325</v>
      </c>
      <c r="L38" s="28" t="e">
        <f t="shared" si="7"/>
        <v>#DIV/0!</v>
      </c>
      <c r="M38" s="28" t="e">
        <f t="shared" si="7"/>
        <v>#DIV/0!</v>
      </c>
      <c r="N38" s="28" t="e">
        <f t="shared" si="7"/>
        <v>#DIV/0!</v>
      </c>
      <c r="O38" s="28">
        <v>1</v>
      </c>
      <c r="P38" s="28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COUNTIFS(E_Suivi_Eans!$C:$C,"03/2022",E_Suivi_Eans!$D:$D,"Economat",E_Suivi_Eans!$J:$J,"Retour OK",E_Suivi_Eans!$K:$K,"&gt;31/12/2021",E_Suivi_Eans!K:K,"&lt;01/11/2022")</f>
        <v>0</v>
      </c>
      <c r="D39" s="21">
        <f>COUNTIFS(E_Suivi_Eans!$C:$C,"03/2022",E_Suivi_Eans!$D:$D,"Economat",E_Suivi_Eans!$J:$J,"Rejet 0",E_Suivi_Eans!$K:$K,"&gt;31/12/2021",E_Suivi_Eans!$K:$K,"&lt;01/11/2022")+ COUNTIFS(E_Suivi_Eans!$C:$C,"03/2022",E_Suivi_Eans!$D:$D,"Economat",E_Suivi_Eans!$J:$J,"Rejet 1",E_Suivi_Eans!$K:$K,"&gt;31/12/2021",E_Suivi_Eans!$K:$K,"&lt;01/11/2022")+COUNTIFS(E_Suivi_Eans!$C:$C,"03/2022",E_Suivi_Eans!$D:$D,"Economat",E_Suivi_Eans!$J:$J,"Rejet 2",E_Suivi_Eans!$K:$K,"&gt;31/12/2021",E_Suivi_Eans!$K:$K,"&lt;01/11/2022")+COUNTIFS(E_Suivi_Eans!$C:$C,"03/2022",E_Suivi_Eans!$D:$D,"Economat",E_Suivi_Eans!$J:$J,"Rejet 3",E_Suivi_Eans!$K:$K,"&gt;31/12/2021",E_Suivi_Eans!$K:$K,"&lt;01/11/2022")+ COUNTIFS(E_Suivi_Eans!$C:$C,"03/2022",E_Suivi_Eans!$D:$D,"Economat",E_Suivi_Eans!$J:$J,"Rejet 4",E_Suivi_Eans!$K:$K,"&gt;31/12/2021",E_Suivi_Eans!$K:$K,"&lt;01/11/2022")+COUNTIFS(E_Suivi_Eans!$C:$C,"03/2022",E_Suivi_Eans!$D:$D,"Economat",E_Suivi_Eans!$J:$J,"Relance 1",E_Suivi_Eans!$K:$K,"&gt;31/12/2021",E_Suivi_Eans!$K:$K,"&lt;01/11/2022")+COUNTIFS(E_Suivi_Eans!$C:$C,"03/2022",E_Suivi_Eans!$D:$D,"Economat",E_Suivi_Eans!$J:$J,"Relance 2",E_Suivi_Eans!$K:$K,"&gt;31/12/2021",E_Suivi_Eans!$K:$K,"&lt;01/11/2022")+COUNTIFS(E_Suivi_Eans!$C:$C,"03/2022",E_Suivi_Eans!$D:$D,"Economat",E_Suivi_Eans!$J:$J,"Relance 3",E_Suivi_Eans!$K:$K,"&gt;31/12/2021",E_Suivi_Eans!$K:$K,"&lt;01/11/2022")</f>
        <v>0</v>
      </c>
      <c r="E39" s="21">
        <f>COUNTIFS(E_Suivi_Eans!$C:$C,"03/2022",E_Suivi_Eans!$D:$D,"Economat",E_Suivi_Eans!$J:$J,"Abandon",E_Suivi_Eans!$K:$K,"&gt;31/12/2021",E_Suivi_Eans!K:K,"&lt;01/11/2022")</f>
        <v>0</v>
      </c>
      <c r="F39" s="21">
        <f>COUNTIFS(E_Suivi_Eans!$C:$C,"03/2022",E_Suivi_Eans!$D:$D,"Economat")</f>
        <v>0</v>
      </c>
      <c r="G39" s="21">
        <f t="shared" si="6"/>
        <v>0</v>
      </c>
      <c r="J39" s="20" t="s">
        <v>5316</v>
      </c>
      <c r="K39" s="20" t="s">
        <v>5326</v>
      </c>
      <c r="L39" s="28" t="e">
        <f t="shared" si="7"/>
        <v>#DIV/0!</v>
      </c>
      <c r="M39" s="28" t="e">
        <f t="shared" si="7"/>
        <v>#DIV/0!</v>
      </c>
      <c r="N39" s="28" t="e">
        <f t="shared" si="7"/>
        <v>#DIV/0!</v>
      </c>
      <c r="O39" s="28">
        <v>1</v>
      </c>
      <c r="P39" s="28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COUNTIFS(E_Suivi_Eans!$C:$C,"03/2022",E_Suivi_Eans!$D:$D,"Economat",E_Suivi_Eans!$J:$J,"Retour OK",E_Suivi_Eans!$K:$K,"&gt;31/12/2021",E_Suivi_Eans!K:K,"&lt;01/12/2022")</f>
        <v>0</v>
      </c>
      <c r="D40" s="21">
        <f>COUNTIFS(E_Suivi_Eans!$C:$C,"03/2022",E_Suivi_Eans!$D:$D,"Economat",E_Suivi_Eans!$J:$J,"Rejet 0",E_Suivi_Eans!$K:$K,"&gt;31/12/2021",E_Suivi_Eans!$K:$K,"&lt;01/12/2022")+ COUNTIFS(E_Suivi_Eans!$C:$C,"03/2022",E_Suivi_Eans!$D:$D,"Economat",E_Suivi_Eans!$J:$J,"Rejet 1",E_Suivi_Eans!$K:$K,"&gt;31/12/2021",E_Suivi_Eans!$K:$K,"&lt;01/12/2022")+COUNTIFS(E_Suivi_Eans!$C:$C,"03/2022",E_Suivi_Eans!$D:$D,"Economat",E_Suivi_Eans!$J:$J,"Rejet 2",E_Suivi_Eans!$K:$K,"&gt;31/12/2021",E_Suivi_Eans!$K:$K,"&lt;01/12/2022")+COUNTIFS(E_Suivi_Eans!$C:$C,"03/2022",E_Suivi_Eans!$D:$D,"Economat",E_Suivi_Eans!$J:$J,"Rejet 3",E_Suivi_Eans!$K:$K,"&gt;31/12/2021",E_Suivi_Eans!$K:$K,"&lt;01/12/2022")+ COUNTIFS(E_Suivi_Eans!$C:$C,"03/2022",E_Suivi_Eans!$D:$D,"Economat",E_Suivi_Eans!$J:$J,"Rejet 4",E_Suivi_Eans!$K:$K,"&gt;31/12/2021",E_Suivi_Eans!$K:$K,"&lt;01/12/2022")+COUNTIFS(E_Suivi_Eans!$C:$C,"03/2022",E_Suivi_Eans!$D:$D,"Economat",E_Suivi_Eans!$J:$J,"Relance 1",E_Suivi_Eans!$K:$K,"&gt;31/12/2021",E_Suivi_Eans!$K:$K,"&lt;01/12/2022")+COUNTIFS(E_Suivi_Eans!$C:$C,"03/2022",E_Suivi_Eans!$D:$D,"Economat",E_Suivi_Eans!$J:$J,"Relance 2",E_Suivi_Eans!$K:$K,"&gt;31/12/2021",E_Suivi_Eans!$K:$K,"&lt;01/12/2022")+COUNTIFS(E_Suivi_Eans!$C:$C,"03/2022",E_Suivi_Eans!$D:$D,"Economat",E_Suivi_Eans!$J:$J,"Relance 3",E_Suivi_Eans!$K:$K,"&gt;31/12/2021",E_Suivi_Eans!$K:$K,"&lt;01/12/2022")</f>
        <v>0</v>
      </c>
      <c r="E40" s="21">
        <f>COUNTIFS(E_Suivi_Eans!$C:$C,"03/2022",E_Suivi_Eans!$D:$D,"Economat",E_Suivi_Eans!$J:$J,"Abandon",E_Suivi_Eans!$K:$K,"&gt;31/12/2021",E_Suivi_Eans!K:K,"&lt;01/12/2022")</f>
        <v>0</v>
      </c>
      <c r="F40" s="21">
        <f>COUNTIFS(E_Suivi_Eans!$C:$C,"03/2022",E_Suivi_Eans!$D:$D,"Economat")</f>
        <v>0</v>
      </c>
      <c r="G40" s="21">
        <f t="shared" si="6"/>
        <v>0</v>
      </c>
      <c r="J40" s="20" t="s">
        <v>5316</v>
      </c>
      <c r="K40" s="20" t="s">
        <v>5327</v>
      </c>
      <c r="L40" s="28" t="e">
        <f t="shared" si="7"/>
        <v>#DIV/0!</v>
      </c>
      <c r="M40" s="28" t="e">
        <f t="shared" si="7"/>
        <v>#DIV/0!</v>
      </c>
      <c r="N40" s="28" t="e">
        <f t="shared" si="7"/>
        <v>#DIV/0!</v>
      </c>
      <c r="O40" s="28">
        <v>1</v>
      </c>
      <c r="P40" s="28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8"/>
      <c r="P41" s="28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5"/>
      <c r="E42" s="25"/>
      <c r="F42" s="25"/>
      <c r="G42" s="25"/>
      <c r="J42" s="22"/>
      <c r="K42" s="22"/>
      <c r="L42" s="23"/>
      <c r="M42" s="25"/>
      <c r="N42" s="25"/>
      <c r="O42" s="31"/>
      <c r="P42" s="31"/>
      <c r="S42" s="22"/>
      <c r="T42" s="22"/>
      <c r="U42" s="23"/>
      <c r="V42" s="25"/>
      <c r="W42" s="25"/>
      <c r="X42" s="25"/>
      <c r="Y42" s="25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8"/>
      <c r="P43" s="28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8"/>
      <c r="P44" s="28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8"/>
      <c r="P45" s="28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COUNTIFS(E_Suivi_Eans!$C:$C,"04/2022",E_Suivi_Eans!$D:$D,"Economat",E_Suivi_Eans!$J:$J,"Retour OK",E_Suivi_Eans!$K:$K,"&gt;31/12/2021",E_Suivi_Eans!K:K,"&lt;01/05/2022")</f>
        <v>0</v>
      </c>
      <c r="D46" s="21">
        <f>COUNTIFS(E_Suivi_Eans!$C:$C,"04/2022",E_Suivi_Eans!$D:$D,"Economat",E_Suivi_Eans!$J:$J,"Rejet 0",E_Suivi_Eans!$K:$K,"&gt;31/12/2021",E_Suivi_Eans!$K:$K,"&lt;01/05/2022")+ COUNTIFS(E_Suivi_Eans!$C:$C,"04/2022",E_Suivi_Eans!$D:$D,"Economat",E_Suivi_Eans!$J:$J,"Rejet 1",E_Suivi_Eans!$K:$K,"&gt;31/12/2021",E_Suivi_Eans!$K:$K,"&lt;01/05/2022")+COUNTIFS(E_Suivi_Eans!$C:$C,"04/2022",E_Suivi_Eans!$D:$D,"Economat",E_Suivi_Eans!$J:$J,"Rejet 2",E_Suivi_Eans!$K:$K,"&gt;31/12/2021",E_Suivi_Eans!$K:$K,"&lt;01/05/2022")+COUNTIFS(E_Suivi_Eans!$C:$C,"04/2022",E_Suivi_Eans!$D:$D,"Economat",E_Suivi_Eans!$J:$J,"Rejet 3",E_Suivi_Eans!$K:$K,"&gt;31/12/2021",E_Suivi_Eans!$K:$K,"&lt;01/05/2022")+ COUNTIFS(E_Suivi_Eans!$C:$C,"04/2022",E_Suivi_Eans!$D:$D,"Economat",E_Suivi_Eans!$J:$J,"Rejet 4",E_Suivi_Eans!$K:$K,"&gt;31/12/2021",E_Suivi_Eans!$K:$K,"&lt;01/05/2022")+COUNTIFS(E_Suivi_Eans!$C:$C,"04/2022",E_Suivi_Eans!$D:$D,"Economat",E_Suivi_Eans!$J:$J,"Relance 1",E_Suivi_Eans!$K:$K,"&gt;31/12/2021",E_Suivi_Eans!$K:$K,"&lt;01/05/2022")+COUNTIFS(E_Suivi_Eans!$C:$C,"04/2022",E_Suivi_Eans!$D:$D,"Economat",E_Suivi_Eans!$J:$J,"Relance 2",E_Suivi_Eans!$K:$K,"&gt;31/12/2021",E_Suivi_Eans!$K:$K,"&lt;01/05/2022")+COUNTIFS(E_Suivi_Eans!$C:$C,"04/2022",E_Suivi_Eans!$D:$D,"Economat",E_Suivi_Eans!$J:$J,"Relance 3",E_Suivi_Eans!$K:$K,"&gt;31/12/2021",E_Suivi_Eans!$K:$K,"&lt;01/05/2022")</f>
        <v>0</v>
      </c>
      <c r="E46" s="21">
        <f>COUNTIFS(E_Suivi_Eans!$C:$C,"04/2022",E_Suivi_Eans!$D:$D,"Economat",E_Suivi_Eans!$J:$J,"Abandon",E_Suivi_Eans!$K:$K,"&gt;31/12/2021",E_Suivi_Eans!K:K,"&lt;01/05/2022")</f>
        <v>0</v>
      </c>
      <c r="F46" s="21">
        <f>COUNTIFS(E_Suivi_Eans!$C:$C,"04/2022",E_Suivi_Eans!$D:$D,"Economat")</f>
        <v>0</v>
      </c>
      <c r="G46" s="21">
        <f t="shared" ref="G46:G53" si="9">F46-E46</f>
        <v>0</v>
      </c>
      <c r="J46" s="20" t="s">
        <v>5317</v>
      </c>
      <c r="K46" s="20" t="s">
        <v>5317</v>
      </c>
      <c r="L46" s="28" t="e">
        <f t="shared" ref="L46:N53" si="10">C46/$G46</f>
        <v>#DIV/0!</v>
      </c>
      <c r="M46" s="28" t="e">
        <f t="shared" si="10"/>
        <v>#DIV/0!</v>
      </c>
      <c r="N46" s="28" t="e">
        <f t="shared" si="10"/>
        <v>#DIV/0!</v>
      </c>
      <c r="O46" s="28">
        <v>1</v>
      </c>
      <c r="P46" s="28" t="e">
        <f t="shared" ref="P46:P53" si="11">O46-N46</f>
        <v>#DIV/0!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COUNTIFS(E_Suivi_Eans!$C:$C,"04/2022",E_Suivi_Eans!$D:$D,"Economat",E_Suivi_Eans!$J:$J,"Retour OK",E_Suivi_Eans!$K:$K,"&gt;31/12/2021",E_Suivi_Eans!K:K,"&lt;01/06/2022")</f>
        <v>0</v>
      </c>
      <c r="D47" s="21">
        <f>COUNTIFS(E_Suivi_Eans!$C:$C,"04/2022",E_Suivi_Eans!$D:$D,"Economat",E_Suivi_Eans!$J:$J,"Rejet 0",E_Suivi_Eans!$K:$K,"&gt;31/12/2021",E_Suivi_Eans!$K:$K,"&lt;01/06/2022")+ COUNTIFS(E_Suivi_Eans!$C:$C,"04/2022",E_Suivi_Eans!$D:$D,"Economat",E_Suivi_Eans!$J:$J,"Rejet 1",E_Suivi_Eans!$K:$K,"&gt;31/12/2021",E_Suivi_Eans!$K:$K,"&lt;01/06/2022")+COUNTIFS(E_Suivi_Eans!$C:$C,"04/2022",E_Suivi_Eans!$D:$D,"Economat",E_Suivi_Eans!$J:$J,"Rejet 2",E_Suivi_Eans!$K:$K,"&gt;31/12/2021",E_Suivi_Eans!$K:$K,"&lt;01/06/2022")+COUNTIFS(E_Suivi_Eans!$C:$C,"04/2022",E_Suivi_Eans!$D:$D,"Economat",E_Suivi_Eans!$J:$J,"Rejet 3",E_Suivi_Eans!$K:$K,"&gt;31/12/2021",E_Suivi_Eans!$K:$K,"&lt;01/06/2022")+ COUNTIFS(E_Suivi_Eans!$C:$C,"04/2022",E_Suivi_Eans!$D:$D,"Economat",E_Suivi_Eans!$J:$J,"Rejet 4",E_Suivi_Eans!$K:$K,"&gt;31/12/2021",E_Suivi_Eans!$K:$K,"&lt;01/06/2022")+COUNTIFS(E_Suivi_Eans!$C:$C,"04/2022",E_Suivi_Eans!$D:$D,"Economat",E_Suivi_Eans!$J:$J,"Relance 1",E_Suivi_Eans!$K:$K,"&gt;31/12/2021",E_Suivi_Eans!$K:$K,"&lt;01/06/2022")+COUNTIFS(E_Suivi_Eans!$C:$C,"04/2022",E_Suivi_Eans!$D:$D,"Economat",E_Suivi_Eans!$J:$J,"Relance 2",E_Suivi_Eans!$K:$K,"&gt;31/12/2021",E_Suivi_Eans!$K:$K,"&lt;01/06/2022")+COUNTIFS(E_Suivi_Eans!$C:$C,"04/2022",E_Suivi_Eans!$D:$D,"Economat",E_Suivi_Eans!$J:$J,"Relance 3",E_Suivi_Eans!$K:$K,"&gt;31/12/2021",E_Suivi_Eans!$K:$K,"&lt;01/06/2022")</f>
        <v>0</v>
      </c>
      <c r="E47" s="21">
        <f>COUNTIFS(E_Suivi_Eans!$C:$C,"04/2022",E_Suivi_Eans!$D:$D,"Economat",E_Suivi_Eans!$J:$J,"Abandon",E_Suivi_Eans!$K:$K,"&gt;31/12/2021",E_Suivi_Eans!K:K,"&lt;01/06/2022")</f>
        <v>0</v>
      </c>
      <c r="F47" s="21">
        <f>COUNTIFS(E_Suivi_Eans!$C:$C,"04/2022",E_Suivi_Eans!$D:$D,"Economat")</f>
        <v>0</v>
      </c>
      <c r="G47" s="21">
        <f t="shared" si="9"/>
        <v>0</v>
      </c>
      <c r="J47" s="20" t="s">
        <v>5317</v>
      </c>
      <c r="K47" s="20" t="s">
        <v>5318</v>
      </c>
      <c r="L47" s="28" t="e">
        <f t="shared" si="10"/>
        <v>#DIV/0!</v>
      </c>
      <c r="M47" s="28" t="e">
        <f t="shared" si="10"/>
        <v>#DIV/0!</v>
      </c>
      <c r="N47" s="28" t="e">
        <f t="shared" si="10"/>
        <v>#DIV/0!</v>
      </c>
      <c r="O47" s="28">
        <v>1</v>
      </c>
      <c r="P47" s="28" t="e">
        <f t="shared" si="11"/>
        <v>#DIV/0!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COUNTIFS(E_Suivi_Eans!$C:$C,"04/2022",E_Suivi_Eans!$D:$D,"Economat",E_Suivi_Eans!$J:$J,"Retour OK",E_Suivi_Eans!$K:$K,"&gt;31/12/2021",E_Suivi_Eans!K:K,"&lt;01/07/2022")</f>
        <v>0</v>
      </c>
      <c r="D48" s="21">
        <f>COUNTIFS(E_Suivi_Eans!$C:$C,"04/2022",E_Suivi_Eans!$D:$D,"Economat",E_Suivi_Eans!$J:$J,"Rejet 0",E_Suivi_Eans!$K:$K,"&gt;31/12/2021",E_Suivi_Eans!$K:$K,"&lt;01/07/2022")+ COUNTIFS(E_Suivi_Eans!$C:$C,"04/2022",E_Suivi_Eans!$D:$D,"Economat",E_Suivi_Eans!$J:$J,"Rejet 1",E_Suivi_Eans!$K:$K,"&gt;31/12/2021",E_Suivi_Eans!$K:$K,"&lt;01/07/2022")+COUNTIFS(E_Suivi_Eans!$C:$C,"04/2022",E_Suivi_Eans!$D:$D,"Economat",E_Suivi_Eans!$J:$J,"Rejet 2",E_Suivi_Eans!$K:$K,"&gt;31/12/2021",E_Suivi_Eans!$K:$K,"&lt;01/07/2022")+COUNTIFS(E_Suivi_Eans!$C:$C,"04/2022",E_Suivi_Eans!$D:$D,"Economat",E_Suivi_Eans!$J:$J,"Rejet 3",E_Suivi_Eans!$K:$K,"&gt;31/12/2021",E_Suivi_Eans!$K:$K,"&lt;01/07/2022")+ COUNTIFS(E_Suivi_Eans!$C:$C,"04/2022",E_Suivi_Eans!$D:$D,"Economat",E_Suivi_Eans!$J:$J,"Rejet 4",E_Suivi_Eans!$K:$K,"&gt;31/12/2021",E_Suivi_Eans!$K:$K,"&lt;01/07/2022")+COUNTIFS(E_Suivi_Eans!$C:$C,"04/2022",E_Suivi_Eans!$D:$D,"Economat",E_Suivi_Eans!$J:$J,"Relance 1",E_Suivi_Eans!$K:$K,"&gt;31/12/2021",E_Suivi_Eans!$K:$K,"&lt;01/07/2022")+COUNTIFS(E_Suivi_Eans!$C:$C,"04/2022",E_Suivi_Eans!$D:$D,"Economat",E_Suivi_Eans!$J:$J,"Relance 2",E_Suivi_Eans!$K:$K,"&gt;31/12/2021",E_Suivi_Eans!$K:$K,"&lt;01/07/2022")+COUNTIFS(E_Suivi_Eans!$C:$C,"04/2022",E_Suivi_Eans!$D:$D,"Economat",E_Suivi_Eans!$J:$J,"Relance 3",E_Suivi_Eans!$K:$K,"&gt;31/12/2021",E_Suivi_Eans!$K:$K,"&lt;01/07/2022")</f>
        <v>0</v>
      </c>
      <c r="E48" s="21">
        <f>COUNTIFS(E_Suivi_Eans!$C:$C,"04/2022",E_Suivi_Eans!$D:$D,"Economat",E_Suivi_Eans!$J:$J,"Abandon",E_Suivi_Eans!$K:$K,"&gt;31/12/2021",E_Suivi_Eans!K:K,"&lt;01/07/2022")</f>
        <v>0</v>
      </c>
      <c r="F48" s="21">
        <f>COUNTIFS(E_Suivi_Eans!$C:$C,"04/2022",E_Suivi_Eans!$D:$D,"Economat")</f>
        <v>0</v>
      </c>
      <c r="G48" s="21">
        <f t="shared" si="9"/>
        <v>0</v>
      </c>
      <c r="J48" s="20" t="s">
        <v>5317</v>
      </c>
      <c r="K48" s="20" t="s">
        <v>5319</v>
      </c>
      <c r="L48" s="28" t="e">
        <f t="shared" si="10"/>
        <v>#DIV/0!</v>
      </c>
      <c r="M48" s="28" t="e">
        <f t="shared" si="10"/>
        <v>#DIV/0!</v>
      </c>
      <c r="N48" s="28" t="e">
        <f t="shared" si="10"/>
        <v>#DIV/0!</v>
      </c>
      <c r="O48" s="28">
        <v>1</v>
      </c>
      <c r="P48" s="28" t="e">
        <f t="shared" si="11"/>
        <v>#DIV/0!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COUNTIFS(E_Suivi_Eans!$C:$C,"04/2022",E_Suivi_Eans!$D:$D,"Economat",E_Suivi_Eans!$J:$J,"Retour OK",E_Suivi_Eans!$K:$K,"&gt;31/12/2021",E_Suivi_Eans!K:K,"&lt;01/08/2022")</f>
        <v>0</v>
      </c>
      <c r="D49" s="21">
        <f>COUNTIFS(E_Suivi_Eans!$C:$C,"04/2022",E_Suivi_Eans!$D:$D,"Economat",E_Suivi_Eans!$J:$J,"Rejet 0",E_Suivi_Eans!$K:$K,"&gt;31/12/2021",E_Suivi_Eans!$K:$K,"&lt;01/08/2022")+ COUNTIFS(E_Suivi_Eans!$C:$C,"04/2022",E_Suivi_Eans!$D:$D,"Economat",E_Suivi_Eans!$J:$J,"Rejet 1",E_Suivi_Eans!$K:$K,"&gt;31/12/2021",E_Suivi_Eans!$K:$K,"&lt;01/08/2022")+COUNTIFS(E_Suivi_Eans!$C:$C,"04/2022",E_Suivi_Eans!$D:$D,"Economat",E_Suivi_Eans!$J:$J,"Rejet 2",E_Suivi_Eans!$K:$K,"&gt;31/12/2021",E_Suivi_Eans!$K:$K,"&lt;01/08/2022")+COUNTIFS(E_Suivi_Eans!$C:$C,"04/2022",E_Suivi_Eans!$D:$D,"Economat",E_Suivi_Eans!$J:$J,"Rejet 3",E_Suivi_Eans!$K:$K,"&gt;31/12/2021",E_Suivi_Eans!$K:$K,"&lt;01/08/2022")+ COUNTIFS(E_Suivi_Eans!$C:$C,"04/2022",E_Suivi_Eans!$D:$D,"Economat",E_Suivi_Eans!$J:$J,"Rejet 4",E_Suivi_Eans!$K:$K,"&gt;31/12/2021",E_Suivi_Eans!$K:$K,"&lt;01/08/2022")+COUNTIFS(E_Suivi_Eans!$C:$C,"04/2022",E_Suivi_Eans!$D:$D,"Economat",E_Suivi_Eans!$J:$J,"Relance 1",E_Suivi_Eans!$K:$K,"&gt;31/12/2021",E_Suivi_Eans!$K:$K,"&lt;01/08/2022")+COUNTIFS(E_Suivi_Eans!$C:$C,"04/2022",E_Suivi_Eans!$D:$D,"Economat",E_Suivi_Eans!$J:$J,"Relance 2",E_Suivi_Eans!$K:$K,"&gt;31/12/2021",E_Suivi_Eans!$K:$K,"&lt;01/08/2022")+COUNTIFS(E_Suivi_Eans!$C:$C,"04/2022",E_Suivi_Eans!$D:$D,"Economat",E_Suivi_Eans!$J:$J,"Relance 3",E_Suivi_Eans!$K:$K,"&gt;31/12/2021",E_Suivi_Eans!$K:$K,"&lt;01/08/2022")</f>
        <v>0</v>
      </c>
      <c r="E49" s="21">
        <f>COUNTIFS(E_Suivi_Eans!$C:$C,"04/2022",E_Suivi_Eans!$D:$D,"Economat",E_Suivi_Eans!$J:$J,"Abandon",E_Suivi_Eans!$K:$K,"&gt;31/12/2021",E_Suivi_Eans!K:K,"&lt;01/08/2022")</f>
        <v>0</v>
      </c>
      <c r="F49" s="21">
        <f>COUNTIFS(E_Suivi_Eans!$C:$C,"04/2022",E_Suivi_Eans!$D:$D,"Economat")</f>
        <v>0</v>
      </c>
      <c r="G49" s="21">
        <f t="shared" si="9"/>
        <v>0</v>
      </c>
      <c r="J49" s="20" t="s">
        <v>5317</v>
      </c>
      <c r="K49" s="20" t="s">
        <v>5320</v>
      </c>
      <c r="L49" s="28" t="e">
        <f t="shared" si="10"/>
        <v>#DIV/0!</v>
      </c>
      <c r="M49" s="28" t="e">
        <f t="shared" si="10"/>
        <v>#DIV/0!</v>
      </c>
      <c r="N49" s="28" t="e">
        <f t="shared" si="10"/>
        <v>#DIV/0!</v>
      </c>
      <c r="O49" s="28">
        <v>1</v>
      </c>
      <c r="P49" s="28" t="e">
        <f t="shared" si="11"/>
        <v>#DIV/0!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COUNTIFS(E_Suivi_Eans!$C:$C,"04/2022",E_Suivi_Eans!$D:$D,"Economat",E_Suivi_Eans!$J:$J,"Retour OK",E_Suivi_Eans!$K:$K,"&gt;31/12/2021",E_Suivi_Eans!K:K,"&lt;01/09/2022")</f>
        <v>0</v>
      </c>
      <c r="D50" s="21">
        <f>COUNTIFS(E_Suivi_Eans!$C:$C,"04/2022",E_Suivi_Eans!$D:$D,"Economat",E_Suivi_Eans!$J:$J,"Rejet 0",E_Suivi_Eans!$K:$K,"&gt;31/12/2021",E_Suivi_Eans!$K:$K,"&lt;01/09/2022")+ COUNTIFS(E_Suivi_Eans!$C:$C,"04/2022",E_Suivi_Eans!$D:$D,"Economat",E_Suivi_Eans!$J:$J,"Rejet 1",E_Suivi_Eans!$K:$K,"&gt;31/12/2021",E_Suivi_Eans!$K:$K,"&lt;01/09/2022")+COUNTIFS(E_Suivi_Eans!$C:$C,"04/2022",E_Suivi_Eans!$D:$D,"Economat",E_Suivi_Eans!$J:$J,"Rejet 2",E_Suivi_Eans!$K:$K,"&gt;31/12/2021",E_Suivi_Eans!$K:$K,"&lt;01/09/2022")+COUNTIFS(E_Suivi_Eans!$C:$C,"04/2022",E_Suivi_Eans!$D:$D,"Economat",E_Suivi_Eans!$J:$J,"Rejet 3",E_Suivi_Eans!$K:$K,"&gt;31/12/2021",E_Suivi_Eans!$K:$K,"&lt;01/09/2022")+ COUNTIFS(E_Suivi_Eans!$C:$C,"04/2022",E_Suivi_Eans!$D:$D,"Economat",E_Suivi_Eans!$J:$J,"Rejet 4",E_Suivi_Eans!$K:$K,"&gt;31/12/2021",E_Suivi_Eans!$K:$K,"&lt;01/09/2022")+COUNTIFS(E_Suivi_Eans!$C:$C,"04/2022",E_Suivi_Eans!$D:$D,"Economat",E_Suivi_Eans!$J:$J,"Relance 1",E_Suivi_Eans!$K:$K,"&gt;31/12/2021",E_Suivi_Eans!$K:$K,"&lt;01/09/2022")+COUNTIFS(E_Suivi_Eans!$C:$C,"04/2022",E_Suivi_Eans!$D:$D,"Economat",E_Suivi_Eans!$J:$J,"Relance 2",E_Suivi_Eans!$K:$K,"&gt;31/12/2021",E_Suivi_Eans!$K:$K,"&lt;01/09/2022")+COUNTIFS(E_Suivi_Eans!$C:$C,"04/2022",E_Suivi_Eans!$D:$D,"Economat",E_Suivi_Eans!$J:$J,"Relance 3",E_Suivi_Eans!$K:$K,"&gt;31/12/2021",E_Suivi_Eans!$K:$K,"&lt;01/09/2022")</f>
        <v>0</v>
      </c>
      <c r="E50" s="21">
        <f>COUNTIFS(E_Suivi_Eans!$C:$C,"04/2022",E_Suivi_Eans!$D:$D,"Economat",E_Suivi_Eans!$J:$J,"Abandon",E_Suivi_Eans!$K:$K,"&gt;31/12/2021",E_Suivi_Eans!K:K,"&lt;01/09/2022")</f>
        <v>0</v>
      </c>
      <c r="F50" s="21">
        <f>COUNTIFS(E_Suivi_Eans!$C:$C,"04/2022",E_Suivi_Eans!$D:$D,"Economat")</f>
        <v>0</v>
      </c>
      <c r="G50" s="21">
        <f t="shared" si="9"/>
        <v>0</v>
      </c>
      <c r="J50" s="20" t="s">
        <v>5317</v>
      </c>
      <c r="K50" s="20" t="s">
        <v>5321</v>
      </c>
      <c r="L50" s="28" t="e">
        <f t="shared" si="10"/>
        <v>#DIV/0!</v>
      </c>
      <c r="M50" s="28" t="e">
        <f t="shared" si="10"/>
        <v>#DIV/0!</v>
      </c>
      <c r="N50" s="28" t="e">
        <f t="shared" si="10"/>
        <v>#DIV/0!</v>
      </c>
      <c r="O50" s="28">
        <v>1</v>
      </c>
      <c r="P50" s="28" t="e">
        <f t="shared" si="11"/>
        <v>#DIV/0!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COUNTIFS(E_Suivi_Eans!$C:$C,"04/2022",E_Suivi_Eans!$D:$D,"Economat",E_Suivi_Eans!$J:$J,"Retour OK",E_Suivi_Eans!$K:$K,"&gt;31/12/2021",E_Suivi_Eans!K:K,"&lt;01/10/2022")</f>
        <v>0</v>
      </c>
      <c r="D51" s="21">
        <f>COUNTIFS(E_Suivi_Eans!$C:$C,"04/2022",E_Suivi_Eans!$D:$D,"Economat",E_Suivi_Eans!$J:$J,"Rejet 0",E_Suivi_Eans!$K:$K,"&gt;31/12/2021",E_Suivi_Eans!$K:$K,"&lt;01/10/2022")+ COUNTIFS(E_Suivi_Eans!$C:$C,"04/2022",E_Suivi_Eans!$D:$D,"Economat",E_Suivi_Eans!$J:$J,"Rejet 1",E_Suivi_Eans!$K:$K,"&gt;31/12/2021",E_Suivi_Eans!$K:$K,"&lt;01/10/2022")+COUNTIFS(E_Suivi_Eans!$C:$C,"04/2022",E_Suivi_Eans!$D:$D,"Economat",E_Suivi_Eans!$J:$J,"Rejet 2",E_Suivi_Eans!$K:$K,"&gt;31/12/2021",E_Suivi_Eans!$K:$K,"&lt;01/10/2022")+COUNTIFS(E_Suivi_Eans!$C:$C,"04/2022",E_Suivi_Eans!$D:$D,"Economat",E_Suivi_Eans!$J:$J,"Rejet 3",E_Suivi_Eans!$K:$K,"&gt;31/12/2021",E_Suivi_Eans!$K:$K,"&lt;01/10/2022")+ COUNTIFS(E_Suivi_Eans!$C:$C,"04/2022",E_Suivi_Eans!$D:$D,"Economat",E_Suivi_Eans!$J:$J,"Rejet 4",E_Suivi_Eans!$K:$K,"&gt;31/12/2021",E_Suivi_Eans!$K:$K,"&lt;01/10/2022")+COUNTIFS(E_Suivi_Eans!$C:$C,"04/2022",E_Suivi_Eans!$D:$D,"Economat",E_Suivi_Eans!$J:$J,"Relance 1",E_Suivi_Eans!$K:$K,"&gt;31/12/2021",E_Suivi_Eans!$K:$K,"&lt;01/10/2022")+COUNTIFS(E_Suivi_Eans!$C:$C,"04/2022",E_Suivi_Eans!$D:$D,"Economat",E_Suivi_Eans!$J:$J,"Relance 2",E_Suivi_Eans!$K:$K,"&gt;31/12/2021",E_Suivi_Eans!$K:$K,"&lt;01/10/2022")+COUNTIFS(E_Suivi_Eans!$C:$C,"04/2022",E_Suivi_Eans!$D:$D,"Economat",E_Suivi_Eans!$J:$J,"Relance 3",E_Suivi_Eans!$K:$K,"&gt;31/12/2021",E_Suivi_Eans!$K:$K,"&lt;01/10/2022")</f>
        <v>0</v>
      </c>
      <c r="E51" s="21">
        <f>COUNTIFS(E_Suivi_Eans!$C:$C,"04/2022",E_Suivi_Eans!$D:$D,"Economat",E_Suivi_Eans!$J:$J,"Abandon",E_Suivi_Eans!$K:$K,"&gt;31/12/2021",E_Suivi_Eans!K:K,"&lt;01/10/2022")</f>
        <v>0</v>
      </c>
      <c r="F51" s="21">
        <f>COUNTIFS(E_Suivi_Eans!$C:$C,"04/2022",E_Suivi_Eans!$D:$D,"Economat")</f>
        <v>0</v>
      </c>
      <c r="G51" s="21">
        <f t="shared" si="9"/>
        <v>0</v>
      </c>
      <c r="J51" s="20" t="s">
        <v>5317</v>
      </c>
      <c r="K51" s="20" t="s">
        <v>5325</v>
      </c>
      <c r="L51" s="28" t="e">
        <f t="shared" si="10"/>
        <v>#DIV/0!</v>
      </c>
      <c r="M51" s="28" t="e">
        <f t="shared" si="10"/>
        <v>#DIV/0!</v>
      </c>
      <c r="N51" s="28" t="e">
        <f t="shared" si="10"/>
        <v>#DIV/0!</v>
      </c>
      <c r="O51" s="28">
        <v>1</v>
      </c>
      <c r="P51" s="28" t="e">
        <f t="shared" si="11"/>
        <v>#DIV/0!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COUNTIFS(E_Suivi_Eans!$C:$C,"04/2022",E_Suivi_Eans!$D:$D,"Economat",E_Suivi_Eans!$J:$J,"Retour OK",E_Suivi_Eans!$K:$K,"&gt;31/12/2021",E_Suivi_Eans!K:K,"&lt;01/11/2022")</f>
        <v>0</v>
      </c>
      <c r="D52" s="21">
        <f>COUNTIFS(E_Suivi_Eans!$C:$C,"04/2022",E_Suivi_Eans!$D:$D,"Economat",E_Suivi_Eans!$J:$J,"Rejet 0",E_Suivi_Eans!$K:$K,"&gt;31/12/2021",E_Suivi_Eans!$K:$K,"&lt;01/11/2022")+ COUNTIFS(E_Suivi_Eans!$C:$C,"04/2022",E_Suivi_Eans!$D:$D,"Economat",E_Suivi_Eans!$J:$J,"Rejet 1",E_Suivi_Eans!$K:$K,"&gt;31/12/2021",E_Suivi_Eans!$K:$K,"&lt;01/11/2022")+COUNTIFS(E_Suivi_Eans!$C:$C,"04/2022",E_Suivi_Eans!$D:$D,"Economat",E_Suivi_Eans!$J:$J,"Rejet 2",E_Suivi_Eans!$K:$K,"&gt;31/12/2021",E_Suivi_Eans!$K:$K,"&lt;01/11/2022")+COUNTIFS(E_Suivi_Eans!$C:$C,"04/2022",E_Suivi_Eans!$D:$D,"Economat",E_Suivi_Eans!$J:$J,"Rejet 3",E_Suivi_Eans!$K:$K,"&gt;31/12/2021",E_Suivi_Eans!$K:$K,"&lt;01/11/2022")+ COUNTIFS(E_Suivi_Eans!$C:$C,"04/2022",E_Suivi_Eans!$D:$D,"Economat",E_Suivi_Eans!$J:$J,"Rejet 4",E_Suivi_Eans!$K:$K,"&gt;31/12/2021",E_Suivi_Eans!$K:$K,"&lt;01/11/2022")+COUNTIFS(E_Suivi_Eans!$C:$C,"04/2022",E_Suivi_Eans!$D:$D,"Economat",E_Suivi_Eans!$J:$J,"Relance 1",E_Suivi_Eans!$K:$K,"&gt;31/12/2021",E_Suivi_Eans!$K:$K,"&lt;01/11/2022")+COUNTIFS(E_Suivi_Eans!$C:$C,"04/2022",E_Suivi_Eans!$D:$D,"Economat",E_Suivi_Eans!$J:$J,"Relance 2",E_Suivi_Eans!$K:$K,"&gt;31/12/2021",E_Suivi_Eans!$K:$K,"&lt;01/11/2022")+COUNTIFS(E_Suivi_Eans!$C:$C,"04/2022",E_Suivi_Eans!$D:$D,"Economat",E_Suivi_Eans!$J:$J,"Relance 3",E_Suivi_Eans!$K:$K,"&gt;31/12/2021",E_Suivi_Eans!$K:$K,"&lt;01/11/2022")</f>
        <v>0</v>
      </c>
      <c r="E52" s="21">
        <f>COUNTIFS(E_Suivi_Eans!$C:$C,"04/2022",E_Suivi_Eans!$D:$D,"Economat",E_Suivi_Eans!$J:$J,"Abandon",E_Suivi_Eans!$K:$K,"&gt;31/12/2021",E_Suivi_Eans!K:K,"&lt;01/11/2022")</f>
        <v>0</v>
      </c>
      <c r="F52" s="21">
        <f>COUNTIFS(E_Suivi_Eans!$C:$C,"04/2022",E_Suivi_Eans!$D:$D,"Economat")</f>
        <v>0</v>
      </c>
      <c r="G52" s="21">
        <f t="shared" si="9"/>
        <v>0</v>
      </c>
      <c r="J52" s="20" t="s">
        <v>5317</v>
      </c>
      <c r="K52" s="20" t="s">
        <v>5326</v>
      </c>
      <c r="L52" s="28" t="e">
        <f t="shared" si="10"/>
        <v>#DIV/0!</v>
      </c>
      <c r="M52" s="28" t="e">
        <f t="shared" si="10"/>
        <v>#DIV/0!</v>
      </c>
      <c r="N52" s="28" t="e">
        <f t="shared" si="10"/>
        <v>#DIV/0!</v>
      </c>
      <c r="O52" s="28">
        <v>1</v>
      </c>
      <c r="P52" s="28" t="e">
        <f t="shared" si="11"/>
        <v>#DIV/0!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COUNTIFS(E_Suivi_Eans!$C:$C,"04/2022",E_Suivi_Eans!$D:$D,"Economat",E_Suivi_Eans!$J:$J,"Retour OK",E_Suivi_Eans!$K:$K,"&gt;31/12/2021",E_Suivi_Eans!K:K,"&lt;01/12/2022")</f>
        <v>0</v>
      </c>
      <c r="D53" s="21">
        <f>COUNTIFS(E_Suivi_Eans!$C:$C,"04/2022",E_Suivi_Eans!$D:$D,"Economat",E_Suivi_Eans!$J:$J,"Rejet 0",E_Suivi_Eans!$K:$K,"&gt;31/12/2021",E_Suivi_Eans!$K:$K,"&lt;01/12/2022")+ COUNTIFS(E_Suivi_Eans!$C:$C,"04/2022",E_Suivi_Eans!$D:$D,"Economat",E_Suivi_Eans!$J:$J,"Rejet 1",E_Suivi_Eans!$K:$K,"&gt;31/12/2021",E_Suivi_Eans!$K:$K,"&lt;01/12/2022")+COUNTIFS(E_Suivi_Eans!$C:$C,"04/2022",E_Suivi_Eans!$D:$D,"Economat",E_Suivi_Eans!$J:$J,"Rejet 2",E_Suivi_Eans!$K:$K,"&gt;31/12/2021",E_Suivi_Eans!$K:$K,"&lt;01/12/2022")+COUNTIFS(E_Suivi_Eans!$C:$C,"04/2022",E_Suivi_Eans!$D:$D,"Economat",E_Suivi_Eans!$J:$J,"Rejet 3",E_Suivi_Eans!$K:$K,"&gt;31/12/2021",E_Suivi_Eans!$K:$K,"&lt;01/12/2022")+ COUNTIFS(E_Suivi_Eans!$C:$C,"04/2022",E_Suivi_Eans!$D:$D,"Economat",E_Suivi_Eans!$J:$J,"Rejet 4",E_Suivi_Eans!$K:$K,"&gt;31/12/2021",E_Suivi_Eans!$K:$K,"&lt;01/12/2022")+COUNTIFS(E_Suivi_Eans!$C:$C,"04/2022",E_Suivi_Eans!$D:$D,"Economat",E_Suivi_Eans!$J:$J,"Relance 1",E_Suivi_Eans!$K:$K,"&gt;31/12/2021",E_Suivi_Eans!$K:$K,"&lt;01/12/2022")+COUNTIFS(E_Suivi_Eans!$C:$C,"04/2022",E_Suivi_Eans!$D:$D,"Economat",E_Suivi_Eans!$J:$J,"Relance 2",E_Suivi_Eans!$K:$K,"&gt;31/12/2021",E_Suivi_Eans!$K:$K,"&lt;01/12/2022")+COUNTIFS(E_Suivi_Eans!$C:$C,"04/2022",E_Suivi_Eans!$D:$D,"Economat",E_Suivi_Eans!$J:$J,"Relance 3",E_Suivi_Eans!$K:$K,"&gt;31/12/2021",E_Suivi_Eans!$K:$K,"&lt;01/12/2022")</f>
        <v>0</v>
      </c>
      <c r="E53" s="21">
        <f>COUNTIFS(E_Suivi_Eans!$C:$C,"04/2022",E_Suivi_Eans!$D:$D,"Economat",E_Suivi_Eans!$J:$J,"Abandon",E_Suivi_Eans!$K:$K,"&gt;31/12/2021",E_Suivi_Eans!K:K,"&lt;01/12/2022")</f>
        <v>0</v>
      </c>
      <c r="F53" s="21">
        <f>COUNTIFS(E_Suivi_Eans!$C:$C,"04/2022",E_Suivi_Eans!$D:$D,"Economat")</f>
        <v>0</v>
      </c>
      <c r="G53" s="21">
        <f t="shared" si="9"/>
        <v>0</v>
      </c>
      <c r="J53" s="20" t="s">
        <v>5317</v>
      </c>
      <c r="K53" s="20" t="s">
        <v>5327</v>
      </c>
      <c r="L53" s="28" t="e">
        <f t="shared" si="10"/>
        <v>#DIV/0!</v>
      </c>
      <c r="M53" s="28" t="e">
        <f t="shared" si="10"/>
        <v>#DIV/0!</v>
      </c>
      <c r="N53" s="28" t="e">
        <f t="shared" si="10"/>
        <v>#DIV/0!</v>
      </c>
      <c r="O53" s="28">
        <v>1</v>
      </c>
      <c r="P53" s="28" t="e">
        <f t="shared" si="11"/>
        <v>#DIV/0!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8"/>
      <c r="P54" s="28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5"/>
      <c r="E55" s="25"/>
      <c r="F55" s="25"/>
      <c r="G55" s="25"/>
      <c r="J55" s="22"/>
      <c r="K55" s="22"/>
      <c r="L55" s="23"/>
      <c r="M55" s="25"/>
      <c r="N55" s="25"/>
      <c r="O55" s="31"/>
      <c r="P55" s="31"/>
      <c r="S55" s="22"/>
      <c r="T55" s="22"/>
      <c r="U55" s="23"/>
      <c r="V55" s="25"/>
      <c r="W55" s="25"/>
      <c r="X55" s="25"/>
      <c r="Y55" s="25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8"/>
      <c r="P56" s="28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8"/>
      <c r="P57" s="28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8"/>
      <c r="P58" s="28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3"/>
      <c r="J59" s="20" t="s">
        <v>5318</v>
      </c>
      <c r="K59" s="20" t="s">
        <v>5317</v>
      </c>
      <c r="L59" s="21"/>
      <c r="M59" s="21"/>
      <c r="N59" s="21"/>
      <c r="O59" s="28"/>
      <c r="P59" s="28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COUNTIFS(E_Suivi_Eans!$C:$C,"05/2022",E_Suivi_Eans!$D:$D,"Economat",E_Suivi_Eans!$J:$J,"Retour OK",E_Suivi_Eans!$K:$K,"&gt;31/12/2021",E_Suivi_Eans!K:K,"&lt;01/06/2022")</f>
        <v>0</v>
      </c>
      <c r="D60" s="21">
        <f>COUNTIFS(E_Suivi_Eans!$C:$C,"05/2022",E_Suivi_Eans!$D:$D,"Economat",E_Suivi_Eans!$J:$J,"Rejet 0",E_Suivi_Eans!$K:$K,"&gt;31/12/2021",E_Suivi_Eans!$K:$K,"&lt;01/06/2022")+ COUNTIFS(E_Suivi_Eans!$C:$C,"05/2022",E_Suivi_Eans!$D:$D,"Economat",E_Suivi_Eans!$J:$J,"Rejet 1",E_Suivi_Eans!$K:$K,"&gt;31/12/2021",E_Suivi_Eans!$K:$K,"&lt;01/06/2022")+COUNTIFS(E_Suivi_Eans!$C:$C,"05/2022",E_Suivi_Eans!$D:$D,"Economat",E_Suivi_Eans!$J:$J,"Rejet 2",E_Suivi_Eans!$K:$K,"&gt;31/12/2021",E_Suivi_Eans!$K:$K,"&lt;01/06/2022")+COUNTIFS(E_Suivi_Eans!$C:$C,"05/2022",E_Suivi_Eans!$D:$D,"Economat",E_Suivi_Eans!$J:$J,"Rejet 3",E_Suivi_Eans!$K:$K,"&gt;31/12/2021",E_Suivi_Eans!$K:$K,"&lt;01/06/2022")+ COUNTIFS(E_Suivi_Eans!$C:$C,"05/2022",E_Suivi_Eans!$D:$D,"Economat",E_Suivi_Eans!$J:$J,"Rejet 4",E_Suivi_Eans!$K:$K,"&gt;31/12/2021",E_Suivi_Eans!$K:$K,"&lt;01/06/2022")+COUNTIFS(E_Suivi_Eans!$C:$C,"05/2022",E_Suivi_Eans!$D:$D,"Economat",E_Suivi_Eans!$J:$J,"Relance 1",E_Suivi_Eans!$K:$K,"&gt;31/12/2021",E_Suivi_Eans!$K:$K,"&lt;01/06/2022")+COUNTIFS(E_Suivi_Eans!$C:$C,"05/2022",E_Suivi_Eans!$D:$D,"Economat",E_Suivi_Eans!$J:$J,"Relance 2",E_Suivi_Eans!$K:$K,"&gt;31/12/2021",E_Suivi_Eans!$K:$K,"&lt;01/06/2022")+COUNTIFS(E_Suivi_Eans!$C:$C,"05/2022",E_Suivi_Eans!$D:$D,"Economat",E_Suivi_Eans!$J:$J,"Relance 3",E_Suivi_Eans!$K:$K,"&gt;31/12/2021",E_Suivi_Eans!$K:$K,"&lt;01/06/2022")</f>
        <v>0</v>
      </c>
      <c r="E60" s="21">
        <f>COUNTIFS(E_Suivi_Eans!$C:$C,"05/2022",E_Suivi_Eans!$D:$D,"Economat",E_Suivi_Eans!$J:$J,"Abandon",E_Suivi_Eans!$K:$K,"&gt;31/12/2021",E_Suivi_Eans!K:K,"&lt;01/06/2022")</f>
        <v>0</v>
      </c>
      <c r="F60" s="21">
        <f>COUNTIFS(E_Suivi_Eans!$C:$C,"05/2022",E_Suivi_Eans!$D:$D,"Economat")</f>
        <v>0</v>
      </c>
      <c r="G60" s="21">
        <f t="shared" ref="G60:G66" si="12">F60-E60</f>
        <v>0</v>
      </c>
      <c r="J60" s="20" t="s">
        <v>5318</v>
      </c>
      <c r="K60" s="20" t="s">
        <v>5318</v>
      </c>
      <c r="L60" s="28">
        <f>IF($G60=0,0,C60/$G60)</f>
        <v>0</v>
      </c>
      <c r="M60" s="28">
        <f t="shared" ref="M60:N66" si="13">IF($G60=0,0,D60/$G60)</f>
        <v>0</v>
      </c>
      <c r="N60" s="28">
        <f t="shared" si="13"/>
        <v>0</v>
      </c>
      <c r="O60" s="28">
        <v>1</v>
      </c>
      <c r="P60" s="28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COUNTIFS(E_Suivi_Eans!$C:$C,"05/2022",E_Suivi_Eans!$D:$D,"Economat",E_Suivi_Eans!$J:$J,"Retour OK",E_Suivi_Eans!$K:$K,"&gt;31/12/2021",E_Suivi_Eans!K:K,"&lt;01/07/2022")</f>
        <v>0</v>
      </c>
      <c r="D61" s="21">
        <f>COUNTIFS(E_Suivi_Eans!$C:$C,"05/2022",E_Suivi_Eans!$D:$D,"Economat",E_Suivi_Eans!$J:$J,"Rejet 0",E_Suivi_Eans!$K:$K,"&gt;31/12/2021",E_Suivi_Eans!$K:$K,"&lt;01/07/2022")+ COUNTIFS(E_Suivi_Eans!$C:$C,"05/2022",E_Suivi_Eans!$D:$D,"Economat",E_Suivi_Eans!$J:$J,"Rejet 1",E_Suivi_Eans!$K:$K,"&gt;31/12/2021",E_Suivi_Eans!$K:$K,"&lt;01/07/2022")+COUNTIFS(E_Suivi_Eans!$C:$C,"05/2022",E_Suivi_Eans!$D:$D,"Economat",E_Suivi_Eans!$J:$J,"Rejet 2",E_Suivi_Eans!$K:$K,"&gt;31/12/2021",E_Suivi_Eans!$K:$K,"&lt;01/07/2022")+COUNTIFS(E_Suivi_Eans!$C:$C,"05/2022",E_Suivi_Eans!$D:$D,"Economat",E_Suivi_Eans!$J:$J,"Rejet 3",E_Suivi_Eans!$K:$K,"&gt;31/12/2021",E_Suivi_Eans!$K:$K,"&lt;01/07/2022")+ COUNTIFS(E_Suivi_Eans!$C:$C,"05/2022",E_Suivi_Eans!$D:$D,"Economat",E_Suivi_Eans!$J:$J,"Rejet 4",E_Suivi_Eans!$K:$K,"&gt;31/12/2021",E_Suivi_Eans!$K:$K,"&lt;01/07/2022")+COUNTIFS(E_Suivi_Eans!$C:$C,"05/2022",E_Suivi_Eans!$D:$D,"Economat",E_Suivi_Eans!$J:$J,"Relance 1",E_Suivi_Eans!$K:$K,"&gt;31/12/2021",E_Suivi_Eans!$K:$K,"&lt;01/07/2022")+COUNTIFS(E_Suivi_Eans!$C:$C,"05/2022",E_Suivi_Eans!$D:$D,"Economat",E_Suivi_Eans!$J:$J,"Relance 2",E_Suivi_Eans!$K:$K,"&gt;31/12/2021",E_Suivi_Eans!$K:$K,"&lt;01/07/2022")+COUNTIFS(E_Suivi_Eans!$C:$C,"05/2022",E_Suivi_Eans!$D:$D,"Economat",E_Suivi_Eans!$J:$J,"Relance 3",E_Suivi_Eans!$K:$K,"&gt;31/12/2021",E_Suivi_Eans!$K:$K,"&lt;01/07/2022")</f>
        <v>0</v>
      </c>
      <c r="E61" s="21">
        <f>COUNTIFS(E_Suivi_Eans!$C:$C,"05/2022",E_Suivi_Eans!$D:$D,"Economat",E_Suivi_Eans!$J:$J,"Abandon",E_Suivi_Eans!$K:$K,"&gt;31/12/2021",E_Suivi_Eans!K:K,"&lt;01/07/2022")</f>
        <v>0</v>
      </c>
      <c r="F61" s="21">
        <f>COUNTIFS(E_Suivi_Eans!$C:$C,"05/2022",E_Suivi_Eans!$D:$D,"Economat")</f>
        <v>0</v>
      </c>
      <c r="G61" s="21">
        <f t="shared" si="12"/>
        <v>0</v>
      </c>
      <c r="J61" s="20" t="s">
        <v>5318</v>
      </c>
      <c r="K61" s="20" t="s">
        <v>5319</v>
      </c>
      <c r="L61" s="28">
        <f t="shared" ref="L61:L66" si="15">IF($G61=0,0,C61/$G61)</f>
        <v>0</v>
      </c>
      <c r="M61" s="28">
        <f t="shared" si="13"/>
        <v>0</v>
      </c>
      <c r="N61" s="28">
        <f t="shared" si="13"/>
        <v>0</v>
      </c>
      <c r="O61" s="28">
        <v>1</v>
      </c>
      <c r="P61" s="28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COUNTIFS(E_Suivi_Eans!$C:$C,"05/2022",E_Suivi_Eans!$D:$D,"Economat",E_Suivi_Eans!$J:$J,"Retour OK",E_Suivi_Eans!$K:$K,"&gt;31/12/2021",E_Suivi_Eans!K:K,"&lt;01/08/2022")</f>
        <v>0</v>
      </c>
      <c r="D62" s="21">
        <f>COUNTIFS(E_Suivi_Eans!$C:$C,"05/2022",E_Suivi_Eans!$D:$D,"Economat",E_Suivi_Eans!$J:$J,"Rejet 0",E_Suivi_Eans!$K:$K,"&gt;31/12/2021",E_Suivi_Eans!$K:$K,"&lt;01/08/2022")+ COUNTIFS(E_Suivi_Eans!$C:$C,"05/2022",E_Suivi_Eans!$D:$D,"Economat",E_Suivi_Eans!$J:$J,"Rejet 1",E_Suivi_Eans!$K:$K,"&gt;31/12/2021",E_Suivi_Eans!$K:$K,"&lt;01/08/2022")+COUNTIFS(E_Suivi_Eans!$C:$C,"05/2022",E_Suivi_Eans!$D:$D,"Economat",E_Suivi_Eans!$J:$J,"Rejet 2",E_Suivi_Eans!$K:$K,"&gt;31/12/2021",E_Suivi_Eans!$K:$K,"&lt;01/08/2022")+COUNTIFS(E_Suivi_Eans!$C:$C,"05/2022",E_Suivi_Eans!$D:$D,"Economat",E_Suivi_Eans!$J:$J,"Rejet 3",E_Suivi_Eans!$K:$K,"&gt;31/12/2021",E_Suivi_Eans!$K:$K,"&lt;01/08/2022")+ COUNTIFS(E_Suivi_Eans!$C:$C,"05/2022",E_Suivi_Eans!$D:$D,"Economat",E_Suivi_Eans!$J:$J,"Rejet 4",E_Suivi_Eans!$K:$K,"&gt;31/12/2021",E_Suivi_Eans!$K:$K,"&lt;01/08/2022")+COUNTIFS(E_Suivi_Eans!$C:$C,"05/2022",E_Suivi_Eans!$D:$D,"Economat",E_Suivi_Eans!$J:$J,"Relance 1",E_Suivi_Eans!$K:$K,"&gt;31/12/2021",E_Suivi_Eans!$K:$K,"&lt;01/08/2022")+COUNTIFS(E_Suivi_Eans!$C:$C,"05/2022",E_Suivi_Eans!$D:$D,"Economat",E_Suivi_Eans!$J:$J,"Relance 2",E_Suivi_Eans!$K:$K,"&gt;31/12/2021",E_Suivi_Eans!$K:$K,"&lt;01/08/2022")+COUNTIFS(E_Suivi_Eans!$C:$C,"05/2022",E_Suivi_Eans!$D:$D,"Economat",E_Suivi_Eans!$J:$J,"Relance 3",E_Suivi_Eans!$K:$K,"&gt;31/12/2021",E_Suivi_Eans!$K:$K,"&lt;01/08/2022")</f>
        <v>0</v>
      </c>
      <c r="E62" s="21">
        <f>COUNTIFS(E_Suivi_Eans!$C:$C,"05/2022",E_Suivi_Eans!$D:$D,"Economat",E_Suivi_Eans!$J:$J,"Abandon",E_Suivi_Eans!$K:$K,"&gt;31/12/2021",E_Suivi_Eans!K:K,"&lt;01/08/2022")</f>
        <v>0</v>
      </c>
      <c r="F62" s="21">
        <f>COUNTIFS(E_Suivi_Eans!$C:$C,"05/2022",E_Suivi_Eans!$D:$D,"Economat")</f>
        <v>0</v>
      </c>
      <c r="G62" s="21">
        <f t="shared" si="12"/>
        <v>0</v>
      </c>
      <c r="J62" s="20" t="s">
        <v>5318</v>
      </c>
      <c r="K62" s="20" t="s">
        <v>5320</v>
      </c>
      <c r="L62" s="28">
        <f t="shared" si="15"/>
        <v>0</v>
      </c>
      <c r="M62" s="28">
        <f t="shared" si="13"/>
        <v>0</v>
      </c>
      <c r="N62" s="28">
        <f t="shared" si="13"/>
        <v>0</v>
      </c>
      <c r="O62" s="28">
        <v>1</v>
      </c>
      <c r="P62" s="28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COUNTIFS(E_Suivi_Eans!$C:$C,"05/2022",E_Suivi_Eans!$D:$D,"Economat",E_Suivi_Eans!$J:$J,"Retour OK",E_Suivi_Eans!$K:$K,"&gt;31/12/2021",E_Suivi_Eans!K:K,"&lt;01/09/2022")</f>
        <v>0</v>
      </c>
      <c r="D63" s="21">
        <f>COUNTIFS(E_Suivi_Eans!$C:$C,"05/2022",E_Suivi_Eans!$D:$D,"Economat",E_Suivi_Eans!$J:$J,"Rejet 0",E_Suivi_Eans!$K:$K,"&gt;31/12/2021",E_Suivi_Eans!$K:$K,"&lt;01/09/2022")+ COUNTIFS(E_Suivi_Eans!$C:$C,"05/2022",E_Suivi_Eans!$D:$D,"Economat",E_Suivi_Eans!$J:$J,"Rejet 1",E_Suivi_Eans!$K:$K,"&gt;31/12/2021",E_Suivi_Eans!$K:$K,"&lt;01/09/2022")+COUNTIFS(E_Suivi_Eans!$C:$C,"05/2022",E_Suivi_Eans!$D:$D,"Economat",E_Suivi_Eans!$J:$J,"Rejet 2",E_Suivi_Eans!$K:$K,"&gt;31/12/2021",E_Suivi_Eans!$K:$K,"&lt;01/09/2022")+COUNTIFS(E_Suivi_Eans!$C:$C,"05/2022",E_Suivi_Eans!$D:$D,"Economat",E_Suivi_Eans!$J:$J,"Rejet 3",E_Suivi_Eans!$K:$K,"&gt;31/12/2021",E_Suivi_Eans!$K:$K,"&lt;01/09/2022")+ COUNTIFS(E_Suivi_Eans!$C:$C,"05/2022",E_Suivi_Eans!$D:$D,"Economat",E_Suivi_Eans!$J:$J,"Rejet 4",E_Suivi_Eans!$K:$K,"&gt;31/12/2021",E_Suivi_Eans!$K:$K,"&lt;01/09/2022")+COUNTIFS(E_Suivi_Eans!$C:$C,"05/2022",E_Suivi_Eans!$D:$D,"Economat",E_Suivi_Eans!$J:$J,"Relance 1",E_Suivi_Eans!$K:$K,"&gt;31/12/2021",E_Suivi_Eans!$K:$K,"&lt;01/09/2022")+COUNTIFS(E_Suivi_Eans!$C:$C,"05/2022",E_Suivi_Eans!$D:$D,"Economat",E_Suivi_Eans!$J:$J,"Relance 2",E_Suivi_Eans!$K:$K,"&gt;31/12/2021",E_Suivi_Eans!$K:$K,"&lt;01/09/2022")+COUNTIFS(E_Suivi_Eans!$C:$C,"05/2022",E_Suivi_Eans!$D:$D,"Economat",E_Suivi_Eans!$J:$J,"Relance 3",E_Suivi_Eans!$K:$K,"&gt;31/12/2021",E_Suivi_Eans!$K:$K,"&lt;01/09/2022")</f>
        <v>0</v>
      </c>
      <c r="E63" s="21">
        <f>COUNTIFS(E_Suivi_Eans!$C:$C,"05/2022",E_Suivi_Eans!$D:$D,"Economat",E_Suivi_Eans!$J:$J,"Abandon",E_Suivi_Eans!$K:$K,"&gt;31/12/2021",E_Suivi_Eans!K:K,"&lt;01/09/2022")</f>
        <v>0</v>
      </c>
      <c r="F63" s="21">
        <f>COUNTIFS(E_Suivi_Eans!$C:$C,"05/2022",E_Suivi_Eans!$D:$D,"Economat")</f>
        <v>0</v>
      </c>
      <c r="G63" s="21">
        <f t="shared" si="12"/>
        <v>0</v>
      </c>
      <c r="J63" s="20" t="s">
        <v>5318</v>
      </c>
      <c r="K63" s="20" t="s">
        <v>5321</v>
      </c>
      <c r="L63" s="28">
        <f t="shared" si="15"/>
        <v>0</v>
      </c>
      <c r="M63" s="28">
        <f t="shared" si="13"/>
        <v>0</v>
      </c>
      <c r="N63" s="28">
        <f t="shared" si="13"/>
        <v>0</v>
      </c>
      <c r="O63" s="28">
        <v>1</v>
      </c>
      <c r="P63" s="28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COUNTIFS(E_Suivi_Eans!$C:$C,"05/2022",E_Suivi_Eans!$D:$D,"Economat",E_Suivi_Eans!$J:$J,"Retour OK",E_Suivi_Eans!$K:$K,"&gt;31/12/2021",E_Suivi_Eans!K:K,"&lt;01/10/2022")</f>
        <v>0</v>
      </c>
      <c r="D64" s="21">
        <f>COUNTIFS(E_Suivi_Eans!$C:$C,"05/2022",E_Suivi_Eans!$D:$D,"Economat",E_Suivi_Eans!$J:$J,"Rejet 0",E_Suivi_Eans!$K:$K,"&gt;31/12/2021",E_Suivi_Eans!$K:$K,"&lt;01/10/2022")+ COUNTIFS(E_Suivi_Eans!$C:$C,"05/2022",E_Suivi_Eans!$D:$D,"Economat",E_Suivi_Eans!$J:$J,"Rejet 1",E_Suivi_Eans!$K:$K,"&gt;31/12/2021",E_Suivi_Eans!$K:$K,"&lt;01/10/2022")+COUNTIFS(E_Suivi_Eans!$C:$C,"05/2022",E_Suivi_Eans!$D:$D,"Economat",E_Suivi_Eans!$J:$J,"Rejet 2",E_Suivi_Eans!$K:$K,"&gt;31/12/2021",E_Suivi_Eans!$K:$K,"&lt;01/10/2022")+COUNTIFS(E_Suivi_Eans!$C:$C,"05/2022",E_Suivi_Eans!$D:$D,"Economat",E_Suivi_Eans!$J:$J,"Rejet 3",E_Suivi_Eans!$K:$K,"&gt;31/12/2021",E_Suivi_Eans!$K:$K,"&lt;01/10/2022")+ COUNTIFS(E_Suivi_Eans!$C:$C,"05/2022",E_Suivi_Eans!$D:$D,"Economat",E_Suivi_Eans!$J:$J,"Rejet 4",E_Suivi_Eans!$K:$K,"&gt;31/12/2021",E_Suivi_Eans!$K:$K,"&lt;01/10/2022")+COUNTIFS(E_Suivi_Eans!$C:$C,"05/2022",E_Suivi_Eans!$D:$D,"Economat",E_Suivi_Eans!$J:$J,"Relance 1",E_Suivi_Eans!$K:$K,"&gt;31/12/2021",E_Suivi_Eans!$K:$K,"&lt;01/10/2022")+COUNTIFS(E_Suivi_Eans!$C:$C,"05/2022",E_Suivi_Eans!$D:$D,"Economat",E_Suivi_Eans!$J:$J,"Relance 2",E_Suivi_Eans!$K:$K,"&gt;31/12/2021",E_Suivi_Eans!$K:$K,"&lt;01/10/2022")+COUNTIFS(E_Suivi_Eans!$C:$C,"05/2022",E_Suivi_Eans!$D:$D,"Economat",E_Suivi_Eans!$J:$J,"Relance 3",E_Suivi_Eans!$K:$K,"&gt;31/12/2021",E_Suivi_Eans!$K:$K,"&lt;01/10/2022")</f>
        <v>0</v>
      </c>
      <c r="E64" s="21">
        <f>COUNTIFS(E_Suivi_Eans!$C:$C,"05/2022",E_Suivi_Eans!$D:$D,"Economat",E_Suivi_Eans!$J:$J,"Abandon",E_Suivi_Eans!$K:$K,"&gt;31/12/2021",E_Suivi_Eans!K:K,"&lt;01/10/2022")</f>
        <v>0</v>
      </c>
      <c r="F64" s="21">
        <f>COUNTIFS(E_Suivi_Eans!$C:$C,"05/2022",E_Suivi_Eans!$D:$D,"Economat")</f>
        <v>0</v>
      </c>
      <c r="G64" s="21">
        <f t="shared" si="12"/>
        <v>0</v>
      </c>
      <c r="J64" s="20" t="s">
        <v>5318</v>
      </c>
      <c r="K64" s="20" t="s">
        <v>5325</v>
      </c>
      <c r="L64" s="28">
        <f t="shared" si="15"/>
        <v>0</v>
      </c>
      <c r="M64" s="28">
        <f t="shared" si="13"/>
        <v>0</v>
      </c>
      <c r="N64" s="28">
        <f t="shared" si="13"/>
        <v>0</v>
      </c>
      <c r="O64" s="28">
        <v>1</v>
      </c>
      <c r="P64" s="28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COUNTIFS(E_Suivi_Eans!$C:$C,"05/2022",E_Suivi_Eans!$D:$D,"Economat",E_Suivi_Eans!$J:$J,"Retour OK",E_Suivi_Eans!$K:$K,"&gt;31/12/2021",E_Suivi_Eans!K:K,"&lt;01/11/2022")</f>
        <v>0</v>
      </c>
      <c r="D65" s="21">
        <f>COUNTIFS(E_Suivi_Eans!$C:$C,"05/2022",E_Suivi_Eans!$D:$D,"Economat",E_Suivi_Eans!$J:$J,"Rejet 0",E_Suivi_Eans!$K:$K,"&gt;31/12/2021",E_Suivi_Eans!$K:$K,"&lt;01/11/2022")+ COUNTIFS(E_Suivi_Eans!$C:$C,"05/2022",E_Suivi_Eans!$D:$D,"Economat",E_Suivi_Eans!$J:$J,"Rejet 1",E_Suivi_Eans!$K:$K,"&gt;31/12/2021",E_Suivi_Eans!$K:$K,"&lt;01/11/2022")+COUNTIFS(E_Suivi_Eans!$C:$C,"05/2022",E_Suivi_Eans!$D:$D,"Economat",E_Suivi_Eans!$J:$J,"Rejet 2",E_Suivi_Eans!$K:$K,"&gt;31/12/2021",E_Suivi_Eans!$K:$K,"&lt;01/11/2022")+COUNTIFS(E_Suivi_Eans!$C:$C,"05/2022",E_Suivi_Eans!$D:$D,"Economat",E_Suivi_Eans!$J:$J,"Rejet 3",E_Suivi_Eans!$K:$K,"&gt;31/12/2021",E_Suivi_Eans!$K:$K,"&lt;01/11/2022")+ COUNTIFS(E_Suivi_Eans!$C:$C,"05/2022",E_Suivi_Eans!$D:$D,"Economat",E_Suivi_Eans!$J:$J,"Rejet 4",E_Suivi_Eans!$K:$K,"&gt;31/12/2021",E_Suivi_Eans!$K:$K,"&lt;01/11/2022")+COUNTIFS(E_Suivi_Eans!$C:$C,"05/2022",E_Suivi_Eans!$D:$D,"Economat",E_Suivi_Eans!$J:$J,"Relance 1",E_Suivi_Eans!$K:$K,"&gt;31/12/2021",E_Suivi_Eans!$K:$K,"&lt;01/11/2022")+COUNTIFS(E_Suivi_Eans!$C:$C,"05/2022",E_Suivi_Eans!$D:$D,"Economat",E_Suivi_Eans!$J:$J,"Relance 2",E_Suivi_Eans!$K:$K,"&gt;31/12/2021",E_Suivi_Eans!$K:$K,"&lt;01/11/2022")+COUNTIFS(E_Suivi_Eans!$C:$C,"05/2022",E_Suivi_Eans!$D:$D,"Economat",E_Suivi_Eans!$J:$J,"Relance 3",E_Suivi_Eans!$K:$K,"&gt;31/12/2021",E_Suivi_Eans!$K:$K,"&lt;01/11/2022")</f>
        <v>0</v>
      </c>
      <c r="E65" s="21">
        <f>COUNTIFS(E_Suivi_Eans!$C:$C,"05/2022",E_Suivi_Eans!$D:$D,"Economat",E_Suivi_Eans!$J:$J,"Abandon",E_Suivi_Eans!$K:$K,"&gt;31/12/2021",E_Suivi_Eans!K:K,"&lt;01/11/2022")</f>
        <v>0</v>
      </c>
      <c r="F65" s="21">
        <f>COUNTIFS(E_Suivi_Eans!$C:$C,"05/2022",E_Suivi_Eans!$D:$D,"Economat")</f>
        <v>0</v>
      </c>
      <c r="G65" s="21">
        <f t="shared" si="12"/>
        <v>0</v>
      </c>
      <c r="J65" s="20" t="s">
        <v>5318</v>
      </c>
      <c r="K65" s="20" t="s">
        <v>5326</v>
      </c>
      <c r="L65" s="28">
        <f t="shared" si="15"/>
        <v>0</v>
      </c>
      <c r="M65" s="28">
        <f t="shared" si="13"/>
        <v>0</v>
      </c>
      <c r="N65" s="28">
        <f t="shared" si="13"/>
        <v>0</v>
      </c>
      <c r="O65" s="28">
        <v>1</v>
      </c>
      <c r="P65" s="28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COUNTIFS(E_Suivi_Eans!$C:$C,"05/2022",E_Suivi_Eans!$D:$D,"Economat",E_Suivi_Eans!$J:$J,"Retour OK",E_Suivi_Eans!$K:$K,"&gt;31/12/2021",E_Suivi_Eans!K:K,"&lt;01/12/2022")</f>
        <v>0</v>
      </c>
      <c r="D66" s="21">
        <f>COUNTIFS(E_Suivi_Eans!$C:$C,"05/2022",E_Suivi_Eans!$D:$D,"Economat",E_Suivi_Eans!$J:$J,"Rejet 0",E_Suivi_Eans!$K:$K,"&gt;31/12/2021",E_Suivi_Eans!$K:$K,"&lt;01/12/2022")+ COUNTIFS(E_Suivi_Eans!$C:$C,"05/2022",E_Suivi_Eans!$D:$D,"Economat",E_Suivi_Eans!$J:$J,"Rejet 1",E_Suivi_Eans!$K:$K,"&gt;31/12/2021",E_Suivi_Eans!$K:$K,"&lt;01/12/2022")+COUNTIFS(E_Suivi_Eans!$C:$C,"05/2022",E_Suivi_Eans!$D:$D,"Economat",E_Suivi_Eans!$J:$J,"Rejet 2",E_Suivi_Eans!$K:$K,"&gt;31/12/2021",E_Suivi_Eans!$K:$K,"&lt;01/12/2022")+COUNTIFS(E_Suivi_Eans!$C:$C,"05/2022",E_Suivi_Eans!$D:$D,"Economat",E_Suivi_Eans!$J:$J,"Rejet 3",E_Suivi_Eans!$K:$K,"&gt;31/12/2021",E_Suivi_Eans!$K:$K,"&lt;01/12/2022")+ COUNTIFS(E_Suivi_Eans!$C:$C,"05/2022",E_Suivi_Eans!$D:$D,"Economat",E_Suivi_Eans!$J:$J,"Rejet 4",E_Suivi_Eans!$K:$K,"&gt;31/12/2021",E_Suivi_Eans!$K:$K,"&lt;01/12/2022")+COUNTIFS(E_Suivi_Eans!$C:$C,"05/2022",E_Suivi_Eans!$D:$D,"Economat",E_Suivi_Eans!$J:$J,"Relance 1",E_Suivi_Eans!$K:$K,"&gt;31/12/2021",E_Suivi_Eans!$K:$K,"&lt;01/12/2022")+COUNTIFS(E_Suivi_Eans!$C:$C,"05/2022",E_Suivi_Eans!$D:$D,"Economat",E_Suivi_Eans!$J:$J,"Relance 2",E_Suivi_Eans!$K:$K,"&gt;31/12/2021",E_Suivi_Eans!$K:$K,"&lt;01/12/2022")+COUNTIFS(E_Suivi_Eans!$C:$C,"05/2022",E_Suivi_Eans!$D:$D,"Economat",E_Suivi_Eans!$J:$J,"Relance 3",E_Suivi_Eans!$K:$K,"&gt;31/12/2021",E_Suivi_Eans!$K:$K,"&lt;01/12/2022")</f>
        <v>0</v>
      </c>
      <c r="E66" s="21">
        <f>COUNTIFS(E_Suivi_Eans!$C:$C,"05/2022",E_Suivi_Eans!$D:$D,"Economat",E_Suivi_Eans!$J:$J,"Abandon",E_Suivi_Eans!$K:$K,"&gt;31/12/2021",E_Suivi_Eans!K:K,"&lt;01/12/2022")</f>
        <v>0</v>
      </c>
      <c r="F66" s="21">
        <f>COUNTIFS(E_Suivi_Eans!$C:$C,"05/2022",E_Suivi_Eans!$D:$D,"Economat")</f>
        <v>0</v>
      </c>
      <c r="G66" s="21">
        <f t="shared" si="12"/>
        <v>0</v>
      </c>
      <c r="J66" s="20" t="s">
        <v>5318</v>
      </c>
      <c r="K66" s="20" t="s">
        <v>5327</v>
      </c>
      <c r="L66" s="28">
        <f t="shared" si="15"/>
        <v>0</v>
      </c>
      <c r="M66" s="28">
        <f t="shared" si="13"/>
        <v>0</v>
      </c>
      <c r="N66" s="28">
        <f t="shared" si="13"/>
        <v>0</v>
      </c>
      <c r="O66" s="28">
        <v>1</v>
      </c>
      <c r="P66" s="28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8"/>
      <c r="P67" s="28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5"/>
      <c r="E68" s="25"/>
      <c r="F68" s="25"/>
      <c r="G68" s="25"/>
      <c r="J68" s="22"/>
      <c r="K68" s="22"/>
      <c r="L68" s="23"/>
      <c r="M68" s="25"/>
      <c r="N68" s="25"/>
      <c r="O68" s="31"/>
      <c r="P68" s="31"/>
      <c r="S68" s="22"/>
      <c r="T68" s="22"/>
      <c r="U68" s="23"/>
      <c r="V68" s="25"/>
      <c r="W68" s="25"/>
      <c r="X68" s="25"/>
      <c r="Y68" s="25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8"/>
      <c r="P69" s="28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8"/>
      <c r="P70" s="28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8"/>
      <c r="P71" s="28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8"/>
      <c r="P72" s="28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8"/>
      <c r="P73" s="28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COUNTIFS(E_Suivi_Eans!$C:$C,"06/2022",E_Suivi_Eans!$D:$D,"Economat",E_Suivi_Eans!$J:$J,"Retour OK",E_Suivi_Eans!$K:$K,"&gt;31/12/2021",E_Suivi_Eans!K:K,"&lt;01/07/2022")</f>
        <v>0</v>
      </c>
      <c r="D74" s="21">
        <f>COUNTIFS(E_Suivi_Eans!$C:$C,"06/2022",E_Suivi_Eans!$D:$D,"Economat",E_Suivi_Eans!$J:$J,"Rejet 0",E_Suivi_Eans!$K:$K,"&gt;31/12/2021",E_Suivi_Eans!$K:$K,"&lt;01/07/2022")+ COUNTIFS(E_Suivi_Eans!$C:$C,"06/2022",E_Suivi_Eans!$D:$D,"Economat",E_Suivi_Eans!$J:$J,"Rejet 1",E_Suivi_Eans!$K:$K,"&gt;31/12/2021",E_Suivi_Eans!$K:$K,"&lt;01/07/2022")+COUNTIFS(E_Suivi_Eans!$C:$C,"06/2022",E_Suivi_Eans!$D:$D,"Economat",E_Suivi_Eans!$J:$J,"Rejet 2",E_Suivi_Eans!$K:$K,"&gt;31/12/2021",E_Suivi_Eans!$K:$K,"&lt;01/07/2022")+COUNTIFS(E_Suivi_Eans!$C:$C,"06/2022",E_Suivi_Eans!$D:$D,"Economat",E_Suivi_Eans!$J:$J,"Rejet 3",E_Suivi_Eans!$K:$K,"&gt;31/12/2021",E_Suivi_Eans!$K:$K,"&lt;01/07/2022")+ COUNTIFS(E_Suivi_Eans!$C:$C,"06/2022",E_Suivi_Eans!$D:$D,"Economat",E_Suivi_Eans!$J:$J,"Rejet 4",E_Suivi_Eans!$K:$K,"&gt;31/12/2021",E_Suivi_Eans!$K:$K,"&lt;01/07/2022")+COUNTIFS(E_Suivi_Eans!$C:$C,"06/2022",E_Suivi_Eans!$D:$D,"Economat",E_Suivi_Eans!$J:$J,"Relance 1",E_Suivi_Eans!$K:$K,"&gt;31/12/2021",E_Suivi_Eans!$K:$K,"&lt;01/07/2022")+COUNTIFS(E_Suivi_Eans!$C:$C,"06/2022",E_Suivi_Eans!$D:$D,"Economat",E_Suivi_Eans!$J:$J,"Relance 2",E_Suivi_Eans!$K:$K,"&gt;31/12/2021",E_Suivi_Eans!$K:$K,"&lt;01/07/2022")+COUNTIFS(E_Suivi_Eans!$C:$C,"06/2022",E_Suivi_Eans!$D:$D,"Economat",E_Suivi_Eans!$J:$J,"Relance 3",E_Suivi_Eans!$K:$K,"&gt;31/12/2021",E_Suivi_Eans!$K:$K,"&lt;01/07/2022")</f>
        <v>0</v>
      </c>
      <c r="E74" s="21">
        <f>COUNTIFS(E_Suivi_Eans!$C:$C,"06/2022",E_Suivi_Eans!$D:$D,"Economat",E_Suivi_Eans!$J:$J,"Abandon",E_Suivi_Eans!$K:$K,"&gt;31/12/2021",E_Suivi_Eans!K:K,"&lt;01/07/2022")</f>
        <v>0</v>
      </c>
      <c r="F74" s="21">
        <f>COUNTIFS(E_Suivi_Eans!$C:$C,"06/2022",E_Suivi_Eans!$D:$D,"Economat")</f>
        <v>0</v>
      </c>
      <c r="G74" s="21">
        <f t="shared" ref="G74:G79" si="16">F74-E74</f>
        <v>0</v>
      </c>
      <c r="J74" s="20" t="s">
        <v>5319</v>
      </c>
      <c r="K74" s="20" t="s">
        <v>5319</v>
      </c>
      <c r="L74" s="28">
        <f t="shared" ref="L74:N79" si="17">IF($G74=0,0,C74/$G74)</f>
        <v>0</v>
      </c>
      <c r="M74" s="28">
        <f t="shared" si="17"/>
        <v>0</v>
      </c>
      <c r="N74" s="28">
        <f t="shared" si="17"/>
        <v>0</v>
      </c>
      <c r="O74" s="28">
        <v>1</v>
      </c>
      <c r="P74" s="28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COUNTIFS(E_Suivi_Eans!$C:$C,"06/2022",E_Suivi_Eans!$D:$D,"Economat",E_Suivi_Eans!$J:$J,"Retour OK",E_Suivi_Eans!$K:$K,"&gt;31/12/2021",E_Suivi_Eans!K:K,"&lt;01/08/2022")</f>
        <v>0</v>
      </c>
      <c r="D75" s="21">
        <f>COUNTIFS(E_Suivi_Eans!$C:$C,"06/2022",E_Suivi_Eans!$D:$D,"Economat",E_Suivi_Eans!$J:$J,"Rejet 0",E_Suivi_Eans!$K:$K,"&gt;31/12/2021",E_Suivi_Eans!$K:$K,"&lt;01/08/2022")+ COUNTIFS(E_Suivi_Eans!$C:$C,"06/2022",E_Suivi_Eans!$D:$D,"Economat",E_Suivi_Eans!$J:$J,"Rejet 1",E_Suivi_Eans!$K:$K,"&gt;31/12/2021",E_Suivi_Eans!$K:$K,"&lt;01/08/2022")+COUNTIFS(E_Suivi_Eans!$C:$C,"06/2022",E_Suivi_Eans!$D:$D,"Economat",E_Suivi_Eans!$J:$J,"Rejet 2",E_Suivi_Eans!$K:$K,"&gt;31/12/2021",E_Suivi_Eans!$K:$K,"&lt;01/08/2022")+COUNTIFS(E_Suivi_Eans!$C:$C,"06/2022",E_Suivi_Eans!$D:$D,"Economat",E_Suivi_Eans!$J:$J,"Rejet 3",E_Suivi_Eans!$K:$K,"&gt;31/12/2021",E_Suivi_Eans!$K:$K,"&lt;01/08/2022")+ COUNTIFS(E_Suivi_Eans!$C:$C,"06/2022",E_Suivi_Eans!$D:$D,"Economat",E_Suivi_Eans!$J:$J,"Rejet 4",E_Suivi_Eans!$K:$K,"&gt;31/12/2021",E_Suivi_Eans!$K:$K,"&lt;01/08/2022")+COUNTIFS(E_Suivi_Eans!$C:$C,"06/2022",E_Suivi_Eans!$D:$D,"Economat",E_Suivi_Eans!$J:$J,"Relance 1",E_Suivi_Eans!$K:$K,"&gt;31/12/2021",E_Suivi_Eans!$K:$K,"&lt;01/08/2022")+COUNTIFS(E_Suivi_Eans!$C:$C,"06/2022",E_Suivi_Eans!$D:$D,"Economat",E_Suivi_Eans!$J:$J,"Relance 2",E_Suivi_Eans!$K:$K,"&gt;31/12/2021",E_Suivi_Eans!$K:$K,"&lt;01/08/2022")+COUNTIFS(E_Suivi_Eans!$C:$C,"06/2022",E_Suivi_Eans!$D:$D,"Economat",E_Suivi_Eans!$J:$J,"Relance 3",E_Suivi_Eans!$K:$K,"&gt;31/12/2021",E_Suivi_Eans!$K:$K,"&lt;01/08/2022")</f>
        <v>0</v>
      </c>
      <c r="E75" s="21">
        <f>COUNTIFS(E_Suivi_Eans!$C:$C,"06/2022",E_Suivi_Eans!$D:$D,"Economat",E_Suivi_Eans!$J:$J,"Abandon",E_Suivi_Eans!$K:$K,"&gt;31/12/2021",E_Suivi_Eans!K:K,"&lt;01/08/2022")</f>
        <v>0</v>
      </c>
      <c r="F75" s="21">
        <f>COUNTIFS(E_Suivi_Eans!$C:$C,"06/2022",E_Suivi_Eans!$D:$D,"Economat")</f>
        <v>0</v>
      </c>
      <c r="G75" s="21">
        <f t="shared" si="16"/>
        <v>0</v>
      </c>
      <c r="J75" s="20" t="s">
        <v>5319</v>
      </c>
      <c r="K75" s="20" t="s">
        <v>5320</v>
      </c>
      <c r="L75" s="28">
        <f t="shared" si="17"/>
        <v>0</v>
      </c>
      <c r="M75" s="28">
        <f t="shared" si="17"/>
        <v>0</v>
      </c>
      <c r="N75" s="28">
        <f t="shared" si="17"/>
        <v>0</v>
      </c>
      <c r="O75" s="28">
        <v>1</v>
      </c>
      <c r="P75" s="28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COUNTIFS(E_Suivi_Eans!$C:$C,"06/2022",E_Suivi_Eans!$D:$D,"Economat",E_Suivi_Eans!$J:$J,"Retour OK",E_Suivi_Eans!$K:$K,"&gt;31/12/2021",E_Suivi_Eans!K:K,"&lt;01/09/2022")</f>
        <v>0</v>
      </c>
      <c r="D76" s="21">
        <f>COUNTIFS(E_Suivi_Eans!$C:$C,"06/2022",E_Suivi_Eans!$D:$D,"Economat",E_Suivi_Eans!$J:$J,"Rejet 0",E_Suivi_Eans!$K:$K,"&gt;31/12/2021",E_Suivi_Eans!$K:$K,"&lt;01/09/2022")+ COUNTIFS(E_Suivi_Eans!$C:$C,"06/2022",E_Suivi_Eans!$D:$D,"Economat",E_Suivi_Eans!$J:$J,"Rejet 1",E_Suivi_Eans!$K:$K,"&gt;31/12/2021",E_Suivi_Eans!$K:$K,"&lt;01/09/2022")+COUNTIFS(E_Suivi_Eans!$C:$C,"06/2022",E_Suivi_Eans!$D:$D,"Economat",E_Suivi_Eans!$J:$J,"Rejet 2",E_Suivi_Eans!$K:$K,"&gt;31/12/2021",E_Suivi_Eans!$K:$K,"&lt;01/09/2022")+COUNTIFS(E_Suivi_Eans!$C:$C,"06/2022",E_Suivi_Eans!$D:$D,"Economat",E_Suivi_Eans!$J:$J,"Rejet 3",E_Suivi_Eans!$K:$K,"&gt;31/12/2021",E_Suivi_Eans!$K:$K,"&lt;01/09/2022")+ COUNTIFS(E_Suivi_Eans!$C:$C,"06/2022",E_Suivi_Eans!$D:$D,"Economat",E_Suivi_Eans!$J:$J,"Rejet 4",E_Suivi_Eans!$K:$K,"&gt;31/12/2021",E_Suivi_Eans!$K:$K,"&lt;01/09/2022")+COUNTIFS(E_Suivi_Eans!$C:$C,"06/2022",E_Suivi_Eans!$D:$D,"Economat",E_Suivi_Eans!$J:$J,"Relance 1",E_Suivi_Eans!$K:$K,"&gt;31/12/2021",E_Suivi_Eans!$K:$K,"&lt;01/09/2022")+COUNTIFS(E_Suivi_Eans!$C:$C,"06/2022",E_Suivi_Eans!$D:$D,"Economat",E_Suivi_Eans!$J:$J,"Relance 2",E_Suivi_Eans!$K:$K,"&gt;31/12/2021",E_Suivi_Eans!$K:$K,"&lt;01/09/2022")+COUNTIFS(E_Suivi_Eans!$C:$C,"06/2022",E_Suivi_Eans!$D:$D,"Economat",E_Suivi_Eans!$J:$J,"Relance 3",E_Suivi_Eans!$K:$K,"&gt;31/12/2021",E_Suivi_Eans!$K:$K,"&lt;01/09/2022")</f>
        <v>0</v>
      </c>
      <c r="E76" s="21">
        <f>COUNTIFS(E_Suivi_Eans!$C:$C,"06/2022",E_Suivi_Eans!$D:$D,"Economat",E_Suivi_Eans!$J:$J,"Abandon",E_Suivi_Eans!$K:$K,"&gt;31/12/2021",E_Suivi_Eans!K:K,"&lt;01/09/2022")</f>
        <v>0</v>
      </c>
      <c r="F76" s="21">
        <f>COUNTIFS(E_Suivi_Eans!$C:$C,"06/2022",E_Suivi_Eans!$D:$D,"Economat")</f>
        <v>0</v>
      </c>
      <c r="G76" s="21">
        <f t="shared" si="16"/>
        <v>0</v>
      </c>
      <c r="J76" s="20" t="s">
        <v>5319</v>
      </c>
      <c r="K76" s="20" t="s">
        <v>5321</v>
      </c>
      <c r="L76" s="28">
        <f t="shared" si="17"/>
        <v>0</v>
      </c>
      <c r="M76" s="28">
        <f t="shared" si="17"/>
        <v>0</v>
      </c>
      <c r="N76" s="28">
        <f t="shared" si="17"/>
        <v>0</v>
      </c>
      <c r="O76" s="28">
        <v>1</v>
      </c>
      <c r="P76" s="28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COUNTIFS(E_Suivi_Eans!$C:$C,"06/2022",E_Suivi_Eans!$D:$D,"Economat",E_Suivi_Eans!$J:$J,"Retour OK",E_Suivi_Eans!$K:$K,"&gt;31/12/2021",E_Suivi_Eans!K:K,"&lt;01/10/2022")</f>
        <v>0</v>
      </c>
      <c r="D77" s="21">
        <f>COUNTIFS(E_Suivi_Eans!$C:$C,"06/2022",E_Suivi_Eans!$D:$D,"Economat",E_Suivi_Eans!$J:$J,"Rejet 0",E_Suivi_Eans!$K:$K,"&gt;31/12/2021",E_Suivi_Eans!$K:$K,"&lt;01/10/2022")+ COUNTIFS(E_Suivi_Eans!$C:$C,"06/2022",E_Suivi_Eans!$D:$D,"Economat",E_Suivi_Eans!$J:$J,"Rejet 1",E_Suivi_Eans!$K:$K,"&gt;31/12/2021",E_Suivi_Eans!$K:$K,"&lt;01/10/2022")+COUNTIFS(E_Suivi_Eans!$C:$C,"06/2022",E_Suivi_Eans!$D:$D,"Economat",E_Suivi_Eans!$J:$J,"Rejet 2",E_Suivi_Eans!$K:$K,"&gt;31/12/2021",E_Suivi_Eans!$K:$K,"&lt;01/10/2022")+COUNTIFS(E_Suivi_Eans!$C:$C,"06/2022",E_Suivi_Eans!$D:$D,"Economat",E_Suivi_Eans!$J:$J,"Rejet 3",E_Suivi_Eans!$K:$K,"&gt;31/12/2021",E_Suivi_Eans!$K:$K,"&lt;01/10/2022")+ COUNTIFS(E_Suivi_Eans!$C:$C,"06/2022",E_Suivi_Eans!$D:$D,"Economat",E_Suivi_Eans!$J:$J,"Rejet 4",E_Suivi_Eans!$K:$K,"&gt;31/12/2021",E_Suivi_Eans!$K:$K,"&lt;01/10/2022")+COUNTIFS(E_Suivi_Eans!$C:$C,"06/2022",E_Suivi_Eans!$D:$D,"Economat",E_Suivi_Eans!$J:$J,"Relance 1",E_Suivi_Eans!$K:$K,"&gt;31/12/2021",E_Suivi_Eans!$K:$K,"&lt;01/10/2022")+COUNTIFS(E_Suivi_Eans!$C:$C,"06/2022",E_Suivi_Eans!$D:$D,"Economat",E_Suivi_Eans!$J:$J,"Relance 2",E_Suivi_Eans!$K:$K,"&gt;31/12/2021",E_Suivi_Eans!$K:$K,"&lt;01/10/2022")+COUNTIFS(E_Suivi_Eans!$C:$C,"06/2022",E_Suivi_Eans!$D:$D,"Economat",E_Suivi_Eans!$J:$J,"Relance 3",E_Suivi_Eans!$K:$K,"&gt;31/12/2021",E_Suivi_Eans!$K:$K,"&lt;01/10/2022")</f>
        <v>0</v>
      </c>
      <c r="E77" s="21">
        <f>COUNTIFS(E_Suivi_Eans!$C:$C,"06/2022",E_Suivi_Eans!$D:$D,"Economat",E_Suivi_Eans!$J:$J,"Abandon",E_Suivi_Eans!$K:$K,"&gt;31/12/2021",E_Suivi_Eans!K:K,"&lt;01/10/2022")</f>
        <v>0</v>
      </c>
      <c r="F77" s="21">
        <f>COUNTIFS(E_Suivi_Eans!$C:$C,"06/2022",E_Suivi_Eans!$D:$D,"Economat")</f>
        <v>0</v>
      </c>
      <c r="G77" s="21">
        <f t="shared" si="16"/>
        <v>0</v>
      </c>
      <c r="J77" s="20" t="s">
        <v>5319</v>
      </c>
      <c r="K77" s="20" t="s">
        <v>5325</v>
      </c>
      <c r="L77" s="28">
        <f t="shared" si="17"/>
        <v>0</v>
      </c>
      <c r="M77" s="28">
        <f t="shared" si="17"/>
        <v>0</v>
      </c>
      <c r="N77" s="28">
        <f t="shared" si="17"/>
        <v>0</v>
      </c>
      <c r="O77" s="28">
        <v>1</v>
      </c>
      <c r="P77" s="28">
        <f t="shared" si="18"/>
        <v>1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COUNTIFS(E_Suivi_Eans!$C:$C,"06/2022",E_Suivi_Eans!$D:$D,"Economat",E_Suivi_Eans!$J:$J,"Retour OK",E_Suivi_Eans!$K:$K,"&gt;31/12/2021",E_Suivi_Eans!K:K,"&lt;01/11/2022")</f>
        <v>0</v>
      </c>
      <c r="D78" s="21">
        <f>COUNTIFS(E_Suivi_Eans!$C:$C,"06/2022",E_Suivi_Eans!$D:$D,"Economat",E_Suivi_Eans!$J:$J,"Rejet 0",E_Suivi_Eans!$K:$K,"&gt;31/12/2021",E_Suivi_Eans!$K:$K,"&lt;01/11/2022")+ COUNTIFS(E_Suivi_Eans!$C:$C,"06/2022",E_Suivi_Eans!$D:$D,"Economat",E_Suivi_Eans!$J:$J,"Rejet 1",E_Suivi_Eans!$K:$K,"&gt;31/12/2021",E_Suivi_Eans!$K:$K,"&lt;01/11/2022")+COUNTIFS(E_Suivi_Eans!$C:$C,"06/2022",E_Suivi_Eans!$D:$D,"Economat",E_Suivi_Eans!$J:$J,"Rejet 2",E_Suivi_Eans!$K:$K,"&gt;31/12/2021",E_Suivi_Eans!$K:$K,"&lt;01/11/2022")+COUNTIFS(E_Suivi_Eans!$C:$C,"06/2022",E_Suivi_Eans!$D:$D,"Economat",E_Suivi_Eans!$J:$J,"Rejet 3",E_Suivi_Eans!$K:$K,"&gt;31/12/2021",E_Suivi_Eans!$K:$K,"&lt;01/11/2022")+ COUNTIFS(E_Suivi_Eans!$C:$C,"06/2022",E_Suivi_Eans!$D:$D,"Economat",E_Suivi_Eans!$J:$J,"Rejet 4",E_Suivi_Eans!$K:$K,"&gt;31/12/2021",E_Suivi_Eans!$K:$K,"&lt;01/11/2022")+COUNTIFS(E_Suivi_Eans!$C:$C,"06/2022",E_Suivi_Eans!$D:$D,"Economat",E_Suivi_Eans!$J:$J,"Relance 1",E_Suivi_Eans!$K:$K,"&gt;31/12/2021",E_Suivi_Eans!$K:$K,"&lt;01/11/2022")+COUNTIFS(E_Suivi_Eans!$C:$C,"06/2022",E_Suivi_Eans!$D:$D,"Economat",E_Suivi_Eans!$J:$J,"Relance 2",E_Suivi_Eans!$K:$K,"&gt;31/12/2021",E_Suivi_Eans!$K:$K,"&lt;01/11/2022")+COUNTIFS(E_Suivi_Eans!$C:$C,"06/2022",E_Suivi_Eans!$D:$D,"Economat",E_Suivi_Eans!$J:$J,"Relance 3",E_Suivi_Eans!$K:$K,"&gt;31/12/2021",E_Suivi_Eans!$K:$K,"&lt;01/11/2022")</f>
        <v>0</v>
      </c>
      <c r="E78" s="21">
        <f>COUNTIFS(E_Suivi_Eans!$C:$C,"06/2022",E_Suivi_Eans!$D:$D,"Economat",E_Suivi_Eans!$J:$J,"Abandon",E_Suivi_Eans!$K:$K,"&gt;31/12/2021",E_Suivi_Eans!K:K,"&lt;01/11/2022")</f>
        <v>0</v>
      </c>
      <c r="F78" s="21">
        <f>COUNTIFS(E_Suivi_Eans!$C:$C,"06/2022",E_Suivi_Eans!$D:$D,"Economat")</f>
        <v>0</v>
      </c>
      <c r="G78" s="21">
        <f t="shared" si="16"/>
        <v>0</v>
      </c>
      <c r="J78" s="20" t="s">
        <v>5319</v>
      </c>
      <c r="K78" s="20" t="s">
        <v>5326</v>
      </c>
      <c r="L78" s="28">
        <f t="shared" si="17"/>
        <v>0</v>
      </c>
      <c r="M78" s="28">
        <f t="shared" si="17"/>
        <v>0</v>
      </c>
      <c r="N78" s="28">
        <f t="shared" si="17"/>
        <v>0</v>
      </c>
      <c r="O78" s="28">
        <v>1</v>
      </c>
      <c r="P78" s="28">
        <f t="shared" si="18"/>
        <v>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COUNTIFS(E_Suivi_Eans!$C:$C,"06/2022",E_Suivi_Eans!$D:$D,"Economat",E_Suivi_Eans!$J:$J,"Retour OK",E_Suivi_Eans!$K:$K,"&gt;31/12/2021",E_Suivi_Eans!K:K,"&lt;01/12/2022")</f>
        <v>0</v>
      </c>
      <c r="D79" s="21">
        <f>COUNTIFS(E_Suivi_Eans!$C:$C,"06/2022",E_Suivi_Eans!$D:$D,"Economat",E_Suivi_Eans!$J:$J,"Rejet 0",E_Suivi_Eans!$K:$K,"&gt;31/12/2021",E_Suivi_Eans!$K:$K,"&lt;01/12/2022")+ COUNTIFS(E_Suivi_Eans!$C:$C,"06/2022",E_Suivi_Eans!$D:$D,"Economat",E_Suivi_Eans!$J:$J,"Rejet 1",E_Suivi_Eans!$K:$K,"&gt;31/12/2021",E_Suivi_Eans!$K:$K,"&lt;01/12/2022")+COUNTIFS(E_Suivi_Eans!$C:$C,"06/2022",E_Suivi_Eans!$D:$D,"Economat",E_Suivi_Eans!$J:$J,"Rejet 2",E_Suivi_Eans!$K:$K,"&gt;31/12/2021",E_Suivi_Eans!$K:$K,"&lt;01/12/2022")+COUNTIFS(E_Suivi_Eans!$C:$C,"06/2022",E_Suivi_Eans!$D:$D,"Economat",E_Suivi_Eans!$J:$J,"Rejet 3",E_Suivi_Eans!$K:$K,"&gt;31/12/2021",E_Suivi_Eans!$K:$K,"&lt;01/12/2022")+ COUNTIFS(E_Suivi_Eans!$C:$C,"06/2022",E_Suivi_Eans!$D:$D,"Economat",E_Suivi_Eans!$J:$J,"Rejet 4",E_Suivi_Eans!$K:$K,"&gt;31/12/2021",E_Suivi_Eans!$K:$K,"&lt;01/12/2022")+COUNTIFS(E_Suivi_Eans!$C:$C,"06/2022",E_Suivi_Eans!$D:$D,"Economat",E_Suivi_Eans!$J:$J,"Relance 1",E_Suivi_Eans!$K:$K,"&gt;31/12/2021",E_Suivi_Eans!$K:$K,"&lt;01/12/2022")+COUNTIFS(E_Suivi_Eans!$C:$C,"06/2022",E_Suivi_Eans!$D:$D,"Economat",E_Suivi_Eans!$J:$J,"Relance 2",E_Suivi_Eans!$K:$K,"&gt;31/12/2021",E_Suivi_Eans!$K:$K,"&lt;01/12/2022")+COUNTIFS(E_Suivi_Eans!$C:$C,"06/2022",E_Suivi_Eans!$D:$D,"Economat",E_Suivi_Eans!$J:$J,"Relance 3",E_Suivi_Eans!$K:$K,"&gt;31/12/2021",E_Suivi_Eans!$K:$K,"&lt;01/12/2022")</f>
        <v>0</v>
      </c>
      <c r="E79" s="21">
        <f>COUNTIFS(E_Suivi_Eans!$C:$C,"06/2022",E_Suivi_Eans!$D:$D,"Economat",E_Suivi_Eans!$J:$J,"Abandon",E_Suivi_Eans!$K:$K,"&gt;31/12/2021",E_Suivi_Eans!K:K,"&lt;01/12/2022")</f>
        <v>0</v>
      </c>
      <c r="F79" s="21">
        <f>COUNTIFS(E_Suivi_Eans!$C:$C,"06/2022",E_Suivi_Eans!$D:$D,"Economat")</f>
        <v>0</v>
      </c>
      <c r="G79" s="21">
        <f t="shared" si="16"/>
        <v>0</v>
      </c>
      <c r="J79" s="20" t="s">
        <v>5319</v>
      </c>
      <c r="K79" s="20" t="s">
        <v>5327</v>
      </c>
      <c r="L79" s="28">
        <f t="shared" si="17"/>
        <v>0</v>
      </c>
      <c r="M79" s="28">
        <f t="shared" si="17"/>
        <v>0</v>
      </c>
      <c r="N79" s="28">
        <f t="shared" si="17"/>
        <v>0</v>
      </c>
      <c r="O79" s="28">
        <v>1</v>
      </c>
      <c r="P79" s="28">
        <f t="shared" si="18"/>
        <v>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8"/>
      <c r="P80" s="28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5"/>
      <c r="E81" s="25"/>
      <c r="F81" s="25"/>
      <c r="G81" s="25"/>
      <c r="J81" s="22"/>
      <c r="K81" s="22"/>
      <c r="L81" s="23"/>
      <c r="M81" s="25"/>
      <c r="N81" s="25"/>
      <c r="O81" s="31"/>
      <c r="P81" s="31"/>
      <c r="S81" s="22"/>
      <c r="T81" s="22"/>
      <c r="U81" s="23"/>
      <c r="V81" s="25"/>
      <c r="W81" s="25"/>
      <c r="X81" s="25"/>
      <c r="Y81" s="25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8"/>
      <c r="P82" s="28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8"/>
      <c r="P83" s="28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8"/>
      <c r="P84" s="28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8"/>
      <c r="P85" s="28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8"/>
      <c r="P86" s="28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8"/>
      <c r="P87" s="28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COUNTIFS(E_Suivi_Eans!$C:$C,"07/2022",E_Suivi_Eans!$D:$D,"Economat",E_Suivi_Eans!$J:$J,"Retour OK",E_Suivi_Eans!$K:$K,"&gt;31/12/2021",E_Suivi_Eans!K:K,"&lt;01/08/2022")</f>
        <v>0</v>
      </c>
      <c r="D88" s="21">
        <f>COUNTIFS(E_Suivi_Eans!$C:$C,"07/2022",E_Suivi_Eans!$D:$D,"Economat",E_Suivi_Eans!$J:$J,"Rejet 0",E_Suivi_Eans!$K:$K,"&gt;31/12/2021",E_Suivi_Eans!$K:$K,"&lt;01/08/2022")+ COUNTIFS(E_Suivi_Eans!$C:$C,"07/2022",E_Suivi_Eans!$D:$D,"Economat",E_Suivi_Eans!$J:$J,"Rejet 1",E_Suivi_Eans!$K:$K,"&gt;31/12/2021",E_Suivi_Eans!$K:$K,"&lt;01/08/2022")+COUNTIFS(E_Suivi_Eans!$C:$C,"07/2022",E_Suivi_Eans!$D:$D,"Economat",E_Suivi_Eans!$J:$J,"Rejet 2",E_Suivi_Eans!$K:$K,"&gt;31/12/2021",E_Suivi_Eans!$K:$K,"&lt;01/08/2022")+COUNTIFS(E_Suivi_Eans!$C:$C,"07/2022",E_Suivi_Eans!$D:$D,"Economat",E_Suivi_Eans!$J:$J,"Rejet 3",E_Suivi_Eans!$K:$K,"&gt;31/12/2021",E_Suivi_Eans!$K:$K,"&lt;01/08/2022")+ COUNTIFS(E_Suivi_Eans!$C:$C,"07/2022",E_Suivi_Eans!$D:$D,"Economat",E_Suivi_Eans!$J:$J,"Rejet 4",E_Suivi_Eans!$K:$K,"&gt;31/12/2021",E_Suivi_Eans!$K:$K,"&lt;01/08/2022")+COUNTIFS(E_Suivi_Eans!$C:$C,"07/2022",E_Suivi_Eans!$D:$D,"Economat",E_Suivi_Eans!$J:$J,"Relance 1",E_Suivi_Eans!$K:$K,"&gt;31/12/2021",E_Suivi_Eans!$K:$K,"&lt;01/08/2022")+COUNTIFS(E_Suivi_Eans!$C:$C,"07/2022",E_Suivi_Eans!$D:$D,"Economat",E_Suivi_Eans!$J:$J,"Relance 2",E_Suivi_Eans!$K:$K,"&gt;31/12/2021",E_Suivi_Eans!$K:$K,"&lt;01/08/2022")+COUNTIFS(E_Suivi_Eans!$C:$C,"07/2022",E_Suivi_Eans!$D:$D,"Economat",E_Suivi_Eans!$J:$J,"Relance 3",E_Suivi_Eans!$K:$K,"&gt;31/12/2021",E_Suivi_Eans!$K:$K,"&lt;01/08/2022")</f>
        <v>0</v>
      </c>
      <c r="E88" s="21">
        <f>COUNTIFS(E_Suivi_Eans!$C:$C,"07/2022",E_Suivi_Eans!$D:$D,"Economat",E_Suivi_Eans!$J:$J,"Abandon",E_Suivi_Eans!$K:$K,"&gt;31/12/2021",E_Suivi_Eans!K:K,"&lt;01/08/2022")</f>
        <v>0</v>
      </c>
      <c r="F88" s="21">
        <f>COUNTIFS(E_Suivi_Eans!$C:$C,"07/2022",E_Suivi_Eans!$D:$D,"Economat")</f>
        <v>0</v>
      </c>
      <c r="G88" s="21">
        <f>F88-E88</f>
        <v>0</v>
      </c>
      <c r="J88" s="20" t="s">
        <v>5320</v>
      </c>
      <c r="K88" s="20" t="s">
        <v>5320</v>
      </c>
      <c r="L88" s="28">
        <f t="shared" ref="L88:N92" si="19">IF($G88=0,0,C88/$G88)</f>
        <v>0</v>
      </c>
      <c r="M88" s="28">
        <f t="shared" si="19"/>
        <v>0</v>
      </c>
      <c r="N88" s="28">
        <f t="shared" si="19"/>
        <v>0</v>
      </c>
      <c r="O88" s="28">
        <v>1</v>
      </c>
      <c r="P88" s="28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COUNTIFS(E_Suivi_Eans!$C:$C,"07/2022",E_Suivi_Eans!$D:$D,"Economat",E_Suivi_Eans!$J:$J,"Retour OK",E_Suivi_Eans!$K:$K,"&gt;31/12/2021",E_Suivi_Eans!K:K,"&lt;01/09/2022")</f>
        <v>0</v>
      </c>
      <c r="D89" s="21">
        <f>COUNTIFS(E_Suivi_Eans!$C:$C,"07/2022",E_Suivi_Eans!$D:$D,"Economat",E_Suivi_Eans!$J:$J,"Rejet 0",E_Suivi_Eans!$K:$K,"&gt;31/12/2021",E_Suivi_Eans!$K:$K,"&lt;01/09/2022")+ COUNTIFS(E_Suivi_Eans!$C:$C,"07/2022",E_Suivi_Eans!$D:$D,"Economat",E_Suivi_Eans!$J:$J,"Rejet 1",E_Suivi_Eans!$K:$K,"&gt;31/12/2021",E_Suivi_Eans!$K:$K,"&lt;01/09/2022")+COUNTIFS(E_Suivi_Eans!$C:$C,"07/2022",E_Suivi_Eans!$D:$D,"Economat",E_Suivi_Eans!$J:$J,"Rejet 2",E_Suivi_Eans!$K:$K,"&gt;31/12/2021",E_Suivi_Eans!$K:$K,"&lt;01/09/2022")+COUNTIFS(E_Suivi_Eans!$C:$C,"07/2022",E_Suivi_Eans!$D:$D,"Economat",E_Suivi_Eans!$J:$J,"Rejet 3",E_Suivi_Eans!$K:$K,"&gt;31/12/2021",E_Suivi_Eans!$K:$K,"&lt;01/09/2022")+ COUNTIFS(E_Suivi_Eans!$C:$C,"07/2022",E_Suivi_Eans!$D:$D,"Economat",E_Suivi_Eans!$J:$J,"Rejet 4",E_Suivi_Eans!$K:$K,"&gt;31/12/2021",E_Suivi_Eans!$K:$K,"&lt;01/09/2022")+COUNTIFS(E_Suivi_Eans!$C:$C,"07/2022",E_Suivi_Eans!$D:$D,"Economat",E_Suivi_Eans!$J:$J,"Relance 1",E_Suivi_Eans!$K:$K,"&gt;31/12/2021",E_Suivi_Eans!$K:$K,"&lt;01/09/2022")+COUNTIFS(E_Suivi_Eans!$C:$C,"07/2022",E_Suivi_Eans!$D:$D,"Economat",E_Suivi_Eans!$J:$J,"Relance 2",E_Suivi_Eans!$K:$K,"&gt;31/12/2021",E_Suivi_Eans!$K:$K,"&lt;01/09/2022")+COUNTIFS(E_Suivi_Eans!$C:$C,"07/2022",E_Suivi_Eans!$D:$D,"Economat",E_Suivi_Eans!$J:$J,"Relance 3",E_Suivi_Eans!$K:$K,"&gt;31/12/2021",E_Suivi_Eans!$K:$K,"&lt;01/09/2022")</f>
        <v>0</v>
      </c>
      <c r="E89" s="21">
        <f>COUNTIFS(E_Suivi_Eans!$C:$C,"07/2022",E_Suivi_Eans!$D:$D,"Economat",E_Suivi_Eans!$J:$J,"Abandon",E_Suivi_Eans!$K:$K,"&gt;31/12/2021",E_Suivi_Eans!K:K,"&lt;01/09/2022")</f>
        <v>0</v>
      </c>
      <c r="F89" s="21">
        <f>COUNTIFS(E_Suivi_Eans!$C:$C,"07/2022",E_Suivi_Eans!$D:$D,"Economat")</f>
        <v>0</v>
      </c>
      <c r="G89" s="21">
        <f t="shared" ref="G89:G92" si="21">F89-E89</f>
        <v>0</v>
      </c>
      <c r="J89" s="20" t="s">
        <v>5320</v>
      </c>
      <c r="K89" s="20" t="s">
        <v>5321</v>
      </c>
      <c r="L89" s="28">
        <f t="shared" si="19"/>
        <v>0</v>
      </c>
      <c r="M89" s="28">
        <f t="shared" si="19"/>
        <v>0</v>
      </c>
      <c r="N89" s="28">
        <f t="shared" si="19"/>
        <v>0</v>
      </c>
      <c r="O89" s="28">
        <v>1</v>
      </c>
      <c r="P89" s="28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COUNTIFS(E_Suivi_Eans!$C:$C,"07/2022",E_Suivi_Eans!$D:$D,"Economat",E_Suivi_Eans!$J:$J,"Retour OK",E_Suivi_Eans!$K:$K,"&gt;31/12/2021",E_Suivi_Eans!K:K,"&lt;01/10/2022")</f>
        <v>0</v>
      </c>
      <c r="D90" s="21">
        <f>COUNTIFS(E_Suivi_Eans!$C:$C,"07/2022",E_Suivi_Eans!$D:$D,"Economat",E_Suivi_Eans!$J:$J,"Rejet 0",E_Suivi_Eans!$K:$K,"&gt;31/12/2021",E_Suivi_Eans!$K:$K,"&lt;01/10/2022")+ COUNTIFS(E_Suivi_Eans!$C:$C,"07/2022",E_Suivi_Eans!$D:$D,"Economat",E_Suivi_Eans!$J:$J,"Rejet 1",E_Suivi_Eans!$K:$K,"&gt;31/12/2021",E_Suivi_Eans!$K:$K,"&lt;01/10/2022")+COUNTIFS(E_Suivi_Eans!$C:$C,"07/2022",E_Suivi_Eans!$D:$D,"Economat",E_Suivi_Eans!$J:$J,"Rejet 2",E_Suivi_Eans!$K:$K,"&gt;31/12/2021",E_Suivi_Eans!$K:$K,"&lt;01/10/2022")+COUNTIFS(E_Suivi_Eans!$C:$C,"07/2022",E_Suivi_Eans!$D:$D,"Economat",E_Suivi_Eans!$J:$J,"Rejet 3",E_Suivi_Eans!$K:$K,"&gt;31/12/2021",E_Suivi_Eans!$K:$K,"&lt;01/10/2022")+ COUNTIFS(E_Suivi_Eans!$C:$C,"07/2022",E_Suivi_Eans!$D:$D,"Economat",E_Suivi_Eans!$J:$J,"Rejet 4",E_Suivi_Eans!$K:$K,"&gt;31/12/2021",E_Suivi_Eans!$K:$K,"&lt;01/10/2022")+COUNTIFS(E_Suivi_Eans!$C:$C,"07/2022",E_Suivi_Eans!$D:$D,"Economat",E_Suivi_Eans!$J:$J,"Relance 1",E_Suivi_Eans!$K:$K,"&gt;31/12/2021",E_Suivi_Eans!$K:$K,"&lt;01/10/2022")+COUNTIFS(E_Suivi_Eans!$C:$C,"07/2022",E_Suivi_Eans!$D:$D,"Economat",E_Suivi_Eans!$J:$J,"Relance 2",E_Suivi_Eans!$K:$K,"&gt;31/12/2021",E_Suivi_Eans!$K:$K,"&lt;01/10/2022")+COUNTIFS(E_Suivi_Eans!$C:$C,"07/2022",E_Suivi_Eans!$D:$D,"Economat",E_Suivi_Eans!$J:$J,"Relance 3",E_Suivi_Eans!$K:$K,"&gt;31/12/2021",E_Suivi_Eans!$K:$K,"&lt;01/10/2022")</f>
        <v>0</v>
      </c>
      <c r="E90" s="21">
        <f>COUNTIFS(E_Suivi_Eans!$C:$C,"07/2022",E_Suivi_Eans!$D:$D,"Economat",E_Suivi_Eans!$J:$J,"Abandon",E_Suivi_Eans!$K:$K,"&gt;31/12/2021",E_Suivi_Eans!K:K,"&lt;01/10/2022")</f>
        <v>0</v>
      </c>
      <c r="F90" s="21">
        <f>COUNTIFS(E_Suivi_Eans!$C:$C,"07/2022",E_Suivi_Eans!$D:$D,"Economat")</f>
        <v>0</v>
      </c>
      <c r="G90" s="21">
        <f t="shared" si="21"/>
        <v>0</v>
      </c>
      <c r="J90" s="20" t="s">
        <v>5320</v>
      </c>
      <c r="K90" s="20" t="s">
        <v>5325</v>
      </c>
      <c r="L90" s="28">
        <f t="shared" si="19"/>
        <v>0</v>
      </c>
      <c r="M90" s="28">
        <f t="shared" si="19"/>
        <v>0</v>
      </c>
      <c r="N90" s="28">
        <f t="shared" si="19"/>
        <v>0</v>
      </c>
      <c r="O90" s="28">
        <v>1</v>
      </c>
      <c r="P90" s="28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COUNTIFS(E_Suivi_Eans!$C:$C,"07/2022",E_Suivi_Eans!$D:$D,"Economat",E_Suivi_Eans!$J:$J,"Retour OK",E_Suivi_Eans!$K:$K,"&gt;31/12/2021",E_Suivi_Eans!K:K,"&lt;01/11/2022")</f>
        <v>0</v>
      </c>
      <c r="D91" s="21">
        <f>COUNTIFS(E_Suivi_Eans!$C:$C,"07/2022",E_Suivi_Eans!$D:$D,"Economat",E_Suivi_Eans!$J:$J,"Rejet 0",E_Suivi_Eans!$K:$K,"&gt;31/12/2021",E_Suivi_Eans!$K:$K,"&lt;01/11/2022")+ COUNTIFS(E_Suivi_Eans!$C:$C,"07/2022",E_Suivi_Eans!$D:$D,"Economat",E_Suivi_Eans!$J:$J,"Rejet 1",E_Suivi_Eans!$K:$K,"&gt;31/12/2021",E_Suivi_Eans!$K:$K,"&lt;01/11/2022")+COUNTIFS(E_Suivi_Eans!$C:$C,"07/2022",E_Suivi_Eans!$D:$D,"Economat",E_Suivi_Eans!$J:$J,"Rejet 2",E_Suivi_Eans!$K:$K,"&gt;31/12/2021",E_Suivi_Eans!$K:$K,"&lt;01/11/2022")+COUNTIFS(E_Suivi_Eans!$C:$C,"07/2022",E_Suivi_Eans!$D:$D,"Economat",E_Suivi_Eans!$J:$J,"Rejet 3",E_Suivi_Eans!$K:$K,"&gt;31/12/2021",E_Suivi_Eans!$K:$K,"&lt;01/11/2022")+ COUNTIFS(E_Suivi_Eans!$C:$C,"07/2022",E_Suivi_Eans!$D:$D,"Economat",E_Suivi_Eans!$J:$J,"Rejet 4",E_Suivi_Eans!$K:$K,"&gt;31/12/2021",E_Suivi_Eans!$K:$K,"&lt;01/11/2022")+COUNTIFS(E_Suivi_Eans!$C:$C,"07/2022",E_Suivi_Eans!$D:$D,"Economat",E_Suivi_Eans!$J:$J,"Relance 1",E_Suivi_Eans!$K:$K,"&gt;31/12/2021",E_Suivi_Eans!$K:$K,"&lt;01/11/2022")+COUNTIFS(E_Suivi_Eans!$C:$C,"07/2022",E_Suivi_Eans!$D:$D,"Economat",E_Suivi_Eans!$J:$J,"Relance 2",E_Suivi_Eans!$K:$K,"&gt;31/12/2021",E_Suivi_Eans!$K:$K,"&lt;01/11/2022")+COUNTIFS(E_Suivi_Eans!$C:$C,"07/2022",E_Suivi_Eans!$D:$D,"Economat",E_Suivi_Eans!$J:$J,"Relance 3",E_Suivi_Eans!$K:$K,"&gt;31/12/2021",E_Suivi_Eans!$K:$K,"&lt;01/11/2022")</f>
        <v>0</v>
      </c>
      <c r="E91" s="21">
        <f>COUNTIFS(E_Suivi_Eans!$C:$C,"07/2022",E_Suivi_Eans!$D:$D,"Economat",E_Suivi_Eans!$J:$J,"Abandon",E_Suivi_Eans!$K:$K,"&gt;31/12/2021",E_Suivi_Eans!K:K,"&lt;01/11/2022")</f>
        <v>0</v>
      </c>
      <c r="F91" s="21">
        <f>COUNTIFS(E_Suivi_Eans!$C:$C,"07/2022",E_Suivi_Eans!$D:$D,"Economat")</f>
        <v>0</v>
      </c>
      <c r="G91" s="21">
        <f t="shared" si="21"/>
        <v>0</v>
      </c>
      <c r="J91" s="20" t="s">
        <v>5320</v>
      </c>
      <c r="K91" s="20" t="s">
        <v>5326</v>
      </c>
      <c r="L91" s="28">
        <f t="shared" si="19"/>
        <v>0</v>
      </c>
      <c r="M91" s="28">
        <f t="shared" si="19"/>
        <v>0</v>
      </c>
      <c r="N91" s="28">
        <f t="shared" si="19"/>
        <v>0</v>
      </c>
      <c r="O91" s="28">
        <v>1</v>
      </c>
      <c r="P91" s="28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COUNTIFS(E_Suivi_Eans!$C:$C,"07/2022",E_Suivi_Eans!$D:$D,"Economat",E_Suivi_Eans!$J:$J,"Retour OK",E_Suivi_Eans!$K:$K,"&gt;31/12/2021",E_Suivi_Eans!K:K,"&lt;01/12/2022")</f>
        <v>0</v>
      </c>
      <c r="D92" s="21">
        <f>COUNTIFS(E_Suivi_Eans!$C:$C,"07/2022",E_Suivi_Eans!$D:$D,"Economat",E_Suivi_Eans!$J:$J,"Rejet 0",E_Suivi_Eans!$K:$K,"&gt;31/12/2021",E_Suivi_Eans!$K:$K,"&lt;01/12/2022")+ COUNTIFS(E_Suivi_Eans!$C:$C,"07/2022",E_Suivi_Eans!$D:$D,"Economat",E_Suivi_Eans!$J:$J,"Rejet 1",E_Suivi_Eans!$K:$K,"&gt;31/12/2021",E_Suivi_Eans!$K:$K,"&lt;01/12/2022")+COUNTIFS(E_Suivi_Eans!$C:$C,"07/2022",E_Suivi_Eans!$D:$D,"Economat",E_Suivi_Eans!$J:$J,"Rejet 2",E_Suivi_Eans!$K:$K,"&gt;31/12/2021",E_Suivi_Eans!$K:$K,"&lt;01/12/2022")+COUNTIFS(E_Suivi_Eans!$C:$C,"07/2022",E_Suivi_Eans!$D:$D,"Economat",E_Suivi_Eans!$J:$J,"Rejet 3",E_Suivi_Eans!$K:$K,"&gt;31/12/2021",E_Suivi_Eans!$K:$K,"&lt;01/12/2022")+ COUNTIFS(E_Suivi_Eans!$C:$C,"07/2022",E_Suivi_Eans!$D:$D,"Economat",E_Suivi_Eans!$J:$J,"Rejet 4",E_Suivi_Eans!$K:$K,"&gt;31/12/2021",E_Suivi_Eans!$K:$K,"&lt;01/12/2022")+COUNTIFS(E_Suivi_Eans!$C:$C,"07/2022",E_Suivi_Eans!$D:$D,"Economat",E_Suivi_Eans!$J:$J,"Relance 1",E_Suivi_Eans!$K:$K,"&gt;31/12/2021",E_Suivi_Eans!$K:$K,"&lt;01/12/2022")+COUNTIFS(E_Suivi_Eans!$C:$C,"07/2022",E_Suivi_Eans!$D:$D,"Economat",E_Suivi_Eans!$J:$J,"Relance 2",E_Suivi_Eans!$K:$K,"&gt;31/12/2021",E_Suivi_Eans!$K:$K,"&lt;01/12/2022")+COUNTIFS(E_Suivi_Eans!$C:$C,"07/2022",E_Suivi_Eans!$D:$D,"Economat",E_Suivi_Eans!$J:$J,"Relance 3",E_Suivi_Eans!$K:$K,"&gt;31/12/2021",E_Suivi_Eans!$K:$K,"&lt;01/12/2022")</f>
        <v>0</v>
      </c>
      <c r="E92" s="21">
        <f>COUNTIFS(E_Suivi_Eans!$C:$C,"07/2022",E_Suivi_Eans!$D:$D,"Economat",E_Suivi_Eans!$J:$J,"Abandon",E_Suivi_Eans!$K:$K,"&gt;31/12/2021",E_Suivi_Eans!K:K,"&lt;01/12/2022")</f>
        <v>0</v>
      </c>
      <c r="F92" s="21">
        <f>COUNTIFS(E_Suivi_Eans!$C:$C,"07/2022",E_Suivi_Eans!$D:$D,"Economat")</f>
        <v>0</v>
      </c>
      <c r="G92" s="21">
        <f t="shared" si="21"/>
        <v>0</v>
      </c>
      <c r="J92" s="20" t="s">
        <v>5320</v>
      </c>
      <c r="K92" s="20" t="s">
        <v>5327</v>
      </c>
      <c r="L92" s="28">
        <f t="shared" si="19"/>
        <v>0</v>
      </c>
      <c r="M92" s="28">
        <f t="shared" si="19"/>
        <v>0</v>
      </c>
      <c r="N92" s="28">
        <f t="shared" si="19"/>
        <v>0</v>
      </c>
      <c r="O92" s="28">
        <v>1</v>
      </c>
      <c r="P92" s="28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8"/>
      <c r="P93" s="28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5"/>
      <c r="E94" s="25"/>
      <c r="F94" s="25"/>
      <c r="G94" s="25"/>
      <c r="J94" s="22"/>
      <c r="K94" s="22"/>
      <c r="L94" s="23"/>
      <c r="M94" s="25"/>
      <c r="N94" s="25"/>
      <c r="O94" s="31"/>
      <c r="P94" s="31"/>
      <c r="S94" s="22"/>
      <c r="T94" s="22"/>
      <c r="U94" s="23"/>
      <c r="V94" s="25"/>
      <c r="W94" s="25"/>
      <c r="X94" s="25"/>
      <c r="Y94" s="25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8"/>
      <c r="P95" s="28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8"/>
      <c r="P96" s="28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8"/>
      <c r="P97" s="28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8"/>
      <c r="P98" s="28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8"/>
      <c r="P99" s="28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8"/>
      <c r="P100" s="28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8"/>
      <c r="P101" s="28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COUNTIFS(E_Suivi_Eans!$C:$C,"08/2022",E_Suivi_Eans!$D:$D,"Economat",E_Suivi_Eans!$J:$J,"Retour OK",E_Suivi_Eans!$K:$K,"&gt;31/12/2021",E_Suivi_Eans!K:K,"&lt;01/09/2022")</f>
        <v>0</v>
      </c>
      <c r="D102" s="21">
        <f>COUNTIFS(E_Suivi_Eans!$C:$C,"08/2022",E_Suivi_Eans!$D:$D,"Economat",E_Suivi_Eans!$J:$J,"Rejet 0",E_Suivi_Eans!$K:$K,"&gt;31/12/2021",E_Suivi_Eans!$K:$K,"&lt;01/09/2022")+ COUNTIFS(E_Suivi_Eans!$C:$C,"08/2022",E_Suivi_Eans!$D:$D,"Economat",E_Suivi_Eans!$J:$J,"Rejet 1",E_Suivi_Eans!$K:$K,"&gt;31/12/2021",E_Suivi_Eans!$K:$K,"&lt;01/09/2022")+COUNTIFS(E_Suivi_Eans!$C:$C,"08/2022",E_Suivi_Eans!$D:$D,"Economat",E_Suivi_Eans!$J:$J,"Rejet 2",E_Suivi_Eans!$K:$K,"&gt;31/12/2021",E_Suivi_Eans!$K:$K,"&lt;01/09/2022")+COUNTIFS(E_Suivi_Eans!$C:$C,"08/2022",E_Suivi_Eans!$D:$D,"Economat",E_Suivi_Eans!$J:$J,"Rejet 3",E_Suivi_Eans!$K:$K,"&gt;31/12/2021",E_Suivi_Eans!$K:$K,"&lt;01/09/2022")+ COUNTIFS(E_Suivi_Eans!$C:$C,"08/2022",E_Suivi_Eans!$D:$D,"Economat",E_Suivi_Eans!$J:$J,"Rejet 4",E_Suivi_Eans!$K:$K,"&gt;31/12/2021",E_Suivi_Eans!$K:$K,"&lt;01/09/2022")+COUNTIFS(E_Suivi_Eans!$C:$C,"08/2022",E_Suivi_Eans!$D:$D,"Economat",E_Suivi_Eans!$J:$J,"Relance 1",E_Suivi_Eans!$K:$K,"&gt;31/12/2021",E_Suivi_Eans!$K:$K,"&lt;01/09/2022")+COUNTIFS(E_Suivi_Eans!$C:$C,"08/2022",E_Suivi_Eans!$D:$D,"Economat",E_Suivi_Eans!$J:$J,"Relance 2",E_Suivi_Eans!$K:$K,"&gt;31/12/2021",E_Suivi_Eans!$K:$K,"&lt;01/09/2022")+COUNTIFS(E_Suivi_Eans!$C:$C,"08/2022",E_Suivi_Eans!$D:$D,"Economat",E_Suivi_Eans!$J:$J,"Relance 3",E_Suivi_Eans!$K:$K,"&gt;31/12/2021",E_Suivi_Eans!$K:$K,"&lt;01/09/2022")</f>
        <v>0</v>
      </c>
      <c r="E102" s="21">
        <f>COUNTIFS(E_Suivi_Eans!$C:$C,"08/2022",E_Suivi_Eans!$D:$D,"Economat",E_Suivi_Eans!$J:$J,"Abandon",E_Suivi_Eans!$K:$K,"&gt;31/12/2021",E_Suivi_Eans!K:K,"&lt;01/09/2022")</f>
        <v>0</v>
      </c>
      <c r="F102" s="21">
        <f>COUNTIFS(E_Suivi_Eans!$C:$C,"08/2022",E_Suivi_Eans!$D:$D,"Economat")</f>
        <v>0</v>
      </c>
      <c r="G102" s="21">
        <f>F102-E102</f>
        <v>0</v>
      </c>
      <c r="J102" s="20" t="s">
        <v>5321</v>
      </c>
      <c r="K102" s="20" t="s">
        <v>5321</v>
      </c>
      <c r="L102" s="28">
        <f t="shared" ref="L102:N105" si="22">IF($G102=0,0,C102/$G102)</f>
        <v>0</v>
      </c>
      <c r="M102" s="28">
        <f t="shared" si="22"/>
        <v>0</v>
      </c>
      <c r="N102" s="28">
        <f t="shared" si="22"/>
        <v>0</v>
      </c>
      <c r="O102" s="28">
        <v>1</v>
      </c>
      <c r="P102" s="28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COUNTIFS(E_Suivi_Eans!$C:$C,"08/2022",E_Suivi_Eans!$D:$D,"Economat",E_Suivi_Eans!$J:$J,"Retour OK",E_Suivi_Eans!$K:$K,"&gt;31/12/2021",E_Suivi_Eans!K:K,"&lt;01/10/2022")</f>
        <v>0</v>
      </c>
      <c r="D103" s="21">
        <f>COUNTIFS(E_Suivi_Eans!$C:$C,"08/2022",E_Suivi_Eans!$D:$D,"Economat",E_Suivi_Eans!$J:$J,"Rejet 0",E_Suivi_Eans!$K:$K,"&gt;31/12/2021",E_Suivi_Eans!$K:$K,"&lt;01/10/2022")+ COUNTIFS(E_Suivi_Eans!$C:$C,"08/2022",E_Suivi_Eans!$D:$D,"Economat",E_Suivi_Eans!$J:$J,"Rejet 1",E_Suivi_Eans!$K:$K,"&gt;31/12/2021",E_Suivi_Eans!$K:$K,"&lt;01/10/2022")+COUNTIFS(E_Suivi_Eans!$C:$C,"08/2022",E_Suivi_Eans!$D:$D,"Economat",E_Suivi_Eans!$J:$J,"Rejet 2",E_Suivi_Eans!$K:$K,"&gt;31/12/2021",E_Suivi_Eans!$K:$K,"&lt;01/10/2022")+COUNTIFS(E_Suivi_Eans!$C:$C,"08/2022",E_Suivi_Eans!$D:$D,"Economat",E_Suivi_Eans!$J:$J,"Rejet 3",E_Suivi_Eans!$K:$K,"&gt;31/12/2021",E_Suivi_Eans!$K:$K,"&lt;01/10/2022")+ COUNTIFS(E_Suivi_Eans!$C:$C,"08/2022",E_Suivi_Eans!$D:$D,"Economat",E_Suivi_Eans!$J:$J,"Rejet 4",E_Suivi_Eans!$K:$K,"&gt;31/12/2021",E_Suivi_Eans!$K:$K,"&lt;01/10/2022")+COUNTIFS(E_Suivi_Eans!$C:$C,"08/2022",E_Suivi_Eans!$D:$D,"Economat",E_Suivi_Eans!$J:$J,"Relance 1",E_Suivi_Eans!$K:$K,"&gt;31/12/2021",E_Suivi_Eans!$K:$K,"&lt;01/10/2022")+COUNTIFS(E_Suivi_Eans!$C:$C,"08/2022",E_Suivi_Eans!$D:$D,"Economat",E_Suivi_Eans!$J:$J,"Relance 2",E_Suivi_Eans!$K:$K,"&gt;31/12/2021",E_Suivi_Eans!$K:$K,"&lt;01/10/2022")+COUNTIFS(E_Suivi_Eans!$C:$C,"08/2022",E_Suivi_Eans!$D:$D,"Economat",E_Suivi_Eans!$J:$J,"Relance 3",E_Suivi_Eans!$K:$K,"&gt;31/12/2021",E_Suivi_Eans!$K:$K,"&lt;01/10/2022")</f>
        <v>0</v>
      </c>
      <c r="E103" s="21">
        <f>COUNTIFS(E_Suivi_Eans!$C:$C,"08/2022",E_Suivi_Eans!$D:$D,"Economat",E_Suivi_Eans!$J:$J,"Abandon",E_Suivi_Eans!$K:$K,"&gt;31/12/2021",E_Suivi_Eans!K:K,"&lt;01/10/2022")</f>
        <v>0</v>
      </c>
      <c r="F103" s="21">
        <f>COUNTIFS(E_Suivi_Eans!$C:$C,"08/2022",E_Suivi_Eans!$D:$D,"Economat")</f>
        <v>0</v>
      </c>
      <c r="G103" s="21">
        <f t="shared" ref="G103:G105" si="24">F103-E103</f>
        <v>0</v>
      </c>
      <c r="J103" s="20" t="s">
        <v>5321</v>
      </c>
      <c r="K103" s="20" t="s">
        <v>5325</v>
      </c>
      <c r="L103" s="28">
        <f t="shared" si="22"/>
        <v>0</v>
      </c>
      <c r="M103" s="28">
        <f t="shared" si="22"/>
        <v>0</v>
      </c>
      <c r="N103" s="28">
        <f t="shared" si="22"/>
        <v>0</v>
      </c>
      <c r="O103" s="28">
        <v>1</v>
      </c>
      <c r="P103" s="28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COUNTIFS(E_Suivi_Eans!$C:$C,"08/2022",E_Suivi_Eans!$D:$D,"Economat",E_Suivi_Eans!$J:$J,"Retour OK",E_Suivi_Eans!$K:$K,"&gt;31/12/2021",E_Suivi_Eans!K:K,"&lt;01/11/2022")</f>
        <v>0</v>
      </c>
      <c r="D104" s="21">
        <f>COUNTIFS(E_Suivi_Eans!$C:$C,"08/2022",E_Suivi_Eans!$D:$D,"Economat",E_Suivi_Eans!$J:$J,"Rejet 0",E_Suivi_Eans!$K:$K,"&gt;31/12/2021",E_Suivi_Eans!$K:$K,"&lt;01/11/2022")+ COUNTIFS(E_Suivi_Eans!$C:$C,"08/2022",E_Suivi_Eans!$D:$D,"Economat",E_Suivi_Eans!$J:$J,"Rejet 1",E_Suivi_Eans!$K:$K,"&gt;31/12/2021",E_Suivi_Eans!$K:$K,"&lt;01/11/2022")+COUNTIFS(E_Suivi_Eans!$C:$C,"08/2022",E_Suivi_Eans!$D:$D,"Economat",E_Suivi_Eans!$J:$J,"Rejet 2",E_Suivi_Eans!$K:$K,"&gt;31/12/2021",E_Suivi_Eans!$K:$K,"&lt;01/11/2022")+COUNTIFS(E_Suivi_Eans!$C:$C,"08/2022",E_Suivi_Eans!$D:$D,"Economat",E_Suivi_Eans!$J:$J,"Rejet 3",E_Suivi_Eans!$K:$K,"&gt;31/12/2021",E_Suivi_Eans!$K:$K,"&lt;01/11/2022")+ COUNTIFS(E_Suivi_Eans!$C:$C,"08/2022",E_Suivi_Eans!$D:$D,"Economat",E_Suivi_Eans!$J:$J,"Rejet 4",E_Suivi_Eans!$K:$K,"&gt;31/12/2021",E_Suivi_Eans!$K:$K,"&lt;01/11/2022")+COUNTIFS(E_Suivi_Eans!$C:$C,"08/2022",E_Suivi_Eans!$D:$D,"Economat",E_Suivi_Eans!$J:$J,"Relance 1",E_Suivi_Eans!$K:$K,"&gt;31/12/2021",E_Suivi_Eans!$K:$K,"&lt;01/11/2022")+COUNTIFS(E_Suivi_Eans!$C:$C,"08/2022",E_Suivi_Eans!$D:$D,"Economat",E_Suivi_Eans!$J:$J,"Relance 2",E_Suivi_Eans!$K:$K,"&gt;31/12/2021",E_Suivi_Eans!$K:$K,"&lt;01/11/2022")+COUNTIFS(E_Suivi_Eans!$C:$C,"08/2022",E_Suivi_Eans!$D:$D,"Economat",E_Suivi_Eans!$J:$J,"Relance 3",E_Suivi_Eans!$K:$K,"&gt;31/12/2021",E_Suivi_Eans!$K:$K,"&lt;01/11/2022")</f>
        <v>0</v>
      </c>
      <c r="E104" s="21">
        <f>COUNTIFS(E_Suivi_Eans!$C:$C,"08/2022",E_Suivi_Eans!$D:$D,"Economat",E_Suivi_Eans!$J:$J,"Abandon",E_Suivi_Eans!$K:$K,"&gt;31/12/2021",E_Suivi_Eans!K:K,"&lt;01/11/2022")</f>
        <v>0</v>
      </c>
      <c r="F104" s="21">
        <f>COUNTIFS(E_Suivi_Eans!$C:$C,"08/2022",E_Suivi_Eans!$D:$D,"Economat")</f>
        <v>0</v>
      </c>
      <c r="G104" s="21">
        <f t="shared" si="24"/>
        <v>0</v>
      </c>
      <c r="J104" s="20" t="s">
        <v>5321</v>
      </c>
      <c r="K104" s="20" t="s">
        <v>5326</v>
      </c>
      <c r="L104" s="28">
        <f t="shared" si="22"/>
        <v>0</v>
      </c>
      <c r="M104" s="28">
        <f t="shared" si="22"/>
        <v>0</v>
      </c>
      <c r="N104" s="28">
        <f t="shared" si="22"/>
        <v>0</v>
      </c>
      <c r="O104" s="28">
        <v>1</v>
      </c>
      <c r="P104" s="28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COUNTIFS(E_Suivi_Eans!$C:$C,"08/2022",E_Suivi_Eans!$D:$D,"Economat",E_Suivi_Eans!$J:$J,"Retour OK",E_Suivi_Eans!$K:$K,"&gt;31/12/2021",E_Suivi_Eans!K:K,"&lt;01/12/2022")</f>
        <v>0</v>
      </c>
      <c r="D105" s="21">
        <f>COUNTIFS(E_Suivi_Eans!$C:$C,"08/2022",E_Suivi_Eans!$D:$D,"Economat",E_Suivi_Eans!$J:$J,"Rejet 0",E_Suivi_Eans!$K:$K,"&gt;31/12/2021",E_Suivi_Eans!$K:$K,"&lt;01/12/2022")+ COUNTIFS(E_Suivi_Eans!$C:$C,"08/2022",E_Suivi_Eans!$D:$D,"Economat",E_Suivi_Eans!$J:$J,"Rejet 1",E_Suivi_Eans!$K:$K,"&gt;31/12/2021",E_Suivi_Eans!$K:$K,"&lt;01/12/2022")+COUNTIFS(E_Suivi_Eans!$C:$C,"08/2022",E_Suivi_Eans!$D:$D,"Economat",E_Suivi_Eans!$J:$J,"Rejet 2",E_Suivi_Eans!$K:$K,"&gt;31/12/2021",E_Suivi_Eans!$K:$K,"&lt;01/12/2022")+COUNTIFS(E_Suivi_Eans!$C:$C,"08/2022",E_Suivi_Eans!$D:$D,"Economat",E_Suivi_Eans!$J:$J,"Rejet 3",E_Suivi_Eans!$K:$K,"&gt;31/12/2021",E_Suivi_Eans!$K:$K,"&lt;01/12/2022")+ COUNTIFS(E_Suivi_Eans!$C:$C,"08/2022",E_Suivi_Eans!$D:$D,"Economat",E_Suivi_Eans!$J:$J,"Rejet 4",E_Suivi_Eans!$K:$K,"&gt;31/12/2021",E_Suivi_Eans!$K:$K,"&lt;01/12/2022")+COUNTIFS(E_Suivi_Eans!$C:$C,"08/2022",E_Suivi_Eans!$D:$D,"Economat",E_Suivi_Eans!$J:$J,"Relance 1",E_Suivi_Eans!$K:$K,"&gt;31/12/2021",E_Suivi_Eans!$K:$K,"&lt;01/12/2022")+COUNTIFS(E_Suivi_Eans!$C:$C,"08/2022",E_Suivi_Eans!$D:$D,"Economat",E_Suivi_Eans!$J:$J,"Relance 2",E_Suivi_Eans!$K:$K,"&gt;31/12/2021",E_Suivi_Eans!$K:$K,"&lt;01/12/2022")+COUNTIFS(E_Suivi_Eans!$C:$C,"08/2022",E_Suivi_Eans!$D:$D,"Economat",E_Suivi_Eans!$J:$J,"Relance 3",E_Suivi_Eans!$K:$K,"&gt;31/12/2021",E_Suivi_Eans!$K:$K,"&lt;01/12/2022")</f>
        <v>0</v>
      </c>
      <c r="E105" s="21">
        <f>COUNTIFS(E_Suivi_Eans!$C:$C,"08/2022",E_Suivi_Eans!$D:$D,"Economat",E_Suivi_Eans!$J:$J,"Abandon",E_Suivi_Eans!$K:$K,"&gt;31/12/2021",E_Suivi_Eans!K:K,"&lt;01/12/2022")</f>
        <v>0</v>
      </c>
      <c r="F105" s="21">
        <f>COUNTIFS(E_Suivi_Eans!$C:$C,"08/2022",E_Suivi_Eans!$D:$D,"Economat")</f>
        <v>0</v>
      </c>
      <c r="G105" s="21">
        <f t="shared" si="24"/>
        <v>0</v>
      </c>
      <c r="J105" s="20" t="s">
        <v>5321</v>
      </c>
      <c r="K105" s="20" t="s">
        <v>5327</v>
      </c>
      <c r="L105" s="28">
        <f t="shared" si="22"/>
        <v>0</v>
      </c>
      <c r="M105" s="28">
        <f t="shared" si="22"/>
        <v>0</v>
      </c>
      <c r="N105" s="28">
        <f t="shared" si="22"/>
        <v>0</v>
      </c>
      <c r="O105" s="28">
        <v>1</v>
      </c>
      <c r="P105" s="28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8"/>
      <c r="P106" s="28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5"/>
      <c r="E107" s="25"/>
      <c r="F107" s="25"/>
      <c r="G107" s="25"/>
      <c r="J107" s="22"/>
      <c r="K107" s="22"/>
      <c r="L107" s="23"/>
      <c r="M107" s="25"/>
      <c r="N107" s="25"/>
      <c r="O107" s="31"/>
      <c r="P107" s="31"/>
      <c r="S107" s="22"/>
      <c r="T107" s="22"/>
      <c r="U107" s="23"/>
      <c r="V107" s="25"/>
      <c r="W107" s="25"/>
      <c r="X107" s="25"/>
      <c r="Y107" s="25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8"/>
      <c r="P108" s="28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8"/>
      <c r="P109" s="28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8"/>
      <c r="P110" s="28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8"/>
      <c r="P111" s="28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8"/>
      <c r="P112" s="28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8"/>
      <c r="P113" s="28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8"/>
      <c r="P114" s="28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8"/>
      <c r="P115" s="28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COUNTIFS(E_Suivi_Eans!$C:$C,"09/2022",E_Suivi_Eans!$D:$D,"Economat",E_Suivi_Eans!$J:$J,"Retour OK",E_Suivi_Eans!$K:$K,"&gt;31/12/2021",E_Suivi_Eans!K:K,"&lt;01/10/2022")</f>
        <v>0</v>
      </c>
      <c r="D116" s="21">
        <f>COUNTIFS(E_Suivi_Eans!$C:$C,"09/2022",E_Suivi_Eans!$D:$D,"Economat",E_Suivi_Eans!$J:$J,"Rejet 0",E_Suivi_Eans!$K:$K,"&gt;31/12/2021",E_Suivi_Eans!$K:$K,"&lt;01/10/2022")+ COUNTIFS(E_Suivi_Eans!$C:$C,"09/2022",E_Suivi_Eans!$D:$D,"Economat",E_Suivi_Eans!$J:$J,"Rejet 1",E_Suivi_Eans!$K:$K,"&gt;31/12/2021",E_Suivi_Eans!$K:$K,"&lt;01/10/2022")+COUNTIFS(E_Suivi_Eans!$C:$C,"09/2022",E_Suivi_Eans!$D:$D,"Economat",E_Suivi_Eans!$J:$J,"Rejet 2",E_Suivi_Eans!$K:$K,"&gt;31/12/2021",E_Suivi_Eans!$K:$K,"&lt;01/10/2022")+COUNTIFS(E_Suivi_Eans!$C:$C,"09/2022",E_Suivi_Eans!$D:$D,"Economat",E_Suivi_Eans!$J:$J,"Rejet 3",E_Suivi_Eans!$K:$K,"&gt;31/12/2021",E_Suivi_Eans!$K:$K,"&lt;01/10/2022")+ COUNTIFS(E_Suivi_Eans!$C:$C,"09/2022",E_Suivi_Eans!$D:$D,"Economat",E_Suivi_Eans!$J:$J,"Rejet 4",E_Suivi_Eans!$K:$K,"&gt;31/12/2021",E_Suivi_Eans!$K:$K,"&lt;01/10/2022")+COUNTIFS(E_Suivi_Eans!$C:$C,"09/2022",E_Suivi_Eans!$D:$D,"Economat",E_Suivi_Eans!$J:$J,"Relance 1",E_Suivi_Eans!$K:$K,"&gt;31/12/2021",E_Suivi_Eans!$K:$K,"&lt;01/10/2022")+COUNTIFS(E_Suivi_Eans!$C:$C,"09/2022",E_Suivi_Eans!$D:$D,"Economat",E_Suivi_Eans!$J:$J,"Relance 2",E_Suivi_Eans!$K:$K,"&gt;31/12/2021",E_Suivi_Eans!$K:$K,"&lt;01/10/2022")+COUNTIFS(E_Suivi_Eans!$C:$C,"09/2022",E_Suivi_Eans!$D:$D,"Economat",E_Suivi_Eans!$J:$J,"Relance 3",E_Suivi_Eans!$K:$K,"&gt;31/12/2021",E_Suivi_Eans!$K:$K,"&lt;01/10/2022")</f>
        <v>0</v>
      </c>
      <c r="E116" s="21">
        <f>COUNTIFS(E_Suivi_Eans!$C:$C,"09/2022",E_Suivi_Eans!$D:$D,"Economat",E_Suivi_Eans!$J:$J,"Abandon",E_Suivi_Eans!$K:$K,"&gt;31/12/2021",E_Suivi_Eans!K:K,"&lt;01/10/2022")</f>
        <v>0</v>
      </c>
      <c r="F116" s="21">
        <f>COUNTIFS(E_Suivi_Eans!$C:$C,"09/2022",E_Suivi_Eans!$D:$D,"Economat")</f>
        <v>0</v>
      </c>
      <c r="G116" s="21">
        <f t="shared" ref="G116:G118" si="25">F116-E116</f>
        <v>0</v>
      </c>
      <c r="J116" s="20" t="s">
        <v>5325</v>
      </c>
      <c r="K116" s="20" t="s">
        <v>5325</v>
      </c>
      <c r="L116" s="28">
        <f t="shared" ref="L116:N118" si="26">IF($G116=0,0,C116/$G116)</f>
        <v>0</v>
      </c>
      <c r="M116" s="28">
        <f t="shared" si="26"/>
        <v>0</v>
      </c>
      <c r="N116" s="28">
        <f t="shared" si="26"/>
        <v>0</v>
      </c>
      <c r="O116" s="28">
        <v>1</v>
      </c>
      <c r="P116" s="28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COUNTIFS(E_Suivi_Eans!$C:$C,"09/2022",E_Suivi_Eans!$D:$D,"Economat",E_Suivi_Eans!$J:$J,"Retour OK",E_Suivi_Eans!$K:$K,"&gt;31/12/2021",E_Suivi_Eans!K:K,"&lt;01/11/2022")</f>
        <v>0</v>
      </c>
      <c r="D117" s="21">
        <f>COUNTIFS(E_Suivi_Eans!$C:$C,"09/2022",E_Suivi_Eans!$D:$D,"Economat",E_Suivi_Eans!$J:$J,"Rejet 0",E_Suivi_Eans!$K:$K,"&gt;31/12/2021",E_Suivi_Eans!$K:$K,"&lt;01/11/2022")+ COUNTIFS(E_Suivi_Eans!$C:$C,"09/2022",E_Suivi_Eans!$D:$D,"Economat",E_Suivi_Eans!$J:$J,"Rejet 1",E_Suivi_Eans!$K:$K,"&gt;31/12/2021",E_Suivi_Eans!$K:$K,"&lt;01/11/2022")+COUNTIFS(E_Suivi_Eans!$C:$C,"09/2022",E_Suivi_Eans!$D:$D,"Economat",E_Suivi_Eans!$J:$J,"Rejet 2",E_Suivi_Eans!$K:$K,"&gt;31/12/2021",E_Suivi_Eans!$K:$K,"&lt;01/11/2022")+COUNTIFS(E_Suivi_Eans!$C:$C,"09/2022",E_Suivi_Eans!$D:$D,"Economat",E_Suivi_Eans!$J:$J,"Rejet 3",E_Suivi_Eans!$K:$K,"&gt;31/12/2021",E_Suivi_Eans!$K:$K,"&lt;01/11/2022")+ COUNTIFS(E_Suivi_Eans!$C:$C,"09/2022",E_Suivi_Eans!$D:$D,"Economat",E_Suivi_Eans!$J:$J,"Rejet 4",E_Suivi_Eans!$K:$K,"&gt;31/12/2021",E_Suivi_Eans!$K:$K,"&lt;01/11/2022")+COUNTIFS(E_Suivi_Eans!$C:$C,"09/2022",E_Suivi_Eans!$D:$D,"Economat",E_Suivi_Eans!$J:$J,"Relance 1",E_Suivi_Eans!$K:$K,"&gt;31/12/2021",E_Suivi_Eans!$K:$K,"&lt;01/11/2022")+COUNTIFS(E_Suivi_Eans!$C:$C,"09/2022",E_Suivi_Eans!$D:$D,"Economat",E_Suivi_Eans!$J:$J,"Relance 2",E_Suivi_Eans!$K:$K,"&gt;31/12/2021",E_Suivi_Eans!$K:$K,"&lt;01/11/2022")+COUNTIFS(E_Suivi_Eans!$C:$C,"09/2022",E_Suivi_Eans!$D:$D,"Economat",E_Suivi_Eans!$J:$J,"Relance 3",E_Suivi_Eans!$K:$K,"&gt;31/12/2021",E_Suivi_Eans!$K:$K,"&lt;01/11/2022")</f>
        <v>0</v>
      </c>
      <c r="E117" s="21">
        <f>COUNTIFS(E_Suivi_Eans!$C:$C,"09/2022",E_Suivi_Eans!$D:$D,"Economat",E_Suivi_Eans!$J:$J,"Abandon",E_Suivi_Eans!$K:$K,"&gt;31/12/2021",E_Suivi_Eans!K:K,"&lt;01/11/2022")</f>
        <v>0</v>
      </c>
      <c r="F117" s="21">
        <f>COUNTIFS(E_Suivi_Eans!$C:$C,"09/2022",E_Suivi_Eans!$D:$D,"Economat")</f>
        <v>0</v>
      </c>
      <c r="G117" s="21">
        <f t="shared" si="25"/>
        <v>0</v>
      </c>
      <c r="J117" s="20" t="s">
        <v>5325</v>
      </c>
      <c r="K117" s="20" t="s">
        <v>5326</v>
      </c>
      <c r="L117" s="28">
        <f t="shared" si="26"/>
        <v>0</v>
      </c>
      <c r="M117" s="28">
        <f t="shared" si="26"/>
        <v>0</v>
      </c>
      <c r="N117" s="28">
        <f t="shared" si="26"/>
        <v>0</v>
      </c>
      <c r="O117" s="28">
        <v>1</v>
      </c>
      <c r="P117" s="28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COUNTIFS(E_Suivi_Eans!$C:$C,"09/2022",E_Suivi_Eans!$D:$D,"Economat",E_Suivi_Eans!$J:$J,"Retour OK",E_Suivi_Eans!$K:$K,"&gt;31/12/2021",E_Suivi_Eans!K:K,"&lt;01/12/2022")</f>
        <v>0</v>
      </c>
      <c r="D118" s="21">
        <f>COUNTIFS(E_Suivi_Eans!$C:$C,"09/2022",E_Suivi_Eans!$D:$D,"Economat",E_Suivi_Eans!$J:$J,"Rejet 0",E_Suivi_Eans!$K:$K,"&gt;31/12/2021",E_Suivi_Eans!$K:$K,"&lt;01/12/2022")+ COUNTIFS(E_Suivi_Eans!$C:$C,"09/2022",E_Suivi_Eans!$D:$D,"Economat",E_Suivi_Eans!$J:$J,"Rejet 1",E_Suivi_Eans!$K:$K,"&gt;31/12/2021",E_Suivi_Eans!$K:$K,"&lt;01/12/2022")+COUNTIFS(E_Suivi_Eans!$C:$C,"09/2022",E_Suivi_Eans!$D:$D,"Economat",E_Suivi_Eans!$J:$J,"Rejet 2",E_Suivi_Eans!$K:$K,"&gt;31/12/2021",E_Suivi_Eans!$K:$K,"&lt;01/12/2022")+COUNTIFS(E_Suivi_Eans!$C:$C,"09/2022",E_Suivi_Eans!$D:$D,"Economat",E_Suivi_Eans!$J:$J,"Rejet 3",E_Suivi_Eans!$K:$K,"&gt;31/12/2021",E_Suivi_Eans!$K:$K,"&lt;01/12/2022")+ COUNTIFS(E_Suivi_Eans!$C:$C,"09/2022",E_Suivi_Eans!$D:$D,"Economat",E_Suivi_Eans!$J:$J,"Rejet 4",E_Suivi_Eans!$K:$K,"&gt;31/12/2021",E_Suivi_Eans!$K:$K,"&lt;01/12/2022")+COUNTIFS(E_Suivi_Eans!$C:$C,"09/2022",E_Suivi_Eans!$D:$D,"Economat",E_Suivi_Eans!$J:$J,"Relance 1",E_Suivi_Eans!$K:$K,"&gt;31/12/2021",E_Suivi_Eans!$K:$K,"&lt;01/12/2022")+COUNTIFS(E_Suivi_Eans!$C:$C,"09/2022",E_Suivi_Eans!$D:$D,"Economat",E_Suivi_Eans!$J:$J,"Relance 2",E_Suivi_Eans!$K:$K,"&gt;31/12/2021",E_Suivi_Eans!$K:$K,"&lt;01/12/2022")+COUNTIFS(E_Suivi_Eans!$C:$C,"09/2022",E_Suivi_Eans!$D:$D,"Economat",E_Suivi_Eans!$J:$J,"Relance 3",E_Suivi_Eans!$K:$K,"&gt;31/12/2021",E_Suivi_Eans!$K:$K,"&lt;01/12/2022")</f>
        <v>0</v>
      </c>
      <c r="E118" s="21">
        <f>COUNTIFS(E_Suivi_Eans!$C:$C,"09/2022",E_Suivi_Eans!$D:$D,"Economat",E_Suivi_Eans!$J:$J,"Abandon",E_Suivi_Eans!$K:$K,"&gt;31/12/2021",E_Suivi_Eans!K:K,"&lt;01/12/2022")</f>
        <v>0</v>
      </c>
      <c r="F118" s="21">
        <f>COUNTIFS(E_Suivi_Eans!$C:$C,"09/2022",E_Suivi_Eans!$D:$D,"Economat")</f>
        <v>0</v>
      </c>
      <c r="G118" s="21">
        <f t="shared" si="25"/>
        <v>0</v>
      </c>
      <c r="J118" s="20" t="s">
        <v>5325</v>
      </c>
      <c r="K118" s="20" t="s">
        <v>5327</v>
      </c>
      <c r="L118" s="28">
        <f t="shared" si="26"/>
        <v>0</v>
      </c>
      <c r="M118" s="28">
        <f t="shared" si="26"/>
        <v>0</v>
      </c>
      <c r="N118" s="28">
        <f t="shared" si="26"/>
        <v>0</v>
      </c>
      <c r="O118" s="28">
        <v>1</v>
      </c>
      <c r="P118" s="28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8"/>
      <c r="P119" s="28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5"/>
      <c r="E120" s="25"/>
      <c r="F120" s="25"/>
      <c r="G120" s="25"/>
      <c r="J120" s="22"/>
      <c r="K120" s="22"/>
      <c r="L120" s="23"/>
      <c r="M120" s="25"/>
      <c r="N120" s="25"/>
      <c r="O120" s="31"/>
      <c r="P120" s="31"/>
      <c r="S120" s="22"/>
      <c r="T120" s="22"/>
      <c r="U120" s="23"/>
      <c r="V120" s="25"/>
      <c r="W120" s="25"/>
      <c r="X120" s="25"/>
      <c r="Y120" s="25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8"/>
      <c r="P121" s="28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8"/>
      <c r="P122" s="28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8"/>
      <c r="P123" s="28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8"/>
      <c r="P124" s="28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8"/>
      <c r="P125" s="28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8"/>
      <c r="P126" s="28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8"/>
      <c r="P127" s="28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8"/>
      <c r="P128" s="28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8"/>
      <c r="P129" s="28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COUNTIFS(E_Suivi_Eans!$C:$C,"10/2022",E_Suivi_Eans!$D:$D,"Economat",E_Suivi_Eans!$J:$J,"Retour OK",E_Suivi_Eans!$K:$K,"&gt;31/12/2021",E_Suivi_Eans!K:K,"&lt;01/11/2022")</f>
        <v>0</v>
      </c>
      <c r="D130" s="21">
        <f>COUNTIFS(E_Suivi_Eans!$C:$C,"10/2022",E_Suivi_Eans!$D:$D,"Economat",E_Suivi_Eans!$J:$J,"Rejet 0",E_Suivi_Eans!$K:$K,"&gt;31/12/2021",E_Suivi_Eans!$K:$K,"&lt;01/11/2022")+ COUNTIFS(E_Suivi_Eans!$C:$C,"10/2022",E_Suivi_Eans!$D:$D,"Economat",E_Suivi_Eans!$J:$J,"Rejet 1",E_Suivi_Eans!$K:$K,"&gt;31/12/2021",E_Suivi_Eans!$K:$K,"&lt;01/11/2022")+COUNTIFS(E_Suivi_Eans!$C:$C,"10/2022",E_Suivi_Eans!$D:$D,"Economat",E_Suivi_Eans!$J:$J,"Rejet 2",E_Suivi_Eans!$K:$K,"&gt;31/12/2021",E_Suivi_Eans!$K:$K,"&lt;01/11/2022")+COUNTIFS(E_Suivi_Eans!$C:$C,"10/2022",E_Suivi_Eans!$D:$D,"Economat",E_Suivi_Eans!$J:$J,"Rejet 3",E_Suivi_Eans!$K:$K,"&gt;31/12/2021",E_Suivi_Eans!$K:$K,"&lt;01/11/2022")+ COUNTIFS(E_Suivi_Eans!$C:$C,"10/2022",E_Suivi_Eans!$D:$D,"Economat",E_Suivi_Eans!$J:$J,"Rejet 4",E_Suivi_Eans!$K:$K,"&gt;31/12/2021",E_Suivi_Eans!$K:$K,"&lt;01/11/2022")+COUNTIFS(E_Suivi_Eans!$C:$C,"10/2022",E_Suivi_Eans!$D:$D,"Economat",E_Suivi_Eans!$J:$J,"Relance 1",E_Suivi_Eans!$K:$K,"&gt;31/12/2021",E_Suivi_Eans!$K:$K,"&lt;01/11/2022")+COUNTIFS(E_Suivi_Eans!$C:$C,"10/2022",E_Suivi_Eans!$D:$D,"Economat",E_Suivi_Eans!$J:$J,"Relance 2",E_Suivi_Eans!$K:$K,"&gt;31/12/2021",E_Suivi_Eans!$K:$K,"&lt;01/11/2022")+COUNTIFS(E_Suivi_Eans!$C:$C,"10/2022",E_Suivi_Eans!$D:$D,"Economat",E_Suivi_Eans!$J:$J,"Relance 3",E_Suivi_Eans!$K:$K,"&gt;31/12/2021",E_Suivi_Eans!$K:$K,"&lt;01/11/2022")</f>
        <v>0</v>
      </c>
      <c r="E130" s="21">
        <f>COUNTIFS(E_Suivi_Eans!$C:$C,"10/2022",E_Suivi_Eans!$D:$D,"Economat",E_Suivi_Eans!$J:$J,"Abandon",E_Suivi_Eans!$K:$K,"&gt;31/12/2021",E_Suivi_Eans!K:K,"&lt;01/11/2022")</f>
        <v>0</v>
      </c>
      <c r="F130" s="21">
        <f>COUNTIFS(E_Suivi_Eans!$C:$C,"10/2022",E_Suivi_Eans!$D:$D,"Economat")</f>
        <v>0</v>
      </c>
      <c r="G130" s="21">
        <f>F130-E130</f>
        <v>0</v>
      </c>
      <c r="J130" s="20" t="s">
        <v>5326</v>
      </c>
      <c r="K130" s="20" t="s">
        <v>5326</v>
      </c>
      <c r="L130" s="28">
        <f t="shared" ref="L130:N131" si="28">IF($G130=0,0,C130/$G130)</f>
        <v>0</v>
      </c>
      <c r="M130" s="28">
        <f t="shared" si="28"/>
        <v>0</v>
      </c>
      <c r="N130" s="28">
        <f t="shared" si="28"/>
        <v>0</v>
      </c>
      <c r="O130" s="28">
        <v>1</v>
      </c>
      <c r="P130" s="28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COUNTIFS(E_Suivi_Eans!$C:$C,"10/2022",E_Suivi_Eans!$D:$D,"Economat",E_Suivi_Eans!$J:$J,"Retour OK",E_Suivi_Eans!$K:$K,"&gt;31/12/2021",E_Suivi_Eans!K:K,"&lt;01/12/2022")</f>
        <v>0</v>
      </c>
      <c r="D131" s="21">
        <f>COUNTIFS(E_Suivi_Eans!$C:$C,"10/2022",E_Suivi_Eans!$D:$D,"Economat",E_Suivi_Eans!$J:$J,"Rejet 0",E_Suivi_Eans!$K:$K,"&gt;31/12/2021",E_Suivi_Eans!$K:$K,"&lt;01/12/2022")+ COUNTIFS(E_Suivi_Eans!$C:$C,"10/2022",E_Suivi_Eans!$D:$D,"Economat",E_Suivi_Eans!$J:$J,"Rejet 1",E_Suivi_Eans!$K:$K,"&gt;31/12/2021",E_Suivi_Eans!$K:$K,"&lt;01/12/2022")+COUNTIFS(E_Suivi_Eans!$C:$C,"10/2022",E_Suivi_Eans!$D:$D,"Economat",E_Suivi_Eans!$J:$J,"Rejet 2",E_Suivi_Eans!$K:$K,"&gt;31/12/2021",E_Suivi_Eans!$K:$K,"&lt;01/12/2022")+COUNTIFS(E_Suivi_Eans!$C:$C,"10/2022",E_Suivi_Eans!$D:$D,"Economat",E_Suivi_Eans!$J:$J,"Rejet 3",E_Suivi_Eans!$K:$K,"&gt;31/12/2021",E_Suivi_Eans!$K:$K,"&lt;01/12/2022")+ COUNTIFS(E_Suivi_Eans!$C:$C,"10/2022",E_Suivi_Eans!$D:$D,"Economat",E_Suivi_Eans!$J:$J,"Rejet 4",E_Suivi_Eans!$K:$K,"&gt;31/12/2021",E_Suivi_Eans!$K:$K,"&lt;01/12/2022")+COUNTIFS(E_Suivi_Eans!$C:$C,"10/2022",E_Suivi_Eans!$D:$D,"Economat",E_Suivi_Eans!$J:$J,"Relance 1",E_Suivi_Eans!$K:$K,"&gt;31/12/2021",E_Suivi_Eans!$K:$K,"&lt;01/12/2022")+COUNTIFS(E_Suivi_Eans!$C:$C,"10/2022",E_Suivi_Eans!$D:$D,"Economat",E_Suivi_Eans!$J:$J,"Relance 2",E_Suivi_Eans!$K:$K,"&gt;31/12/2021",E_Suivi_Eans!$K:$K,"&lt;01/12/2022")+COUNTIFS(E_Suivi_Eans!$C:$C,"10/2022",E_Suivi_Eans!$D:$D,"Economat",E_Suivi_Eans!$J:$J,"Relance 3",E_Suivi_Eans!$K:$K,"&gt;31/12/2021",E_Suivi_Eans!$K:$K,"&lt;01/12/2022")</f>
        <v>0</v>
      </c>
      <c r="E131" s="21">
        <f>COUNTIFS(E_Suivi_Eans!$C:$C,"10/2022",E_Suivi_Eans!$D:$D,"Economat",E_Suivi_Eans!$J:$J,"Abandon",E_Suivi_Eans!$K:$K,"&gt;31/12/2021",E_Suivi_Eans!K:K,"&lt;01/12/2022")</f>
        <v>0</v>
      </c>
      <c r="F131" s="21">
        <f>COUNTIFS(E_Suivi_Eans!$C:$C,"10/2022",E_Suivi_Eans!$D:$D,"Economat")</f>
        <v>0</v>
      </c>
      <c r="G131" s="21">
        <f t="shared" ref="G131" si="30">F131-E131</f>
        <v>0</v>
      </c>
      <c r="J131" s="20" t="s">
        <v>5326</v>
      </c>
      <c r="K131" s="20" t="s">
        <v>5327</v>
      </c>
      <c r="L131" s="28">
        <f t="shared" si="28"/>
        <v>0</v>
      </c>
      <c r="M131" s="28">
        <f t="shared" si="28"/>
        <v>0</v>
      </c>
      <c r="N131" s="28">
        <f t="shared" si="28"/>
        <v>0</v>
      </c>
      <c r="O131" s="28">
        <v>1</v>
      </c>
      <c r="P131" s="28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8"/>
      <c r="P132" s="28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5"/>
      <c r="E133" s="25"/>
      <c r="F133" s="25"/>
      <c r="G133" s="25"/>
      <c r="J133" s="22"/>
      <c r="K133" s="22"/>
      <c r="L133" s="23"/>
      <c r="M133" s="25"/>
      <c r="N133" s="25"/>
      <c r="O133" s="31"/>
      <c r="P133" s="31"/>
      <c r="S133" s="22"/>
      <c r="T133" s="22"/>
      <c r="U133" s="23"/>
      <c r="V133" s="25"/>
      <c r="W133" s="25"/>
      <c r="X133" s="25"/>
      <c r="Y133" s="25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8"/>
      <c r="P134" s="28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8"/>
      <c r="P135" s="28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8"/>
      <c r="P136" s="28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8"/>
      <c r="P137" s="28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8"/>
      <c r="P138" s="28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8"/>
      <c r="P139" s="28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8"/>
      <c r="P140" s="28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8"/>
      <c r="P141" s="28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8"/>
      <c r="P142" s="28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8"/>
      <c r="P143" s="28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COUNTIFS(E_Suivi_Eans!$C:$C,"11/2022",E_Suivi_Eans!$D:$D,"Economat",E_Suivi_Eans!$J:$J,"Retour OK",E_Suivi_Eans!$K:$K,"&gt;31/12/2021",E_Suivi_Eans!K:K,"&lt;01/12/2022")</f>
        <v>0</v>
      </c>
      <c r="D144" s="21">
        <f>COUNTIFS(E_Suivi_Eans!$C:$C,"11/2022",E_Suivi_Eans!$D:$D,"Economat",E_Suivi_Eans!$J:$J,"Rejet 0",E_Suivi_Eans!$K:$K,"&gt;31/12/2021",E_Suivi_Eans!$K:$K,"&lt;01/12/2022")+ COUNTIFS(E_Suivi_Eans!$C:$C,"11/2022",E_Suivi_Eans!$D:$D,"Economat",E_Suivi_Eans!$J:$J,"Rejet 1",E_Suivi_Eans!$K:$K,"&gt;31/12/2021",E_Suivi_Eans!$K:$K,"&lt;01/12/2022")+COUNTIFS(E_Suivi_Eans!$C:$C,"11/2022",E_Suivi_Eans!$D:$D,"Economat",E_Suivi_Eans!$J:$J,"Rejet 2",E_Suivi_Eans!$K:$K,"&gt;31/12/2021",E_Suivi_Eans!$K:$K,"&lt;01/12/2022")+COUNTIFS(E_Suivi_Eans!$C:$C,"11/2022",E_Suivi_Eans!$D:$D,"Economat",E_Suivi_Eans!$J:$J,"Rejet 3",E_Suivi_Eans!$K:$K,"&gt;31/12/2021",E_Suivi_Eans!$K:$K,"&lt;01/12/2022")+ COUNTIFS(E_Suivi_Eans!$C:$C,"11/2022",E_Suivi_Eans!$D:$D,"Economat",E_Suivi_Eans!$J:$J,"Rejet 4",E_Suivi_Eans!$K:$K,"&gt;31/12/2021",E_Suivi_Eans!$K:$K,"&lt;01/12/2022")+COUNTIFS(E_Suivi_Eans!$C:$C,"11/2022",E_Suivi_Eans!$D:$D,"Economat",E_Suivi_Eans!$J:$J,"Relance 1",E_Suivi_Eans!$K:$K,"&gt;31/12/2021",E_Suivi_Eans!$K:$K,"&lt;01/12/2022")+COUNTIFS(E_Suivi_Eans!$C:$C,"11/2022",E_Suivi_Eans!$D:$D,"Economat",E_Suivi_Eans!$J:$J,"Relance 2",E_Suivi_Eans!$K:$K,"&gt;31/12/2021",E_Suivi_Eans!$K:$K,"&lt;01/12/2022")+COUNTIFS(E_Suivi_Eans!$C:$C,"11/2022",E_Suivi_Eans!$D:$D,"Economat",E_Suivi_Eans!$J:$J,"Relance 3",E_Suivi_Eans!$K:$K,"&gt;31/12/2021",E_Suivi_Eans!$K:$K,"&lt;01/12/2022")</f>
        <v>0</v>
      </c>
      <c r="E144" s="21">
        <f>COUNTIFS(E_Suivi_Eans!$C:$C,"11/2022",E_Suivi_Eans!$D:$D,"Economat",E_Suivi_Eans!$J:$J,"Abandon",E_Suivi_Eans!$K:$K,"&gt;31/12/2021",E_Suivi_Eans!K:K,"&lt;01/12/2022")</f>
        <v>0</v>
      </c>
      <c r="F144" s="21">
        <f>COUNTIFS(E_Suivi_Eans!$C:$C,"11/2022",E_Suivi_Eans!$D:$D,"Economat")</f>
        <v>0</v>
      </c>
      <c r="G144" s="21">
        <f>F144-E144</f>
        <v>0</v>
      </c>
      <c r="J144" s="20" t="s">
        <v>5327</v>
      </c>
      <c r="K144" s="20" t="s">
        <v>5327</v>
      </c>
      <c r="L144" s="28">
        <f>IF($G144=0,0,C144/$G144)</f>
        <v>0</v>
      </c>
      <c r="M144" s="28">
        <f t="shared" ref="M144:N144" si="31">IF($G144=0,0,D144/$G144)</f>
        <v>0</v>
      </c>
      <c r="N144" s="28">
        <f t="shared" si="31"/>
        <v>0</v>
      </c>
      <c r="O144" s="28">
        <v>1</v>
      </c>
      <c r="P144" s="28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8"/>
      <c r="P145" s="28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5"/>
      <c r="E146" s="25"/>
      <c r="F146" s="25"/>
      <c r="G146" s="25"/>
      <c r="J146" s="22"/>
      <c r="K146" s="22"/>
      <c r="L146" s="23"/>
      <c r="M146" s="25"/>
      <c r="N146" s="25"/>
      <c r="O146" s="31"/>
      <c r="P146" s="31"/>
      <c r="S146" s="22"/>
      <c r="T146" s="22"/>
      <c r="U146" s="23"/>
      <c r="V146" s="25"/>
      <c r="W146" s="25"/>
      <c r="X146" s="25"/>
      <c r="Y146" s="25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8"/>
      <c r="M147" s="28"/>
      <c r="N147" s="28"/>
      <c r="O147" s="28"/>
      <c r="P147" s="28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8"/>
      <c r="P148" s="28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8"/>
      <c r="P149" s="28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8"/>
      <c r="P150" s="28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8"/>
      <c r="P151" s="28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8"/>
      <c r="P152" s="28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8"/>
      <c r="P153" s="28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8"/>
      <c r="P154" s="28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8"/>
      <c r="P155" s="28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8"/>
      <c r="P156" s="28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8"/>
      <c r="P157" s="28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8"/>
      <c r="P158" s="28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5"/>
      <c r="E159" s="25"/>
      <c r="F159" s="25"/>
      <c r="G159" s="25"/>
      <c r="J159" s="22"/>
      <c r="K159" s="22"/>
      <c r="L159" s="23"/>
      <c r="M159" s="25"/>
      <c r="N159" s="25"/>
      <c r="O159" s="31"/>
      <c r="P159" s="31"/>
      <c r="S159" s="22"/>
      <c r="T159" s="22"/>
      <c r="U159" s="23"/>
      <c r="V159" s="25"/>
      <c r="W159" s="25"/>
      <c r="X159" s="25"/>
      <c r="Y159" s="25"/>
    </row>
    <row r="160" spans="1:25">
      <c r="A160" s="27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7" t="s">
        <v>5396</v>
      </c>
      <c r="K160" s="20" t="s">
        <v>5314</v>
      </c>
      <c r="L160" s="28">
        <f t="shared" ref="L160:N170" si="35">IF($G160=0,0,C160/$G160)</f>
        <v>0</v>
      </c>
      <c r="M160" s="28">
        <f t="shared" si="35"/>
        <v>0</v>
      </c>
      <c r="N160" s="28">
        <f t="shared" si="35"/>
        <v>0</v>
      </c>
      <c r="O160" s="28">
        <v>1</v>
      </c>
      <c r="P160" s="28">
        <f t="shared" ref="P160:P170" si="36">O160-N160</f>
        <v>1</v>
      </c>
      <c r="S160" s="27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7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7" t="s">
        <v>5396</v>
      </c>
      <c r="K161" s="20" t="s">
        <v>5315</v>
      </c>
      <c r="L161" s="28">
        <f t="shared" si="35"/>
        <v>0</v>
      </c>
      <c r="M161" s="28">
        <f t="shared" si="35"/>
        <v>0</v>
      </c>
      <c r="N161" s="28">
        <f t="shared" si="35"/>
        <v>0</v>
      </c>
      <c r="O161" s="28">
        <v>1</v>
      </c>
      <c r="P161" s="28">
        <f t="shared" si="36"/>
        <v>1</v>
      </c>
      <c r="S161" s="27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7" t="s">
        <v>5396</v>
      </c>
      <c r="B162" s="20" t="s">
        <v>5316</v>
      </c>
      <c r="C162" s="21">
        <f t="shared" si="37"/>
        <v>0</v>
      </c>
      <c r="D162" s="21">
        <f t="shared" si="37"/>
        <v>0</v>
      </c>
      <c r="E162" s="21">
        <f t="shared" si="37"/>
        <v>0</v>
      </c>
      <c r="F162" s="21">
        <f t="shared" si="37"/>
        <v>0</v>
      </c>
      <c r="G162" s="21">
        <f t="shared" si="34"/>
        <v>0</v>
      </c>
      <c r="J162" s="27" t="s">
        <v>5396</v>
      </c>
      <c r="K162" s="20" t="s">
        <v>5316</v>
      </c>
      <c r="L162" s="28">
        <f t="shared" si="35"/>
        <v>0</v>
      </c>
      <c r="M162" s="28">
        <f t="shared" si="35"/>
        <v>0</v>
      </c>
      <c r="N162" s="28">
        <f t="shared" si="35"/>
        <v>0</v>
      </c>
      <c r="O162" s="28">
        <v>1</v>
      </c>
      <c r="P162" s="28">
        <f t="shared" si="36"/>
        <v>1</v>
      </c>
      <c r="S162" s="27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7" t="s">
        <v>5396</v>
      </c>
      <c r="B163" s="20" t="s">
        <v>5317</v>
      </c>
      <c r="C163" s="21">
        <f t="shared" si="37"/>
        <v>0</v>
      </c>
      <c r="D163" s="21">
        <f t="shared" si="37"/>
        <v>0</v>
      </c>
      <c r="E163" s="21">
        <f t="shared" si="37"/>
        <v>0</v>
      </c>
      <c r="F163" s="21">
        <f t="shared" si="37"/>
        <v>0</v>
      </c>
      <c r="G163" s="21">
        <f t="shared" si="34"/>
        <v>0</v>
      </c>
      <c r="J163" s="27" t="s">
        <v>5396</v>
      </c>
      <c r="K163" s="20" t="s">
        <v>5317</v>
      </c>
      <c r="L163" s="28">
        <f t="shared" si="35"/>
        <v>0</v>
      </c>
      <c r="M163" s="28">
        <f t="shared" si="35"/>
        <v>0</v>
      </c>
      <c r="N163" s="28">
        <f t="shared" si="35"/>
        <v>0</v>
      </c>
      <c r="O163" s="28">
        <v>1</v>
      </c>
      <c r="P163" s="28">
        <f>O163-N163</f>
        <v>1</v>
      </c>
      <c r="S163" s="27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7" t="s">
        <v>5396</v>
      </c>
      <c r="B164" s="20" t="s">
        <v>5318</v>
      </c>
      <c r="C164" s="21">
        <f t="shared" si="37"/>
        <v>0</v>
      </c>
      <c r="D164" s="21">
        <f t="shared" si="37"/>
        <v>0</v>
      </c>
      <c r="E164" s="21">
        <f t="shared" si="37"/>
        <v>0</v>
      </c>
      <c r="F164" s="21">
        <f t="shared" si="37"/>
        <v>0</v>
      </c>
      <c r="G164" s="21">
        <f t="shared" si="34"/>
        <v>0</v>
      </c>
      <c r="J164" s="27" t="s">
        <v>5396</v>
      </c>
      <c r="K164" s="20" t="s">
        <v>5318</v>
      </c>
      <c r="L164" s="28">
        <f t="shared" si="35"/>
        <v>0</v>
      </c>
      <c r="M164" s="28">
        <f t="shared" si="35"/>
        <v>0</v>
      </c>
      <c r="N164" s="28">
        <f t="shared" si="35"/>
        <v>0</v>
      </c>
      <c r="O164" s="28">
        <v>1</v>
      </c>
      <c r="P164" s="28">
        <f t="shared" si="36"/>
        <v>1</v>
      </c>
      <c r="S164" s="27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7" t="s">
        <v>5396</v>
      </c>
      <c r="B165" s="20" t="s">
        <v>5319</v>
      </c>
      <c r="C165" s="21">
        <f t="shared" si="37"/>
        <v>0</v>
      </c>
      <c r="D165" s="21">
        <f t="shared" si="37"/>
        <v>0</v>
      </c>
      <c r="E165" s="21">
        <f t="shared" si="37"/>
        <v>0</v>
      </c>
      <c r="F165" s="21">
        <f t="shared" si="37"/>
        <v>0</v>
      </c>
      <c r="G165" s="21">
        <f t="shared" si="34"/>
        <v>0</v>
      </c>
      <c r="I165" s="33"/>
      <c r="J165" s="27" t="s">
        <v>5396</v>
      </c>
      <c r="K165" s="20" t="s">
        <v>5319</v>
      </c>
      <c r="L165" s="28">
        <f t="shared" si="35"/>
        <v>0</v>
      </c>
      <c r="M165" s="28">
        <f t="shared" si="35"/>
        <v>0</v>
      </c>
      <c r="N165" s="28">
        <f t="shared" si="35"/>
        <v>0</v>
      </c>
      <c r="O165" s="28">
        <v>1</v>
      </c>
      <c r="P165" s="28">
        <f t="shared" si="36"/>
        <v>1</v>
      </c>
      <c r="S165" s="27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7" t="s">
        <v>5396</v>
      </c>
      <c r="B166" s="20" t="s">
        <v>5320</v>
      </c>
      <c r="C166" s="21">
        <f t="shared" si="37"/>
        <v>0</v>
      </c>
      <c r="D166" s="21">
        <f t="shared" si="37"/>
        <v>0</v>
      </c>
      <c r="E166" s="21">
        <f t="shared" si="37"/>
        <v>0</v>
      </c>
      <c r="F166" s="21">
        <f t="shared" si="37"/>
        <v>0</v>
      </c>
      <c r="G166" s="21">
        <f t="shared" si="34"/>
        <v>0</v>
      </c>
      <c r="J166" s="27" t="s">
        <v>5396</v>
      </c>
      <c r="K166" s="20" t="s">
        <v>5320</v>
      </c>
      <c r="L166" s="28">
        <f t="shared" si="35"/>
        <v>0</v>
      </c>
      <c r="M166" s="28">
        <f t="shared" si="35"/>
        <v>0</v>
      </c>
      <c r="N166" s="28">
        <f t="shared" si="35"/>
        <v>0</v>
      </c>
      <c r="O166" s="28">
        <v>1</v>
      </c>
      <c r="P166" s="28">
        <f t="shared" si="36"/>
        <v>1</v>
      </c>
      <c r="S166" s="27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7" t="s">
        <v>5396</v>
      </c>
      <c r="B167" s="20" t="s">
        <v>5321</v>
      </c>
      <c r="C167" s="21">
        <f t="shared" si="37"/>
        <v>0</v>
      </c>
      <c r="D167" s="21">
        <f t="shared" si="37"/>
        <v>0</v>
      </c>
      <c r="E167" s="21">
        <f t="shared" si="37"/>
        <v>0</v>
      </c>
      <c r="F167" s="21">
        <f t="shared" si="37"/>
        <v>0</v>
      </c>
      <c r="G167" s="21">
        <f t="shared" si="34"/>
        <v>0</v>
      </c>
      <c r="J167" s="27" t="s">
        <v>5396</v>
      </c>
      <c r="K167" s="20" t="s">
        <v>5321</v>
      </c>
      <c r="L167" s="28">
        <f t="shared" si="35"/>
        <v>0</v>
      </c>
      <c r="M167" s="28">
        <f t="shared" si="35"/>
        <v>0</v>
      </c>
      <c r="N167" s="28">
        <f t="shared" si="35"/>
        <v>0</v>
      </c>
      <c r="O167" s="28">
        <v>1</v>
      </c>
      <c r="P167" s="28">
        <f t="shared" si="36"/>
        <v>1</v>
      </c>
      <c r="S167" s="27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7" t="s">
        <v>5396</v>
      </c>
      <c r="B168" s="20" t="s">
        <v>5325</v>
      </c>
      <c r="C168" s="21">
        <f t="shared" si="37"/>
        <v>0</v>
      </c>
      <c r="D168" s="21">
        <f t="shared" si="37"/>
        <v>0</v>
      </c>
      <c r="E168" s="21">
        <f t="shared" si="37"/>
        <v>0</v>
      </c>
      <c r="F168" s="21">
        <f t="shared" si="37"/>
        <v>0</v>
      </c>
      <c r="G168" s="21">
        <f t="shared" si="34"/>
        <v>0</v>
      </c>
      <c r="J168" s="27" t="s">
        <v>5396</v>
      </c>
      <c r="K168" s="20" t="s">
        <v>5325</v>
      </c>
      <c r="L168" s="28">
        <f t="shared" si="35"/>
        <v>0</v>
      </c>
      <c r="M168" s="28">
        <f t="shared" si="35"/>
        <v>0</v>
      </c>
      <c r="N168" s="28">
        <f t="shared" si="35"/>
        <v>0</v>
      </c>
      <c r="O168" s="28">
        <v>1</v>
      </c>
      <c r="P168" s="28">
        <f t="shared" si="36"/>
        <v>1</v>
      </c>
      <c r="S168" s="27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7" t="s">
        <v>5396</v>
      </c>
      <c r="B169" s="20" t="s">
        <v>5326</v>
      </c>
      <c r="C169" s="21">
        <f t="shared" si="37"/>
        <v>0</v>
      </c>
      <c r="D169" s="21">
        <f t="shared" si="37"/>
        <v>0</v>
      </c>
      <c r="E169" s="21">
        <f t="shared" si="37"/>
        <v>0</v>
      </c>
      <c r="F169" s="21">
        <f t="shared" si="37"/>
        <v>0</v>
      </c>
      <c r="G169" s="21">
        <f t="shared" si="34"/>
        <v>0</v>
      </c>
      <c r="J169" s="27" t="s">
        <v>5396</v>
      </c>
      <c r="K169" s="20" t="s">
        <v>5326</v>
      </c>
      <c r="L169" s="28">
        <f t="shared" si="35"/>
        <v>0</v>
      </c>
      <c r="M169" s="28">
        <f t="shared" si="35"/>
        <v>0</v>
      </c>
      <c r="N169" s="28">
        <f t="shared" si="35"/>
        <v>0</v>
      </c>
      <c r="O169" s="28">
        <v>1</v>
      </c>
      <c r="P169" s="28">
        <f t="shared" si="36"/>
        <v>1</v>
      </c>
      <c r="S169" s="27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7" t="s">
        <v>5396</v>
      </c>
      <c r="B170" s="20" t="s">
        <v>5327</v>
      </c>
      <c r="C170" s="21">
        <f t="shared" si="37"/>
        <v>0</v>
      </c>
      <c r="D170" s="21">
        <f t="shared" si="37"/>
        <v>0</v>
      </c>
      <c r="E170" s="21">
        <f t="shared" si="37"/>
        <v>0</v>
      </c>
      <c r="F170" s="21">
        <f t="shared" si="37"/>
        <v>0</v>
      </c>
      <c r="G170" s="21">
        <f t="shared" si="34"/>
        <v>0</v>
      </c>
      <c r="I170" s="33"/>
      <c r="J170" s="27" t="s">
        <v>5396</v>
      </c>
      <c r="K170" s="20" t="s">
        <v>5327</v>
      </c>
      <c r="L170" s="28">
        <f t="shared" si="35"/>
        <v>0</v>
      </c>
      <c r="M170" s="28">
        <f t="shared" si="35"/>
        <v>0</v>
      </c>
      <c r="N170" s="28">
        <f t="shared" si="35"/>
        <v>0</v>
      </c>
      <c r="O170" s="28">
        <v>1</v>
      </c>
      <c r="P170" s="28">
        <f t="shared" si="36"/>
        <v>1</v>
      </c>
      <c r="S170" s="27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7" t="s">
        <v>5396</v>
      </c>
      <c r="B171" s="20" t="s">
        <v>5328</v>
      </c>
      <c r="C171" s="21"/>
      <c r="D171" s="21"/>
      <c r="E171" s="21"/>
      <c r="F171" s="21"/>
      <c r="G171" s="21"/>
      <c r="J171" s="27" t="s">
        <v>5396</v>
      </c>
      <c r="K171" s="20" t="s">
        <v>5328</v>
      </c>
      <c r="L171" s="21"/>
      <c r="M171" s="21"/>
      <c r="N171" s="21"/>
      <c r="O171" s="28"/>
      <c r="P171" s="28"/>
      <c r="S171" s="27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B2"/>
    <mergeCell ref="J2:K2"/>
    <mergeCell ref="S2:T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</sheetPr>
  <dimension ref="K1:O58"/>
  <sheetViews>
    <sheetView zoomScale="130" zoomScaleNormal="130" workbookViewId="0">
      <selection activeCell="K1" sqref="K1"/>
    </sheetView>
  </sheetViews>
  <sheetFormatPr baseColWidth="10" defaultRowHeight="13"/>
  <sheetData>
    <row r="1" spans="11:15">
      <c r="K1" s="32"/>
      <c r="N1" s="40"/>
      <c r="O1" s="40"/>
    </row>
    <row r="51" spans="11:11">
      <c r="K51" s="40"/>
    </row>
    <row r="52" spans="11:11">
      <c r="K52" s="40"/>
    </row>
    <row r="53" spans="11:11">
      <c r="K53" s="40"/>
    </row>
    <row r="54" spans="11:11">
      <c r="K54" s="40"/>
    </row>
    <row r="55" spans="11:11">
      <c r="K55" s="40"/>
    </row>
    <row r="56" spans="11:11">
      <c r="K56" s="40"/>
    </row>
    <row r="57" spans="11:11">
      <c r="K57" s="40"/>
    </row>
    <row r="58" spans="11:11">
      <c r="K58" s="4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770"/>
  <sheetViews>
    <sheetView workbookViewId="0">
      <selection activeCell="B32" sqref="B32"/>
    </sheetView>
  </sheetViews>
  <sheetFormatPr baseColWidth="10" defaultRowHeight="13"/>
  <cols>
    <col min="1" max="1" width="11.81640625" style="50" customWidth="1"/>
    <col min="2" max="2" width="23.81640625" style="51" customWidth="1"/>
  </cols>
  <sheetData>
    <row r="1" spans="1:2" ht="14.5">
      <c r="A1" s="43" t="s">
        <v>5403</v>
      </c>
      <c r="B1" s="44" t="s">
        <v>5404</v>
      </c>
    </row>
    <row r="2" spans="1:2" ht="14.5">
      <c r="A2" s="45" t="s">
        <v>25</v>
      </c>
      <c r="B2" s="46" t="s">
        <v>5405</v>
      </c>
    </row>
    <row r="3" spans="1:2" ht="14.5">
      <c r="A3" s="45" t="s">
        <v>5406</v>
      </c>
      <c r="B3" s="46" t="s">
        <v>5407</v>
      </c>
    </row>
    <row r="4" spans="1:2" ht="14.5">
      <c r="A4" s="45" t="s">
        <v>5408</v>
      </c>
      <c r="B4" s="46" t="s">
        <v>5409</v>
      </c>
    </row>
    <row r="5" spans="1:2" ht="14.5">
      <c r="A5" s="45" t="s">
        <v>5410</v>
      </c>
      <c r="B5" s="46" t="s">
        <v>5411</v>
      </c>
    </row>
    <row r="6" spans="1:2" ht="14.5">
      <c r="A6" s="45" t="s">
        <v>4259</v>
      </c>
      <c r="B6" s="46" t="s">
        <v>5412</v>
      </c>
    </row>
    <row r="7" spans="1:2" ht="14.5">
      <c r="A7" s="45" t="s">
        <v>5413</v>
      </c>
      <c r="B7" s="46" t="s">
        <v>5414</v>
      </c>
    </row>
    <row r="8" spans="1:2" ht="14.5">
      <c r="A8" s="45" t="s">
        <v>4524</v>
      </c>
      <c r="B8" s="46" t="s">
        <v>5415</v>
      </c>
    </row>
    <row r="9" spans="1:2" ht="14.5">
      <c r="A9" s="45" t="s">
        <v>5416</v>
      </c>
      <c r="B9" s="46" t="s">
        <v>5417</v>
      </c>
    </row>
    <row r="10" spans="1:2" ht="14.5">
      <c r="A10" s="45" t="s">
        <v>5418</v>
      </c>
      <c r="B10" s="46" t="s">
        <v>5419</v>
      </c>
    </row>
    <row r="11" spans="1:2" ht="14.5">
      <c r="A11" s="45" t="s">
        <v>5420</v>
      </c>
      <c r="B11" s="46" t="s">
        <v>5421</v>
      </c>
    </row>
    <row r="12" spans="1:2" ht="14.5">
      <c r="A12" s="45" t="s">
        <v>5422</v>
      </c>
      <c r="B12" s="46" t="s">
        <v>5423</v>
      </c>
    </row>
    <row r="13" spans="1:2" ht="14.5">
      <c r="A13" s="45" t="s">
        <v>4195</v>
      </c>
      <c r="B13" s="46" t="s">
        <v>5424</v>
      </c>
    </row>
    <row r="14" spans="1:2" ht="14.5">
      <c r="A14" s="45" t="s">
        <v>4410</v>
      </c>
      <c r="B14" s="46" t="s">
        <v>5425</v>
      </c>
    </row>
    <row r="15" spans="1:2" ht="14.5">
      <c r="A15" s="45" t="s">
        <v>5426</v>
      </c>
      <c r="B15" s="46" t="s">
        <v>5427</v>
      </c>
    </row>
    <row r="16" spans="1:2" ht="14.5">
      <c r="A16" s="45" t="s">
        <v>2496</v>
      </c>
      <c r="B16" s="46" t="s">
        <v>5428</v>
      </c>
    </row>
    <row r="17" spans="1:2" ht="14.5">
      <c r="A17" s="45" t="s">
        <v>4359</v>
      </c>
      <c r="B17" s="46" t="s">
        <v>5429</v>
      </c>
    </row>
    <row r="18" spans="1:2" ht="14.5">
      <c r="A18" s="45" t="s">
        <v>4611</v>
      </c>
      <c r="B18" s="46" t="s">
        <v>5430</v>
      </c>
    </row>
    <row r="19" spans="1:2" ht="14.5">
      <c r="A19" s="45" t="s">
        <v>4210</v>
      </c>
      <c r="B19" s="46" t="s">
        <v>5431</v>
      </c>
    </row>
    <row r="20" spans="1:2" ht="14.5">
      <c r="A20" s="45" t="s">
        <v>5432</v>
      </c>
      <c r="B20" s="46" t="s">
        <v>5433</v>
      </c>
    </row>
    <row r="21" spans="1:2" ht="14.5">
      <c r="A21" s="45" t="s">
        <v>4403</v>
      </c>
      <c r="B21" s="46" t="s">
        <v>5434</v>
      </c>
    </row>
    <row r="22" spans="1:2" ht="14.5">
      <c r="A22" s="45" t="s">
        <v>5435</v>
      </c>
      <c r="B22" s="46" t="s">
        <v>5436</v>
      </c>
    </row>
    <row r="23" spans="1:2" ht="14.5">
      <c r="A23" s="45" t="s">
        <v>5437</v>
      </c>
      <c r="B23" s="46" t="s">
        <v>5438</v>
      </c>
    </row>
    <row r="24" spans="1:2" ht="14.5">
      <c r="A24" s="45" t="s">
        <v>5439</v>
      </c>
      <c r="B24" s="46" t="s">
        <v>5440</v>
      </c>
    </row>
    <row r="25" spans="1:2" ht="14.5">
      <c r="A25" s="45" t="s">
        <v>5441</v>
      </c>
      <c r="B25" s="46" t="s">
        <v>5442</v>
      </c>
    </row>
    <row r="26" spans="1:2" ht="14.5">
      <c r="A26" s="45" t="s">
        <v>5443</v>
      </c>
      <c r="B26" s="46" t="s">
        <v>5444</v>
      </c>
    </row>
    <row r="27" spans="1:2" ht="14.5">
      <c r="A27" s="45" t="s">
        <v>4106</v>
      </c>
      <c r="B27" s="46" t="s">
        <v>5445</v>
      </c>
    </row>
    <row r="28" spans="1:2" ht="14.5">
      <c r="A28" s="45" t="s">
        <v>5446</v>
      </c>
      <c r="B28" s="46" t="s">
        <v>5447</v>
      </c>
    </row>
    <row r="29" spans="1:2" ht="14.5">
      <c r="A29" s="45" t="s">
        <v>4094</v>
      </c>
      <c r="B29" s="46" t="s">
        <v>5448</v>
      </c>
    </row>
    <row r="30" spans="1:2" ht="14.5">
      <c r="A30" s="45" t="s">
        <v>4243</v>
      </c>
      <c r="B30" s="46" t="s">
        <v>5449</v>
      </c>
    </row>
    <row r="31" spans="1:2" ht="14.5">
      <c r="A31" s="45" t="s">
        <v>5450</v>
      </c>
      <c r="B31" s="46" t="s">
        <v>5451</v>
      </c>
    </row>
    <row r="32" spans="1:2" ht="14.5">
      <c r="A32" s="45" t="s">
        <v>5452</v>
      </c>
      <c r="B32" s="46" t="s">
        <v>5453</v>
      </c>
    </row>
    <row r="33" spans="1:2" ht="14.5">
      <c r="A33" s="45" t="s">
        <v>4135</v>
      </c>
      <c r="B33" s="46" t="s">
        <v>5454</v>
      </c>
    </row>
    <row r="34" spans="1:2" ht="14.5">
      <c r="A34" s="45" t="s">
        <v>5455</v>
      </c>
      <c r="B34" s="46" t="s">
        <v>5456</v>
      </c>
    </row>
    <row r="35" spans="1:2" ht="14.5">
      <c r="A35" s="45" t="s">
        <v>4755</v>
      </c>
      <c r="B35" s="46" t="s">
        <v>5457</v>
      </c>
    </row>
    <row r="36" spans="1:2" ht="14.5">
      <c r="A36" s="45" t="s">
        <v>5458</v>
      </c>
      <c r="B36" s="46" t="s">
        <v>5459</v>
      </c>
    </row>
    <row r="37" spans="1:2" ht="14.5">
      <c r="A37" s="45" t="s">
        <v>4241</v>
      </c>
      <c r="B37" s="46" t="s">
        <v>5460</v>
      </c>
    </row>
    <row r="38" spans="1:2" ht="14.5">
      <c r="A38" s="45" t="s">
        <v>5461</v>
      </c>
      <c r="B38" s="46" t="s">
        <v>5462</v>
      </c>
    </row>
    <row r="39" spans="1:2" ht="14.5">
      <c r="A39" s="45" t="s">
        <v>4509</v>
      </c>
      <c r="B39" s="46" t="s">
        <v>5463</v>
      </c>
    </row>
    <row r="40" spans="1:2" ht="14.5">
      <c r="A40" s="45" t="s">
        <v>5464</v>
      </c>
      <c r="B40" s="46" t="s">
        <v>5465</v>
      </c>
    </row>
    <row r="41" spans="1:2" ht="14.5">
      <c r="A41" s="45" t="s">
        <v>2119</v>
      </c>
      <c r="B41" s="46" t="s">
        <v>5466</v>
      </c>
    </row>
    <row r="42" spans="1:2" ht="14.5">
      <c r="A42" s="45" t="s">
        <v>4202</v>
      </c>
      <c r="B42" s="46" t="s">
        <v>5467</v>
      </c>
    </row>
    <row r="43" spans="1:2" ht="14.5">
      <c r="A43" s="45" t="s">
        <v>4043</v>
      </c>
      <c r="B43" s="46" t="s">
        <v>5468</v>
      </c>
    </row>
    <row r="44" spans="1:2" ht="14.5">
      <c r="A44" s="45" t="s">
        <v>4150</v>
      </c>
      <c r="B44" s="46" t="s">
        <v>5469</v>
      </c>
    </row>
    <row r="45" spans="1:2" ht="14.5">
      <c r="A45" s="45" t="s">
        <v>5470</v>
      </c>
      <c r="B45" s="46" t="s">
        <v>5471</v>
      </c>
    </row>
    <row r="46" spans="1:2" ht="14.5">
      <c r="A46" s="45" t="s">
        <v>5472</v>
      </c>
      <c r="B46" s="46" t="s">
        <v>5473</v>
      </c>
    </row>
    <row r="47" spans="1:2" ht="14.5">
      <c r="A47" s="45" t="s">
        <v>5474</v>
      </c>
      <c r="B47" s="46" t="s">
        <v>5475</v>
      </c>
    </row>
    <row r="48" spans="1:2" ht="14.5">
      <c r="A48" s="45" t="s">
        <v>4140</v>
      </c>
      <c r="B48" s="46" t="s">
        <v>5476</v>
      </c>
    </row>
    <row r="49" spans="1:2" ht="14.5">
      <c r="A49" s="45" t="s">
        <v>5477</v>
      </c>
      <c r="B49" s="46" t="s">
        <v>5478</v>
      </c>
    </row>
    <row r="50" spans="1:2" ht="14.5">
      <c r="A50" s="45" t="s">
        <v>5479</v>
      </c>
      <c r="B50" s="46" t="s">
        <v>5480</v>
      </c>
    </row>
    <row r="51" spans="1:2" ht="14.5">
      <c r="A51" s="45" t="s">
        <v>5481</v>
      </c>
      <c r="B51" s="46" t="s">
        <v>5482</v>
      </c>
    </row>
    <row r="52" spans="1:2" ht="14.5">
      <c r="A52" s="45" t="s">
        <v>4756</v>
      </c>
      <c r="B52" s="46" t="s">
        <v>5483</v>
      </c>
    </row>
    <row r="53" spans="1:2" ht="14.5">
      <c r="A53" s="45" t="s">
        <v>4644</v>
      </c>
      <c r="B53" s="46" t="s">
        <v>5484</v>
      </c>
    </row>
    <row r="54" spans="1:2" ht="14.5">
      <c r="A54" s="45" t="s">
        <v>5485</v>
      </c>
      <c r="B54" s="46" t="s">
        <v>5486</v>
      </c>
    </row>
    <row r="55" spans="1:2" ht="14.5">
      <c r="A55" s="45" t="s">
        <v>5487</v>
      </c>
      <c r="B55" s="46" t="s">
        <v>5488</v>
      </c>
    </row>
    <row r="56" spans="1:2" ht="14.5">
      <c r="A56" s="45" t="s">
        <v>4518</v>
      </c>
      <c r="B56" s="46" t="s">
        <v>5489</v>
      </c>
    </row>
    <row r="57" spans="1:2" ht="14.5">
      <c r="A57" s="45" t="s">
        <v>4256</v>
      </c>
      <c r="B57" s="46" t="s">
        <v>5490</v>
      </c>
    </row>
    <row r="58" spans="1:2" ht="14.5">
      <c r="A58" s="45" t="s">
        <v>4654</v>
      </c>
      <c r="B58" s="46" t="s">
        <v>5491</v>
      </c>
    </row>
    <row r="59" spans="1:2" ht="14.5">
      <c r="A59" s="45" t="s">
        <v>4292</v>
      </c>
      <c r="B59" s="46" t="s">
        <v>5492</v>
      </c>
    </row>
    <row r="60" spans="1:2" ht="14.5">
      <c r="A60" s="45" t="s">
        <v>5493</v>
      </c>
      <c r="B60" s="46" t="s">
        <v>5494</v>
      </c>
    </row>
    <row r="61" spans="1:2" ht="14.5">
      <c r="A61" s="45" t="s">
        <v>4247</v>
      </c>
      <c r="B61" s="46" t="s">
        <v>5495</v>
      </c>
    </row>
    <row r="62" spans="1:2" ht="14.5">
      <c r="A62" s="45" t="s">
        <v>4561</v>
      </c>
      <c r="B62" s="46" t="s">
        <v>5496</v>
      </c>
    </row>
    <row r="63" spans="1:2" ht="14.5">
      <c r="A63" s="45" t="s">
        <v>5497</v>
      </c>
      <c r="B63" s="46" t="s">
        <v>5498</v>
      </c>
    </row>
    <row r="64" spans="1:2" ht="14.5">
      <c r="A64" s="45" t="s">
        <v>5499</v>
      </c>
      <c r="B64" s="46" t="s">
        <v>5500</v>
      </c>
    </row>
    <row r="65" spans="1:2" ht="14.5">
      <c r="A65" s="45" t="s">
        <v>5501</v>
      </c>
      <c r="B65" s="46" t="s">
        <v>5502</v>
      </c>
    </row>
    <row r="66" spans="1:2" ht="14.5">
      <c r="A66" s="45" t="s">
        <v>949</v>
      </c>
      <c r="B66" s="46" t="s">
        <v>5503</v>
      </c>
    </row>
    <row r="67" spans="1:2" ht="14.5">
      <c r="A67" s="45" t="s">
        <v>5504</v>
      </c>
      <c r="B67" s="46" t="s">
        <v>5505</v>
      </c>
    </row>
    <row r="68" spans="1:2" ht="14.5">
      <c r="A68" s="45" t="s">
        <v>5506</v>
      </c>
      <c r="B68" s="46" t="s">
        <v>5507</v>
      </c>
    </row>
    <row r="69" spans="1:2" ht="14.5">
      <c r="A69" s="45" t="s">
        <v>5508</v>
      </c>
      <c r="B69" s="46" t="s">
        <v>5509</v>
      </c>
    </row>
    <row r="70" spans="1:2" ht="14.5">
      <c r="A70" s="45" t="s">
        <v>5510</v>
      </c>
      <c r="B70" s="46" t="s">
        <v>5511</v>
      </c>
    </row>
    <row r="71" spans="1:2" ht="14.5">
      <c r="A71" s="45" t="s">
        <v>4179</v>
      </c>
      <c r="B71" s="46" t="s">
        <v>5512</v>
      </c>
    </row>
    <row r="72" spans="1:2" ht="14.5">
      <c r="A72" s="45" t="s">
        <v>1658</v>
      </c>
      <c r="B72" s="46" t="s">
        <v>5513</v>
      </c>
    </row>
    <row r="73" spans="1:2" ht="14.5">
      <c r="A73" s="45" t="s">
        <v>5514</v>
      </c>
      <c r="B73" s="46" t="s">
        <v>5515</v>
      </c>
    </row>
    <row r="74" spans="1:2" ht="14.5">
      <c r="A74" s="45" t="s">
        <v>5516</v>
      </c>
      <c r="B74" s="46" t="s">
        <v>5517</v>
      </c>
    </row>
    <row r="75" spans="1:2" ht="14.5">
      <c r="A75" s="45" t="s">
        <v>5518</v>
      </c>
      <c r="B75" s="46" t="s">
        <v>5519</v>
      </c>
    </row>
    <row r="76" spans="1:2" ht="14.5">
      <c r="A76" s="45" t="s">
        <v>4636</v>
      </c>
      <c r="B76" s="46" t="s">
        <v>5520</v>
      </c>
    </row>
    <row r="77" spans="1:2" ht="14.5">
      <c r="A77" s="45" t="s">
        <v>4274</v>
      </c>
      <c r="B77" s="46" t="s">
        <v>5521</v>
      </c>
    </row>
    <row r="78" spans="1:2" ht="14.5">
      <c r="A78" s="45" t="s">
        <v>5522</v>
      </c>
      <c r="B78" s="46" t="s">
        <v>5523</v>
      </c>
    </row>
    <row r="79" spans="1:2" ht="14.5">
      <c r="A79" s="45" t="s">
        <v>5524</v>
      </c>
      <c r="B79" s="46" t="s">
        <v>5525</v>
      </c>
    </row>
    <row r="80" spans="1:2" ht="14.5">
      <c r="A80" s="45" t="s">
        <v>5526</v>
      </c>
      <c r="B80" s="46" t="s">
        <v>5527</v>
      </c>
    </row>
    <row r="81" spans="1:2" ht="14.5">
      <c r="A81" s="45" t="s">
        <v>5528</v>
      </c>
      <c r="B81" s="46" t="s">
        <v>5529</v>
      </c>
    </row>
    <row r="82" spans="1:2" ht="14.5">
      <c r="A82" s="45" t="s">
        <v>885</v>
      </c>
      <c r="B82" s="46" t="s">
        <v>5530</v>
      </c>
    </row>
    <row r="83" spans="1:2" ht="14.5">
      <c r="A83" s="45" t="s">
        <v>4346</v>
      </c>
      <c r="B83" s="46" t="s">
        <v>5531</v>
      </c>
    </row>
    <row r="84" spans="1:2" ht="14.5">
      <c r="A84" s="45" t="s">
        <v>4162</v>
      </c>
      <c r="B84" s="46" t="s">
        <v>5532</v>
      </c>
    </row>
    <row r="85" spans="1:2" ht="14.5">
      <c r="A85" s="45" t="s">
        <v>4710</v>
      </c>
      <c r="B85" s="46" t="s">
        <v>5533</v>
      </c>
    </row>
    <row r="86" spans="1:2" ht="14.5">
      <c r="A86" s="45" t="s">
        <v>4186</v>
      </c>
      <c r="B86" s="46" t="s">
        <v>5534</v>
      </c>
    </row>
    <row r="87" spans="1:2" ht="14.5">
      <c r="A87" s="45" t="s">
        <v>4603</v>
      </c>
      <c r="B87" s="46" t="s">
        <v>5535</v>
      </c>
    </row>
    <row r="88" spans="1:2" ht="14.5">
      <c r="A88" s="45" t="s">
        <v>5536</v>
      </c>
      <c r="B88" s="46" t="s">
        <v>5537</v>
      </c>
    </row>
    <row r="89" spans="1:2" ht="14.5">
      <c r="A89" s="45" t="s">
        <v>5538</v>
      </c>
      <c r="B89" s="46" t="s">
        <v>5539</v>
      </c>
    </row>
    <row r="90" spans="1:2" ht="14.5">
      <c r="A90" s="45" t="s">
        <v>4315</v>
      </c>
      <c r="B90" s="46" t="s">
        <v>5540</v>
      </c>
    </row>
    <row r="91" spans="1:2" ht="14.5">
      <c r="A91" s="45" t="s">
        <v>5541</v>
      </c>
      <c r="B91" s="46" t="s">
        <v>5542</v>
      </c>
    </row>
    <row r="92" spans="1:2" ht="14.5">
      <c r="A92" s="45" t="s">
        <v>5543</v>
      </c>
      <c r="B92" s="46" t="s">
        <v>5544</v>
      </c>
    </row>
    <row r="93" spans="1:2" ht="14.5">
      <c r="A93" s="45" t="s">
        <v>5545</v>
      </c>
      <c r="B93" s="46" t="s">
        <v>5546</v>
      </c>
    </row>
    <row r="94" spans="1:2" ht="14.5">
      <c r="A94" s="45" t="s">
        <v>4408</v>
      </c>
      <c r="B94" s="46" t="s">
        <v>5547</v>
      </c>
    </row>
    <row r="95" spans="1:2" ht="14.5">
      <c r="A95" s="45" t="s">
        <v>4667</v>
      </c>
      <c r="B95" s="46" t="s">
        <v>5548</v>
      </c>
    </row>
    <row r="96" spans="1:2" ht="14.5">
      <c r="A96" s="45" t="s">
        <v>5549</v>
      </c>
      <c r="B96" s="46" t="s">
        <v>5550</v>
      </c>
    </row>
    <row r="97" spans="1:2" ht="14.5">
      <c r="A97" s="45" t="s">
        <v>5551</v>
      </c>
      <c r="B97" s="46" t="s">
        <v>5552</v>
      </c>
    </row>
    <row r="98" spans="1:2" ht="14.5">
      <c r="A98" s="45" t="s">
        <v>5553</v>
      </c>
      <c r="B98" s="46" t="s">
        <v>5554</v>
      </c>
    </row>
    <row r="99" spans="1:2" ht="14.5">
      <c r="A99" s="45" t="s">
        <v>5555</v>
      </c>
      <c r="B99" s="46" t="s">
        <v>5556</v>
      </c>
    </row>
    <row r="100" spans="1:2" ht="14.5">
      <c r="A100" s="45" t="s">
        <v>5557</v>
      </c>
      <c r="B100" s="46" t="s">
        <v>5558</v>
      </c>
    </row>
    <row r="101" spans="1:2" ht="14.5">
      <c r="A101" s="45" t="s">
        <v>5559</v>
      </c>
      <c r="B101" s="46" t="s">
        <v>5560</v>
      </c>
    </row>
    <row r="102" spans="1:2" ht="14.5">
      <c r="A102" s="45" t="s">
        <v>4185</v>
      </c>
      <c r="B102" s="46" t="s">
        <v>5561</v>
      </c>
    </row>
    <row r="103" spans="1:2" ht="14.5">
      <c r="A103" s="45" t="s">
        <v>4262</v>
      </c>
      <c r="B103" s="46" t="s">
        <v>5562</v>
      </c>
    </row>
    <row r="104" spans="1:2" ht="14.5">
      <c r="A104" s="45" t="s">
        <v>4293</v>
      </c>
      <c r="B104" s="46" t="s">
        <v>5563</v>
      </c>
    </row>
    <row r="105" spans="1:2" ht="14.5">
      <c r="A105" s="45" t="s">
        <v>4141</v>
      </c>
      <c r="B105" s="46" t="s">
        <v>5564</v>
      </c>
    </row>
    <row r="106" spans="1:2" ht="14.5">
      <c r="A106" s="45" t="s">
        <v>5565</v>
      </c>
      <c r="B106" s="46" t="s">
        <v>5566</v>
      </c>
    </row>
    <row r="107" spans="1:2" ht="14.5">
      <c r="A107" s="45" t="s">
        <v>5567</v>
      </c>
      <c r="B107" s="46" t="s">
        <v>5568</v>
      </c>
    </row>
    <row r="108" spans="1:2" ht="14.5">
      <c r="A108" s="45" t="s">
        <v>5569</v>
      </c>
      <c r="B108" s="46" t="s">
        <v>5570</v>
      </c>
    </row>
    <row r="109" spans="1:2" ht="14.5">
      <c r="A109" s="45" t="s">
        <v>5571</v>
      </c>
      <c r="B109" s="46" t="s">
        <v>5572</v>
      </c>
    </row>
    <row r="110" spans="1:2" ht="14.5">
      <c r="A110" s="45" t="s">
        <v>5573</v>
      </c>
      <c r="B110" s="46" t="s">
        <v>5574</v>
      </c>
    </row>
    <row r="111" spans="1:2" ht="14.5">
      <c r="A111" s="45" t="s">
        <v>4166</v>
      </c>
      <c r="B111" s="46" t="s">
        <v>5575</v>
      </c>
    </row>
    <row r="112" spans="1:2" ht="14.5">
      <c r="A112" s="45" t="s">
        <v>4615</v>
      </c>
      <c r="B112" s="46" t="s">
        <v>5576</v>
      </c>
    </row>
    <row r="113" spans="1:2" ht="14.5">
      <c r="A113" s="45" t="s">
        <v>5577</v>
      </c>
      <c r="B113" s="46" t="s">
        <v>5578</v>
      </c>
    </row>
    <row r="114" spans="1:2" ht="14.5">
      <c r="A114" s="45" t="s">
        <v>5579</v>
      </c>
      <c r="B114" s="46" t="s">
        <v>5580</v>
      </c>
    </row>
    <row r="115" spans="1:2" ht="14.5">
      <c r="A115" s="45" t="s">
        <v>5581</v>
      </c>
      <c r="B115" s="46" t="s">
        <v>5582</v>
      </c>
    </row>
    <row r="116" spans="1:2" ht="14.5">
      <c r="A116" s="45" t="s">
        <v>4272</v>
      </c>
      <c r="B116" s="46" t="s">
        <v>5583</v>
      </c>
    </row>
    <row r="117" spans="1:2" ht="14.5">
      <c r="A117" s="45" t="s">
        <v>5584</v>
      </c>
      <c r="B117" s="46" t="s">
        <v>5585</v>
      </c>
    </row>
    <row r="118" spans="1:2" ht="14.5">
      <c r="A118" s="45" t="s">
        <v>5586</v>
      </c>
      <c r="B118" s="46" t="s">
        <v>5587</v>
      </c>
    </row>
    <row r="119" spans="1:2" ht="14.5">
      <c r="A119" s="45" t="s">
        <v>5588</v>
      </c>
      <c r="B119" s="46" t="s">
        <v>5589</v>
      </c>
    </row>
    <row r="120" spans="1:2" ht="14.5">
      <c r="A120" s="45" t="s">
        <v>990</v>
      </c>
      <c r="B120" s="46" t="s">
        <v>5590</v>
      </c>
    </row>
    <row r="121" spans="1:2" ht="14.5">
      <c r="A121" s="45" t="s">
        <v>4193</v>
      </c>
      <c r="B121" s="46" t="s">
        <v>5591</v>
      </c>
    </row>
    <row r="122" spans="1:2" ht="14.5">
      <c r="A122" s="45" t="s">
        <v>4519</v>
      </c>
      <c r="B122" s="46" t="s">
        <v>5592</v>
      </c>
    </row>
    <row r="123" spans="1:2" ht="14.5">
      <c r="A123" s="45" t="s">
        <v>4568</v>
      </c>
      <c r="B123" s="46" t="s">
        <v>5593</v>
      </c>
    </row>
    <row r="124" spans="1:2" ht="14.5">
      <c r="A124" s="45" t="s">
        <v>4614</v>
      </c>
      <c r="B124" s="46" t="s">
        <v>5594</v>
      </c>
    </row>
    <row r="125" spans="1:2" ht="14.5">
      <c r="A125" s="45" t="s">
        <v>5595</v>
      </c>
      <c r="B125" s="46" t="s">
        <v>5596</v>
      </c>
    </row>
    <row r="126" spans="1:2" ht="14.5">
      <c r="A126" s="45" t="s">
        <v>4499</v>
      </c>
      <c r="B126" s="46" t="s">
        <v>5597</v>
      </c>
    </row>
    <row r="127" spans="1:2" ht="14.5">
      <c r="A127" s="45" t="s">
        <v>4378</v>
      </c>
      <c r="B127" s="46" t="s">
        <v>5598</v>
      </c>
    </row>
    <row r="128" spans="1:2" ht="14.5">
      <c r="A128" s="45" t="s">
        <v>5599</v>
      </c>
      <c r="B128" s="46" t="s">
        <v>5600</v>
      </c>
    </row>
    <row r="129" spans="1:2" ht="14.5">
      <c r="A129" s="45" t="s">
        <v>4147</v>
      </c>
      <c r="B129" s="46" t="s">
        <v>5601</v>
      </c>
    </row>
    <row r="130" spans="1:2" ht="14.5">
      <c r="A130" s="45" t="s">
        <v>5602</v>
      </c>
      <c r="B130" s="46" t="s">
        <v>5603</v>
      </c>
    </row>
    <row r="131" spans="1:2" ht="14.5">
      <c r="A131" s="45" t="s">
        <v>5604</v>
      </c>
      <c r="B131" s="46" t="s">
        <v>5605</v>
      </c>
    </row>
    <row r="132" spans="1:2" ht="14.5">
      <c r="A132" s="45" t="s">
        <v>5606</v>
      </c>
      <c r="B132" s="46" t="s">
        <v>5607</v>
      </c>
    </row>
    <row r="133" spans="1:2" ht="14.5">
      <c r="A133" s="45" t="s">
        <v>5608</v>
      </c>
      <c r="B133" s="46" t="s">
        <v>5609</v>
      </c>
    </row>
    <row r="134" spans="1:2" ht="14.5">
      <c r="A134" s="45" t="s">
        <v>4205</v>
      </c>
      <c r="B134" s="46" t="s">
        <v>5610</v>
      </c>
    </row>
    <row r="135" spans="1:2" ht="14.5">
      <c r="A135" s="45" t="s">
        <v>5611</v>
      </c>
      <c r="B135" s="46" t="s">
        <v>5612</v>
      </c>
    </row>
    <row r="136" spans="1:2" ht="14.5">
      <c r="A136" s="45" t="s">
        <v>5613</v>
      </c>
      <c r="B136" s="46" t="s">
        <v>5614</v>
      </c>
    </row>
    <row r="137" spans="1:2" ht="14.5">
      <c r="A137" s="45" t="s">
        <v>4284</v>
      </c>
      <c r="B137" s="46" t="s">
        <v>5615</v>
      </c>
    </row>
    <row r="138" spans="1:2" ht="14.5">
      <c r="A138" s="45" t="s">
        <v>5616</v>
      </c>
      <c r="B138" s="46" t="s">
        <v>5617</v>
      </c>
    </row>
    <row r="139" spans="1:2" ht="14.5">
      <c r="A139" s="45" t="s">
        <v>5618</v>
      </c>
      <c r="B139" s="46" t="s">
        <v>5619</v>
      </c>
    </row>
    <row r="140" spans="1:2" ht="14.5">
      <c r="A140" s="45" t="s">
        <v>5620</v>
      </c>
      <c r="B140" s="46" t="s">
        <v>5621</v>
      </c>
    </row>
    <row r="141" spans="1:2" ht="14.5">
      <c r="A141" s="45" t="s">
        <v>5622</v>
      </c>
      <c r="B141" s="46" t="s">
        <v>5623</v>
      </c>
    </row>
    <row r="142" spans="1:2" ht="14.5">
      <c r="A142" s="45" t="s">
        <v>5624</v>
      </c>
      <c r="B142" s="46" t="s">
        <v>5625</v>
      </c>
    </row>
    <row r="143" spans="1:2" ht="14.5">
      <c r="A143" s="45" t="s">
        <v>5626</v>
      </c>
      <c r="B143" s="46" t="s">
        <v>5627</v>
      </c>
    </row>
    <row r="144" spans="1:2" ht="14.5">
      <c r="A144" s="45" t="s">
        <v>4351</v>
      </c>
      <c r="B144" s="46" t="s">
        <v>5628</v>
      </c>
    </row>
    <row r="145" spans="1:2" ht="14.5">
      <c r="A145" s="45" t="s">
        <v>4360</v>
      </c>
      <c r="B145" s="46" t="s">
        <v>5629</v>
      </c>
    </row>
    <row r="146" spans="1:2" ht="14.5">
      <c r="A146" s="45" t="s">
        <v>5630</v>
      </c>
      <c r="B146" s="46" t="s">
        <v>5631</v>
      </c>
    </row>
    <row r="147" spans="1:2" ht="14.5">
      <c r="A147" s="45" t="s">
        <v>4761</v>
      </c>
      <c r="B147" s="46" t="s">
        <v>5632</v>
      </c>
    </row>
    <row r="148" spans="1:2" ht="14.5">
      <c r="A148" s="45" t="s">
        <v>4121</v>
      </c>
      <c r="B148" s="46" t="s">
        <v>5633</v>
      </c>
    </row>
    <row r="149" spans="1:2" ht="14.5">
      <c r="A149" s="45" t="s">
        <v>5634</v>
      </c>
      <c r="B149" s="46" t="s">
        <v>5635</v>
      </c>
    </row>
    <row r="150" spans="1:2" ht="14.5">
      <c r="A150" s="45" t="s">
        <v>5636</v>
      </c>
      <c r="B150" s="46" t="s">
        <v>5637</v>
      </c>
    </row>
    <row r="151" spans="1:2" ht="14.5">
      <c r="A151" s="45" t="s">
        <v>5638</v>
      </c>
      <c r="B151" s="46" t="s">
        <v>5639</v>
      </c>
    </row>
    <row r="152" spans="1:2" ht="14.5">
      <c r="A152" s="45" t="s">
        <v>5640</v>
      </c>
      <c r="B152" s="46" t="s">
        <v>5641</v>
      </c>
    </row>
    <row r="153" spans="1:2" ht="14.5">
      <c r="A153" s="45" t="s">
        <v>4429</v>
      </c>
      <c r="B153" s="46" t="s">
        <v>5642</v>
      </c>
    </row>
    <row r="154" spans="1:2" ht="14.5">
      <c r="A154" s="45" t="s">
        <v>5643</v>
      </c>
      <c r="B154" s="46" t="s">
        <v>5644</v>
      </c>
    </row>
    <row r="155" spans="1:2" ht="14.5">
      <c r="A155" s="45" t="s">
        <v>5645</v>
      </c>
      <c r="B155" s="46" t="s">
        <v>5646</v>
      </c>
    </row>
    <row r="156" spans="1:2" ht="14.5">
      <c r="A156" s="45" t="s">
        <v>4811</v>
      </c>
      <c r="B156" s="46" t="s">
        <v>5647</v>
      </c>
    </row>
    <row r="157" spans="1:2" ht="14.5">
      <c r="A157" s="45" t="s">
        <v>5648</v>
      </c>
      <c r="B157" s="46" t="s">
        <v>5649</v>
      </c>
    </row>
    <row r="158" spans="1:2" ht="14.5">
      <c r="A158" s="45" t="s">
        <v>5650</v>
      </c>
      <c r="B158" s="46" t="s">
        <v>5651</v>
      </c>
    </row>
    <row r="159" spans="1:2" ht="14.5">
      <c r="A159" s="45" t="s">
        <v>5652</v>
      </c>
      <c r="B159" s="46" t="s">
        <v>5653</v>
      </c>
    </row>
    <row r="160" spans="1:2" ht="14.5">
      <c r="A160" s="45" t="s">
        <v>5654</v>
      </c>
      <c r="B160" s="46" t="s">
        <v>5655</v>
      </c>
    </row>
    <row r="161" spans="1:2" ht="14.5">
      <c r="A161" s="45" t="s">
        <v>4261</v>
      </c>
      <c r="B161" s="46" t="s">
        <v>5656</v>
      </c>
    </row>
    <row r="162" spans="1:2" ht="14.5">
      <c r="A162" s="45" t="s">
        <v>4145</v>
      </c>
      <c r="B162" s="46" t="s">
        <v>5657</v>
      </c>
    </row>
    <row r="163" spans="1:2" ht="14.5">
      <c r="A163" s="45" t="s">
        <v>4684</v>
      </c>
      <c r="B163" s="46" t="s">
        <v>5658</v>
      </c>
    </row>
    <row r="164" spans="1:2" ht="14.5">
      <c r="A164" s="45" t="s">
        <v>5659</v>
      </c>
      <c r="B164" s="46" t="s">
        <v>5660</v>
      </c>
    </row>
    <row r="165" spans="1:2" ht="14.5">
      <c r="A165" s="45" t="s">
        <v>4326</v>
      </c>
      <c r="B165" s="46" t="s">
        <v>5661</v>
      </c>
    </row>
    <row r="166" spans="1:2" ht="14.5">
      <c r="A166" s="45" t="s">
        <v>5662</v>
      </c>
      <c r="B166" s="46" t="s">
        <v>5663</v>
      </c>
    </row>
    <row r="167" spans="1:2" ht="14.5">
      <c r="A167" s="45" t="s">
        <v>5664</v>
      </c>
      <c r="B167" s="46" t="s">
        <v>5665</v>
      </c>
    </row>
    <row r="168" spans="1:2" ht="14.5">
      <c r="A168" s="45" t="s">
        <v>4308</v>
      </c>
      <c r="B168" s="46" t="s">
        <v>5666</v>
      </c>
    </row>
    <row r="169" spans="1:2" ht="14.5">
      <c r="A169" s="45" t="s">
        <v>4459</v>
      </c>
      <c r="B169" s="46" t="s">
        <v>5667</v>
      </c>
    </row>
    <row r="170" spans="1:2" ht="14.5">
      <c r="A170" s="45" t="s">
        <v>4119</v>
      </c>
      <c r="B170" s="46" t="s">
        <v>5668</v>
      </c>
    </row>
    <row r="171" spans="1:2" ht="14.5">
      <c r="A171" s="45" t="s">
        <v>5669</v>
      </c>
      <c r="B171" s="46" t="s">
        <v>5670</v>
      </c>
    </row>
    <row r="172" spans="1:2" ht="14.5">
      <c r="A172" s="45" t="s">
        <v>5671</v>
      </c>
      <c r="B172" s="46" t="s">
        <v>5672</v>
      </c>
    </row>
    <row r="173" spans="1:2" ht="14.5">
      <c r="A173" s="45" t="s">
        <v>5673</v>
      </c>
      <c r="B173" s="46" t="s">
        <v>5674</v>
      </c>
    </row>
    <row r="174" spans="1:2" ht="14.5">
      <c r="A174" s="45" t="s">
        <v>5675</v>
      </c>
      <c r="B174" s="46" t="s">
        <v>5676</v>
      </c>
    </row>
    <row r="175" spans="1:2" ht="14.5">
      <c r="A175" s="45" t="s">
        <v>4320</v>
      </c>
      <c r="B175" s="46" t="s">
        <v>5677</v>
      </c>
    </row>
    <row r="176" spans="1:2" ht="14.5">
      <c r="A176" s="45" t="s">
        <v>5678</v>
      </c>
      <c r="B176" s="46" t="s">
        <v>5679</v>
      </c>
    </row>
    <row r="177" spans="1:2" ht="14.5">
      <c r="A177" s="45" t="s">
        <v>5680</v>
      </c>
      <c r="B177" s="46" t="s">
        <v>5681</v>
      </c>
    </row>
    <row r="178" spans="1:2" ht="14.5">
      <c r="A178" s="45" t="s">
        <v>5682</v>
      </c>
      <c r="B178" s="46" t="s">
        <v>5683</v>
      </c>
    </row>
    <row r="179" spans="1:2" ht="14.5">
      <c r="A179" s="45" t="s">
        <v>4343</v>
      </c>
      <c r="B179" s="46" t="s">
        <v>5684</v>
      </c>
    </row>
    <row r="180" spans="1:2" ht="14.5">
      <c r="A180" s="45" t="s">
        <v>5685</v>
      </c>
      <c r="B180" s="46" t="s">
        <v>5686</v>
      </c>
    </row>
    <row r="181" spans="1:2" ht="14.5">
      <c r="A181" s="45" t="s">
        <v>2256</v>
      </c>
      <c r="B181" s="46" t="s">
        <v>5687</v>
      </c>
    </row>
    <row r="182" spans="1:2" ht="14.5">
      <c r="A182" s="45" t="s">
        <v>4171</v>
      </c>
      <c r="B182" s="46" t="s">
        <v>5688</v>
      </c>
    </row>
    <row r="183" spans="1:2" ht="14.5">
      <c r="A183" s="45" t="s">
        <v>4361</v>
      </c>
      <c r="B183" s="46" t="s">
        <v>5689</v>
      </c>
    </row>
    <row r="184" spans="1:2" ht="14.5">
      <c r="A184" s="45" t="s">
        <v>4891</v>
      </c>
      <c r="B184" s="46" t="s">
        <v>5690</v>
      </c>
    </row>
    <row r="185" spans="1:2" ht="14.5">
      <c r="A185" s="45" t="s">
        <v>5691</v>
      </c>
      <c r="B185" s="46" t="s">
        <v>5692</v>
      </c>
    </row>
    <row r="186" spans="1:2" ht="14.5">
      <c r="A186" s="45" t="s">
        <v>5693</v>
      </c>
      <c r="B186" s="46" t="s">
        <v>5694</v>
      </c>
    </row>
    <row r="187" spans="1:2" ht="14.5">
      <c r="A187" s="45" t="s">
        <v>5695</v>
      </c>
      <c r="B187" s="46" t="s">
        <v>5696</v>
      </c>
    </row>
    <row r="188" spans="1:2" ht="14.5">
      <c r="A188" s="45" t="s">
        <v>4577</v>
      </c>
      <c r="B188" s="46" t="s">
        <v>5697</v>
      </c>
    </row>
    <row r="189" spans="1:2" ht="14.5">
      <c r="A189" s="45" t="s">
        <v>4264</v>
      </c>
      <c r="B189" s="46" t="s">
        <v>5698</v>
      </c>
    </row>
    <row r="190" spans="1:2" ht="14.5">
      <c r="A190" s="45" t="s">
        <v>2240</v>
      </c>
      <c r="B190" s="46" t="s">
        <v>5699</v>
      </c>
    </row>
    <row r="191" spans="1:2" ht="14.5">
      <c r="A191" s="45" t="s">
        <v>5700</v>
      </c>
      <c r="B191" s="46" t="s">
        <v>5701</v>
      </c>
    </row>
    <row r="192" spans="1:2" ht="14.5">
      <c r="A192" s="45" t="s">
        <v>5702</v>
      </c>
      <c r="B192" s="46" t="s">
        <v>5703</v>
      </c>
    </row>
    <row r="193" spans="1:2" ht="14.5">
      <c r="A193" s="45" t="s">
        <v>4364</v>
      </c>
      <c r="B193" s="46" t="s">
        <v>5704</v>
      </c>
    </row>
    <row r="194" spans="1:2" ht="14.5">
      <c r="A194" s="45" t="s">
        <v>4250</v>
      </c>
      <c r="B194" s="46" t="s">
        <v>5705</v>
      </c>
    </row>
    <row r="195" spans="1:2" ht="14.5">
      <c r="A195" s="45" t="s">
        <v>4178</v>
      </c>
      <c r="B195" s="46" t="s">
        <v>5706</v>
      </c>
    </row>
    <row r="196" spans="1:2" ht="14.5">
      <c r="A196" s="45" t="s">
        <v>5707</v>
      </c>
      <c r="B196" s="46" t="s">
        <v>5708</v>
      </c>
    </row>
    <row r="197" spans="1:2" ht="14.5">
      <c r="A197" s="45" t="s">
        <v>5709</v>
      </c>
      <c r="B197" s="46" t="s">
        <v>5710</v>
      </c>
    </row>
    <row r="198" spans="1:2" ht="14.5">
      <c r="A198" s="45" t="s">
        <v>5711</v>
      </c>
      <c r="B198" s="46" t="s">
        <v>5712</v>
      </c>
    </row>
    <row r="199" spans="1:2" ht="14.5">
      <c r="A199" s="45" t="s">
        <v>5713</v>
      </c>
      <c r="B199" s="46" t="s">
        <v>5714</v>
      </c>
    </row>
    <row r="200" spans="1:2" ht="14.5">
      <c r="A200" s="45" t="s">
        <v>4733</v>
      </c>
      <c r="B200" s="46" t="s">
        <v>5715</v>
      </c>
    </row>
    <row r="201" spans="1:2" ht="14.5">
      <c r="A201" s="45" t="s">
        <v>5716</v>
      </c>
      <c r="B201" s="46" t="s">
        <v>5717</v>
      </c>
    </row>
    <row r="202" spans="1:2" ht="14.5">
      <c r="A202" s="45" t="s">
        <v>887</v>
      </c>
      <c r="B202" s="46" t="s">
        <v>5718</v>
      </c>
    </row>
    <row r="203" spans="1:2" ht="14.5">
      <c r="A203" s="45" t="s">
        <v>4240</v>
      </c>
      <c r="B203" s="46" t="s">
        <v>5719</v>
      </c>
    </row>
    <row r="204" spans="1:2" ht="14.5">
      <c r="A204" s="45" t="s">
        <v>4442</v>
      </c>
      <c r="B204" s="46" t="s">
        <v>5720</v>
      </c>
    </row>
    <row r="205" spans="1:2" ht="14.5">
      <c r="A205" s="45" t="s">
        <v>4767</v>
      </c>
      <c r="B205" s="46" t="s">
        <v>5721</v>
      </c>
    </row>
    <row r="206" spans="1:2" ht="14.5">
      <c r="A206" s="45" t="s">
        <v>5722</v>
      </c>
      <c r="B206" s="46" t="s">
        <v>5723</v>
      </c>
    </row>
    <row r="207" spans="1:2" ht="14.5">
      <c r="A207" s="45" t="s">
        <v>4312</v>
      </c>
      <c r="B207" s="46" t="s">
        <v>5724</v>
      </c>
    </row>
    <row r="208" spans="1:2" ht="14.5">
      <c r="A208" s="45" t="s">
        <v>5725</v>
      </c>
      <c r="B208" s="46" t="s">
        <v>5726</v>
      </c>
    </row>
    <row r="209" spans="1:2" ht="14.5">
      <c r="A209" s="45" t="s">
        <v>4546</v>
      </c>
      <c r="B209" s="46" t="s">
        <v>5727</v>
      </c>
    </row>
    <row r="210" spans="1:2" ht="14.5">
      <c r="A210" s="45" t="s">
        <v>4783</v>
      </c>
      <c r="B210" s="46" t="s">
        <v>5728</v>
      </c>
    </row>
    <row r="211" spans="1:2" ht="14.5">
      <c r="A211" s="45" t="s">
        <v>5729</v>
      </c>
      <c r="B211" s="46" t="s">
        <v>5730</v>
      </c>
    </row>
    <row r="212" spans="1:2" ht="14.5">
      <c r="A212" s="45" t="s">
        <v>5731</v>
      </c>
      <c r="B212" s="46" t="s">
        <v>5732</v>
      </c>
    </row>
    <row r="213" spans="1:2" ht="14.5">
      <c r="A213" s="45" t="s">
        <v>4130</v>
      </c>
      <c r="B213" s="46" t="s">
        <v>5733</v>
      </c>
    </row>
    <row r="214" spans="1:2" ht="14.5">
      <c r="A214" s="45" t="s">
        <v>5734</v>
      </c>
      <c r="B214" s="46" t="s">
        <v>5735</v>
      </c>
    </row>
    <row r="215" spans="1:2" ht="14.5">
      <c r="A215" s="45" t="s">
        <v>5736</v>
      </c>
      <c r="B215" s="46" t="s">
        <v>5737</v>
      </c>
    </row>
    <row r="216" spans="1:2" ht="14.5">
      <c r="A216" s="45" t="s">
        <v>4127</v>
      </c>
      <c r="B216" s="46" t="s">
        <v>5738</v>
      </c>
    </row>
    <row r="217" spans="1:2" ht="14.5">
      <c r="A217" s="45" t="s">
        <v>4242</v>
      </c>
      <c r="B217" s="46" t="s">
        <v>5739</v>
      </c>
    </row>
    <row r="218" spans="1:2" ht="14.5">
      <c r="A218" s="45" t="s">
        <v>4172</v>
      </c>
      <c r="B218" s="46" t="s">
        <v>5740</v>
      </c>
    </row>
    <row r="219" spans="1:2" ht="14.5">
      <c r="A219" s="45" t="s">
        <v>5741</v>
      </c>
      <c r="B219" s="46" t="s">
        <v>5742</v>
      </c>
    </row>
    <row r="220" spans="1:2" ht="14.5">
      <c r="A220" s="45" t="s">
        <v>5743</v>
      </c>
      <c r="B220" s="46" t="s">
        <v>5744</v>
      </c>
    </row>
    <row r="221" spans="1:2" ht="14.5">
      <c r="A221" s="45" t="s">
        <v>5745</v>
      </c>
      <c r="B221" s="46" t="s">
        <v>5746</v>
      </c>
    </row>
    <row r="222" spans="1:2" ht="14.5">
      <c r="A222" s="45" t="s">
        <v>4156</v>
      </c>
      <c r="B222" s="46" t="s">
        <v>5747</v>
      </c>
    </row>
    <row r="223" spans="1:2" ht="14.5">
      <c r="A223" s="45" t="s">
        <v>5748</v>
      </c>
      <c r="B223" s="46" t="s">
        <v>5749</v>
      </c>
    </row>
    <row r="224" spans="1:2" ht="14.5">
      <c r="A224" s="45" t="s">
        <v>5750</v>
      </c>
      <c r="B224" s="46" t="s">
        <v>5751</v>
      </c>
    </row>
    <row r="225" spans="1:2" ht="14.5">
      <c r="A225" s="45" t="s">
        <v>5752</v>
      </c>
      <c r="B225" s="46" t="s">
        <v>5753</v>
      </c>
    </row>
    <row r="226" spans="1:2" ht="14.5">
      <c r="A226" s="45" t="s">
        <v>5754</v>
      </c>
      <c r="B226" s="46" t="s">
        <v>5755</v>
      </c>
    </row>
    <row r="227" spans="1:2" ht="14.5">
      <c r="A227" s="45" t="s">
        <v>4707</v>
      </c>
      <c r="B227" s="46" t="s">
        <v>5756</v>
      </c>
    </row>
    <row r="228" spans="1:2" ht="14.5">
      <c r="A228" s="45" t="s">
        <v>5757</v>
      </c>
      <c r="B228" s="46" t="s">
        <v>5758</v>
      </c>
    </row>
    <row r="229" spans="1:2" ht="14.5">
      <c r="A229" s="45" t="s">
        <v>4686</v>
      </c>
      <c r="B229" s="46" t="s">
        <v>5759</v>
      </c>
    </row>
    <row r="230" spans="1:2" ht="14.5">
      <c r="A230" s="45" t="s">
        <v>4113</v>
      </c>
      <c r="B230" s="46" t="s">
        <v>5760</v>
      </c>
    </row>
    <row r="231" spans="1:2" ht="14.5">
      <c r="A231" s="45" t="s">
        <v>4353</v>
      </c>
      <c r="B231" s="46" t="s">
        <v>5761</v>
      </c>
    </row>
    <row r="232" spans="1:2" ht="14.5">
      <c r="A232" s="45" t="s">
        <v>5762</v>
      </c>
      <c r="B232" s="46" t="s">
        <v>5763</v>
      </c>
    </row>
    <row r="233" spans="1:2" ht="14.5">
      <c r="A233" s="45" t="s">
        <v>5764</v>
      </c>
      <c r="B233" s="46" t="s">
        <v>5765</v>
      </c>
    </row>
    <row r="234" spans="1:2" ht="14.5">
      <c r="A234" s="45" t="s">
        <v>5766</v>
      </c>
      <c r="B234" s="46" t="s">
        <v>5767</v>
      </c>
    </row>
    <row r="235" spans="1:2" ht="14.5">
      <c r="A235" s="45" t="s">
        <v>746</v>
      </c>
      <c r="B235" s="46" t="s">
        <v>5768</v>
      </c>
    </row>
    <row r="236" spans="1:2" ht="14.5">
      <c r="A236" s="45" t="s">
        <v>4279</v>
      </c>
      <c r="B236" s="46" t="s">
        <v>5769</v>
      </c>
    </row>
    <row r="237" spans="1:2" ht="14.5">
      <c r="A237" s="45" t="s">
        <v>4778</v>
      </c>
      <c r="B237" s="46" t="s">
        <v>5770</v>
      </c>
    </row>
    <row r="238" spans="1:2" ht="14.5">
      <c r="A238" s="45" t="s">
        <v>5771</v>
      </c>
      <c r="B238" s="46" t="s">
        <v>5772</v>
      </c>
    </row>
    <row r="239" spans="1:2" ht="14.5">
      <c r="A239" s="45" t="s">
        <v>5773</v>
      </c>
      <c r="B239" s="46" t="s">
        <v>5774</v>
      </c>
    </row>
    <row r="240" spans="1:2" ht="14.5">
      <c r="A240" s="45" t="s">
        <v>5775</v>
      </c>
      <c r="B240" s="46" t="s">
        <v>5776</v>
      </c>
    </row>
    <row r="241" spans="1:2" ht="14.5">
      <c r="A241" s="45" t="s">
        <v>5777</v>
      </c>
      <c r="B241" s="46" t="s">
        <v>5778</v>
      </c>
    </row>
    <row r="242" spans="1:2" ht="14.5">
      <c r="A242" s="45" t="s">
        <v>4825</v>
      </c>
      <c r="B242" s="46" t="s">
        <v>5779</v>
      </c>
    </row>
    <row r="243" spans="1:2" ht="14.5">
      <c r="A243" s="45" t="s">
        <v>5780</v>
      </c>
      <c r="B243" s="46" t="s">
        <v>5781</v>
      </c>
    </row>
    <row r="244" spans="1:2" ht="14.5">
      <c r="A244" s="45" t="s">
        <v>5782</v>
      </c>
      <c r="B244" s="46" t="s">
        <v>5783</v>
      </c>
    </row>
    <row r="245" spans="1:2" ht="14.5">
      <c r="A245" s="45" t="s">
        <v>5784</v>
      </c>
      <c r="B245" s="46" t="s">
        <v>5785</v>
      </c>
    </row>
    <row r="246" spans="1:2" ht="14.5">
      <c r="A246" s="45" t="s">
        <v>5786</v>
      </c>
      <c r="B246" s="46" t="s">
        <v>5787</v>
      </c>
    </row>
    <row r="247" spans="1:2" ht="14.5">
      <c r="A247" s="45" t="s">
        <v>4401</v>
      </c>
      <c r="B247" s="46" t="s">
        <v>5788</v>
      </c>
    </row>
    <row r="248" spans="1:2" ht="14.5">
      <c r="A248" s="45" t="s">
        <v>5789</v>
      </c>
      <c r="B248" s="46" t="s">
        <v>5790</v>
      </c>
    </row>
    <row r="249" spans="1:2" ht="14.5">
      <c r="A249" s="45" t="s">
        <v>5791</v>
      </c>
      <c r="B249" s="46" t="s">
        <v>5792</v>
      </c>
    </row>
    <row r="250" spans="1:2" ht="14.5">
      <c r="A250" s="45" t="s">
        <v>4155</v>
      </c>
      <c r="B250" s="46" t="s">
        <v>5793</v>
      </c>
    </row>
    <row r="251" spans="1:2" ht="14.5">
      <c r="A251" s="45" t="s">
        <v>4471</v>
      </c>
      <c r="B251" s="46" t="s">
        <v>5794</v>
      </c>
    </row>
    <row r="252" spans="1:2" ht="14.5">
      <c r="A252" s="45" t="s">
        <v>5795</v>
      </c>
      <c r="B252" s="46" t="s">
        <v>5796</v>
      </c>
    </row>
    <row r="253" spans="1:2" ht="14.5">
      <c r="A253" s="45" t="s">
        <v>4152</v>
      </c>
      <c r="B253" s="46" t="s">
        <v>5797</v>
      </c>
    </row>
    <row r="254" spans="1:2" ht="14.5">
      <c r="A254" s="45" t="s">
        <v>4685</v>
      </c>
      <c r="B254" s="46" t="s">
        <v>5798</v>
      </c>
    </row>
    <row r="255" spans="1:2" ht="14.5">
      <c r="A255" s="45" t="s">
        <v>4304</v>
      </c>
      <c r="B255" s="46" t="s">
        <v>5799</v>
      </c>
    </row>
    <row r="256" spans="1:2" ht="14.5">
      <c r="A256" s="45" t="s">
        <v>5800</v>
      </c>
      <c r="B256" s="46" t="s">
        <v>5801</v>
      </c>
    </row>
    <row r="257" spans="1:2" ht="14.5">
      <c r="A257" s="45" t="s">
        <v>5802</v>
      </c>
      <c r="B257" s="46" t="s">
        <v>5803</v>
      </c>
    </row>
    <row r="258" spans="1:2" ht="14.5">
      <c r="A258" s="45" t="s">
        <v>5804</v>
      </c>
      <c r="B258" s="46" t="s">
        <v>5805</v>
      </c>
    </row>
    <row r="259" spans="1:2" ht="14.5">
      <c r="A259" s="45" t="s">
        <v>5806</v>
      </c>
      <c r="B259" s="46" t="s">
        <v>5807</v>
      </c>
    </row>
    <row r="260" spans="1:2" ht="14.5">
      <c r="A260" s="45" t="s">
        <v>5808</v>
      </c>
      <c r="B260" s="46" t="s">
        <v>5809</v>
      </c>
    </row>
    <row r="261" spans="1:2" ht="14.5">
      <c r="A261" s="45" t="s">
        <v>5810</v>
      </c>
      <c r="B261" s="46" t="s">
        <v>5811</v>
      </c>
    </row>
    <row r="262" spans="1:2" ht="14.5">
      <c r="A262" s="45" t="s">
        <v>5812</v>
      </c>
      <c r="B262" s="46" t="s">
        <v>5813</v>
      </c>
    </row>
    <row r="263" spans="1:2" ht="14.5">
      <c r="A263" s="45" t="s">
        <v>4295</v>
      </c>
      <c r="B263" s="46" t="s">
        <v>5814</v>
      </c>
    </row>
    <row r="264" spans="1:2" ht="14.5">
      <c r="A264" s="45" t="s">
        <v>4822</v>
      </c>
      <c r="B264" s="46" t="s">
        <v>5815</v>
      </c>
    </row>
    <row r="265" spans="1:2" ht="14.5">
      <c r="A265" s="45" t="s">
        <v>5816</v>
      </c>
      <c r="B265" s="46" t="s">
        <v>5817</v>
      </c>
    </row>
    <row r="266" spans="1:2" ht="14.5">
      <c r="A266" s="45" t="s">
        <v>4374</v>
      </c>
      <c r="B266" s="46" t="s">
        <v>5818</v>
      </c>
    </row>
    <row r="267" spans="1:2" ht="14.5">
      <c r="A267" s="45" t="s">
        <v>4199</v>
      </c>
      <c r="B267" s="46" t="s">
        <v>5819</v>
      </c>
    </row>
    <row r="268" spans="1:2" ht="14.5">
      <c r="A268" s="45" t="s">
        <v>5820</v>
      </c>
      <c r="B268" s="46" t="s">
        <v>5821</v>
      </c>
    </row>
    <row r="269" spans="1:2" ht="14.5">
      <c r="A269" s="45" t="s">
        <v>4884</v>
      </c>
      <c r="B269" s="46" t="s">
        <v>5822</v>
      </c>
    </row>
    <row r="270" spans="1:2" ht="14.5">
      <c r="A270" s="45" t="s">
        <v>4674</v>
      </c>
      <c r="B270" s="46" t="s">
        <v>5823</v>
      </c>
    </row>
    <row r="271" spans="1:2" ht="14.5">
      <c r="A271" s="45" t="s">
        <v>5824</v>
      </c>
      <c r="B271" s="46" t="s">
        <v>5825</v>
      </c>
    </row>
    <row r="272" spans="1:2" ht="14.5">
      <c r="A272" s="45" t="s">
        <v>5826</v>
      </c>
      <c r="B272" s="46" t="s">
        <v>5827</v>
      </c>
    </row>
    <row r="273" spans="1:2" ht="14.5">
      <c r="A273" s="45" t="s">
        <v>5828</v>
      </c>
      <c r="B273" s="46" t="s">
        <v>5829</v>
      </c>
    </row>
    <row r="274" spans="1:2" ht="14.5">
      <c r="A274" s="45" t="s">
        <v>4809</v>
      </c>
      <c r="B274" s="46" t="s">
        <v>5830</v>
      </c>
    </row>
    <row r="275" spans="1:2" ht="14.5">
      <c r="A275" s="45" t="s">
        <v>5831</v>
      </c>
      <c r="B275" s="46" t="s">
        <v>5832</v>
      </c>
    </row>
    <row r="276" spans="1:2" ht="14.5">
      <c r="A276" s="45" t="s">
        <v>4776</v>
      </c>
      <c r="B276" s="46" t="s">
        <v>5833</v>
      </c>
    </row>
    <row r="277" spans="1:2" ht="14.5">
      <c r="A277" s="45" t="s">
        <v>4699</v>
      </c>
      <c r="B277" s="46" t="s">
        <v>5834</v>
      </c>
    </row>
    <row r="278" spans="1:2" ht="14.5">
      <c r="A278" s="45" t="s">
        <v>4860</v>
      </c>
      <c r="B278" s="46" t="s">
        <v>5835</v>
      </c>
    </row>
    <row r="279" spans="1:2" ht="14.5">
      <c r="A279" s="45" t="s">
        <v>5836</v>
      </c>
      <c r="B279" s="46" t="s">
        <v>5837</v>
      </c>
    </row>
    <row r="280" spans="1:2" ht="14.5">
      <c r="A280" s="45" t="s">
        <v>5838</v>
      </c>
      <c r="B280" s="46" t="s">
        <v>5839</v>
      </c>
    </row>
    <row r="281" spans="1:2" ht="14.5">
      <c r="A281" s="45" t="s">
        <v>5840</v>
      </c>
      <c r="B281" s="46" t="s">
        <v>5841</v>
      </c>
    </row>
    <row r="282" spans="1:2" ht="14.5">
      <c r="A282" s="45" t="s">
        <v>5842</v>
      </c>
      <c r="B282" s="46" t="s">
        <v>5843</v>
      </c>
    </row>
    <row r="283" spans="1:2" ht="14.5">
      <c r="A283" s="45" t="s">
        <v>4248</v>
      </c>
      <c r="B283" s="46" t="s">
        <v>5844</v>
      </c>
    </row>
    <row r="284" spans="1:2" ht="14.5">
      <c r="A284" s="45" t="s">
        <v>5845</v>
      </c>
      <c r="B284" s="46" t="s">
        <v>5846</v>
      </c>
    </row>
    <row r="285" spans="1:2" ht="14.5">
      <c r="A285" s="45" t="s">
        <v>4381</v>
      </c>
      <c r="B285" s="46" t="s">
        <v>5847</v>
      </c>
    </row>
    <row r="286" spans="1:2" ht="14.5">
      <c r="A286" s="45" t="s">
        <v>40</v>
      </c>
      <c r="B286" s="46" t="s">
        <v>5848</v>
      </c>
    </row>
    <row r="287" spans="1:2" ht="14.5">
      <c r="A287" s="45" t="s">
        <v>5849</v>
      </c>
      <c r="B287" s="46" t="s">
        <v>5850</v>
      </c>
    </row>
    <row r="288" spans="1:2" ht="14.5">
      <c r="A288" s="45" t="s">
        <v>5851</v>
      </c>
      <c r="B288" s="46" t="s">
        <v>5852</v>
      </c>
    </row>
    <row r="289" spans="1:2" ht="14.5">
      <c r="A289" s="45" t="s">
        <v>5853</v>
      </c>
      <c r="B289" s="46" t="s">
        <v>5854</v>
      </c>
    </row>
    <row r="290" spans="1:2" ht="14.5">
      <c r="A290" s="45" t="s">
        <v>4717</v>
      </c>
      <c r="B290" s="46" t="s">
        <v>5855</v>
      </c>
    </row>
    <row r="291" spans="1:2" ht="14.5">
      <c r="A291" s="45" t="s">
        <v>5856</v>
      </c>
      <c r="B291" s="46" t="s">
        <v>5857</v>
      </c>
    </row>
    <row r="292" spans="1:2" ht="14.5">
      <c r="A292" s="45" t="s">
        <v>5858</v>
      </c>
      <c r="B292" s="46" t="s">
        <v>5859</v>
      </c>
    </row>
    <row r="293" spans="1:2" ht="14.5">
      <c r="A293" s="45" t="s">
        <v>4183</v>
      </c>
      <c r="B293" s="46" t="s">
        <v>5860</v>
      </c>
    </row>
    <row r="294" spans="1:2" ht="14.5">
      <c r="A294" s="45" t="s">
        <v>4215</v>
      </c>
      <c r="B294" s="46" t="s">
        <v>5861</v>
      </c>
    </row>
    <row r="295" spans="1:2" ht="14.5">
      <c r="A295" s="45" t="s">
        <v>4676</v>
      </c>
      <c r="B295" s="46" t="s">
        <v>5862</v>
      </c>
    </row>
    <row r="296" spans="1:2" ht="14.5">
      <c r="A296" s="45" t="s">
        <v>4230</v>
      </c>
      <c r="B296" s="46" t="s">
        <v>5863</v>
      </c>
    </row>
    <row r="297" spans="1:2" ht="14.5">
      <c r="A297" s="45" t="s">
        <v>4468</v>
      </c>
      <c r="B297" s="46" t="s">
        <v>5864</v>
      </c>
    </row>
    <row r="298" spans="1:2" ht="14.5">
      <c r="A298" s="45" t="s">
        <v>4550</v>
      </c>
      <c r="B298" s="46" t="s">
        <v>5865</v>
      </c>
    </row>
    <row r="299" spans="1:2" ht="14.5">
      <c r="A299" s="45" t="s">
        <v>4413</v>
      </c>
      <c r="B299" s="46" t="s">
        <v>5866</v>
      </c>
    </row>
    <row r="300" spans="1:2" ht="14.5">
      <c r="A300" s="45" t="s">
        <v>4600</v>
      </c>
      <c r="B300" s="46" t="s">
        <v>5867</v>
      </c>
    </row>
    <row r="301" spans="1:2" ht="14.5">
      <c r="A301" s="45" t="s">
        <v>5868</v>
      </c>
      <c r="B301" s="46" t="s">
        <v>5869</v>
      </c>
    </row>
    <row r="302" spans="1:2" ht="14.5">
      <c r="A302" s="45" t="s">
        <v>2276</v>
      </c>
      <c r="B302" s="46" t="s">
        <v>5870</v>
      </c>
    </row>
    <row r="303" spans="1:2" ht="14.5">
      <c r="A303" s="45" t="s">
        <v>4539</v>
      </c>
      <c r="B303" s="46" t="s">
        <v>5871</v>
      </c>
    </row>
    <row r="304" spans="1:2" ht="14.5">
      <c r="A304" s="45" t="s">
        <v>5872</v>
      </c>
      <c r="B304" s="46" t="s">
        <v>5873</v>
      </c>
    </row>
    <row r="305" spans="1:2" ht="14.5">
      <c r="A305" s="45" t="s">
        <v>5874</v>
      </c>
      <c r="B305" s="46" t="s">
        <v>5875</v>
      </c>
    </row>
    <row r="306" spans="1:2" ht="14.5">
      <c r="A306" s="45" t="s">
        <v>5876</v>
      </c>
      <c r="B306" s="46" t="s">
        <v>5877</v>
      </c>
    </row>
    <row r="307" spans="1:2" ht="14.5">
      <c r="A307" s="45" t="s">
        <v>4290</v>
      </c>
      <c r="B307" s="46" t="s">
        <v>5878</v>
      </c>
    </row>
    <row r="308" spans="1:2" ht="14.5">
      <c r="A308" s="45" t="s">
        <v>5879</v>
      </c>
      <c r="B308" s="46" t="s">
        <v>5880</v>
      </c>
    </row>
    <row r="309" spans="1:2" ht="14.5">
      <c r="A309" s="45" t="s">
        <v>5881</v>
      </c>
      <c r="B309" s="46" t="s">
        <v>5882</v>
      </c>
    </row>
    <row r="310" spans="1:2" ht="14.5">
      <c r="A310" s="45" t="s">
        <v>5883</v>
      </c>
      <c r="B310" s="46" t="s">
        <v>5884</v>
      </c>
    </row>
    <row r="311" spans="1:2" ht="14.5">
      <c r="A311" s="45" t="s">
        <v>5885</v>
      </c>
      <c r="B311" s="46" t="s">
        <v>5886</v>
      </c>
    </row>
    <row r="312" spans="1:2" ht="14.5">
      <c r="A312" s="45" t="s">
        <v>5887</v>
      </c>
      <c r="B312" s="46" t="s">
        <v>5888</v>
      </c>
    </row>
    <row r="313" spans="1:2" ht="14.5">
      <c r="A313" s="45" t="s">
        <v>5889</v>
      </c>
      <c r="B313" s="46" t="s">
        <v>5890</v>
      </c>
    </row>
    <row r="314" spans="1:2" ht="14.5">
      <c r="A314" s="45" t="s">
        <v>5891</v>
      </c>
      <c r="B314" s="46" t="s">
        <v>5892</v>
      </c>
    </row>
    <row r="315" spans="1:2" ht="14.5">
      <c r="A315" s="45" t="s">
        <v>5893</v>
      </c>
      <c r="B315" s="46" t="s">
        <v>5894</v>
      </c>
    </row>
    <row r="316" spans="1:2" ht="14.5">
      <c r="A316" s="45" t="s">
        <v>5895</v>
      </c>
      <c r="B316" s="46" t="s">
        <v>5896</v>
      </c>
    </row>
    <row r="317" spans="1:2" ht="14.5">
      <c r="A317" s="45" t="s">
        <v>5897</v>
      </c>
      <c r="B317" s="46" t="s">
        <v>5898</v>
      </c>
    </row>
    <row r="318" spans="1:2" ht="14.5">
      <c r="A318" s="45" t="s">
        <v>5899</v>
      </c>
      <c r="B318" s="46" t="s">
        <v>5900</v>
      </c>
    </row>
    <row r="319" spans="1:2" ht="14.5">
      <c r="A319" s="45" t="s">
        <v>5901</v>
      </c>
      <c r="B319" s="46" t="s">
        <v>5902</v>
      </c>
    </row>
    <row r="320" spans="1:2" ht="14.5">
      <c r="A320" s="45" t="s">
        <v>4309</v>
      </c>
      <c r="B320" s="46" t="s">
        <v>5903</v>
      </c>
    </row>
    <row r="321" spans="1:2" ht="14.5">
      <c r="A321" s="45" t="s">
        <v>4444</v>
      </c>
      <c r="B321" s="46" t="s">
        <v>5904</v>
      </c>
    </row>
    <row r="322" spans="1:2" ht="14.5">
      <c r="A322" s="45" t="s">
        <v>4331</v>
      </c>
      <c r="B322" s="46" t="s">
        <v>5905</v>
      </c>
    </row>
    <row r="323" spans="1:2" ht="14.5">
      <c r="A323" s="45" t="s">
        <v>5906</v>
      </c>
      <c r="B323" s="46" t="s">
        <v>5907</v>
      </c>
    </row>
    <row r="324" spans="1:2" ht="14.5">
      <c r="A324" s="45" t="s">
        <v>4452</v>
      </c>
      <c r="B324" s="46" t="s">
        <v>5908</v>
      </c>
    </row>
    <row r="325" spans="1:2" ht="14.5">
      <c r="A325" s="45" t="s">
        <v>5909</v>
      </c>
      <c r="B325" s="46" t="s">
        <v>5910</v>
      </c>
    </row>
    <row r="326" spans="1:2" ht="14.5">
      <c r="A326" s="45" t="s">
        <v>4232</v>
      </c>
      <c r="B326" s="46" t="s">
        <v>5911</v>
      </c>
    </row>
    <row r="327" spans="1:2" ht="14.5">
      <c r="A327" s="45" t="s">
        <v>5912</v>
      </c>
      <c r="B327" s="46" t="s">
        <v>5913</v>
      </c>
    </row>
    <row r="328" spans="1:2" ht="14.5">
      <c r="A328" s="45" t="s">
        <v>5914</v>
      </c>
      <c r="B328" s="46" t="s">
        <v>5915</v>
      </c>
    </row>
    <row r="329" spans="1:2" ht="14.5">
      <c r="A329" s="45" t="s">
        <v>5916</v>
      </c>
      <c r="B329" s="46" t="s">
        <v>5917</v>
      </c>
    </row>
    <row r="330" spans="1:2" ht="14.5">
      <c r="A330" s="45" t="s">
        <v>4770</v>
      </c>
      <c r="B330" s="46" t="s">
        <v>5918</v>
      </c>
    </row>
    <row r="331" spans="1:2" ht="14.5">
      <c r="A331" s="45" t="s">
        <v>4101</v>
      </c>
      <c r="B331" s="46" t="s">
        <v>5919</v>
      </c>
    </row>
    <row r="332" spans="1:2" ht="14.5">
      <c r="A332" s="45" t="s">
        <v>5920</v>
      </c>
      <c r="B332" s="46" t="s">
        <v>5921</v>
      </c>
    </row>
    <row r="333" spans="1:2" ht="14.5">
      <c r="A333" s="45" t="s">
        <v>5922</v>
      </c>
      <c r="B333" s="46" t="s">
        <v>5923</v>
      </c>
    </row>
    <row r="334" spans="1:2" ht="14.5">
      <c r="A334" s="45" t="s">
        <v>5924</v>
      </c>
      <c r="B334" s="46" t="s">
        <v>5925</v>
      </c>
    </row>
    <row r="335" spans="1:2" ht="14.5">
      <c r="A335" s="45" t="s">
        <v>4114</v>
      </c>
      <c r="B335" s="46" t="s">
        <v>5926</v>
      </c>
    </row>
    <row r="336" spans="1:2" ht="14.5">
      <c r="A336" s="45" t="s">
        <v>4046</v>
      </c>
      <c r="B336" s="46" t="s">
        <v>5927</v>
      </c>
    </row>
    <row r="337" spans="1:2" ht="14.5">
      <c r="A337" s="45" t="s">
        <v>5928</v>
      </c>
      <c r="B337" s="46" t="s">
        <v>5929</v>
      </c>
    </row>
    <row r="338" spans="1:2" ht="14.5">
      <c r="A338" s="45" t="s">
        <v>5930</v>
      </c>
      <c r="B338" s="46" t="s">
        <v>5931</v>
      </c>
    </row>
    <row r="339" spans="1:2" ht="14.5">
      <c r="A339" s="45" t="s">
        <v>4362</v>
      </c>
      <c r="B339" s="46" t="s">
        <v>5932</v>
      </c>
    </row>
    <row r="340" spans="1:2" ht="14.5">
      <c r="A340" s="45" t="s">
        <v>4276</v>
      </c>
      <c r="B340" s="46" t="s">
        <v>5933</v>
      </c>
    </row>
    <row r="341" spans="1:2" ht="14.5">
      <c r="A341" s="45" t="s">
        <v>3120</v>
      </c>
      <c r="B341" s="46" t="s">
        <v>5934</v>
      </c>
    </row>
    <row r="342" spans="1:2" ht="14.5">
      <c r="A342" s="45" t="s">
        <v>4754</v>
      </c>
      <c r="B342" s="46" t="s">
        <v>5935</v>
      </c>
    </row>
    <row r="343" spans="1:2" ht="14.5">
      <c r="A343" s="45" t="s">
        <v>4110</v>
      </c>
      <c r="B343" s="46" t="s">
        <v>5936</v>
      </c>
    </row>
    <row r="344" spans="1:2" ht="14.5">
      <c r="A344" s="45" t="s">
        <v>5937</v>
      </c>
      <c r="B344" s="46" t="s">
        <v>5938</v>
      </c>
    </row>
    <row r="345" spans="1:2" ht="14.5">
      <c r="A345" s="45" t="s">
        <v>5939</v>
      </c>
      <c r="B345" s="46" t="s">
        <v>5940</v>
      </c>
    </row>
    <row r="346" spans="1:2" ht="14.5">
      <c r="A346" s="45" t="s">
        <v>5941</v>
      </c>
      <c r="B346" s="46" t="s">
        <v>5942</v>
      </c>
    </row>
    <row r="347" spans="1:2" ht="14.5">
      <c r="A347" s="45" t="s">
        <v>4456</v>
      </c>
      <c r="B347" s="46" t="s">
        <v>5943</v>
      </c>
    </row>
    <row r="348" spans="1:2" ht="14.5">
      <c r="A348" s="45" t="s">
        <v>5944</v>
      </c>
      <c r="B348" s="46" t="s">
        <v>5945</v>
      </c>
    </row>
    <row r="349" spans="1:2" ht="14.5">
      <c r="A349" s="45" t="s">
        <v>5946</v>
      </c>
      <c r="B349" s="46" t="s">
        <v>5947</v>
      </c>
    </row>
    <row r="350" spans="1:2" ht="14.5">
      <c r="A350" s="45" t="s">
        <v>4344</v>
      </c>
      <c r="B350" s="46" t="s">
        <v>5948</v>
      </c>
    </row>
    <row r="351" spans="1:2" ht="14.5">
      <c r="A351" s="45" t="s">
        <v>4053</v>
      </c>
      <c r="B351" s="46" t="s">
        <v>5949</v>
      </c>
    </row>
    <row r="352" spans="1:2" ht="14.5">
      <c r="A352" s="45" t="s">
        <v>5950</v>
      </c>
      <c r="B352" s="46" t="s">
        <v>5951</v>
      </c>
    </row>
    <row r="353" spans="1:2" ht="14.5">
      <c r="A353" s="45" t="s">
        <v>5952</v>
      </c>
      <c r="B353" s="46" t="s">
        <v>5953</v>
      </c>
    </row>
    <row r="354" spans="1:2" ht="14.5">
      <c r="A354" s="45" t="s">
        <v>5954</v>
      </c>
      <c r="B354" s="46" t="s">
        <v>5955</v>
      </c>
    </row>
    <row r="355" spans="1:2" ht="14.5">
      <c r="A355" s="45" t="s">
        <v>5956</v>
      </c>
      <c r="B355" s="46" t="s">
        <v>5957</v>
      </c>
    </row>
    <row r="356" spans="1:2" ht="14.5">
      <c r="A356" s="45" t="s">
        <v>4633</v>
      </c>
      <c r="B356" s="46" t="s">
        <v>5958</v>
      </c>
    </row>
    <row r="357" spans="1:2" ht="14.5">
      <c r="A357" s="45" t="s">
        <v>5959</v>
      </c>
      <c r="B357" s="46" t="s">
        <v>5960</v>
      </c>
    </row>
    <row r="358" spans="1:2" ht="14.5">
      <c r="A358" s="45" t="s">
        <v>4694</v>
      </c>
      <c r="B358" s="46" t="s">
        <v>5961</v>
      </c>
    </row>
    <row r="359" spans="1:2" ht="14.5">
      <c r="A359" s="45" t="s">
        <v>5962</v>
      </c>
      <c r="B359" s="46" t="s">
        <v>5963</v>
      </c>
    </row>
    <row r="360" spans="1:2" ht="14.5">
      <c r="A360" s="45" t="s">
        <v>4124</v>
      </c>
      <c r="B360" s="46" t="s">
        <v>5964</v>
      </c>
    </row>
    <row r="361" spans="1:2" ht="14.5">
      <c r="A361" s="45" t="s">
        <v>5965</v>
      </c>
      <c r="B361" s="46" t="s">
        <v>5966</v>
      </c>
    </row>
    <row r="362" spans="1:2" ht="14.5">
      <c r="A362" s="45" t="s">
        <v>5967</v>
      </c>
      <c r="B362" s="46" t="s">
        <v>5968</v>
      </c>
    </row>
    <row r="363" spans="1:2" ht="14.5">
      <c r="A363" s="45" t="s">
        <v>4646</v>
      </c>
      <c r="B363" s="46" t="s">
        <v>5969</v>
      </c>
    </row>
    <row r="364" spans="1:2" ht="14.5">
      <c r="A364" s="45" t="s">
        <v>432</v>
      </c>
      <c r="B364" s="46" t="s">
        <v>5970</v>
      </c>
    </row>
    <row r="365" spans="1:2" ht="14.5">
      <c r="A365" s="45" t="s">
        <v>5971</v>
      </c>
      <c r="B365" s="46" t="s">
        <v>5972</v>
      </c>
    </row>
    <row r="366" spans="1:2" ht="14.5">
      <c r="A366" s="45" t="s">
        <v>4224</v>
      </c>
      <c r="B366" s="46" t="s">
        <v>5973</v>
      </c>
    </row>
    <row r="367" spans="1:2" ht="14.5">
      <c r="A367" s="45" t="s">
        <v>5974</v>
      </c>
      <c r="B367" s="46" t="s">
        <v>5975</v>
      </c>
    </row>
    <row r="368" spans="1:2" ht="14.5">
      <c r="A368" s="45" t="s">
        <v>4505</v>
      </c>
      <c r="B368" s="46" t="s">
        <v>5976</v>
      </c>
    </row>
    <row r="369" spans="1:2" ht="14.5">
      <c r="A369" s="45" t="s">
        <v>4214</v>
      </c>
      <c r="B369" s="46" t="s">
        <v>5977</v>
      </c>
    </row>
    <row r="370" spans="1:2" ht="14.5">
      <c r="A370" s="45" t="s">
        <v>2252</v>
      </c>
      <c r="B370" s="46" t="s">
        <v>5978</v>
      </c>
    </row>
    <row r="371" spans="1:2" ht="14.5">
      <c r="A371" s="45" t="s">
        <v>4182</v>
      </c>
      <c r="B371" s="46" t="s">
        <v>5979</v>
      </c>
    </row>
    <row r="372" spans="1:2" ht="14.5">
      <c r="A372" s="45" t="s">
        <v>4574</v>
      </c>
      <c r="B372" s="46" t="s">
        <v>5980</v>
      </c>
    </row>
    <row r="373" spans="1:2" ht="14.5">
      <c r="A373" s="45" t="s">
        <v>5981</v>
      </c>
      <c r="B373" s="46" t="s">
        <v>5982</v>
      </c>
    </row>
    <row r="374" spans="1:2" ht="14.5">
      <c r="A374" s="45" t="s">
        <v>4711</v>
      </c>
      <c r="B374" s="46" t="s">
        <v>5983</v>
      </c>
    </row>
    <row r="375" spans="1:2" ht="14.5">
      <c r="A375" s="45" t="s">
        <v>4741</v>
      </c>
      <c r="B375" s="46" t="s">
        <v>5984</v>
      </c>
    </row>
    <row r="376" spans="1:2" ht="14.5">
      <c r="A376" s="45" t="s">
        <v>4365</v>
      </c>
      <c r="B376" s="46" t="s">
        <v>5985</v>
      </c>
    </row>
    <row r="377" spans="1:2" ht="14.5">
      <c r="A377" s="45" t="s">
        <v>4935</v>
      </c>
      <c r="B377" s="46" t="s">
        <v>5986</v>
      </c>
    </row>
    <row r="378" spans="1:2" ht="14.5">
      <c r="A378" s="45" t="s">
        <v>5987</v>
      </c>
      <c r="B378" s="46" t="s">
        <v>5988</v>
      </c>
    </row>
    <row r="379" spans="1:2" ht="14.5">
      <c r="A379" s="45" t="s">
        <v>5989</v>
      </c>
      <c r="B379" s="46" t="s">
        <v>5990</v>
      </c>
    </row>
    <row r="380" spans="1:2" ht="14.5">
      <c r="A380" s="45" t="s">
        <v>5991</v>
      </c>
      <c r="B380" s="46" t="s">
        <v>5992</v>
      </c>
    </row>
    <row r="381" spans="1:2" ht="14.5">
      <c r="A381" s="45" t="s">
        <v>5993</v>
      </c>
      <c r="B381" s="46" t="s">
        <v>5994</v>
      </c>
    </row>
    <row r="382" spans="1:2" ht="14.5">
      <c r="A382" s="45" t="s">
        <v>5995</v>
      </c>
      <c r="B382" s="46" t="s">
        <v>5996</v>
      </c>
    </row>
    <row r="383" spans="1:2" ht="14.5">
      <c r="A383" s="45" t="s">
        <v>5997</v>
      </c>
      <c r="B383" s="46" t="s">
        <v>5998</v>
      </c>
    </row>
    <row r="384" spans="1:2" ht="14.5">
      <c r="A384" s="45" t="s">
        <v>4064</v>
      </c>
      <c r="B384" s="46" t="s">
        <v>5999</v>
      </c>
    </row>
    <row r="385" spans="1:2" ht="14.5">
      <c r="A385" s="45" t="s">
        <v>6000</v>
      </c>
      <c r="B385" s="46" t="s">
        <v>6001</v>
      </c>
    </row>
    <row r="386" spans="1:2" ht="14.5">
      <c r="A386" s="45" t="s">
        <v>4852</v>
      </c>
      <c r="B386" s="46" t="s">
        <v>6002</v>
      </c>
    </row>
    <row r="387" spans="1:2" ht="14.5">
      <c r="A387" s="45" t="s">
        <v>6003</v>
      </c>
      <c r="B387" s="46" t="s">
        <v>6004</v>
      </c>
    </row>
    <row r="388" spans="1:2" ht="14.5">
      <c r="A388" s="45" t="s">
        <v>4906</v>
      </c>
      <c r="B388" s="46" t="s">
        <v>6005</v>
      </c>
    </row>
    <row r="389" spans="1:2" ht="14.5">
      <c r="A389" s="45" t="s">
        <v>6006</v>
      </c>
      <c r="B389" s="46" t="s">
        <v>6007</v>
      </c>
    </row>
    <row r="390" spans="1:2" ht="14.5">
      <c r="A390" s="45" t="s">
        <v>6008</v>
      </c>
      <c r="B390" s="46" t="s">
        <v>6009</v>
      </c>
    </row>
    <row r="391" spans="1:2" ht="14.5">
      <c r="A391" s="45" t="s">
        <v>4714</v>
      </c>
      <c r="B391" s="46" t="s">
        <v>6010</v>
      </c>
    </row>
    <row r="392" spans="1:2" ht="14.5">
      <c r="A392" s="45" t="s">
        <v>6011</v>
      </c>
      <c r="B392" s="46" t="s">
        <v>6012</v>
      </c>
    </row>
    <row r="393" spans="1:2" ht="14.5">
      <c r="A393" s="45" t="s">
        <v>6013</v>
      </c>
      <c r="B393" s="46" t="s">
        <v>6014</v>
      </c>
    </row>
    <row r="394" spans="1:2" ht="14.5">
      <c r="A394" s="45" t="s">
        <v>4651</v>
      </c>
      <c r="B394" s="46" t="s">
        <v>6015</v>
      </c>
    </row>
    <row r="395" spans="1:2" ht="14.5">
      <c r="A395" s="45" t="s">
        <v>4133</v>
      </c>
      <c r="B395" s="46" t="s">
        <v>6016</v>
      </c>
    </row>
    <row r="396" spans="1:2" ht="14.5">
      <c r="A396" s="45" t="s">
        <v>74</v>
      </c>
      <c r="B396" s="46" t="s">
        <v>6017</v>
      </c>
    </row>
    <row r="397" spans="1:2" ht="14.5">
      <c r="A397" s="45" t="s">
        <v>4727</v>
      </c>
      <c r="B397" s="46" t="s">
        <v>6018</v>
      </c>
    </row>
    <row r="398" spans="1:2" ht="14.5">
      <c r="A398" s="45" t="s">
        <v>4650</v>
      </c>
      <c r="B398" s="46" t="s">
        <v>6019</v>
      </c>
    </row>
    <row r="399" spans="1:2" ht="14.5">
      <c r="A399" s="45" t="s">
        <v>4497</v>
      </c>
      <c r="B399" s="46" t="s">
        <v>6020</v>
      </c>
    </row>
    <row r="400" spans="1:2" ht="14.5">
      <c r="A400" s="45" t="s">
        <v>4387</v>
      </c>
      <c r="B400" s="46" t="s">
        <v>6021</v>
      </c>
    </row>
    <row r="401" spans="1:2" ht="14.5">
      <c r="A401" s="45" t="s">
        <v>4402</v>
      </c>
      <c r="B401" s="46" t="s">
        <v>6022</v>
      </c>
    </row>
    <row r="402" spans="1:2" ht="14.5">
      <c r="A402" s="45" t="s">
        <v>6023</v>
      </c>
      <c r="B402" s="46" t="s">
        <v>6024</v>
      </c>
    </row>
    <row r="403" spans="1:2" ht="14.5">
      <c r="A403" s="45" t="s">
        <v>6025</v>
      </c>
      <c r="B403" s="46" t="s">
        <v>6026</v>
      </c>
    </row>
    <row r="404" spans="1:2" ht="14.5">
      <c r="A404" s="45" t="s">
        <v>4635</v>
      </c>
      <c r="B404" s="46" t="s">
        <v>6027</v>
      </c>
    </row>
    <row r="405" spans="1:2" ht="14.5">
      <c r="A405" s="45" t="s">
        <v>6028</v>
      </c>
      <c r="B405" s="46" t="s">
        <v>6029</v>
      </c>
    </row>
    <row r="406" spans="1:2" ht="14.5">
      <c r="A406" s="45" t="s">
        <v>4111</v>
      </c>
      <c r="B406" s="46" t="s">
        <v>6030</v>
      </c>
    </row>
    <row r="407" spans="1:2" ht="14.5">
      <c r="A407" s="45" t="s">
        <v>4887</v>
      </c>
      <c r="B407" s="46" t="s">
        <v>6031</v>
      </c>
    </row>
    <row r="408" spans="1:2" ht="14.5">
      <c r="A408" s="45" t="s">
        <v>4204</v>
      </c>
      <c r="B408" s="46" t="s">
        <v>6032</v>
      </c>
    </row>
    <row r="409" spans="1:2" ht="14.5">
      <c r="A409" s="45" t="s">
        <v>6033</v>
      </c>
      <c r="B409" s="46" t="s">
        <v>6034</v>
      </c>
    </row>
    <row r="410" spans="1:2" ht="14.5">
      <c r="A410" s="45" t="s">
        <v>4629</v>
      </c>
      <c r="B410" s="46" t="s">
        <v>6035</v>
      </c>
    </row>
    <row r="411" spans="1:2" ht="14.5">
      <c r="A411" s="45" t="s">
        <v>4771</v>
      </c>
      <c r="B411" s="46" t="s">
        <v>6036</v>
      </c>
    </row>
    <row r="412" spans="1:2" ht="14.5">
      <c r="A412" s="45" t="s">
        <v>6037</v>
      </c>
      <c r="B412" s="46" t="s">
        <v>6038</v>
      </c>
    </row>
    <row r="413" spans="1:2" ht="14.5">
      <c r="A413" s="45" t="s">
        <v>6039</v>
      </c>
      <c r="B413" s="46" t="s">
        <v>6040</v>
      </c>
    </row>
    <row r="414" spans="1:2" ht="14.5">
      <c r="A414" s="45" t="s">
        <v>4526</v>
      </c>
      <c r="B414" s="46" t="s">
        <v>6041</v>
      </c>
    </row>
    <row r="415" spans="1:2" ht="14.5">
      <c r="A415" s="45" t="s">
        <v>6042</v>
      </c>
      <c r="B415" s="46" t="s">
        <v>6043</v>
      </c>
    </row>
    <row r="416" spans="1:2" ht="14.5">
      <c r="A416" s="45" t="s">
        <v>2622</v>
      </c>
      <c r="B416" s="46" t="s">
        <v>6044</v>
      </c>
    </row>
    <row r="417" spans="1:2" ht="14.5">
      <c r="A417" s="45" t="s">
        <v>6045</v>
      </c>
      <c r="B417" s="46" t="s">
        <v>6046</v>
      </c>
    </row>
    <row r="418" spans="1:2" ht="14.5">
      <c r="A418" s="45" t="s">
        <v>6047</v>
      </c>
      <c r="B418" s="46" t="s">
        <v>6048</v>
      </c>
    </row>
    <row r="419" spans="1:2" ht="14.5">
      <c r="A419" s="45" t="s">
        <v>6049</v>
      </c>
      <c r="B419" s="46" t="s">
        <v>6050</v>
      </c>
    </row>
    <row r="420" spans="1:2" ht="14.5">
      <c r="A420" s="45" t="s">
        <v>6051</v>
      </c>
      <c r="B420" s="46" t="s">
        <v>6052</v>
      </c>
    </row>
    <row r="421" spans="1:2" ht="14.5">
      <c r="A421" s="45" t="s">
        <v>4609</v>
      </c>
      <c r="B421" s="46" t="s">
        <v>6053</v>
      </c>
    </row>
    <row r="422" spans="1:2" ht="14.5">
      <c r="A422" s="45" t="s">
        <v>4430</v>
      </c>
      <c r="B422" s="46" t="s">
        <v>6054</v>
      </c>
    </row>
    <row r="423" spans="1:2" ht="14.5">
      <c r="A423" s="45" t="s">
        <v>6055</v>
      </c>
      <c r="B423" s="46" t="s">
        <v>6056</v>
      </c>
    </row>
    <row r="424" spans="1:2" ht="14.5">
      <c r="A424" s="45" t="s">
        <v>6057</v>
      </c>
      <c r="B424" s="46" t="s">
        <v>6058</v>
      </c>
    </row>
    <row r="425" spans="1:2" ht="14.5">
      <c r="A425" s="45" t="s">
        <v>6059</v>
      </c>
      <c r="B425" s="46" t="s">
        <v>6060</v>
      </c>
    </row>
    <row r="426" spans="1:2" ht="14.5">
      <c r="A426" s="45" t="s">
        <v>4347</v>
      </c>
      <c r="B426" s="46" t="s">
        <v>6061</v>
      </c>
    </row>
    <row r="427" spans="1:2" ht="14.5">
      <c r="A427" s="45" t="s">
        <v>6062</v>
      </c>
      <c r="B427" s="46" t="s">
        <v>6063</v>
      </c>
    </row>
    <row r="428" spans="1:2" ht="14.5">
      <c r="A428" s="45" t="s">
        <v>6064</v>
      </c>
      <c r="B428" s="46" t="s">
        <v>6065</v>
      </c>
    </row>
    <row r="429" spans="1:2" ht="14.5">
      <c r="A429" s="45" t="s">
        <v>6066</v>
      </c>
      <c r="B429" s="46" t="s">
        <v>6067</v>
      </c>
    </row>
    <row r="430" spans="1:2" ht="14.5">
      <c r="A430" s="45" t="s">
        <v>4893</v>
      </c>
      <c r="B430" s="46" t="s">
        <v>6068</v>
      </c>
    </row>
    <row r="431" spans="1:2" ht="14.5">
      <c r="A431" s="45" t="s">
        <v>6069</v>
      </c>
      <c r="B431" s="46" t="s">
        <v>6070</v>
      </c>
    </row>
    <row r="432" spans="1:2" ht="14.5">
      <c r="A432" s="45" t="s">
        <v>6071</v>
      </c>
      <c r="B432" s="46" t="s">
        <v>6072</v>
      </c>
    </row>
    <row r="433" spans="1:2" ht="14.5">
      <c r="A433" s="45" t="s">
        <v>6073</v>
      </c>
      <c r="B433" s="46" t="s">
        <v>6074</v>
      </c>
    </row>
    <row r="434" spans="1:2" ht="14.5">
      <c r="A434" s="45" t="s">
        <v>6075</v>
      </c>
      <c r="B434" s="46" t="s">
        <v>6076</v>
      </c>
    </row>
    <row r="435" spans="1:2" ht="14.5">
      <c r="A435" s="45" t="s">
        <v>6077</v>
      </c>
      <c r="B435" s="46" t="s">
        <v>6078</v>
      </c>
    </row>
    <row r="436" spans="1:2" ht="14.5">
      <c r="A436" s="45" t="s">
        <v>6079</v>
      </c>
      <c r="B436" s="46" t="s">
        <v>6080</v>
      </c>
    </row>
    <row r="437" spans="1:2" ht="14.5">
      <c r="A437" s="45" t="s">
        <v>6081</v>
      </c>
      <c r="B437" s="46" t="s">
        <v>6082</v>
      </c>
    </row>
    <row r="438" spans="1:2" ht="14.5">
      <c r="A438" s="45" t="s">
        <v>6083</v>
      </c>
      <c r="B438" s="46" t="s">
        <v>6084</v>
      </c>
    </row>
    <row r="439" spans="1:2" ht="14.5">
      <c r="A439" s="45" t="s">
        <v>6085</v>
      </c>
      <c r="B439" s="46" t="s">
        <v>6086</v>
      </c>
    </row>
    <row r="440" spans="1:2" ht="14.5">
      <c r="A440" s="45" t="s">
        <v>4324</v>
      </c>
      <c r="B440" s="46" t="s">
        <v>6087</v>
      </c>
    </row>
    <row r="441" spans="1:2" ht="14.5">
      <c r="A441" s="45" t="s">
        <v>4318</v>
      </c>
      <c r="B441" s="46" t="s">
        <v>6088</v>
      </c>
    </row>
    <row r="442" spans="1:2" ht="14.5">
      <c r="A442" s="45" t="s">
        <v>4238</v>
      </c>
      <c r="B442" s="46" t="s">
        <v>6089</v>
      </c>
    </row>
    <row r="443" spans="1:2" ht="14.5">
      <c r="A443" s="45" t="s">
        <v>4348</v>
      </c>
      <c r="B443" s="46" t="s">
        <v>6090</v>
      </c>
    </row>
    <row r="444" spans="1:2" ht="14.5">
      <c r="A444" s="45" t="s">
        <v>6091</v>
      </c>
      <c r="B444" s="46" t="s">
        <v>6092</v>
      </c>
    </row>
    <row r="445" spans="1:2" ht="14.5">
      <c r="A445" s="45" t="s">
        <v>4391</v>
      </c>
      <c r="B445" s="46" t="s">
        <v>6093</v>
      </c>
    </row>
    <row r="446" spans="1:2" ht="14.5">
      <c r="A446" s="45" t="s">
        <v>6094</v>
      </c>
      <c r="B446" s="46" t="s">
        <v>6095</v>
      </c>
    </row>
    <row r="447" spans="1:2" ht="14.5">
      <c r="A447" s="45" t="s">
        <v>2125</v>
      </c>
      <c r="B447" s="46" t="s">
        <v>6096</v>
      </c>
    </row>
    <row r="448" spans="1:2" ht="14.5">
      <c r="A448" s="45" t="s">
        <v>6097</v>
      </c>
      <c r="B448" s="46" t="s">
        <v>6098</v>
      </c>
    </row>
    <row r="449" spans="1:2" ht="14.5">
      <c r="A449" s="45" t="s">
        <v>4679</v>
      </c>
      <c r="B449" s="46" t="s">
        <v>6099</v>
      </c>
    </row>
    <row r="450" spans="1:2" ht="14.5">
      <c r="A450" s="45" t="s">
        <v>6100</v>
      </c>
      <c r="B450" s="46" t="s">
        <v>6101</v>
      </c>
    </row>
    <row r="451" spans="1:2" ht="14.5">
      <c r="A451" s="45" t="s">
        <v>6102</v>
      </c>
      <c r="B451" s="46" t="s">
        <v>6103</v>
      </c>
    </row>
    <row r="452" spans="1:2" ht="14.5">
      <c r="A452" s="45" t="s">
        <v>6104</v>
      </c>
      <c r="B452" s="46" t="s">
        <v>6105</v>
      </c>
    </row>
    <row r="453" spans="1:2" ht="14.5">
      <c r="A453" s="45" t="s">
        <v>6106</v>
      </c>
      <c r="B453" s="46" t="s">
        <v>6107</v>
      </c>
    </row>
    <row r="454" spans="1:2" ht="14.5">
      <c r="A454" s="45" t="s">
        <v>4131</v>
      </c>
      <c r="B454" s="46" t="s">
        <v>6108</v>
      </c>
    </row>
    <row r="455" spans="1:2" ht="14.5">
      <c r="A455" s="45" t="s">
        <v>6109</v>
      </c>
      <c r="B455" s="46" t="s">
        <v>6110</v>
      </c>
    </row>
    <row r="456" spans="1:2" ht="14.5">
      <c r="A456" s="45" t="s">
        <v>4225</v>
      </c>
      <c r="B456" s="46" t="s">
        <v>6111</v>
      </c>
    </row>
    <row r="457" spans="1:2" ht="14.5">
      <c r="A457" s="45" t="s">
        <v>4729</v>
      </c>
      <c r="B457" s="46" t="s">
        <v>6112</v>
      </c>
    </row>
    <row r="458" spans="1:2" ht="14.5">
      <c r="A458" s="45" t="s">
        <v>4627</v>
      </c>
      <c r="B458" s="46" t="s">
        <v>6113</v>
      </c>
    </row>
    <row r="459" spans="1:2" ht="14.5">
      <c r="A459" s="45" t="s">
        <v>4448</v>
      </c>
      <c r="B459" s="46" t="s">
        <v>6114</v>
      </c>
    </row>
    <row r="460" spans="1:2" ht="14.5">
      <c r="A460" s="45" t="s">
        <v>6115</v>
      </c>
      <c r="B460" s="46" t="s">
        <v>6116</v>
      </c>
    </row>
    <row r="461" spans="1:2" ht="14.5">
      <c r="A461" s="45" t="s">
        <v>6117</v>
      </c>
      <c r="B461" s="46" t="s">
        <v>6118</v>
      </c>
    </row>
    <row r="462" spans="1:2" ht="14.5">
      <c r="A462" s="45" t="s">
        <v>6119</v>
      </c>
      <c r="B462" s="46" t="s">
        <v>6120</v>
      </c>
    </row>
    <row r="463" spans="1:2" ht="14.5">
      <c r="A463" s="45" t="s">
        <v>4589</v>
      </c>
      <c r="B463" s="46" t="s">
        <v>6121</v>
      </c>
    </row>
    <row r="464" spans="1:2" ht="14.5">
      <c r="A464" s="45" t="s">
        <v>4883</v>
      </c>
      <c r="B464" s="46" t="s">
        <v>6122</v>
      </c>
    </row>
    <row r="465" spans="1:2" ht="14.5">
      <c r="A465" s="45" t="s">
        <v>6123</v>
      </c>
      <c r="B465" s="46" t="s">
        <v>6124</v>
      </c>
    </row>
    <row r="466" spans="1:2" ht="14.5">
      <c r="A466" s="45" t="s">
        <v>6125</v>
      </c>
      <c r="B466" s="46" t="s">
        <v>6126</v>
      </c>
    </row>
    <row r="467" spans="1:2" ht="14.5">
      <c r="A467" s="45" t="s">
        <v>4892</v>
      </c>
      <c r="B467" s="46" t="s">
        <v>6127</v>
      </c>
    </row>
    <row r="468" spans="1:2" ht="14.5">
      <c r="A468" s="45" t="s">
        <v>6128</v>
      </c>
      <c r="B468" s="46" t="s">
        <v>6129</v>
      </c>
    </row>
    <row r="469" spans="1:2" ht="14.5">
      <c r="A469" s="45" t="s">
        <v>4653</v>
      </c>
      <c r="B469" s="46" t="s">
        <v>6130</v>
      </c>
    </row>
    <row r="470" spans="1:2" ht="14.5">
      <c r="A470" s="45" t="s">
        <v>4066</v>
      </c>
      <c r="B470" s="46" t="s">
        <v>6131</v>
      </c>
    </row>
    <row r="471" spans="1:2" ht="14.5">
      <c r="A471" s="45" t="s">
        <v>6132</v>
      </c>
      <c r="B471" s="46" t="s">
        <v>6133</v>
      </c>
    </row>
    <row r="472" spans="1:2" ht="14.5">
      <c r="A472" s="45" t="s">
        <v>6134</v>
      </c>
      <c r="B472" s="46" t="s">
        <v>6135</v>
      </c>
    </row>
    <row r="473" spans="1:2" ht="14.5">
      <c r="A473" s="45" t="s">
        <v>6136</v>
      </c>
      <c r="B473" s="46" t="s">
        <v>6137</v>
      </c>
    </row>
    <row r="474" spans="1:2" ht="14.5">
      <c r="A474" s="45" t="s">
        <v>4358</v>
      </c>
      <c r="B474" s="46" t="s">
        <v>6138</v>
      </c>
    </row>
    <row r="475" spans="1:2" ht="14.5">
      <c r="A475" s="45" t="s">
        <v>6139</v>
      </c>
      <c r="B475" s="46" t="s">
        <v>6140</v>
      </c>
    </row>
    <row r="476" spans="1:2" ht="14.5">
      <c r="A476" s="45" t="s">
        <v>4872</v>
      </c>
      <c r="B476" s="46" t="s">
        <v>6141</v>
      </c>
    </row>
    <row r="477" spans="1:2" ht="14.5">
      <c r="A477" s="45" t="s">
        <v>6142</v>
      </c>
      <c r="B477" s="46" t="s">
        <v>6143</v>
      </c>
    </row>
    <row r="478" spans="1:2" ht="14.5">
      <c r="A478" s="45" t="s">
        <v>4366</v>
      </c>
      <c r="B478" s="46" t="s">
        <v>6144</v>
      </c>
    </row>
    <row r="479" spans="1:2" ht="14.5">
      <c r="A479" s="45" t="s">
        <v>6145</v>
      </c>
      <c r="B479" s="46" t="s">
        <v>6146</v>
      </c>
    </row>
    <row r="480" spans="1:2" ht="14.5">
      <c r="A480" s="45" t="s">
        <v>6147</v>
      </c>
      <c r="B480" s="46" t="s">
        <v>6148</v>
      </c>
    </row>
    <row r="481" spans="1:2" ht="14.5">
      <c r="A481" s="45" t="s">
        <v>6149</v>
      </c>
      <c r="B481" s="46" t="s">
        <v>6150</v>
      </c>
    </row>
    <row r="482" spans="1:2" ht="14.5">
      <c r="A482" s="45" t="s">
        <v>6151</v>
      </c>
      <c r="B482" s="46" t="s">
        <v>6152</v>
      </c>
    </row>
    <row r="483" spans="1:2" ht="14.5">
      <c r="A483" s="45" t="s">
        <v>3231</v>
      </c>
      <c r="B483" s="46" t="s">
        <v>6153</v>
      </c>
    </row>
    <row r="484" spans="1:2" ht="14.5">
      <c r="A484" s="45" t="s">
        <v>4288</v>
      </c>
      <c r="B484" s="46" t="s">
        <v>6154</v>
      </c>
    </row>
    <row r="485" spans="1:2" ht="14.5">
      <c r="A485" s="45" t="s">
        <v>6155</v>
      </c>
      <c r="B485" s="46" t="s">
        <v>6156</v>
      </c>
    </row>
    <row r="486" spans="1:2" ht="14.5">
      <c r="A486" s="45" t="s">
        <v>1020</v>
      </c>
      <c r="B486" s="46" t="s">
        <v>6157</v>
      </c>
    </row>
    <row r="487" spans="1:2" ht="14.5">
      <c r="A487" s="45" t="s">
        <v>4434</v>
      </c>
      <c r="B487" s="46" t="s">
        <v>6158</v>
      </c>
    </row>
    <row r="488" spans="1:2" ht="14.5">
      <c r="A488" s="45" t="s">
        <v>4639</v>
      </c>
      <c r="B488" s="46" t="s">
        <v>6159</v>
      </c>
    </row>
    <row r="489" spans="1:2" ht="14.5">
      <c r="A489" s="45" t="s">
        <v>6160</v>
      </c>
      <c r="B489" s="46" t="s">
        <v>6161</v>
      </c>
    </row>
    <row r="490" spans="1:2" ht="14.5">
      <c r="A490" s="45" t="s">
        <v>6162</v>
      </c>
      <c r="B490" s="46" t="s">
        <v>6163</v>
      </c>
    </row>
    <row r="491" spans="1:2" ht="14.5">
      <c r="A491" s="45" t="s">
        <v>4322</v>
      </c>
      <c r="B491" s="46" t="s">
        <v>6164</v>
      </c>
    </row>
    <row r="492" spans="1:2" ht="14.5">
      <c r="A492" s="45" t="s">
        <v>6165</v>
      </c>
      <c r="B492" s="46" t="s">
        <v>6166</v>
      </c>
    </row>
    <row r="493" spans="1:2" ht="14.5">
      <c r="A493" s="45" t="s">
        <v>6167</v>
      </c>
      <c r="B493" s="46" t="s">
        <v>6168</v>
      </c>
    </row>
    <row r="494" spans="1:2" ht="14.5">
      <c r="A494" s="45" t="s">
        <v>4769</v>
      </c>
      <c r="B494" s="46" t="s">
        <v>6169</v>
      </c>
    </row>
    <row r="495" spans="1:2" ht="14.5">
      <c r="A495" s="45" t="s">
        <v>6170</v>
      </c>
      <c r="B495" s="46" t="s">
        <v>6171</v>
      </c>
    </row>
    <row r="496" spans="1:2" ht="14.5">
      <c r="A496" s="45" t="s">
        <v>6172</v>
      </c>
      <c r="B496" s="46" t="s">
        <v>6173</v>
      </c>
    </row>
    <row r="497" spans="1:2" ht="14.5">
      <c r="A497" s="45" t="s">
        <v>6174</v>
      </c>
      <c r="B497" s="46" t="s">
        <v>6175</v>
      </c>
    </row>
    <row r="498" spans="1:2" ht="14.5">
      <c r="A498" s="45" t="s">
        <v>4849</v>
      </c>
      <c r="B498" s="46" t="s">
        <v>6176</v>
      </c>
    </row>
    <row r="499" spans="1:2" ht="14.5">
      <c r="A499" s="45" t="s">
        <v>4055</v>
      </c>
      <c r="B499" s="46" t="s">
        <v>6177</v>
      </c>
    </row>
    <row r="500" spans="1:2" ht="14.5">
      <c r="A500" s="45" t="s">
        <v>6178</v>
      </c>
      <c r="B500" s="46" t="s">
        <v>6179</v>
      </c>
    </row>
    <row r="501" spans="1:2" ht="14.5">
      <c r="A501" s="45" t="s">
        <v>6180</v>
      </c>
      <c r="B501" s="46" t="s">
        <v>6181</v>
      </c>
    </row>
    <row r="502" spans="1:2" ht="14.5">
      <c r="A502" s="45" t="s">
        <v>4192</v>
      </c>
      <c r="B502" s="46" t="s">
        <v>6182</v>
      </c>
    </row>
    <row r="503" spans="1:2" ht="14.5">
      <c r="A503" s="45" t="s">
        <v>6183</v>
      </c>
      <c r="B503" s="46" t="s">
        <v>6184</v>
      </c>
    </row>
    <row r="504" spans="1:2" ht="14.5">
      <c r="A504" s="45" t="s">
        <v>6185</v>
      </c>
      <c r="B504" s="46" t="s">
        <v>6186</v>
      </c>
    </row>
    <row r="505" spans="1:2" ht="14.5">
      <c r="A505" s="45" t="s">
        <v>6187</v>
      </c>
      <c r="B505" s="46" t="s">
        <v>6188</v>
      </c>
    </row>
    <row r="506" spans="1:2" ht="14.5">
      <c r="A506" s="45" t="s">
        <v>4786</v>
      </c>
      <c r="B506" s="46" t="s">
        <v>6189</v>
      </c>
    </row>
    <row r="507" spans="1:2" ht="14.5">
      <c r="A507" s="45" t="s">
        <v>4530</v>
      </c>
      <c r="B507" s="46" t="s">
        <v>6190</v>
      </c>
    </row>
    <row r="508" spans="1:2" ht="14.5">
      <c r="A508" s="45" t="s">
        <v>6191</v>
      </c>
      <c r="B508" s="46" t="s">
        <v>6192</v>
      </c>
    </row>
    <row r="509" spans="1:2" ht="14.5">
      <c r="A509" s="45" t="s">
        <v>4489</v>
      </c>
      <c r="B509" s="46" t="s">
        <v>6193</v>
      </c>
    </row>
    <row r="510" spans="1:2" ht="14.5">
      <c r="A510" s="45" t="s">
        <v>6194</v>
      </c>
      <c r="B510" s="46" t="s">
        <v>6195</v>
      </c>
    </row>
    <row r="511" spans="1:2" ht="14.5">
      <c r="A511" s="45" t="s">
        <v>6196</v>
      </c>
      <c r="B511" s="46" t="s">
        <v>6197</v>
      </c>
    </row>
    <row r="512" spans="1:2" ht="14.5">
      <c r="A512" s="45" t="s">
        <v>4325</v>
      </c>
      <c r="B512" s="46" t="s">
        <v>6198</v>
      </c>
    </row>
    <row r="513" spans="1:2" ht="14.5">
      <c r="A513" s="45" t="s">
        <v>4337</v>
      </c>
      <c r="B513" s="46" t="s">
        <v>6199</v>
      </c>
    </row>
    <row r="514" spans="1:2" ht="14.5">
      <c r="A514" s="45" t="s">
        <v>4122</v>
      </c>
      <c r="B514" s="46" t="s">
        <v>6200</v>
      </c>
    </row>
    <row r="515" spans="1:2" ht="14.5">
      <c r="A515" s="45" t="s">
        <v>4266</v>
      </c>
      <c r="B515" s="46" t="s">
        <v>6201</v>
      </c>
    </row>
    <row r="516" spans="1:2" ht="14.5">
      <c r="A516" s="45" t="s">
        <v>6202</v>
      </c>
      <c r="B516" s="46" t="s">
        <v>6203</v>
      </c>
    </row>
    <row r="517" spans="1:2" ht="14.5">
      <c r="A517" s="45" t="s">
        <v>6204</v>
      </c>
      <c r="B517" s="46" t="s">
        <v>6205</v>
      </c>
    </row>
    <row r="518" spans="1:2" ht="14.5">
      <c r="A518" s="45" t="s">
        <v>4658</v>
      </c>
      <c r="B518" s="46" t="s">
        <v>6206</v>
      </c>
    </row>
    <row r="519" spans="1:2" ht="14.5">
      <c r="A519" s="45" t="s">
        <v>4768</v>
      </c>
      <c r="B519" s="46" t="s">
        <v>6207</v>
      </c>
    </row>
    <row r="520" spans="1:2" ht="14.5">
      <c r="A520" s="45" t="s">
        <v>6208</v>
      </c>
      <c r="B520" s="46" t="s">
        <v>6209</v>
      </c>
    </row>
    <row r="521" spans="1:2" ht="14.5">
      <c r="A521" s="45" t="s">
        <v>6210</v>
      </c>
      <c r="B521" s="46" t="s">
        <v>6211</v>
      </c>
    </row>
    <row r="522" spans="1:2" ht="14.5">
      <c r="A522" s="45" t="s">
        <v>6212</v>
      </c>
      <c r="B522" s="46" t="s">
        <v>6213</v>
      </c>
    </row>
    <row r="523" spans="1:2" ht="14.5">
      <c r="A523" s="45" t="s">
        <v>6214</v>
      </c>
      <c r="B523" s="46" t="s">
        <v>6215</v>
      </c>
    </row>
    <row r="524" spans="1:2" ht="14.5">
      <c r="A524" s="45" t="s">
        <v>4750</v>
      </c>
      <c r="B524" s="46" t="s">
        <v>6216</v>
      </c>
    </row>
    <row r="525" spans="1:2" ht="14.5">
      <c r="A525" s="45" t="s">
        <v>2142</v>
      </c>
      <c r="B525" s="46" t="s">
        <v>6217</v>
      </c>
    </row>
    <row r="526" spans="1:2" ht="14.5">
      <c r="A526" s="45" t="s">
        <v>4077</v>
      </c>
      <c r="B526" s="46" t="s">
        <v>6218</v>
      </c>
    </row>
    <row r="527" spans="1:2" ht="14.5">
      <c r="A527" s="45" t="s">
        <v>4946</v>
      </c>
      <c r="B527" s="46" t="s">
        <v>6219</v>
      </c>
    </row>
    <row r="528" spans="1:2" ht="14.5">
      <c r="A528" s="45" t="s">
        <v>6220</v>
      </c>
      <c r="B528" s="46" t="s">
        <v>6221</v>
      </c>
    </row>
    <row r="529" spans="1:2" ht="14.5">
      <c r="A529" s="45" t="s">
        <v>4433</v>
      </c>
      <c r="B529" s="46" t="s">
        <v>6222</v>
      </c>
    </row>
    <row r="530" spans="1:2" ht="14.5">
      <c r="A530" s="45" t="s">
        <v>4655</v>
      </c>
      <c r="B530" s="46" t="s">
        <v>6223</v>
      </c>
    </row>
    <row r="531" spans="1:2" ht="14.5">
      <c r="A531" s="45" t="s">
        <v>4528</v>
      </c>
      <c r="B531" s="46" t="s">
        <v>6224</v>
      </c>
    </row>
    <row r="532" spans="1:2" ht="14.5">
      <c r="A532" s="45" t="s">
        <v>4779</v>
      </c>
      <c r="B532" s="46" t="s">
        <v>6225</v>
      </c>
    </row>
    <row r="533" spans="1:2" ht="14.5">
      <c r="A533" s="45" t="s">
        <v>6226</v>
      </c>
      <c r="B533" s="46" t="s">
        <v>6227</v>
      </c>
    </row>
    <row r="534" spans="1:2" ht="14.5">
      <c r="A534" s="45" t="s">
        <v>4494</v>
      </c>
      <c r="B534" s="46" t="s">
        <v>6228</v>
      </c>
    </row>
    <row r="535" spans="1:2" ht="14.5">
      <c r="A535" s="45" t="s">
        <v>6229</v>
      </c>
      <c r="B535" s="46" t="s">
        <v>6230</v>
      </c>
    </row>
    <row r="536" spans="1:2" ht="14.5">
      <c r="A536" s="45" t="s">
        <v>6231</v>
      </c>
      <c r="B536" s="46" t="s">
        <v>6232</v>
      </c>
    </row>
    <row r="537" spans="1:2" ht="14.5">
      <c r="A537" s="45" t="s">
        <v>752</v>
      </c>
      <c r="B537" s="46" t="s">
        <v>6233</v>
      </c>
    </row>
    <row r="538" spans="1:2" ht="14.5">
      <c r="A538" s="45" t="s">
        <v>5391</v>
      </c>
      <c r="B538" s="46" t="s">
        <v>6234</v>
      </c>
    </row>
    <row r="539" spans="1:2" ht="14.5">
      <c r="A539" s="45" t="s">
        <v>6235</v>
      </c>
      <c r="B539" s="46" t="s">
        <v>6236</v>
      </c>
    </row>
    <row r="540" spans="1:2" ht="14.5">
      <c r="A540" s="45" t="s">
        <v>4400</v>
      </c>
      <c r="B540" s="46" t="s">
        <v>6237</v>
      </c>
    </row>
    <row r="541" spans="1:2" ht="14.5">
      <c r="A541" s="45" t="s">
        <v>6238</v>
      </c>
      <c r="B541" s="46" t="s">
        <v>6239</v>
      </c>
    </row>
    <row r="542" spans="1:2" ht="14.5">
      <c r="A542" s="45" t="s">
        <v>6240</v>
      </c>
      <c r="B542" s="46" t="s">
        <v>6241</v>
      </c>
    </row>
    <row r="543" spans="1:2" ht="14.5">
      <c r="A543" s="45" t="s">
        <v>4529</v>
      </c>
      <c r="B543" s="46" t="s">
        <v>6242</v>
      </c>
    </row>
    <row r="544" spans="1:2" ht="14.5">
      <c r="A544" s="45" t="s">
        <v>6243</v>
      </c>
      <c r="B544" s="46" t="s">
        <v>6244</v>
      </c>
    </row>
    <row r="545" spans="1:2" ht="14.5">
      <c r="A545" s="45" t="s">
        <v>4207</v>
      </c>
      <c r="B545" s="46" t="s">
        <v>6245</v>
      </c>
    </row>
    <row r="546" spans="1:2" ht="14.5">
      <c r="A546" s="45" t="s">
        <v>6246</v>
      </c>
      <c r="B546" s="46" t="s">
        <v>6247</v>
      </c>
    </row>
    <row r="547" spans="1:2" ht="14.5">
      <c r="A547" s="45" t="s">
        <v>6248</v>
      </c>
      <c r="B547" s="46" t="s">
        <v>6249</v>
      </c>
    </row>
    <row r="548" spans="1:2" ht="14.5">
      <c r="A548" s="45" t="s">
        <v>4672</v>
      </c>
      <c r="B548" s="46" t="s">
        <v>6250</v>
      </c>
    </row>
    <row r="549" spans="1:2" ht="14.5">
      <c r="A549" s="45" t="s">
        <v>6251</v>
      </c>
      <c r="B549" s="46" t="s">
        <v>6252</v>
      </c>
    </row>
    <row r="550" spans="1:2" ht="14.5">
      <c r="A550" s="45" t="s">
        <v>6253</v>
      </c>
      <c r="B550" s="46" t="s">
        <v>6254</v>
      </c>
    </row>
    <row r="551" spans="1:2" ht="14.5">
      <c r="A551" s="45" t="s">
        <v>6255</v>
      </c>
      <c r="B551" s="46" t="s">
        <v>6256</v>
      </c>
    </row>
    <row r="552" spans="1:2" ht="14.5">
      <c r="A552" s="45" t="s">
        <v>6257</v>
      </c>
      <c r="B552" s="46" t="s">
        <v>6258</v>
      </c>
    </row>
    <row r="553" spans="1:2" ht="14.5">
      <c r="A553" s="45" t="s">
        <v>4177</v>
      </c>
      <c r="B553" s="46" t="s">
        <v>6259</v>
      </c>
    </row>
    <row r="554" spans="1:2" ht="14.5">
      <c r="A554" s="45" t="s">
        <v>6260</v>
      </c>
      <c r="B554" s="46" t="s">
        <v>6261</v>
      </c>
    </row>
    <row r="555" spans="1:2" ht="14.5">
      <c r="A555" s="45" t="s">
        <v>6262</v>
      </c>
      <c r="B555" s="46" t="s">
        <v>6263</v>
      </c>
    </row>
    <row r="556" spans="1:2" ht="14.5">
      <c r="A556" s="45" t="s">
        <v>4425</v>
      </c>
      <c r="B556" s="46" t="s">
        <v>6264</v>
      </c>
    </row>
    <row r="557" spans="1:2" ht="14.5">
      <c r="A557" s="45" t="s">
        <v>4105</v>
      </c>
      <c r="B557" s="46" t="s">
        <v>6265</v>
      </c>
    </row>
    <row r="558" spans="1:2" ht="14.5">
      <c r="A558" s="45" t="s">
        <v>4420</v>
      </c>
      <c r="B558" s="46" t="s">
        <v>6266</v>
      </c>
    </row>
    <row r="559" spans="1:2" ht="14.5">
      <c r="A559" s="45" t="s">
        <v>4339</v>
      </c>
      <c r="B559" s="46" t="s">
        <v>6267</v>
      </c>
    </row>
    <row r="560" spans="1:2" ht="14.5">
      <c r="A560" s="45" t="s">
        <v>4174</v>
      </c>
      <c r="B560" s="46" t="s">
        <v>6268</v>
      </c>
    </row>
    <row r="561" spans="1:2" ht="14.5">
      <c r="A561" s="45" t="s">
        <v>6269</v>
      </c>
      <c r="B561" s="46" t="s">
        <v>6270</v>
      </c>
    </row>
    <row r="562" spans="1:2" ht="14.5">
      <c r="A562" s="45" t="s">
        <v>4345</v>
      </c>
      <c r="B562" s="46" t="s">
        <v>6271</v>
      </c>
    </row>
    <row r="563" spans="1:2" ht="14.5">
      <c r="A563" s="45" t="s">
        <v>6272</v>
      </c>
      <c r="B563" s="46" t="s">
        <v>6273</v>
      </c>
    </row>
    <row r="564" spans="1:2" ht="14.5">
      <c r="A564" s="45" t="s">
        <v>4438</v>
      </c>
      <c r="B564" s="46" t="s">
        <v>6274</v>
      </c>
    </row>
    <row r="565" spans="1:2" ht="14.5">
      <c r="A565" s="45" t="s">
        <v>4706</v>
      </c>
      <c r="B565" s="46" t="s">
        <v>6275</v>
      </c>
    </row>
    <row r="566" spans="1:2" ht="14.5">
      <c r="A566" s="45" t="s">
        <v>4367</v>
      </c>
      <c r="B566" s="46" t="s">
        <v>6276</v>
      </c>
    </row>
    <row r="567" spans="1:2" ht="14.5">
      <c r="A567" s="45" t="s">
        <v>6277</v>
      </c>
      <c r="B567" s="46" t="s">
        <v>6278</v>
      </c>
    </row>
    <row r="568" spans="1:2" ht="14.5">
      <c r="A568" s="45" t="s">
        <v>4383</v>
      </c>
      <c r="B568" s="46" t="s">
        <v>6279</v>
      </c>
    </row>
    <row r="569" spans="1:2" ht="14.5">
      <c r="A569" s="45" t="s">
        <v>6280</v>
      </c>
      <c r="B569" s="46" t="s">
        <v>6281</v>
      </c>
    </row>
    <row r="570" spans="1:2" ht="14.5">
      <c r="A570" s="45" t="s">
        <v>6282</v>
      </c>
      <c r="B570" s="46" t="s">
        <v>6283</v>
      </c>
    </row>
    <row r="571" spans="1:2" ht="14.5">
      <c r="A571" s="45" t="s">
        <v>4730</v>
      </c>
      <c r="B571" s="46" t="s">
        <v>6284</v>
      </c>
    </row>
    <row r="572" spans="1:2" ht="14.5">
      <c r="A572" s="45" t="s">
        <v>4673</v>
      </c>
      <c r="B572" s="46" t="s">
        <v>6285</v>
      </c>
    </row>
    <row r="573" spans="1:2" ht="14.5">
      <c r="A573" s="45" t="s">
        <v>4764</v>
      </c>
      <c r="B573" s="46" t="s">
        <v>6286</v>
      </c>
    </row>
    <row r="574" spans="1:2" ht="14.5">
      <c r="A574" s="45" t="s">
        <v>6287</v>
      </c>
      <c r="B574" s="46" t="s">
        <v>6288</v>
      </c>
    </row>
    <row r="575" spans="1:2" ht="14.5">
      <c r="A575" s="45" t="s">
        <v>6289</v>
      </c>
      <c r="B575" s="46" t="s">
        <v>6290</v>
      </c>
    </row>
    <row r="576" spans="1:2" ht="14.5">
      <c r="A576" s="45" t="s">
        <v>4197</v>
      </c>
      <c r="B576" s="46" t="s">
        <v>6291</v>
      </c>
    </row>
    <row r="577" spans="1:2" ht="14.5">
      <c r="A577" s="45" t="s">
        <v>6292</v>
      </c>
      <c r="B577" s="46" t="s">
        <v>6293</v>
      </c>
    </row>
    <row r="578" spans="1:2" ht="14.5">
      <c r="A578" s="45" t="s">
        <v>6294</v>
      </c>
      <c r="B578" s="46" t="s">
        <v>6295</v>
      </c>
    </row>
    <row r="579" spans="1:2" ht="14.5">
      <c r="A579" s="45" t="s">
        <v>4306</v>
      </c>
      <c r="B579" s="46" t="s">
        <v>6296</v>
      </c>
    </row>
    <row r="580" spans="1:2" ht="14.5">
      <c r="A580" s="45" t="s">
        <v>6297</v>
      </c>
      <c r="B580" s="46" t="s">
        <v>6298</v>
      </c>
    </row>
    <row r="581" spans="1:2" ht="14.5">
      <c r="A581" s="45" t="s">
        <v>6299</v>
      </c>
      <c r="B581" s="46" t="s">
        <v>6300</v>
      </c>
    </row>
    <row r="582" spans="1:2" ht="14.5">
      <c r="A582" s="45" t="s">
        <v>6301</v>
      </c>
      <c r="B582" s="46" t="s">
        <v>6302</v>
      </c>
    </row>
    <row r="583" spans="1:2" ht="14.5">
      <c r="A583" s="45" t="s">
        <v>6303</v>
      </c>
      <c r="B583" s="46" t="s">
        <v>6304</v>
      </c>
    </row>
    <row r="584" spans="1:2" ht="14.5">
      <c r="A584" s="45" t="s">
        <v>4323</v>
      </c>
      <c r="B584" s="46" t="s">
        <v>6305</v>
      </c>
    </row>
    <row r="585" spans="1:2" ht="14.5">
      <c r="A585" s="45" t="s">
        <v>4234</v>
      </c>
      <c r="B585" s="46" t="s">
        <v>6306</v>
      </c>
    </row>
    <row r="586" spans="1:2" ht="14.5">
      <c r="A586" s="45" t="s">
        <v>78</v>
      </c>
      <c r="B586" s="46" t="s">
        <v>6307</v>
      </c>
    </row>
    <row r="587" spans="1:2" ht="14.5">
      <c r="A587" s="45" t="s">
        <v>6308</v>
      </c>
      <c r="B587" s="46" t="s">
        <v>6309</v>
      </c>
    </row>
    <row r="588" spans="1:2" ht="14.5">
      <c r="A588" s="45" t="s">
        <v>6310</v>
      </c>
      <c r="B588" s="46" t="s">
        <v>6311</v>
      </c>
    </row>
    <row r="589" spans="1:2" ht="14.5">
      <c r="A589" s="45" t="s">
        <v>6312</v>
      </c>
      <c r="B589" s="46" t="s">
        <v>6313</v>
      </c>
    </row>
    <row r="590" spans="1:2" ht="14.5">
      <c r="A590" s="45" t="s">
        <v>4592</v>
      </c>
      <c r="B590" s="46" t="s">
        <v>6314</v>
      </c>
    </row>
    <row r="591" spans="1:2" ht="14.5">
      <c r="A591" s="45" t="s">
        <v>4327</v>
      </c>
      <c r="B591" s="46" t="s">
        <v>6315</v>
      </c>
    </row>
    <row r="592" spans="1:2" ht="14.5">
      <c r="A592" s="45" t="s">
        <v>6316</v>
      </c>
      <c r="B592" s="46" t="s">
        <v>6317</v>
      </c>
    </row>
    <row r="593" spans="1:2" ht="14.5">
      <c r="A593" s="45" t="s">
        <v>6318</v>
      </c>
      <c r="B593" s="46" t="s">
        <v>6319</v>
      </c>
    </row>
    <row r="594" spans="1:2" ht="14.5">
      <c r="A594" s="45" t="s">
        <v>3069</v>
      </c>
      <c r="B594" s="46" t="s">
        <v>6320</v>
      </c>
    </row>
    <row r="595" spans="1:2" ht="14.5">
      <c r="A595" s="45" t="s">
        <v>6321</v>
      </c>
      <c r="B595" s="46" t="s">
        <v>6322</v>
      </c>
    </row>
    <row r="596" spans="1:2" ht="14.5">
      <c r="A596" s="45" t="s">
        <v>6323</v>
      </c>
      <c r="B596" s="46" t="s">
        <v>6324</v>
      </c>
    </row>
    <row r="597" spans="1:2" ht="14.5">
      <c r="A597" s="45" t="s">
        <v>6325</v>
      </c>
      <c r="B597" s="46" t="s">
        <v>6326</v>
      </c>
    </row>
    <row r="598" spans="1:2" ht="14.5">
      <c r="A598" s="45" t="s">
        <v>4940</v>
      </c>
      <c r="B598" s="46" t="s">
        <v>6327</v>
      </c>
    </row>
    <row r="599" spans="1:2" ht="14.5">
      <c r="A599" s="45" t="s">
        <v>6328</v>
      </c>
      <c r="B599" s="46" t="s">
        <v>6329</v>
      </c>
    </row>
    <row r="600" spans="1:2" ht="14.5">
      <c r="A600" s="45" t="s">
        <v>6330</v>
      </c>
      <c r="B600" s="46" t="s">
        <v>6331</v>
      </c>
    </row>
    <row r="601" spans="1:2" ht="14.5">
      <c r="A601" s="45" t="s">
        <v>6332</v>
      </c>
      <c r="B601" s="46" t="s">
        <v>6333</v>
      </c>
    </row>
    <row r="602" spans="1:2" ht="14.5">
      <c r="A602" s="45" t="s">
        <v>6334</v>
      </c>
      <c r="B602" s="46" t="s">
        <v>6335</v>
      </c>
    </row>
    <row r="603" spans="1:2" ht="14.5">
      <c r="A603" s="45" t="s">
        <v>6336</v>
      </c>
      <c r="B603" s="46" t="s">
        <v>6337</v>
      </c>
    </row>
    <row r="604" spans="1:2" ht="14.5">
      <c r="A604" s="45" t="s">
        <v>6338</v>
      </c>
      <c r="B604" s="46" t="s">
        <v>6339</v>
      </c>
    </row>
    <row r="605" spans="1:2" ht="14.5">
      <c r="A605" s="45" t="s">
        <v>4257</v>
      </c>
      <c r="B605" s="46" t="s">
        <v>6340</v>
      </c>
    </row>
    <row r="606" spans="1:2" ht="14.5">
      <c r="A606" s="45" t="s">
        <v>6341</v>
      </c>
      <c r="B606" s="46" t="s">
        <v>6342</v>
      </c>
    </row>
    <row r="607" spans="1:2" ht="14.5">
      <c r="A607" s="45" t="s">
        <v>4173</v>
      </c>
      <c r="B607" s="46" t="s">
        <v>6343</v>
      </c>
    </row>
    <row r="608" spans="1:2" ht="14.5">
      <c r="A608" s="45" t="s">
        <v>6344</v>
      </c>
      <c r="B608" s="46" t="s">
        <v>6345</v>
      </c>
    </row>
    <row r="609" spans="1:2" ht="14.5">
      <c r="A609" s="45" t="s">
        <v>4278</v>
      </c>
      <c r="B609" s="46" t="s">
        <v>6346</v>
      </c>
    </row>
    <row r="610" spans="1:2" ht="14.5">
      <c r="A610" s="45" t="s">
        <v>6347</v>
      </c>
      <c r="B610" s="46" t="s">
        <v>6348</v>
      </c>
    </row>
    <row r="611" spans="1:2" ht="14.5">
      <c r="A611" s="45" t="s">
        <v>6349</v>
      </c>
      <c r="B611" s="46" t="s">
        <v>6350</v>
      </c>
    </row>
    <row r="612" spans="1:2" ht="14.5">
      <c r="A612" s="45" t="s">
        <v>6351</v>
      </c>
      <c r="B612" s="46" t="s">
        <v>6352</v>
      </c>
    </row>
    <row r="613" spans="1:2" ht="14.5">
      <c r="A613" s="45" t="s">
        <v>4180</v>
      </c>
      <c r="B613" s="46" t="s">
        <v>6353</v>
      </c>
    </row>
    <row r="614" spans="1:2" ht="14.5">
      <c r="A614" s="45" t="s">
        <v>6354</v>
      </c>
      <c r="B614" s="46" t="s">
        <v>6355</v>
      </c>
    </row>
    <row r="615" spans="1:2" ht="14.5">
      <c r="A615" s="45" t="s">
        <v>4542</v>
      </c>
      <c r="B615" s="46" t="s">
        <v>6356</v>
      </c>
    </row>
    <row r="616" spans="1:2" ht="14.5">
      <c r="A616" s="45" t="s">
        <v>6357</v>
      </c>
      <c r="B616" s="46" t="s">
        <v>6358</v>
      </c>
    </row>
    <row r="617" spans="1:2" ht="14.5">
      <c r="A617" s="45" t="s">
        <v>4665</v>
      </c>
      <c r="B617" s="46" t="s">
        <v>6359</v>
      </c>
    </row>
    <row r="618" spans="1:2" ht="14.5">
      <c r="A618" s="45" t="s">
        <v>4451</v>
      </c>
      <c r="B618" s="46" t="s">
        <v>6360</v>
      </c>
    </row>
    <row r="619" spans="1:2" ht="14.5">
      <c r="A619" s="45" t="s">
        <v>4231</v>
      </c>
      <c r="B619" s="46" t="s">
        <v>6361</v>
      </c>
    </row>
    <row r="620" spans="1:2" ht="14.5">
      <c r="A620" s="45" t="s">
        <v>6362</v>
      </c>
      <c r="B620" s="46" t="s">
        <v>6363</v>
      </c>
    </row>
    <row r="621" spans="1:2" ht="14.5">
      <c r="A621" s="45" t="s">
        <v>6364</v>
      </c>
      <c r="B621" s="46" t="s">
        <v>6365</v>
      </c>
    </row>
    <row r="622" spans="1:2" ht="14.5">
      <c r="A622" s="45" t="s">
        <v>6366</v>
      </c>
      <c r="B622" s="46" t="s">
        <v>6367</v>
      </c>
    </row>
    <row r="623" spans="1:2" ht="14.5">
      <c r="A623" s="45" t="s">
        <v>4311</v>
      </c>
      <c r="B623" s="46" t="s">
        <v>6368</v>
      </c>
    </row>
    <row r="624" spans="1:2" ht="14.5">
      <c r="A624" s="45" t="s">
        <v>6369</v>
      </c>
      <c r="B624" s="46" t="s">
        <v>6370</v>
      </c>
    </row>
    <row r="625" spans="1:2" ht="14.5">
      <c r="A625" s="45" t="s">
        <v>6371</v>
      </c>
      <c r="B625" s="46" t="s">
        <v>6372</v>
      </c>
    </row>
    <row r="626" spans="1:2" ht="14.5">
      <c r="A626" s="45" t="s">
        <v>6373</v>
      </c>
      <c r="B626" s="46" t="s">
        <v>6374</v>
      </c>
    </row>
    <row r="627" spans="1:2" ht="14.5">
      <c r="A627" s="45" t="s">
        <v>6375</v>
      </c>
      <c r="B627" s="46" t="s">
        <v>6376</v>
      </c>
    </row>
    <row r="628" spans="1:2" ht="14.5">
      <c r="A628" s="45" t="s">
        <v>4151</v>
      </c>
      <c r="B628" s="46" t="s">
        <v>6377</v>
      </c>
    </row>
    <row r="629" spans="1:2" ht="14.5">
      <c r="A629" s="45" t="s">
        <v>6378</v>
      </c>
      <c r="B629" s="46" t="s">
        <v>6379</v>
      </c>
    </row>
    <row r="630" spans="1:2" ht="14.5">
      <c r="A630" s="45" t="s">
        <v>6380</v>
      </c>
      <c r="B630" s="46" t="s">
        <v>6381</v>
      </c>
    </row>
    <row r="631" spans="1:2" ht="14.5">
      <c r="A631" s="45" t="s">
        <v>6382</v>
      </c>
      <c r="B631" s="46" t="s">
        <v>6383</v>
      </c>
    </row>
    <row r="632" spans="1:2" ht="14.5">
      <c r="A632" s="45" t="s">
        <v>6384</v>
      </c>
      <c r="B632" s="46" t="s">
        <v>6385</v>
      </c>
    </row>
    <row r="633" spans="1:2" ht="14.5">
      <c r="A633" s="45" t="s">
        <v>6386</v>
      </c>
      <c r="B633" s="46" t="s">
        <v>6387</v>
      </c>
    </row>
    <row r="634" spans="1:2" ht="14.5">
      <c r="A634" s="45" t="s">
        <v>4919</v>
      </c>
      <c r="B634" s="46" t="s">
        <v>6388</v>
      </c>
    </row>
    <row r="635" spans="1:2" ht="14.5">
      <c r="A635" s="45" t="s">
        <v>4139</v>
      </c>
      <c r="B635" s="46" t="s">
        <v>6389</v>
      </c>
    </row>
    <row r="636" spans="1:2" ht="14.5">
      <c r="A636" s="45" t="s">
        <v>6390</v>
      </c>
      <c r="B636" s="46" t="s">
        <v>6391</v>
      </c>
    </row>
    <row r="637" spans="1:2" ht="14.5">
      <c r="A637" s="45" t="s">
        <v>6392</v>
      </c>
      <c r="B637" s="46" t="s">
        <v>6393</v>
      </c>
    </row>
    <row r="638" spans="1:2" ht="14.5">
      <c r="A638" s="45" t="s">
        <v>6394</v>
      </c>
      <c r="B638" s="46" t="s">
        <v>6395</v>
      </c>
    </row>
    <row r="639" spans="1:2" ht="14.5">
      <c r="A639" s="45" t="s">
        <v>6396</v>
      </c>
      <c r="B639" s="46" t="s">
        <v>6397</v>
      </c>
    </row>
    <row r="640" spans="1:2" ht="14.5">
      <c r="A640" s="45" t="s">
        <v>6398</v>
      </c>
      <c r="B640" s="46" t="s">
        <v>6399</v>
      </c>
    </row>
    <row r="641" spans="1:2" ht="14.5">
      <c r="A641" s="45" t="s">
        <v>6400</v>
      </c>
      <c r="B641" s="46" t="s">
        <v>6401</v>
      </c>
    </row>
    <row r="642" spans="1:2" ht="14.5">
      <c r="A642" s="45" t="s">
        <v>4301</v>
      </c>
      <c r="B642" s="46" t="s">
        <v>6402</v>
      </c>
    </row>
    <row r="643" spans="1:2" ht="14.5">
      <c r="A643" s="45" t="s">
        <v>4229</v>
      </c>
      <c r="B643" s="46" t="s">
        <v>6403</v>
      </c>
    </row>
    <row r="644" spans="1:2" ht="14.5">
      <c r="A644" s="45" t="s">
        <v>4161</v>
      </c>
      <c r="B644" s="46" t="s">
        <v>6404</v>
      </c>
    </row>
    <row r="645" spans="1:2" ht="14.5">
      <c r="A645" s="45" t="s">
        <v>4041</v>
      </c>
      <c r="B645" s="46" t="s">
        <v>6405</v>
      </c>
    </row>
    <row r="646" spans="1:2" ht="14.5">
      <c r="A646" s="45" t="s">
        <v>6406</v>
      </c>
      <c r="B646" s="46" t="s">
        <v>6407</v>
      </c>
    </row>
    <row r="647" spans="1:2" ht="14.5">
      <c r="A647" s="45" t="s">
        <v>6408</v>
      </c>
      <c r="B647" s="46" t="s">
        <v>6409</v>
      </c>
    </row>
    <row r="648" spans="1:2" ht="14.5">
      <c r="A648" s="45" t="s">
        <v>4245</v>
      </c>
      <c r="B648" s="46" t="s">
        <v>6410</v>
      </c>
    </row>
    <row r="649" spans="1:2" ht="14.5">
      <c r="A649" s="45" t="s">
        <v>4213</v>
      </c>
      <c r="B649" s="46" t="s">
        <v>6411</v>
      </c>
    </row>
    <row r="650" spans="1:2" ht="14.5">
      <c r="A650" s="45" t="s">
        <v>6412</v>
      </c>
      <c r="B650" s="46" t="s">
        <v>6413</v>
      </c>
    </row>
    <row r="651" spans="1:2" ht="14.5">
      <c r="A651" s="45" t="s">
        <v>4168</v>
      </c>
      <c r="B651" s="46" t="s">
        <v>6414</v>
      </c>
    </row>
    <row r="652" spans="1:2" ht="14.5">
      <c r="A652" s="45" t="s">
        <v>4664</v>
      </c>
      <c r="B652" s="46" t="s">
        <v>6415</v>
      </c>
    </row>
    <row r="653" spans="1:2" ht="14.5">
      <c r="A653" s="45" t="s">
        <v>6416</v>
      </c>
      <c r="B653" s="46" t="s">
        <v>6417</v>
      </c>
    </row>
    <row r="654" spans="1:2" ht="14.5">
      <c r="A654" s="45" t="s">
        <v>4253</v>
      </c>
      <c r="B654" s="46" t="s">
        <v>6418</v>
      </c>
    </row>
    <row r="655" spans="1:2" ht="14.5">
      <c r="A655" s="45" t="s">
        <v>6419</v>
      </c>
      <c r="B655" s="46" t="s">
        <v>6420</v>
      </c>
    </row>
    <row r="656" spans="1:2" ht="14.5">
      <c r="A656" s="45" t="s">
        <v>6421</v>
      </c>
      <c r="B656" s="46" t="s">
        <v>6422</v>
      </c>
    </row>
    <row r="657" spans="1:2" ht="14.5">
      <c r="A657" s="45" t="s">
        <v>4440</v>
      </c>
      <c r="B657" s="46" t="s">
        <v>6423</v>
      </c>
    </row>
    <row r="658" spans="1:2" ht="14.5">
      <c r="A658" s="45" t="s">
        <v>4228</v>
      </c>
      <c r="B658" s="46" t="s">
        <v>6424</v>
      </c>
    </row>
    <row r="659" spans="1:2" ht="14.5">
      <c r="A659" s="45" t="s">
        <v>6425</v>
      </c>
      <c r="B659" s="46" t="s">
        <v>6426</v>
      </c>
    </row>
    <row r="660" spans="1:2" ht="14.5">
      <c r="A660" s="45" t="s">
        <v>737</v>
      </c>
      <c r="B660" s="46" t="s">
        <v>6427</v>
      </c>
    </row>
    <row r="661" spans="1:2" ht="14.5">
      <c r="A661" s="45" t="s">
        <v>6428</v>
      </c>
      <c r="B661" s="46" t="s">
        <v>6429</v>
      </c>
    </row>
    <row r="662" spans="1:2" ht="14.5">
      <c r="A662" s="45" t="s">
        <v>6430</v>
      </c>
      <c r="B662" s="46" t="s">
        <v>6431</v>
      </c>
    </row>
    <row r="663" spans="1:2" ht="14.5">
      <c r="A663" s="45" t="s">
        <v>6432</v>
      </c>
      <c r="B663" s="46" t="s">
        <v>6433</v>
      </c>
    </row>
    <row r="664" spans="1:2" ht="14.5">
      <c r="A664" s="45" t="s">
        <v>6434</v>
      </c>
      <c r="B664" s="46" t="s">
        <v>6435</v>
      </c>
    </row>
    <row r="665" spans="1:2" ht="14.5">
      <c r="A665" s="45" t="s">
        <v>6436</v>
      </c>
      <c r="B665" s="46" t="s">
        <v>6437</v>
      </c>
    </row>
    <row r="666" spans="1:2" ht="14.5">
      <c r="A666" s="45" t="s">
        <v>4342</v>
      </c>
      <c r="B666" s="46" t="s">
        <v>6438</v>
      </c>
    </row>
    <row r="667" spans="1:2" ht="14.5">
      <c r="A667" s="45" t="s">
        <v>4675</v>
      </c>
      <c r="B667" s="46" t="s">
        <v>6439</v>
      </c>
    </row>
    <row r="668" spans="1:2" ht="14.5">
      <c r="A668" s="45" t="s">
        <v>4200</v>
      </c>
      <c r="B668" s="46" t="s">
        <v>6440</v>
      </c>
    </row>
    <row r="669" spans="1:2" ht="14.5">
      <c r="A669" s="45" t="s">
        <v>4747</v>
      </c>
      <c r="B669" s="46" t="s">
        <v>6441</v>
      </c>
    </row>
    <row r="670" spans="1:2" ht="14.5">
      <c r="A670" s="45" t="s">
        <v>4136</v>
      </c>
      <c r="B670" s="46" t="s">
        <v>6442</v>
      </c>
    </row>
    <row r="671" spans="1:2" ht="14.5">
      <c r="A671" s="45" t="s">
        <v>4621</v>
      </c>
      <c r="B671" s="46" t="s">
        <v>6443</v>
      </c>
    </row>
    <row r="672" spans="1:2" ht="14.5">
      <c r="A672" s="45" t="s">
        <v>4187</v>
      </c>
      <c r="B672" s="46" t="s">
        <v>6444</v>
      </c>
    </row>
    <row r="673" spans="1:2" ht="14.5">
      <c r="A673" s="45" t="s">
        <v>6445</v>
      </c>
      <c r="B673" s="46" t="s">
        <v>6446</v>
      </c>
    </row>
    <row r="674" spans="1:2" ht="14.5">
      <c r="A674" s="45" t="s">
        <v>6447</v>
      </c>
      <c r="B674" s="46" t="s">
        <v>6448</v>
      </c>
    </row>
    <row r="675" spans="1:2" ht="14.5">
      <c r="A675" s="45" t="s">
        <v>6449</v>
      </c>
      <c r="B675" s="46" t="s">
        <v>6450</v>
      </c>
    </row>
    <row r="676" spans="1:2" ht="14.5">
      <c r="A676" s="45" t="s">
        <v>4458</v>
      </c>
      <c r="B676" s="46" t="s">
        <v>6451</v>
      </c>
    </row>
    <row r="677" spans="1:2" ht="14.5">
      <c r="A677" s="45" t="s">
        <v>6452</v>
      </c>
      <c r="B677" s="46" t="s">
        <v>6453</v>
      </c>
    </row>
    <row r="678" spans="1:2" ht="14.5">
      <c r="A678" s="45" t="s">
        <v>4303</v>
      </c>
      <c r="B678" s="46" t="s">
        <v>6454</v>
      </c>
    </row>
    <row r="679" spans="1:2" ht="14.5">
      <c r="A679" s="45" t="s">
        <v>4211</v>
      </c>
      <c r="B679" s="46" t="s">
        <v>6455</v>
      </c>
    </row>
    <row r="680" spans="1:2" ht="14.5">
      <c r="A680" s="45" t="s">
        <v>6456</v>
      </c>
      <c r="B680" s="46" t="s">
        <v>6457</v>
      </c>
    </row>
    <row r="681" spans="1:2" ht="14.5">
      <c r="A681" s="45" t="s">
        <v>6458</v>
      </c>
      <c r="B681" s="46" t="s">
        <v>6459</v>
      </c>
    </row>
    <row r="682" spans="1:2" ht="14.5">
      <c r="A682" s="45" t="s">
        <v>4890</v>
      </c>
      <c r="B682" s="46" t="s">
        <v>6460</v>
      </c>
    </row>
    <row r="683" spans="1:2" ht="14.5">
      <c r="A683" s="45" t="s">
        <v>6461</v>
      </c>
      <c r="B683" s="46" t="s">
        <v>6462</v>
      </c>
    </row>
    <row r="684" spans="1:2" ht="14.5">
      <c r="A684" s="45" t="s">
        <v>6463</v>
      </c>
      <c r="B684" s="46" t="s">
        <v>6464</v>
      </c>
    </row>
    <row r="685" spans="1:2" ht="14.5">
      <c r="A685" s="45" t="s">
        <v>4453</v>
      </c>
      <c r="B685" s="46" t="s">
        <v>6465</v>
      </c>
    </row>
    <row r="686" spans="1:2" ht="14.5">
      <c r="A686" s="45" t="s">
        <v>4222</v>
      </c>
      <c r="B686" s="46" t="s">
        <v>6466</v>
      </c>
    </row>
    <row r="687" spans="1:2" ht="14.5">
      <c r="A687" s="45" t="s">
        <v>4206</v>
      </c>
      <c r="B687" s="46" t="s">
        <v>6467</v>
      </c>
    </row>
    <row r="688" spans="1:2" ht="14.5">
      <c r="A688" s="45" t="s">
        <v>6468</v>
      </c>
      <c r="B688" s="46" t="s">
        <v>6469</v>
      </c>
    </row>
    <row r="689" spans="1:2" ht="14.5">
      <c r="A689" s="45" t="s">
        <v>4138</v>
      </c>
      <c r="B689" s="46" t="s">
        <v>6470</v>
      </c>
    </row>
    <row r="690" spans="1:2" ht="14.5">
      <c r="A690" s="45" t="s">
        <v>4643</v>
      </c>
      <c r="B690" s="46" t="s">
        <v>6471</v>
      </c>
    </row>
    <row r="691" spans="1:2" ht="14.5">
      <c r="A691" s="45" t="s">
        <v>6472</v>
      </c>
      <c r="B691" s="46" t="s">
        <v>6473</v>
      </c>
    </row>
    <row r="692" spans="1:2" ht="14.5">
      <c r="A692" s="45" t="s">
        <v>6474</v>
      </c>
      <c r="B692" s="46" t="s">
        <v>6475</v>
      </c>
    </row>
    <row r="693" spans="1:2" ht="14.5">
      <c r="A693" s="45" t="s">
        <v>6476</v>
      </c>
      <c r="B693" s="46" t="s">
        <v>6477</v>
      </c>
    </row>
    <row r="694" spans="1:2" ht="14.5">
      <c r="A694" s="45" t="s">
        <v>6478</v>
      </c>
      <c r="B694" s="46" t="s">
        <v>6479</v>
      </c>
    </row>
    <row r="695" spans="1:2" ht="14.5">
      <c r="A695" s="45" t="s">
        <v>6480</v>
      </c>
      <c r="B695" s="46" t="s">
        <v>6481</v>
      </c>
    </row>
    <row r="696" spans="1:2" ht="14.5">
      <c r="A696" s="45" t="s">
        <v>6482</v>
      </c>
      <c r="B696" s="46" t="s">
        <v>6483</v>
      </c>
    </row>
    <row r="697" spans="1:2" ht="14.5">
      <c r="A697" s="45" t="s">
        <v>6484</v>
      </c>
      <c r="B697" s="46" t="s">
        <v>6485</v>
      </c>
    </row>
    <row r="698" spans="1:2" ht="14.5">
      <c r="A698" s="45" t="s">
        <v>6486</v>
      </c>
      <c r="B698" s="46" t="s">
        <v>6487</v>
      </c>
    </row>
    <row r="699" spans="1:2" ht="14.5">
      <c r="A699" s="45" t="s">
        <v>6488</v>
      </c>
      <c r="B699" s="46" t="s">
        <v>6489</v>
      </c>
    </row>
    <row r="700" spans="1:2" ht="14.5">
      <c r="A700" s="45" t="s">
        <v>4137</v>
      </c>
      <c r="B700" s="46" t="s">
        <v>6490</v>
      </c>
    </row>
    <row r="701" spans="1:2" ht="14.5">
      <c r="A701" s="45" t="s">
        <v>6491</v>
      </c>
      <c r="B701" s="46" t="s">
        <v>6492</v>
      </c>
    </row>
    <row r="702" spans="1:2" ht="14.5">
      <c r="A702" s="45" t="s">
        <v>6493</v>
      </c>
      <c r="B702" s="46" t="s">
        <v>6494</v>
      </c>
    </row>
    <row r="703" spans="1:2" ht="14.5">
      <c r="A703" s="45" t="s">
        <v>4415</v>
      </c>
      <c r="B703" s="46" t="s">
        <v>6495</v>
      </c>
    </row>
    <row r="704" spans="1:2" ht="14.5">
      <c r="A704" s="45" t="s">
        <v>4435</v>
      </c>
      <c r="B704" s="46" t="s">
        <v>6496</v>
      </c>
    </row>
    <row r="705" spans="1:2" ht="14.5">
      <c r="A705" s="45" t="s">
        <v>4416</v>
      </c>
      <c r="B705" s="46" t="s">
        <v>6497</v>
      </c>
    </row>
    <row r="706" spans="1:2" ht="14.5">
      <c r="A706" s="45" t="s">
        <v>6498</v>
      </c>
      <c r="B706" s="46" t="s">
        <v>6499</v>
      </c>
    </row>
    <row r="707" spans="1:2" ht="14.5">
      <c r="A707" s="45" t="s">
        <v>4246</v>
      </c>
      <c r="B707" s="46" t="s">
        <v>6500</v>
      </c>
    </row>
    <row r="708" spans="1:2" ht="14.5">
      <c r="A708" s="45" t="s">
        <v>6501</v>
      </c>
      <c r="B708" s="46" t="s">
        <v>6502</v>
      </c>
    </row>
    <row r="709" spans="1:2" ht="14.5">
      <c r="A709" s="45" t="s">
        <v>6503</v>
      </c>
      <c r="B709" s="46" t="s">
        <v>6504</v>
      </c>
    </row>
    <row r="710" spans="1:2" ht="14.5">
      <c r="A710" s="45" t="s">
        <v>6505</v>
      </c>
      <c r="B710" s="46" t="s">
        <v>6506</v>
      </c>
    </row>
    <row r="711" spans="1:2" ht="14.5">
      <c r="A711" s="45" t="s">
        <v>4104</v>
      </c>
      <c r="B711" s="46" t="s">
        <v>6507</v>
      </c>
    </row>
    <row r="712" spans="1:2" ht="14.5">
      <c r="A712" s="45" t="s">
        <v>4237</v>
      </c>
      <c r="B712" s="46" t="s">
        <v>6508</v>
      </c>
    </row>
    <row r="713" spans="1:2" ht="14.5">
      <c r="A713" s="45" t="s">
        <v>6509</v>
      </c>
      <c r="B713" s="46" t="s">
        <v>6510</v>
      </c>
    </row>
    <row r="714" spans="1:2" ht="14.5">
      <c r="A714" s="45" t="s">
        <v>4467</v>
      </c>
      <c r="B714" s="46" t="s">
        <v>6511</v>
      </c>
    </row>
    <row r="715" spans="1:2" ht="14.5">
      <c r="A715" s="45" t="s">
        <v>6512</v>
      </c>
      <c r="B715" s="46" t="s">
        <v>6513</v>
      </c>
    </row>
    <row r="716" spans="1:2" ht="14.5">
      <c r="A716" s="45" t="s">
        <v>6514</v>
      </c>
      <c r="B716" s="46" t="s">
        <v>6515</v>
      </c>
    </row>
    <row r="717" spans="1:2" ht="14.5">
      <c r="A717" s="45" t="s">
        <v>4532</v>
      </c>
      <c r="B717" s="46" t="s">
        <v>6516</v>
      </c>
    </row>
    <row r="718" spans="1:2" ht="14.5">
      <c r="A718" s="45" t="s">
        <v>4216</v>
      </c>
      <c r="B718" s="46" t="s">
        <v>6517</v>
      </c>
    </row>
    <row r="719" spans="1:2" ht="14.5">
      <c r="A719" s="45" t="s">
        <v>4181</v>
      </c>
      <c r="B719" s="46" t="s">
        <v>6518</v>
      </c>
    </row>
    <row r="720" spans="1:2" ht="14.5">
      <c r="A720" s="45" t="s">
        <v>6519</v>
      </c>
      <c r="B720" s="46" t="s">
        <v>6520</v>
      </c>
    </row>
    <row r="721" spans="1:2" ht="14.5">
      <c r="A721" s="45" t="s">
        <v>4432</v>
      </c>
      <c r="B721" s="46" t="s">
        <v>6521</v>
      </c>
    </row>
    <row r="722" spans="1:2" ht="14.5">
      <c r="A722" s="45" t="s">
        <v>6522</v>
      </c>
      <c r="B722" s="46" t="s">
        <v>6523</v>
      </c>
    </row>
    <row r="723" spans="1:2" ht="14.5">
      <c r="A723" s="45" t="s">
        <v>6524</v>
      </c>
      <c r="B723" s="46" t="s">
        <v>6525</v>
      </c>
    </row>
    <row r="724" spans="1:2" ht="14.5">
      <c r="A724" s="45" t="s">
        <v>4597</v>
      </c>
      <c r="B724" s="46" t="s">
        <v>6526</v>
      </c>
    </row>
    <row r="725" spans="1:2" ht="14.5">
      <c r="A725" s="45" t="s">
        <v>6527</v>
      </c>
      <c r="B725" s="46" t="s">
        <v>6528</v>
      </c>
    </row>
    <row r="726" spans="1:2" ht="14.5">
      <c r="A726" s="45" t="s">
        <v>6529</v>
      </c>
      <c r="B726" s="46" t="s">
        <v>6530</v>
      </c>
    </row>
    <row r="727" spans="1:2" ht="14.5">
      <c r="A727" s="45" t="s">
        <v>4680</v>
      </c>
      <c r="B727" s="46" t="s">
        <v>6531</v>
      </c>
    </row>
    <row r="728" spans="1:2" ht="14.5">
      <c r="A728" s="45" t="s">
        <v>6532</v>
      </c>
      <c r="B728" s="46" t="s">
        <v>6533</v>
      </c>
    </row>
    <row r="729" spans="1:2" ht="14.5">
      <c r="A729" s="45" t="s">
        <v>4149</v>
      </c>
      <c r="B729" s="46" t="s">
        <v>6534</v>
      </c>
    </row>
    <row r="730" spans="1:2" ht="14.5">
      <c r="A730" s="45" t="s">
        <v>4123</v>
      </c>
      <c r="B730" s="46" t="s">
        <v>6535</v>
      </c>
    </row>
    <row r="731" spans="1:2" ht="14.5">
      <c r="A731" s="45" t="s">
        <v>4045</v>
      </c>
      <c r="B731" s="46" t="s">
        <v>6536</v>
      </c>
    </row>
    <row r="732" spans="1:2" ht="14.5">
      <c r="A732" s="45" t="s">
        <v>6537</v>
      </c>
      <c r="B732" s="46" t="s">
        <v>6538</v>
      </c>
    </row>
    <row r="733" spans="1:2" ht="14.5">
      <c r="A733" s="45" t="s">
        <v>6539</v>
      </c>
      <c r="B733" s="46" t="s">
        <v>6540</v>
      </c>
    </row>
    <row r="734" spans="1:2" ht="14.5">
      <c r="A734" s="45" t="s">
        <v>6541</v>
      </c>
      <c r="B734" s="46" t="s">
        <v>6542</v>
      </c>
    </row>
    <row r="735" spans="1:2" ht="14.5">
      <c r="A735" s="45" t="s">
        <v>4702</v>
      </c>
      <c r="B735" s="46" t="s">
        <v>6543</v>
      </c>
    </row>
    <row r="736" spans="1:2" ht="14.5">
      <c r="A736" s="45" t="s">
        <v>4540</v>
      </c>
      <c r="B736" s="46" t="s">
        <v>6544</v>
      </c>
    </row>
    <row r="737" spans="1:2" ht="14.5">
      <c r="A737" s="45" t="s">
        <v>4521</v>
      </c>
      <c r="B737" s="46" t="s">
        <v>6545</v>
      </c>
    </row>
    <row r="738" spans="1:2" ht="14.5">
      <c r="A738" s="45" t="s">
        <v>4637</v>
      </c>
      <c r="B738" s="46" t="s">
        <v>6546</v>
      </c>
    </row>
    <row r="739" spans="1:2" ht="14.5">
      <c r="A739" s="45" t="s">
        <v>6547</v>
      </c>
      <c r="B739" s="46" t="s">
        <v>6548</v>
      </c>
    </row>
    <row r="740" spans="1:2" ht="14.5">
      <c r="A740" s="45" t="s">
        <v>273</v>
      </c>
      <c r="B740" s="46" t="s">
        <v>6549</v>
      </c>
    </row>
    <row r="741" spans="1:2" ht="14.5">
      <c r="A741" s="45" t="s">
        <v>4352</v>
      </c>
      <c r="B741" s="46" t="s">
        <v>6550</v>
      </c>
    </row>
    <row r="742" spans="1:2" ht="14.5">
      <c r="A742" s="45" t="s">
        <v>6551</v>
      </c>
      <c r="B742" s="46" t="s">
        <v>6552</v>
      </c>
    </row>
    <row r="743" spans="1:2" ht="14.5">
      <c r="A743" s="45" t="s">
        <v>6553</v>
      </c>
      <c r="B743" s="46" t="s">
        <v>6554</v>
      </c>
    </row>
    <row r="744" spans="1:2" ht="14.5">
      <c r="A744" s="45" t="s">
        <v>4700</v>
      </c>
      <c r="B744" s="46" t="s">
        <v>6555</v>
      </c>
    </row>
    <row r="745" spans="1:2" ht="14.5">
      <c r="A745" s="45" t="s">
        <v>4190</v>
      </c>
      <c r="B745" s="46" t="s">
        <v>6556</v>
      </c>
    </row>
    <row r="746" spans="1:2" ht="14.5">
      <c r="A746" s="45" t="s">
        <v>6557</v>
      </c>
      <c r="B746" s="46" t="s">
        <v>6558</v>
      </c>
    </row>
    <row r="747" spans="1:2" ht="14.5">
      <c r="A747" s="45" t="s">
        <v>4469</v>
      </c>
      <c r="B747" s="46" t="s">
        <v>6559</v>
      </c>
    </row>
    <row r="748" spans="1:2" ht="14.5">
      <c r="A748" s="45" t="s">
        <v>4454</v>
      </c>
      <c r="B748" s="46" t="s">
        <v>6560</v>
      </c>
    </row>
    <row r="749" spans="1:2" ht="14.5">
      <c r="A749" s="45" t="s">
        <v>6561</v>
      </c>
      <c r="B749" s="46" t="s">
        <v>6562</v>
      </c>
    </row>
    <row r="750" spans="1:2" ht="14.5">
      <c r="A750" s="45" t="s">
        <v>4048</v>
      </c>
      <c r="B750" s="46" t="s">
        <v>6563</v>
      </c>
    </row>
    <row r="751" spans="1:2" ht="14.5">
      <c r="A751" s="45" t="s">
        <v>6564</v>
      </c>
      <c r="B751" s="46" t="s">
        <v>6565</v>
      </c>
    </row>
    <row r="752" spans="1:2" ht="14.5">
      <c r="A752" s="45" t="s">
        <v>4115</v>
      </c>
      <c r="B752" s="46" t="s">
        <v>6566</v>
      </c>
    </row>
    <row r="753" spans="1:2" ht="14.5">
      <c r="A753" s="45" t="s">
        <v>4370</v>
      </c>
      <c r="B753" s="46" t="s">
        <v>6567</v>
      </c>
    </row>
    <row r="754" spans="1:2" ht="14.5">
      <c r="A754" s="45" t="s">
        <v>4273</v>
      </c>
      <c r="B754" s="46" t="s">
        <v>6568</v>
      </c>
    </row>
    <row r="755" spans="1:2" ht="14.5">
      <c r="A755" s="45" t="s">
        <v>4103</v>
      </c>
      <c r="B755" s="46" t="s">
        <v>6569</v>
      </c>
    </row>
    <row r="756" spans="1:2" ht="14.5">
      <c r="A756" s="45" t="s">
        <v>6570</v>
      </c>
      <c r="B756" s="46" t="s">
        <v>6571</v>
      </c>
    </row>
    <row r="757" spans="1:2" ht="14.5">
      <c r="A757" s="45" t="s">
        <v>4154</v>
      </c>
      <c r="B757" s="46" t="s">
        <v>6572</v>
      </c>
    </row>
    <row r="758" spans="1:2" ht="14.5">
      <c r="A758" s="45" t="s">
        <v>6573</v>
      </c>
      <c r="B758" s="46" t="s">
        <v>6574</v>
      </c>
    </row>
    <row r="759" spans="1:2" ht="14.5">
      <c r="A759" s="45" t="s">
        <v>4517</v>
      </c>
      <c r="B759" s="46" t="s">
        <v>6575</v>
      </c>
    </row>
    <row r="760" spans="1:2" ht="14.5">
      <c r="A760" s="45" t="s">
        <v>6576</v>
      </c>
      <c r="B760" s="46" t="s">
        <v>6577</v>
      </c>
    </row>
    <row r="761" spans="1:2" ht="14.5">
      <c r="A761" s="45" t="s">
        <v>6578</v>
      </c>
      <c r="B761" s="46" t="s">
        <v>6579</v>
      </c>
    </row>
    <row r="762" spans="1:2" ht="14.5">
      <c r="A762" s="45" t="s">
        <v>6580</v>
      </c>
      <c r="B762" s="46" t="s">
        <v>6581</v>
      </c>
    </row>
    <row r="763" spans="1:2" ht="14.5">
      <c r="A763" s="45" t="s">
        <v>6582</v>
      </c>
      <c r="B763" s="46" t="s">
        <v>6583</v>
      </c>
    </row>
    <row r="764" spans="1:2" ht="14.5">
      <c r="A764" s="45" t="s">
        <v>4258</v>
      </c>
      <c r="B764" s="46" t="s">
        <v>6584</v>
      </c>
    </row>
    <row r="765" spans="1:2" ht="14.5">
      <c r="A765" s="45" t="s">
        <v>4219</v>
      </c>
      <c r="B765" s="46" t="s">
        <v>6585</v>
      </c>
    </row>
    <row r="766" spans="1:2" ht="14.5">
      <c r="A766" s="45" t="s">
        <v>4227</v>
      </c>
      <c r="B766" s="46" t="s">
        <v>6586</v>
      </c>
    </row>
    <row r="767" spans="1:2" ht="14.5">
      <c r="A767" s="45" t="s">
        <v>4201</v>
      </c>
      <c r="B767" s="46" t="s">
        <v>6587</v>
      </c>
    </row>
    <row r="768" spans="1:2" ht="14.5">
      <c r="A768" s="45" t="s">
        <v>4100</v>
      </c>
      <c r="B768" s="46" t="s">
        <v>6588</v>
      </c>
    </row>
    <row r="769" spans="1:2" ht="14.5">
      <c r="A769" s="45" t="s">
        <v>6589</v>
      </c>
      <c r="B769" s="46" t="s">
        <v>6590</v>
      </c>
    </row>
    <row r="770" spans="1:2" ht="14.5">
      <c r="A770" s="45" t="s">
        <v>6591</v>
      </c>
      <c r="B770" s="46" t="s">
        <v>6592</v>
      </c>
    </row>
    <row r="771" spans="1:2" ht="14.5">
      <c r="A771" s="45" t="s">
        <v>6593</v>
      </c>
      <c r="B771" s="46" t="s">
        <v>6594</v>
      </c>
    </row>
    <row r="772" spans="1:2" ht="14.5">
      <c r="A772" s="45" t="s">
        <v>6595</v>
      </c>
      <c r="B772" s="46" t="s">
        <v>6596</v>
      </c>
    </row>
    <row r="773" spans="1:2" ht="14.5">
      <c r="A773" s="45" t="s">
        <v>6597</v>
      </c>
      <c r="B773" s="46" t="s">
        <v>6598</v>
      </c>
    </row>
    <row r="774" spans="1:2" ht="14.5">
      <c r="A774" s="45" t="s">
        <v>4377</v>
      </c>
      <c r="B774" s="46" t="s">
        <v>6599</v>
      </c>
    </row>
    <row r="775" spans="1:2" ht="14.5">
      <c r="A775" s="45" t="s">
        <v>4407</v>
      </c>
      <c r="B775" s="46" t="s">
        <v>6600</v>
      </c>
    </row>
    <row r="776" spans="1:2" ht="14.5">
      <c r="A776" s="45" t="s">
        <v>6601</v>
      </c>
      <c r="B776" s="46" t="s">
        <v>6602</v>
      </c>
    </row>
    <row r="777" spans="1:2" ht="14.5">
      <c r="A777" s="45" t="s">
        <v>6603</v>
      </c>
      <c r="B777" s="46" t="s">
        <v>6604</v>
      </c>
    </row>
    <row r="778" spans="1:2" ht="14.5">
      <c r="A778" s="45" t="s">
        <v>6605</v>
      </c>
      <c r="B778" s="46" t="s">
        <v>6606</v>
      </c>
    </row>
    <row r="779" spans="1:2" ht="14.5">
      <c r="A779" s="45" t="s">
        <v>754</v>
      </c>
      <c r="B779" s="46" t="s">
        <v>6607</v>
      </c>
    </row>
    <row r="780" spans="1:2" ht="14.5">
      <c r="A780" s="45" t="s">
        <v>4421</v>
      </c>
      <c r="B780" s="46" t="s">
        <v>6608</v>
      </c>
    </row>
    <row r="781" spans="1:2" ht="14.5">
      <c r="A781" s="45" t="s">
        <v>4297</v>
      </c>
      <c r="B781" s="46" t="s">
        <v>6609</v>
      </c>
    </row>
    <row r="782" spans="1:2" ht="14.5">
      <c r="A782" s="45" t="s">
        <v>4424</v>
      </c>
      <c r="B782" s="46" t="s">
        <v>6610</v>
      </c>
    </row>
    <row r="783" spans="1:2" ht="14.5">
      <c r="A783" s="45" t="s">
        <v>6611</v>
      </c>
      <c r="B783" s="46" t="s">
        <v>6612</v>
      </c>
    </row>
    <row r="784" spans="1:2" ht="14.5">
      <c r="A784" s="45" t="s">
        <v>6613</v>
      </c>
      <c r="B784" s="46" t="s">
        <v>6614</v>
      </c>
    </row>
    <row r="785" spans="1:2" ht="14.5">
      <c r="A785" s="45" t="s">
        <v>6615</v>
      </c>
      <c r="B785" s="46" t="s">
        <v>6616</v>
      </c>
    </row>
    <row r="786" spans="1:2" ht="14.5">
      <c r="A786" s="45" t="s">
        <v>6617</v>
      </c>
      <c r="B786" s="46" t="s">
        <v>6618</v>
      </c>
    </row>
    <row r="787" spans="1:2" ht="14.5">
      <c r="A787" s="45" t="s">
        <v>226</v>
      </c>
      <c r="B787" s="46" t="s">
        <v>6619</v>
      </c>
    </row>
    <row r="788" spans="1:2" ht="14.5">
      <c r="A788" s="45" t="s">
        <v>4787</v>
      </c>
      <c r="B788" s="46" t="s">
        <v>6620</v>
      </c>
    </row>
    <row r="789" spans="1:2" ht="14.5">
      <c r="A789" s="45" t="s">
        <v>4472</v>
      </c>
      <c r="B789" s="46" t="s">
        <v>6621</v>
      </c>
    </row>
    <row r="790" spans="1:2" ht="14.5">
      <c r="A790" s="45" t="s">
        <v>4330</v>
      </c>
      <c r="B790" s="46" t="s">
        <v>6622</v>
      </c>
    </row>
    <row r="791" spans="1:2" ht="14.5">
      <c r="A791" s="45" t="s">
        <v>6623</v>
      </c>
      <c r="B791" s="46" t="s">
        <v>6624</v>
      </c>
    </row>
    <row r="792" spans="1:2" ht="14.5">
      <c r="A792" s="45" t="s">
        <v>4398</v>
      </c>
      <c r="B792" s="46" t="s">
        <v>6625</v>
      </c>
    </row>
    <row r="793" spans="1:2" ht="14.5">
      <c r="A793" s="45" t="s">
        <v>4724</v>
      </c>
      <c r="B793" s="46" t="s">
        <v>6626</v>
      </c>
    </row>
    <row r="794" spans="1:2" ht="14.5">
      <c r="A794" s="45" t="s">
        <v>304</v>
      </c>
      <c r="B794" s="46" t="s">
        <v>6627</v>
      </c>
    </row>
    <row r="795" spans="1:2" ht="14.5">
      <c r="A795" s="45" t="s">
        <v>6628</v>
      </c>
      <c r="B795" s="46" t="s">
        <v>6629</v>
      </c>
    </row>
    <row r="796" spans="1:2" ht="14.5">
      <c r="A796" s="45" t="s">
        <v>3135</v>
      </c>
      <c r="B796" s="46" t="s">
        <v>6630</v>
      </c>
    </row>
    <row r="797" spans="1:2" ht="14.5">
      <c r="A797" s="45" t="s">
        <v>6631</v>
      </c>
      <c r="B797" s="46" t="s">
        <v>6632</v>
      </c>
    </row>
    <row r="798" spans="1:2" ht="14.5">
      <c r="A798" s="45" t="s">
        <v>6633</v>
      </c>
      <c r="B798" s="46" t="s">
        <v>6634</v>
      </c>
    </row>
    <row r="799" spans="1:2" ht="14.5">
      <c r="A799" s="45" t="s">
        <v>6635</v>
      </c>
      <c r="B799" s="46" t="s">
        <v>6636</v>
      </c>
    </row>
    <row r="800" spans="1:2" ht="14.5">
      <c r="A800" s="45" t="s">
        <v>6637</v>
      </c>
      <c r="B800" s="46" t="s">
        <v>6638</v>
      </c>
    </row>
    <row r="801" spans="1:2" ht="14.5">
      <c r="A801" s="45" t="s">
        <v>6639</v>
      </c>
      <c r="B801" s="46" t="s">
        <v>6640</v>
      </c>
    </row>
    <row r="802" spans="1:2" ht="14.5">
      <c r="A802" s="45" t="s">
        <v>6641</v>
      </c>
      <c r="B802" s="46" t="s">
        <v>6642</v>
      </c>
    </row>
    <row r="803" spans="1:2" ht="14.5">
      <c r="A803" s="45" t="s">
        <v>908</v>
      </c>
      <c r="B803" s="46" t="s">
        <v>6643</v>
      </c>
    </row>
    <row r="804" spans="1:2" ht="14.5">
      <c r="A804" s="45" t="s">
        <v>96</v>
      </c>
      <c r="B804" s="46" t="s">
        <v>6644</v>
      </c>
    </row>
    <row r="805" spans="1:2" ht="14.5">
      <c r="A805" s="45" t="s">
        <v>4559</v>
      </c>
      <c r="B805" s="46" t="s">
        <v>6645</v>
      </c>
    </row>
    <row r="806" spans="1:2" ht="14.5">
      <c r="A806" s="45" t="s">
        <v>6646</v>
      </c>
      <c r="B806" s="46" t="s">
        <v>6647</v>
      </c>
    </row>
    <row r="807" spans="1:2" ht="14.5">
      <c r="A807" s="45" t="s">
        <v>6648</v>
      </c>
      <c r="B807" s="46" t="s">
        <v>6649</v>
      </c>
    </row>
    <row r="808" spans="1:2" ht="14.5">
      <c r="A808" s="45" t="s">
        <v>6650</v>
      </c>
      <c r="B808" s="46" t="s">
        <v>6651</v>
      </c>
    </row>
    <row r="809" spans="1:2" ht="14.5">
      <c r="A809" s="45" t="s">
        <v>6652</v>
      </c>
      <c r="B809" s="46" t="s">
        <v>6653</v>
      </c>
    </row>
    <row r="810" spans="1:2" ht="14.5">
      <c r="A810" s="45" t="s">
        <v>6654</v>
      </c>
      <c r="B810" s="46" t="s">
        <v>6655</v>
      </c>
    </row>
    <row r="811" spans="1:2" ht="14.5">
      <c r="A811" s="45" t="s">
        <v>6656</v>
      </c>
      <c r="B811" s="46" t="s">
        <v>6657</v>
      </c>
    </row>
    <row r="812" spans="1:2" ht="14.5">
      <c r="A812" s="45" t="s">
        <v>6658</v>
      </c>
      <c r="B812" s="46" t="s">
        <v>6659</v>
      </c>
    </row>
    <row r="813" spans="1:2" ht="14.5">
      <c r="A813" s="45" t="s">
        <v>4571</v>
      </c>
      <c r="B813" s="46" t="s">
        <v>6660</v>
      </c>
    </row>
    <row r="814" spans="1:2" ht="14.5">
      <c r="A814" s="45" t="s">
        <v>6661</v>
      </c>
      <c r="B814" s="46" t="s">
        <v>6662</v>
      </c>
    </row>
    <row r="815" spans="1:2" ht="14.5">
      <c r="A815" s="45" t="s">
        <v>760</v>
      </c>
      <c r="B815" s="46" t="s">
        <v>6663</v>
      </c>
    </row>
    <row r="816" spans="1:2" ht="14.5">
      <c r="A816" s="45" t="s">
        <v>6664</v>
      </c>
      <c r="B816" s="46" t="s">
        <v>6665</v>
      </c>
    </row>
    <row r="817" spans="1:2" ht="14.5">
      <c r="A817" s="45" t="s">
        <v>6666</v>
      </c>
      <c r="B817" s="46" t="s">
        <v>6667</v>
      </c>
    </row>
    <row r="818" spans="1:2" ht="14.5">
      <c r="A818" s="45" t="s">
        <v>2183</v>
      </c>
      <c r="B818" s="46" t="s">
        <v>6668</v>
      </c>
    </row>
    <row r="819" spans="1:2" ht="14.5">
      <c r="A819" s="45" t="s">
        <v>6669</v>
      </c>
      <c r="B819" s="46" t="s">
        <v>6670</v>
      </c>
    </row>
    <row r="820" spans="1:2" ht="14.5">
      <c r="A820" s="45" t="s">
        <v>1009</v>
      </c>
      <c r="B820" s="46" t="s">
        <v>6671</v>
      </c>
    </row>
    <row r="821" spans="1:2" ht="14.5">
      <c r="A821" s="45" t="s">
        <v>6672</v>
      </c>
      <c r="B821" s="46" t="s">
        <v>6673</v>
      </c>
    </row>
    <row r="822" spans="1:2" ht="14.5">
      <c r="A822" s="45" t="s">
        <v>6674</v>
      </c>
      <c r="B822" s="46" t="s">
        <v>6675</v>
      </c>
    </row>
    <row r="823" spans="1:2" ht="14.5">
      <c r="A823" s="45" t="s">
        <v>6676</v>
      </c>
      <c r="B823" s="46" t="s">
        <v>6677</v>
      </c>
    </row>
    <row r="824" spans="1:2" ht="14.5">
      <c r="A824" s="45" t="s">
        <v>4845</v>
      </c>
      <c r="B824" s="46" t="s">
        <v>6678</v>
      </c>
    </row>
    <row r="825" spans="1:2" ht="14.5">
      <c r="A825" s="45" t="s">
        <v>901</v>
      </c>
      <c r="B825" s="46" t="s">
        <v>6679</v>
      </c>
    </row>
    <row r="826" spans="1:2" ht="14.5">
      <c r="A826" s="45" t="s">
        <v>6680</v>
      </c>
      <c r="B826" s="46" t="s">
        <v>6681</v>
      </c>
    </row>
    <row r="827" spans="1:2" ht="14.5">
      <c r="A827" s="45" t="s">
        <v>6682</v>
      </c>
      <c r="B827" s="46" t="s">
        <v>6683</v>
      </c>
    </row>
    <row r="828" spans="1:2" ht="14.5">
      <c r="A828" s="45" t="s">
        <v>6684</v>
      </c>
      <c r="B828" s="46" t="s">
        <v>6685</v>
      </c>
    </row>
    <row r="829" spans="1:2" ht="14.5">
      <c r="A829" s="45" t="s">
        <v>4817</v>
      </c>
      <c r="B829" s="46" t="s">
        <v>6686</v>
      </c>
    </row>
    <row r="830" spans="1:2" ht="14.5">
      <c r="A830" s="45" t="s">
        <v>6687</v>
      </c>
      <c r="B830" s="46" t="s">
        <v>6688</v>
      </c>
    </row>
    <row r="831" spans="1:2" ht="14.5">
      <c r="A831" s="45" t="s">
        <v>6689</v>
      </c>
      <c r="B831" s="46" t="s">
        <v>6690</v>
      </c>
    </row>
    <row r="832" spans="1:2" ht="14.5">
      <c r="A832" s="45" t="s">
        <v>2105</v>
      </c>
      <c r="B832" s="46" t="s">
        <v>6691</v>
      </c>
    </row>
    <row r="833" spans="1:2" ht="14.5">
      <c r="A833" s="45" t="s">
        <v>2227</v>
      </c>
      <c r="B833" s="46" t="s">
        <v>6692</v>
      </c>
    </row>
    <row r="834" spans="1:2" ht="14.5">
      <c r="A834" s="45" t="s">
        <v>6693</v>
      </c>
      <c r="B834" s="46" t="s">
        <v>6694</v>
      </c>
    </row>
    <row r="835" spans="1:2" ht="14.5">
      <c r="A835" s="45" t="s">
        <v>6695</v>
      </c>
      <c r="B835" s="46" t="s">
        <v>6696</v>
      </c>
    </row>
    <row r="836" spans="1:2" ht="14.5">
      <c r="A836" s="45" t="s">
        <v>6697</v>
      </c>
      <c r="B836" s="46" t="s">
        <v>6698</v>
      </c>
    </row>
    <row r="837" spans="1:2" ht="14.5">
      <c r="A837" s="45" t="s">
        <v>6699</v>
      </c>
      <c r="B837" s="46" t="s">
        <v>6700</v>
      </c>
    </row>
    <row r="838" spans="1:2" ht="14.5">
      <c r="A838" s="45" t="s">
        <v>6701</v>
      </c>
      <c r="B838" s="46" t="s">
        <v>6702</v>
      </c>
    </row>
    <row r="839" spans="1:2" ht="14.5">
      <c r="A839" s="45" t="s">
        <v>6703</v>
      </c>
      <c r="B839" s="46" t="s">
        <v>6704</v>
      </c>
    </row>
    <row r="840" spans="1:2" ht="14.5">
      <c r="A840" s="45" t="s">
        <v>6705</v>
      </c>
      <c r="B840" s="46" t="s">
        <v>6706</v>
      </c>
    </row>
    <row r="841" spans="1:2" ht="14.5">
      <c r="A841" s="45" t="s">
        <v>439</v>
      </c>
      <c r="B841" s="46" t="s">
        <v>6707</v>
      </c>
    </row>
    <row r="842" spans="1:2" ht="14.5">
      <c r="A842" s="45" t="s">
        <v>6708</v>
      </c>
      <c r="B842" s="46" t="s">
        <v>6709</v>
      </c>
    </row>
    <row r="843" spans="1:2" ht="14.5">
      <c r="A843" s="45" t="s">
        <v>4800</v>
      </c>
      <c r="B843" s="46" t="s">
        <v>6710</v>
      </c>
    </row>
    <row r="844" spans="1:2" ht="14.5">
      <c r="A844" s="45" t="s">
        <v>4158</v>
      </c>
      <c r="B844" s="46" t="s">
        <v>6711</v>
      </c>
    </row>
    <row r="845" spans="1:2" ht="14.5">
      <c r="A845" s="45" t="s">
        <v>4477</v>
      </c>
      <c r="B845" s="46" t="s">
        <v>6712</v>
      </c>
    </row>
    <row r="846" spans="1:2" ht="14.5">
      <c r="A846" s="45" t="s">
        <v>4097</v>
      </c>
      <c r="B846" s="46" t="s">
        <v>6713</v>
      </c>
    </row>
    <row r="847" spans="1:2" ht="14.5">
      <c r="A847" s="45" t="s">
        <v>6714</v>
      </c>
      <c r="B847" s="46" t="s">
        <v>6715</v>
      </c>
    </row>
    <row r="848" spans="1:2" ht="14.5">
      <c r="A848" s="45" t="s">
        <v>6716</v>
      </c>
      <c r="B848" s="46" t="s">
        <v>6717</v>
      </c>
    </row>
    <row r="849" spans="1:2" ht="14.5">
      <c r="A849" s="45" t="s">
        <v>4923</v>
      </c>
      <c r="B849" s="46" t="s">
        <v>6718</v>
      </c>
    </row>
    <row r="850" spans="1:2" ht="14.5">
      <c r="A850" s="45" t="s">
        <v>116</v>
      </c>
      <c r="B850" s="46" t="s">
        <v>6719</v>
      </c>
    </row>
    <row r="851" spans="1:2" ht="14.5">
      <c r="A851" s="45" t="s">
        <v>750</v>
      </c>
      <c r="B851" s="46" t="s">
        <v>6720</v>
      </c>
    </row>
    <row r="852" spans="1:2" ht="14.5">
      <c r="A852" s="45" t="s">
        <v>6721</v>
      </c>
      <c r="B852" s="46" t="s">
        <v>6722</v>
      </c>
    </row>
    <row r="853" spans="1:2" ht="14.5">
      <c r="A853" s="45" t="s">
        <v>320</v>
      </c>
      <c r="B853" s="46" t="s">
        <v>6723</v>
      </c>
    </row>
    <row r="854" spans="1:2" ht="14.5">
      <c r="A854" s="45" t="s">
        <v>6724</v>
      </c>
      <c r="B854" s="46" t="s">
        <v>6725</v>
      </c>
    </row>
    <row r="855" spans="1:2" ht="14.5">
      <c r="A855" s="45" t="s">
        <v>6726</v>
      </c>
      <c r="B855" s="46" t="s">
        <v>6727</v>
      </c>
    </row>
    <row r="856" spans="1:2" ht="14.5">
      <c r="A856" s="45" t="s">
        <v>1473</v>
      </c>
      <c r="B856" s="46" t="s">
        <v>6728</v>
      </c>
    </row>
    <row r="857" spans="1:2" ht="14.5">
      <c r="A857" s="45" t="s">
        <v>6729</v>
      </c>
      <c r="B857" s="46" t="s">
        <v>6730</v>
      </c>
    </row>
    <row r="858" spans="1:2" ht="14.5">
      <c r="A858" s="45" t="s">
        <v>6731</v>
      </c>
      <c r="B858" s="46" t="s">
        <v>6732</v>
      </c>
    </row>
    <row r="859" spans="1:2" ht="14.5">
      <c r="A859" s="45" t="s">
        <v>82</v>
      </c>
      <c r="B859" s="46" t="s">
        <v>6733</v>
      </c>
    </row>
    <row r="860" spans="1:2" ht="14.5">
      <c r="A860" s="45" t="s">
        <v>4838</v>
      </c>
      <c r="B860" s="46" t="s">
        <v>6734</v>
      </c>
    </row>
    <row r="861" spans="1:2" ht="14.5">
      <c r="A861" s="45" t="s">
        <v>6735</v>
      </c>
      <c r="B861" s="46" t="s">
        <v>6736</v>
      </c>
    </row>
    <row r="862" spans="1:2" ht="14.5">
      <c r="A862" s="45" t="s">
        <v>4289</v>
      </c>
      <c r="B862" s="46" t="s">
        <v>6737</v>
      </c>
    </row>
    <row r="863" spans="1:2" ht="14.5">
      <c r="A863" s="45" t="s">
        <v>2758</v>
      </c>
      <c r="B863" s="46" t="s">
        <v>6738</v>
      </c>
    </row>
    <row r="864" spans="1:2" ht="14.5">
      <c r="A864" s="45" t="s">
        <v>6739</v>
      </c>
      <c r="B864" s="46" t="s">
        <v>6740</v>
      </c>
    </row>
    <row r="865" spans="1:2" ht="14.5">
      <c r="A865" s="45" t="s">
        <v>6741</v>
      </c>
      <c r="B865" s="46" t="s">
        <v>6742</v>
      </c>
    </row>
    <row r="866" spans="1:2" ht="14.5">
      <c r="A866" s="45" t="s">
        <v>4752</v>
      </c>
      <c r="B866" s="46" t="s">
        <v>6743</v>
      </c>
    </row>
    <row r="867" spans="1:2" ht="14.5">
      <c r="A867" s="45" t="s">
        <v>6744</v>
      </c>
      <c r="B867" s="46" t="s">
        <v>6745</v>
      </c>
    </row>
    <row r="868" spans="1:2" ht="14.5">
      <c r="A868" s="45" t="s">
        <v>4056</v>
      </c>
      <c r="B868" s="46" t="s">
        <v>6746</v>
      </c>
    </row>
    <row r="869" spans="1:2" ht="14.5">
      <c r="A869" s="45" t="s">
        <v>4833</v>
      </c>
      <c r="B869" s="46" t="s">
        <v>6747</v>
      </c>
    </row>
    <row r="870" spans="1:2" ht="14.5">
      <c r="A870" s="45" t="s">
        <v>6748</v>
      </c>
      <c r="B870" s="46" t="s">
        <v>6749</v>
      </c>
    </row>
    <row r="871" spans="1:2" ht="14.5">
      <c r="A871" s="45" t="s">
        <v>6750</v>
      </c>
      <c r="B871" s="46" t="s">
        <v>6751</v>
      </c>
    </row>
    <row r="872" spans="1:2" ht="14.5">
      <c r="A872" s="45" t="s">
        <v>1050</v>
      </c>
      <c r="B872" s="46" t="s">
        <v>6752</v>
      </c>
    </row>
    <row r="873" spans="1:2" ht="14.5">
      <c r="A873" s="45" t="s">
        <v>6753</v>
      </c>
      <c r="B873" s="46" t="s">
        <v>6754</v>
      </c>
    </row>
    <row r="874" spans="1:2" ht="14.5">
      <c r="A874" s="45" t="s">
        <v>3179</v>
      </c>
      <c r="B874" s="46" t="s">
        <v>6755</v>
      </c>
    </row>
    <row r="875" spans="1:2" ht="14.5">
      <c r="A875" s="45" t="s">
        <v>4221</v>
      </c>
      <c r="B875" s="46" t="s">
        <v>6756</v>
      </c>
    </row>
    <row r="876" spans="1:2" ht="14.5">
      <c r="A876" s="45" t="s">
        <v>6757</v>
      </c>
      <c r="B876" s="46" t="s">
        <v>6758</v>
      </c>
    </row>
    <row r="877" spans="1:2" ht="14.5">
      <c r="A877" s="45" t="s">
        <v>6759</v>
      </c>
      <c r="B877" s="46" t="s">
        <v>6760</v>
      </c>
    </row>
    <row r="878" spans="1:2" ht="14.5">
      <c r="A878" s="45" t="s">
        <v>6761</v>
      </c>
      <c r="B878" s="46" t="s">
        <v>6762</v>
      </c>
    </row>
    <row r="879" spans="1:2" ht="14.5">
      <c r="A879" s="45" t="s">
        <v>4795</v>
      </c>
      <c r="B879" s="46" t="s">
        <v>6763</v>
      </c>
    </row>
    <row r="880" spans="1:2" ht="14.5">
      <c r="A880" s="45" t="s">
        <v>2386</v>
      </c>
      <c r="B880" s="46" t="s">
        <v>6764</v>
      </c>
    </row>
    <row r="881" spans="1:2" ht="14.5">
      <c r="A881" s="45" t="s">
        <v>4815</v>
      </c>
      <c r="B881" s="46" t="s">
        <v>6765</v>
      </c>
    </row>
    <row r="882" spans="1:2" ht="14.5">
      <c r="A882" s="45" t="s">
        <v>3257</v>
      </c>
      <c r="B882" s="46" t="s">
        <v>6766</v>
      </c>
    </row>
    <row r="883" spans="1:2" ht="14.5">
      <c r="A883" s="45" t="s">
        <v>4414</v>
      </c>
      <c r="B883" s="46" t="s">
        <v>6767</v>
      </c>
    </row>
    <row r="884" spans="1:2" ht="14.5">
      <c r="A884" s="45" t="s">
        <v>6768</v>
      </c>
      <c r="B884" s="46" t="s">
        <v>6769</v>
      </c>
    </row>
    <row r="885" spans="1:2" ht="14.5">
      <c r="A885" s="45" t="s">
        <v>6770</v>
      </c>
      <c r="B885" s="46" t="s">
        <v>6771</v>
      </c>
    </row>
    <row r="886" spans="1:2" ht="14.5">
      <c r="A886" s="45" t="s">
        <v>6772</v>
      </c>
      <c r="B886" s="46" t="s">
        <v>6773</v>
      </c>
    </row>
    <row r="887" spans="1:2" ht="14.5">
      <c r="A887" s="45" t="s">
        <v>3272</v>
      </c>
      <c r="B887" s="46" t="s">
        <v>6774</v>
      </c>
    </row>
    <row r="888" spans="1:2" ht="14.5">
      <c r="A888" s="45" t="s">
        <v>240</v>
      </c>
      <c r="B888" s="46" t="s">
        <v>6775</v>
      </c>
    </row>
    <row r="889" spans="1:2" ht="14.5">
      <c r="A889" s="45" t="s">
        <v>4968</v>
      </c>
      <c r="B889" s="46" t="s">
        <v>6776</v>
      </c>
    </row>
    <row r="890" spans="1:2" ht="14.5">
      <c r="A890" s="45" t="s">
        <v>4820</v>
      </c>
      <c r="B890" s="46" t="s">
        <v>6777</v>
      </c>
    </row>
    <row r="891" spans="1:2" ht="14.5">
      <c r="A891" s="45" t="s">
        <v>6778</v>
      </c>
      <c r="B891" s="46" t="s">
        <v>6779</v>
      </c>
    </row>
    <row r="892" spans="1:2" ht="14.5">
      <c r="A892" s="45" t="s">
        <v>6780</v>
      </c>
      <c r="B892" s="46" t="s">
        <v>6781</v>
      </c>
    </row>
    <row r="893" spans="1:2" ht="14.5">
      <c r="A893" s="45" t="s">
        <v>6782</v>
      </c>
      <c r="B893" s="46" t="s">
        <v>6783</v>
      </c>
    </row>
    <row r="894" spans="1:2" ht="14.5">
      <c r="A894" s="45" t="s">
        <v>208</v>
      </c>
      <c r="B894" s="46" t="s">
        <v>6784</v>
      </c>
    </row>
    <row r="895" spans="1:2" ht="14.5">
      <c r="A895" s="45" t="s">
        <v>4175</v>
      </c>
      <c r="B895" s="46" t="s">
        <v>6785</v>
      </c>
    </row>
    <row r="896" spans="1:2" ht="14.5">
      <c r="A896" s="45" t="s">
        <v>4170</v>
      </c>
      <c r="B896" s="46" t="s">
        <v>6786</v>
      </c>
    </row>
    <row r="897" spans="1:2" ht="14.5">
      <c r="A897" s="45" t="s">
        <v>4255</v>
      </c>
      <c r="B897" s="46" t="s">
        <v>6787</v>
      </c>
    </row>
    <row r="898" spans="1:2" ht="14.5">
      <c r="A898" s="45" t="s">
        <v>4789</v>
      </c>
      <c r="B898" s="46" t="s">
        <v>6788</v>
      </c>
    </row>
    <row r="899" spans="1:2" ht="14.5">
      <c r="A899" s="45" t="s">
        <v>6789</v>
      </c>
      <c r="B899" s="46" t="s">
        <v>6790</v>
      </c>
    </row>
    <row r="900" spans="1:2" ht="14.5">
      <c r="A900" s="45" t="s">
        <v>6791</v>
      </c>
      <c r="B900" s="46" t="s">
        <v>6792</v>
      </c>
    </row>
    <row r="901" spans="1:2" ht="14.5">
      <c r="A901" s="45" t="s">
        <v>4281</v>
      </c>
      <c r="B901" s="46" t="s">
        <v>6793</v>
      </c>
    </row>
    <row r="902" spans="1:2" ht="14.5">
      <c r="A902" s="45" t="s">
        <v>6794</v>
      </c>
      <c r="B902" s="46" t="s">
        <v>6795</v>
      </c>
    </row>
    <row r="903" spans="1:2" ht="14.5">
      <c r="A903" s="45" t="s">
        <v>4203</v>
      </c>
      <c r="B903" s="46" t="s">
        <v>6796</v>
      </c>
    </row>
    <row r="904" spans="1:2" ht="14.5">
      <c r="A904" s="45" t="s">
        <v>6797</v>
      </c>
      <c r="B904" s="46" t="s">
        <v>6798</v>
      </c>
    </row>
    <row r="905" spans="1:2" ht="14.5">
      <c r="A905" s="45" t="s">
        <v>6799</v>
      </c>
      <c r="B905" s="46" t="s">
        <v>6800</v>
      </c>
    </row>
    <row r="906" spans="1:2" ht="14.5">
      <c r="A906" s="45" t="s">
        <v>4824</v>
      </c>
      <c r="B906" s="46" t="s">
        <v>6801</v>
      </c>
    </row>
    <row r="907" spans="1:2" ht="14.5">
      <c r="A907" s="45" t="s">
        <v>3511</v>
      </c>
      <c r="B907" s="46" t="s">
        <v>6802</v>
      </c>
    </row>
    <row r="908" spans="1:2" ht="14.5">
      <c r="A908" s="45" t="s">
        <v>6803</v>
      </c>
      <c r="B908" s="46" t="s">
        <v>6804</v>
      </c>
    </row>
    <row r="909" spans="1:2" ht="14.5">
      <c r="A909" s="45" t="s">
        <v>2175</v>
      </c>
      <c r="B909" s="46" t="s">
        <v>6805</v>
      </c>
    </row>
    <row r="910" spans="1:2" ht="14.5">
      <c r="A910" s="45" t="s">
        <v>2693</v>
      </c>
      <c r="B910" s="46" t="s">
        <v>6806</v>
      </c>
    </row>
    <row r="911" spans="1:2" ht="14.5">
      <c r="A911" s="45" t="s">
        <v>6807</v>
      </c>
      <c r="B911" s="46" t="s">
        <v>6808</v>
      </c>
    </row>
    <row r="912" spans="1:2" ht="14.5">
      <c r="A912" s="45" t="s">
        <v>6809</v>
      </c>
      <c r="B912" s="46" t="s">
        <v>6810</v>
      </c>
    </row>
    <row r="913" spans="1:2" ht="14.5">
      <c r="A913" s="45" t="s">
        <v>6811</v>
      </c>
      <c r="B913" s="46" t="s">
        <v>6812</v>
      </c>
    </row>
    <row r="914" spans="1:2" ht="14.5">
      <c r="A914" s="45" t="s">
        <v>6813</v>
      </c>
      <c r="B914" s="46" t="s">
        <v>6814</v>
      </c>
    </row>
    <row r="915" spans="1:2" ht="14.5">
      <c r="A915" s="45" t="s">
        <v>6815</v>
      </c>
      <c r="B915" s="46" t="s">
        <v>6816</v>
      </c>
    </row>
    <row r="916" spans="1:2" ht="14.5">
      <c r="A916" s="45" t="s">
        <v>4831</v>
      </c>
      <c r="B916" s="46" t="s">
        <v>6817</v>
      </c>
    </row>
    <row r="917" spans="1:2" ht="14.5">
      <c r="A917" s="45" t="s">
        <v>6818</v>
      </c>
      <c r="B917" s="46" t="s">
        <v>6819</v>
      </c>
    </row>
    <row r="918" spans="1:2" ht="14.5">
      <c r="A918" s="45" t="s">
        <v>892</v>
      </c>
      <c r="B918" s="46" t="s">
        <v>6820</v>
      </c>
    </row>
    <row r="919" spans="1:2" ht="14.5">
      <c r="A919" s="45" t="s">
        <v>4464</v>
      </c>
      <c r="B919" s="46" t="s">
        <v>6821</v>
      </c>
    </row>
    <row r="920" spans="1:2" ht="14.5">
      <c r="A920" s="45" t="s">
        <v>6822</v>
      </c>
      <c r="B920" s="46" t="s">
        <v>6823</v>
      </c>
    </row>
    <row r="921" spans="1:2" ht="14.5">
      <c r="A921" s="45" t="s">
        <v>4934</v>
      </c>
      <c r="B921" s="46" t="s">
        <v>6824</v>
      </c>
    </row>
    <row r="922" spans="1:2" ht="14.5">
      <c r="A922" s="45" t="s">
        <v>4059</v>
      </c>
      <c r="B922" s="46" t="s">
        <v>6825</v>
      </c>
    </row>
    <row r="923" spans="1:2" ht="14.5">
      <c r="A923" s="45" t="s">
        <v>4713</v>
      </c>
      <c r="B923" s="46" t="s">
        <v>6826</v>
      </c>
    </row>
    <row r="924" spans="1:2" ht="14.5">
      <c r="A924" s="45" t="s">
        <v>6827</v>
      </c>
      <c r="B924" s="46" t="s">
        <v>6828</v>
      </c>
    </row>
    <row r="925" spans="1:2" ht="14.5">
      <c r="A925" s="45" t="s">
        <v>6829</v>
      </c>
      <c r="B925" s="46" t="s">
        <v>6830</v>
      </c>
    </row>
    <row r="926" spans="1:2" ht="14.5">
      <c r="A926" s="45" t="s">
        <v>6831</v>
      </c>
      <c r="B926" s="46" t="s">
        <v>6832</v>
      </c>
    </row>
    <row r="927" spans="1:2" ht="14.5">
      <c r="A927" s="45" t="s">
        <v>6833</v>
      </c>
      <c r="B927" s="46" t="s">
        <v>6834</v>
      </c>
    </row>
    <row r="928" spans="1:2" ht="14.5">
      <c r="A928" s="45" t="s">
        <v>6835</v>
      </c>
      <c r="B928" s="46" t="s">
        <v>6836</v>
      </c>
    </row>
    <row r="929" spans="1:2" ht="14.5">
      <c r="A929" s="45" t="s">
        <v>6837</v>
      </c>
      <c r="B929" s="46" t="s">
        <v>6838</v>
      </c>
    </row>
    <row r="930" spans="1:2" ht="14.5">
      <c r="A930" s="45" t="s">
        <v>2238</v>
      </c>
      <c r="B930" s="46" t="s">
        <v>6839</v>
      </c>
    </row>
    <row r="931" spans="1:2" ht="14.5">
      <c r="A931" s="45" t="s">
        <v>6840</v>
      </c>
      <c r="B931" s="46" t="s">
        <v>6841</v>
      </c>
    </row>
    <row r="932" spans="1:2" ht="14.5">
      <c r="A932" s="45" t="s">
        <v>4581</v>
      </c>
      <c r="B932" s="46" t="s">
        <v>6842</v>
      </c>
    </row>
    <row r="933" spans="1:2" ht="14.5">
      <c r="A933" s="45" t="s">
        <v>4722</v>
      </c>
      <c r="B933" s="46" t="s">
        <v>6843</v>
      </c>
    </row>
    <row r="934" spans="1:2" ht="14.5">
      <c r="A934" s="45" t="s">
        <v>4334</v>
      </c>
      <c r="B934" s="46" t="s">
        <v>6844</v>
      </c>
    </row>
    <row r="935" spans="1:2" ht="14.5">
      <c r="A935" s="45" t="s">
        <v>6845</v>
      </c>
      <c r="B935" s="46" t="s">
        <v>6846</v>
      </c>
    </row>
    <row r="936" spans="1:2" ht="14.5">
      <c r="A936" s="45" t="s">
        <v>6847</v>
      </c>
      <c r="B936" s="46" t="s">
        <v>6848</v>
      </c>
    </row>
    <row r="937" spans="1:2" ht="14.5">
      <c r="A937" s="45" t="s">
        <v>6849</v>
      </c>
      <c r="B937" s="46" t="s">
        <v>6850</v>
      </c>
    </row>
    <row r="938" spans="1:2" ht="14.5">
      <c r="A938" s="45" t="s">
        <v>6851</v>
      </c>
      <c r="B938" s="46" t="s">
        <v>6852</v>
      </c>
    </row>
    <row r="939" spans="1:2" ht="14.5">
      <c r="A939" s="45" t="s">
        <v>4641</v>
      </c>
      <c r="B939" s="46" t="s">
        <v>6853</v>
      </c>
    </row>
    <row r="940" spans="1:2" ht="14.5">
      <c r="A940" s="45" t="s">
        <v>4411</v>
      </c>
      <c r="B940" s="46" t="s">
        <v>6854</v>
      </c>
    </row>
    <row r="941" spans="1:2" ht="14.5">
      <c r="A941" s="45" t="s">
        <v>6855</v>
      </c>
      <c r="B941" s="46" t="s">
        <v>6856</v>
      </c>
    </row>
    <row r="942" spans="1:2" ht="14.5">
      <c r="A942" s="45" t="s">
        <v>6857</v>
      </c>
      <c r="B942" s="46" t="s">
        <v>6858</v>
      </c>
    </row>
    <row r="943" spans="1:2" ht="14.5">
      <c r="A943" s="45" t="s">
        <v>6859</v>
      </c>
      <c r="B943" s="46" t="s">
        <v>6860</v>
      </c>
    </row>
    <row r="944" spans="1:2" ht="14.5">
      <c r="A944" s="45" t="s">
        <v>6861</v>
      </c>
      <c r="B944" s="46" t="s">
        <v>6862</v>
      </c>
    </row>
    <row r="945" spans="1:2" ht="14.5">
      <c r="A945" s="45" t="s">
        <v>6863</v>
      </c>
      <c r="B945" s="46" t="s">
        <v>6864</v>
      </c>
    </row>
    <row r="946" spans="1:2" ht="14.5">
      <c r="A946" s="45" t="s">
        <v>4648</v>
      </c>
      <c r="B946" s="46" t="s">
        <v>6865</v>
      </c>
    </row>
    <row r="947" spans="1:2" ht="14.5">
      <c r="A947" s="45" t="s">
        <v>6866</v>
      </c>
      <c r="B947" s="46" t="s">
        <v>6867</v>
      </c>
    </row>
    <row r="948" spans="1:2" ht="14.5">
      <c r="A948" s="45" t="s">
        <v>6868</v>
      </c>
      <c r="B948" s="46" t="s">
        <v>6869</v>
      </c>
    </row>
    <row r="949" spans="1:2" ht="14.5">
      <c r="A949" s="45" t="s">
        <v>4176</v>
      </c>
      <c r="B949" s="46" t="s">
        <v>6870</v>
      </c>
    </row>
    <row r="950" spans="1:2" ht="14.5">
      <c r="A950" s="45" t="s">
        <v>6871</v>
      </c>
      <c r="B950" s="46" t="s">
        <v>6872</v>
      </c>
    </row>
    <row r="951" spans="1:2" ht="14.5">
      <c r="A951" s="45" t="s">
        <v>6873</v>
      </c>
      <c r="B951" s="46" t="s">
        <v>6874</v>
      </c>
    </row>
    <row r="952" spans="1:2" ht="14.5">
      <c r="A952" s="45" t="s">
        <v>4844</v>
      </c>
      <c r="B952" s="46" t="s">
        <v>6875</v>
      </c>
    </row>
    <row r="953" spans="1:2" ht="14.5">
      <c r="A953" s="45" t="s">
        <v>4385</v>
      </c>
      <c r="B953" s="46" t="s">
        <v>6876</v>
      </c>
    </row>
    <row r="954" spans="1:2" ht="14.5">
      <c r="A954" s="45" t="s">
        <v>6877</v>
      </c>
      <c r="B954" s="46" t="s">
        <v>6878</v>
      </c>
    </row>
    <row r="955" spans="1:2" ht="14.5">
      <c r="A955" s="45" t="s">
        <v>4823</v>
      </c>
      <c r="B955" s="46" t="s">
        <v>6879</v>
      </c>
    </row>
    <row r="956" spans="1:2" ht="14.5">
      <c r="A956" s="45" t="s">
        <v>4951</v>
      </c>
      <c r="B956" s="46" t="s">
        <v>6880</v>
      </c>
    </row>
    <row r="957" spans="1:2" ht="14.5">
      <c r="A957" s="45" t="s">
        <v>2691</v>
      </c>
      <c r="B957" s="46" t="s">
        <v>6881</v>
      </c>
    </row>
    <row r="958" spans="1:2" ht="14.5">
      <c r="A958" s="45" t="s">
        <v>6882</v>
      </c>
      <c r="B958" s="46" t="s">
        <v>6883</v>
      </c>
    </row>
    <row r="959" spans="1:2" ht="14.5">
      <c r="A959" s="45" t="s">
        <v>4269</v>
      </c>
      <c r="B959" s="46" t="s">
        <v>6884</v>
      </c>
    </row>
    <row r="960" spans="1:2" ht="14.5">
      <c r="A960" s="45" t="s">
        <v>4368</v>
      </c>
      <c r="B960" s="46" t="s">
        <v>6885</v>
      </c>
    </row>
    <row r="961" spans="1:2" ht="14.5">
      <c r="A961" s="45" t="s">
        <v>1471</v>
      </c>
      <c r="B961" s="46" t="s">
        <v>6886</v>
      </c>
    </row>
    <row r="962" spans="1:2" ht="14.5">
      <c r="A962" s="45" t="s">
        <v>3199</v>
      </c>
      <c r="B962" s="46" t="s">
        <v>6887</v>
      </c>
    </row>
    <row r="963" spans="1:2" ht="14.5">
      <c r="A963" s="45" t="s">
        <v>4813</v>
      </c>
      <c r="B963" s="46" t="s">
        <v>6888</v>
      </c>
    </row>
    <row r="964" spans="1:2" ht="14.5">
      <c r="A964" s="45" t="s">
        <v>6889</v>
      </c>
      <c r="B964" s="46" t="s">
        <v>6890</v>
      </c>
    </row>
    <row r="965" spans="1:2" ht="14.5">
      <c r="A965" s="45" t="s">
        <v>6891</v>
      </c>
      <c r="B965" s="46" t="s">
        <v>6892</v>
      </c>
    </row>
    <row r="966" spans="1:2" ht="14.5">
      <c r="A966" s="45" t="s">
        <v>4483</v>
      </c>
      <c r="B966" s="46" t="s">
        <v>6893</v>
      </c>
    </row>
    <row r="967" spans="1:2" ht="14.5">
      <c r="A967" s="45" t="s">
        <v>6894</v>
      </c>
      <c r="B967" s="46" t="s">
        <v>6895</v>
      </c>
    </row>
    <row r="968" spans="1:2" ht="14.5">
      <c r="A968" s="45" t="s">
        <v>1037</v>
      </c>
      <c r="B968" s="46" t="s">
        <v>6896</v>
      </c>
    </row>
    <row r="969" spans="1:2" ht="14.5">
      <c r="A969" s="45" t="s">
        <v>6897</v>
      </c>
      <c r="B969" s="46" t="s">
        <v>6898</v>
      </c>
    </row>
    <row r="970" spans="1:2" ht="14.5">
      <c r="A970" s="45" t="s">
        <v>6899</v>
      </c>
      <c r="B970" s="46" t="s">
        <v>6900</v>
      </c>
    </row>
    <row r="971" spans="1:2" ht="14.5">
      <c r="A971" s="45" t="s">
        <v>6901</v>
      </c>
      <c r="B971" s="46" t="s">
        <v>6902</v>
      </c>
    </row>
    <row r="972" spans="1:2" ht="14.5">
      <c r="A972" s="45" t="s">
        <v>4791</v>
      </c>
      <c r="B972" s="46" t="s">
        <v>6903</v>
      </c>
    </row>
    <row r="973" spans="1:2" ht="14.5">
      <c r="A973" s="45" t="s">
        <v>6904</v>
      </c>
      <c r="B973" s="46" t="s">
        <v>6905</v>
      </c>
    </row>
    <row r="974" spans="1:2" ht="14.5">
      <c r="A974" s="45" t="s">
        <v>4792</v>
      </c>
      <c r="B974" s="46" t="s">
        <v>6906</v>
      </c>
    </row>
    <row r="975" spans="1:2" ht="14.5">
      <c r="A975" s="45" t="s">
        <v>6907</v>
      </c>
      <c r="B975" s="46" t="s">
        <v>6908</v>
      </c>
    </row>
    <row r="976" spans="1:2" ht="14.5">
      <c r="A976" s="45" t="s">
        <v>4473</v>
      </c>
      <c r="B976" s="46" t="s">
        <v>6909</v>
      </c>
    </row>
    <row r="977" spans="1:2" ht="14.5">
      <c r="A977" s="45" t="s">
        <v>6910</v>
      </c>
      <c r="B977" s="46" t="s">
        <v>6911</v>
      </c>
    </row>
    <row r="978" spans="1:2" ht="14.5">
      <c r="A978" s="45" t="s">
        <v>4594</v>
      </c>
      <c r="B978" s="46" t="s">
        <v>6912</v>
      </c>
    </row>
    <row r="979" spans="1:2" ht="14.5">
      <c r="A979" s="45" t="s">
        <v>3088</v>
      </c>
      <c r="B979" s="46" t="s">
        <v>6913</v>
      </c>
    </row>
    <row r="980" spans="1:2" ht="14.5">
      <c r="A980" s="45" t="s">
        <v>6914</v>
      </c>
      <c r="B980" s="46" t="s">
        <v>6915</v>
      </c>
    </row>
    <row r="981" spans="1:2" ht="14.5">
      <c r="A981" s="45" t="s">
        <v>6916</v>
      </c>
      <c r="B981" s="46" t="s">
        <v>6917</v>
      </c>
    </row>
    <row r="982" spans="1:2" ht="14.5">
      <c r="A982" s="45" t="s">
        <v>4189</v>
      </c>
      <c r="B982" s="46" t="s">
        <v>6918</v>
      </c>
    </row>
    <row r="983" spans="1:2" ht="14.5">
      <c r="A983" s="45" t="s">
        <v>4357</v>
      </c>
      <c r="B983" s="46" t="s">
        <v>6919</v>
      </c>
    </row>
    <row r="984" spans="1:2" ht="14.5">
      <c r="A984" s="45" t="s">
        <v>6920</v>
      </c>
      <c r="B984" s="46" t="s">
        <v>6921</v>
      </c>
    </row>
    <row r="985" spans="1:2" ht="14.5">
      <c r="A985" s="45" t="s">
        <v>6922</v>
      </c>
      <c r="B985" s="46" t="s">
        <v>6923</v>
      </c>
    </row>
    <row r="986" spans="1:2" ht="14.5">
      <c r="A986" s="45" t="s">
        <v>3100</v>
      </c>
      <c r="B986" s="46" t="s">
        <v>6924</v>
      </c>
    </row>
    <row r="987" spans="1:2" ht="14.5">
      <c r="A987" s="45" t="s">
        <v>6925</v>
      </c>
      <c r="B987" s="46" t="s">
        <v>6926</v>
      </c>
    </row>
    <row r="988" spans="1:2" ht="14.5">
      <c r="A988" s="45" t="s">
        <v>2678</v>
      </c>
      <c r="B988" s="46" t="s">
        <v>6927</v>
      </c>
    </row>
    <row r="989" spans="1:2" ht="14.5">
      <c r="A989" s="45" t="s">
        <v>6928</v>
      </c>
      <c r="B989" s="46" t="s">
        <v>6929</v>
      </c>
    </row>
    <row r="990" spans="1:2" ht="14.5">
      <c r="A990" s="45" t="s">
        <v>4536</v>
      </c>
      <c r="B990" s="46" t="s">
        <v>6930</v>
      </c>
    </row>
    <row r="991" spans="1:2" ht="14.5">
      <c r="A991" s="45" t="s">
        <v>6931</v>
      </c>
      <c r="B991" s="46" t="s">
        <v>6932</v>
      </c>
    </row>
    <row r="992" spans="1:2" ht="14.5">
      <c r="A992" s="45" t="s">
        <v>993</v>
      </c>
      <c r="B992" s="46" t="s">
        <v>6933</v>
      </c>
    </row>
    <row r="993" spans="1:2" ht="14.5">
      <c r="A993" s="45" t="s">
        <v>2975</v>
      </c>
      <c r="B993" s="46" t="s">
        <v>6934</v>
      </c>
    </row>
    <row r="994" spans="1:2" ht="14.5">
      <c r="A994" s="45" t="s">
        <v>898</v>
      </c>
      <c r="B994" s="46" t="s">
        <v>6935</v>
      </c>
    </row>
    <row r="995" spans="1:2" ht="14.5">
      <c r="A995" s="45" t="s">
        <v>1032</v>
      </c>
      <c r="B995" s="46" t="s">
        <v>6936</v>
      </c>
    </row>
    <row r="996" spans="1:2" ht="14.5">
      <c r="A996" s="45" t="s">
        <v>4798</v>
      </c>
      <c r="B996" s="46" t="s">
        <v>6937</v>
      </c>
    </row>
    <row r="997" spans="1:2" ht="14.5">
      <c r="A997" s="45" t="s">
        <v>979</v>
      </c>
      <c r="B997" s="46" t="s">
        <v>6938</v>
      </c>
    </row>
    <row r="998" spans="1:2" ht="14.5">
      <c r="A998" s="45" t="s">
        <v>4920</v>
      </c>
      <c r="B998" s="46" t="s">
        <v>6939</v>
      </c>
    </row>
    <row r="999" spans="1:2" ht="14.5">
      <c r="A999" s="45" t="s">
        <v>2629</v>
      </c>
      <c r="B999" s="46" t="s">
        <v>6940</v>
      </c>
    </row>
    <row r="1000" spans="1:2" ht="14.5">
      <c r="A1000" s="45" t="s">
        <v>3748</v>
      </c>
      <c r="B1000" s="46" t="s">
        <v>6941</v>
      </c>
    </row>
    <row r="1001" spans="1:2" ht="14.5">
      <c r="A1001" s="45" t="s">
        <v>2575</v>
      </c>
      <c r="B1001" s="46" t="s">
        <v>6942</v>
      </c>
    </row>
    <row r="1002" spans="1:2" ht="14.5">
      <c r="A1002" s="45" t="s">
        <v>324</v>
      </c>
      <c r="B1002" s="46" t="s">
        <v>6943</v>
      </c>
    </row>
    <row r="1003" spans="1:2" ht="14.5">
      <c r="A1003" s="45" t="s">
        <v>1056</v>
      </c>
      <c r="B1003" s="46" t="s">
        <v>6944</v>
      </c>
    </row>
    <row r="1004" spans="1:2" ht="14.5">
      <c r="A1004" s="45" t="s">
        <v>6945</v>
      </c>
      <c r="B1004" s="46" t="s">
        <v>6946</v>
      </c>
    </row>
    <row r="1005" spans="1:2" ht="14.5">
      <c r="A1005" s="45" t="s">
        <v>4802</v>
      </c>
      <c r="B1005" s="46" t="s">
        <v>6947</v>
      </c>
    </row>
    <row r="1006" spans="1:2" ht="14.5">
      <c r="A1006" s="45" t="s">
        <v>4859</v>
      </c>
      <c r="B1006" s="46" t="s">
        <v>6948</v>
      </c>
    </row>
    <row r="1007" spans="1:2" ht="14.5">
      <c r="A1007" s="45" t="s">
        <v>3288</v>
      </c>
      <c r="B1007" s="46" t="s">
        <v>6949</v>
      </c>
    </row>
    <row r="1008" spans="1:2" ht="14.5">
      <c r="A1008" s="45" t="s">
        <v>6950</v>
      </c>
      <c r="B1008" s="46" t="s">
        <v>6951</v>
      </c>
    </row>
    <row r="1009" spans="1:2" ht="14.5">
      <c r="A1009" s="45" t="s">
        <v>6952</v>
      </c>
      <c r="B1009" s="46" t="s">
        <v>6953</v>
      </c>
    </row>
    <row r="1010" spans="1:2" ht="14.5">
      <c r="A1010" s="45" t="s">
        <v>6954</v>
      </c>
      <c r="B1010" s="46" t="s">
        <v>6955</v>
      </c>
    </row>
    <row r="1011" spans="1:2" ht="14.5">
      <c r="A1011" s="45" t="s">
        <v>6956</v>
      </c>
      <c r="B1011" s="46" t="s">
        <v>6957</v>
      </c>
    </row>
    <row r="1012" spans="1:2" ht="14.5">
      <c r="A1012" s="45" t="s">
        <v>4719</v>
      </c>
      <c r="B1012" s="46" t="s">
        <v>6958</v>
      </c>
    </row>
    <row r="1013" spans="1:2" ht="14.5">
      <c r="A1013" s="45" t="s">
        <v>6959</v>
      </c>
      <c r="B1013" s="46" t="s">
        <v>6960</v>
      </c>
    </row>
    <row r="1014" spans="1:2" ht="14.5">
      <c r="A1014" s="45" t="s">
        <v>4715</v>
      </c>
      <c r="B1014" s="46" t="s">
        <v>6961</v>
      </c>
    </row>
    <row r="1015" spans="1:2" ht="14.5">
      <c r="A1015" s="45" t="s">
        <v>6962</v>
      </c>
      <c r="B1015" s="46" t="s">
        <v>6963</v>
      </c>
    </row>
    <row r="1016" spans="1:2" ht="14.5">
      <c r="A1016" s="45" t="s">
        <v>6964</v>
      </c>
      <c r="B1016" s="46" t="s">
        <v>6965</v>
      </c>
    </row>
    <row r="1017" spans="1:2" ht="14.5">
      <c r="A1017" s="45" t="s">
        <v>4899</v>
      </c>
      <c r="B1017" s="46" t="s">
        <v>6966</v>
      </c>
    </row>
    <row r="1018" spans="1:2" ht="14.5">
      <c r="A1018" s="45" t="s">
        <v>6967</v>
      </c>
      <c r="B1018" s="46" t="s">
        <v>6968</v>
      </c>
    </row>
    <row r="1019" spans="1:2" ht="14.5">
      <c r="A1019" s="45" t="s">
        <v>6969</v>
      </c>
      <c r="B1019" s="46" t="s">
        <v>6970</v>
      </c>
    </row>
    <row r="1020" spans="1:2" ht="14.5">
      <c r="A1020" s="45" t="s">
        <v>6971</v>
      </c>
      <c r="B1020" s="46" t="s">
        <v>6972</v>
      </c>
    </row>
    <row r="1021" spans="1:2" ht="14.5">
      <c r="A1021" s="45" t="s">
        <v>6973</v>
      </c>
      <c r="B1021" s="46" t="s">
        <v>6974</v>
      </c>
    </row>
    <row r="1022" spans="1:2" ht="14.5">
      <c r="A1022" s="45" t="s">
        <v>6975</v>
      </c>
      <c r="B1022" s="46" t="s">
        <v>6976</v>
      </c>
    </row>
    <row r="1023" spans="1:2" ht="14.5">
      <c r="A1023" s="45" t="s">
        <v>6977</v>
      </c>
      <c r="B1023" s="46" t="s">
        <v>6978</v>
      </c>
    </row>
    <row r="1024" spans="1:2" ht="14.5">
      <c r="A1024" s="45" t="s">
        <v>6979</v>
      </c>
      <c r="B1024" s="46" t="s">
        <v>6980</v>
      </c>
    </row>
    <row r="1025" spans="1:2" ht="14.5">
      <c r="A1025" s="45" t="s">
        <v>4340</v>
      </c>
      <c r="B1025" s="46" t="s">
        <v>6981</v>
      </c>
    </row>
    <row r="1026" spans="1:2" ht="14.5">
      <c r="A1026" s="45" t="s">
        <v>4498</v>
      </c>
      <c r="B1026" s="46" t="s">
        <v>6982</v>
      </c>
    </row>
    <row r="1027" spans="1:2" ht="14.5">
      <c r="A1027" s="45" t="s">
        <v>6983</v>
      </c>
      <c r="B1027" s="46" t="s">
        <v>6984</v>
      </c>
    </row>
    <row r="1028" spans="1:2" ht="14.5">
      <c r="A1028" s="45" t="s">
        <v>6985</v>
      </c>
      <c r="B1028" s="46" t="s">
        <v>6986</v>
      </c>
    </row>
    <row r="1029" spans="1:2" ht="14.5">
      <c r="A1029" s="45" t="s">
        <v>6987</v>
      </c>
      <c r="B1029" s="46" t="s">
        <v>6988</v>
      </c>
    </row>
    <row r="1030" spans="1:2" ht="14.5">
      <c r="A1030" s="45" t="s">
        <v>6989</v>
      </c>
      <c r="B1030" s="46" t="s">
        <v>6990</v>
      </c>
    </row>
    <row r="1031" spans="1:2" ht="14.5">
      <c r="A1031" s="45" t="s">
        <v>4051</v>
      </c>
      <c r="B1031" s="46" t="s">
        <v>6991</v>
      </c>
    </row>
    <row r="1032" spans="1:2" ht="14.5">
      <c r="A1032" s="45" t="s">
        <v>6992</v>
      </c>
      <c r="B1032" s="46" t="s">
        <v>6993</v>
      </c>
    </row>
    <row r="1033" spans="1:2" ht="14.5">
      <c r="A1033" s="45" t="s">
        <v>6994</v>
      </c>
      <c r="B1033" s="46" t="s">
        <v>6995</v>
      </c>
    </row>
    <row r="1034" spans="1:2" ht="14.5">
      <c r="A1034" s="45" t="s">
        <v>6996</v>
      </c>
      <c r="B1034" s="46" t="s">
        <v>6997</v>
      </c>
    </row>
    <row r="1035" spans="1:2" ht="14.5">
      <c r="A1035" s="45" t="s">
        <v>4624</v>
      </c>
      <c r="B1035" s="46" t="s">
        <v>6998</v>
      </c>
    </row>
    <row r="1036" spans="1:2" ht="14.5">
      <c r="A1036" s="45" t="s">
        <v>6999</v>
      </c>
      <c r="B1036" s="46" t="s">
        <v>7000</v>
      </c>
    </row>
    <row r="1037" spans="1:2" ht="14.5">
      <c r="A1037" s="45" t="s">
        <v>7001</v>
      </c>
      <c r="B1037" s="46" t="s">
        <v>7002</v>
      </c>
    </row>
    <row r="1038" spans="1:2" ht="14.5">
      <c r="A1038" s="45" t="s">
        <v>7003</v>
      </c>
      <c r="B1038" s="46" t="s">
        <v>7004</v>
      </c>
    </row>
    <row r="1039" spans="1:2" ht="14.5">
      <c r="A1039" s="45" t="s">
        <v>4396</v>
      </c>
      <c r="B1039" s="46" t="s">
        <v>7005</v>
      </c>
    </row>
    <row r="1040" spans="1:2" ht="14.5">
      <c r="A1040" s="45" t="s">
        <v>7006</v>
      </c>
      <c r="B1040" s="46" t="s">
        <v>7007</v>
      </c>
    </row>
    <row r="1041" spans="1:2" ht="14.5">
      <c r="A1041" s="45" t="s">
        <v>7008</v>
      </c>
      <c r="B1041" s="46" t="s">
        <v>7009</v>
      </c>
    </row>
    <row r="1042" spans="1:2" ht="14.5">
      <c r="A1042" s="45" t="s">
        <v>7010</v>
      </c>
      <c r="B1042" s="46" t="s">
        <v>7011</v>
      </c>
    </row>
    <row r="1043" spans="1:2" ht="14.5">
      <c r="A1043" s="45" t="s">
        <v>4450</v>
      </c>
      <c r="B1043" s="46" t="s">
        <v>7012</v>
      </c>
    </row>
    <row r="1044" spans="1:2" ht="14.5">
      <c r="A1044" s="45" t="s">
        <v>7013</v>
      </c>
      <c r="B1044" s="46" t="s">
        <v>7014</v>
      </c>
    </row>
    <row r="1045" spans="1:2" ht="14.5">
      <c r="A1045" s="45" t="s">
        <v>7015</v>
      </c>
      <c r="B1045" s="46" t="s">
        <v>7016</v>
      </c>
    </row>
    <row r="1046" spans="1:2" ht="14.5">
      <c r="A1046" s="45" t="s">
        <v>7017</v>
      </c>
      <c r="B1046" s="46" t="s">
        <v>7018</v>
      </c>
    </row>
    <row r="1047" spans="1:2" ht="14.5">
      <c r="A1047" s="45" t="s">
        <v>7019</v>
      </c>
      <c r="B1047" s="46" t="s">
        <v>7020</v>
      </c>
    </row>
    <row r="1048" spans="1:2" ht="14.5">
      <c r="A1048" s="45" t="s">
        <v>4209</v>
      </c>
      <c r="B1048" s="46" t="s">
        <v>7021</v>
      </c>
    </row>
    <row r="1049" spans="1:2" ht="14.5">
      <c r="A1049" s="45" t="s">
        <v>7022</v>
      </c>
      <c r="B1049" s="46" t="s">
        <v>7023</v>
      </c>
    </row>
    <row r="1050" spans="1:2" ht="14.5">
      <c r="A1050" s="45" t="s">
        <v>7024</v>
      </c>
      <c r="B1050" s="46" t="s">
        <v>7025</v>
      </c>
    </row>
    <row r="1051" spans="1:2" ht="14.5">
      <c r="A1051" s="45" t="s">
        <v>7026</v>
      </c>
      <c r="B1051" s="46" t="s">
        <v>7027</v>
      </c>
    </row>
    <row r="1052" spans="1:2" ht="14.5">
      <c r="A1052" s="45" t="s">
        <v>4167</v>
      </c>
      <c r="B1052" s="46" t="s">
        <v>7028</v>
      </c>
    </row>
    <row r="1053" spans="1:2" ht="14.5">
      <c r="A1053" s="45" t="s">
        <v>7029</v>
      </c>
      <c r="B1053" s="46" t="s">
        <v>7030</v>
      </c>
    </row>
    <row r="1054" spans="1:2" ht="14.5">
      <c r="A1054" s="45" t="s">
        <v>7031</v>
      </c>
      <c r="B1054" s="46" t="s">
        <v>7032</v>
      </c>
    </row>
    <row r="1055" spans="1:2" ht="14.5">
      <c r="A1055" s="45" t="s">
        <v>7033</v>
      </c>
      <c r="B1055" s="46" t="s">
        <v>7034</v>
      </c>
    </row>
    <row r="1056" spans="1:2" ht="14.5">
      <c r="A1056" s="45" t="s">
        <v>4697</v>
      </c>
      <c r="B1056" s="46" t="s">
        <v>7035</v>
      </c>
    </row>
    <row r="1057" spans="1:2" ht="14.5">
      <c r="A1057" s="45" t="s">
        <v>7036</v>
      </c>
      <c r="B1057" s="46" t="s">
        <v>7037</v>
      </c>
    </row>
    <row r="1058" spans="1:2" ht="14.5">
      <c r="A1058" s="45" t="s">
        <v>7038</v>
      </c>
      <c r="B1058" s="46" t="s">
        <v>7039</v>
      </c>
    </row>
    <row r="1059" spans="1:2" ht="14.5">
      <c r="A1059" s="45" t="s">
        <v>7040</v>
      </c>
      <c r="B1059" s="46" t="s">
        <v>7041</v>
      </c>
    </row>
    <row r="1060" spans="1:2" ht="14.5">
      <c r="A1060" s="45" t="s">
        <v>7042</v>
      </c>
      <c r="B1060" s="46" t="s">
        <v>7043</v>
      </c>
    </row>
    <row r="1061" spans="1:2" ht="14.5">
      <c r="A1061" s="45" t="s">
        <v>7044</v>
      </c>
      <c r="B1061" s="46" t="s">
        <v>7045</v>
      </c>
    </row>
    <row r="1062" spans="1:2" ht="14.5">
      <c r="A1062" s="45" t="s">
        <v>7046</v>
      </c>
      <c r="B1062" s="46" t="s">
        <v>7047</v>
      </c>
    </row>
    <row r="1063" spans="1:2" ht="14.5">
      <c r="A1063" s="45" t="s">
        <v>4490</v>
      </c>
      <c r="B1063" s="46" t="s">
        <v>7048</v>
      </c>
    </row>
    <row r="1064" spans="1:2" ht="14.5">
      <c r="A1064" s="45" t="s">
        <v>7049</v>
      </c>
      <c r="B1064" s="46" t="s">
        <v>7050</v>
      </c>
    </row>
    <row r="1065" spans="1:2" ht="14.5">
      <c r="A1065" s="45" t="s">
        <v>7051</v>
      </c>
      <c r="B1065" s="46" t="s">
        <v>7052</v>
      </c>
    </row>
    <row r="1066" spans="1:2" ht="14.5">
      <c r="A1066" s="45" t="s">
        <v>2503</v>
      </c>
      <c r="B1066" s="46" t="s">
        <v>7053</v>
      </c>
    </row>
    <row r="1067" spans="1:2" ht="14.5">
      <c r="A1067" s="45" t="s">
        <v>7054</v>
      </c>
      <c r="B1067" s="46" t="s">
        <v>7055</v>
      </c>
    </row>
    <row r="1068" spans="1:2" ht="14.5">
      <c r="A1068" s="45" t="s">
        <v>7056</v>
      </c>
      <c r="B1068" s="46" t="s">
        <v>7057</v>
      </c>
    </row>
    <row r="1069" spans="1:2" ht="14.5">
      <c r="A1069" s="45" t="s">
        <v>7058</v>
      </c>
      <c r="B1069" s="46" t="s">
        <v>7059</v>
      </c>
    </row>
    <row r="1070" spans="1:2" ht="14.5">
      <c r="A1070" s="45" t="s">
        <v>7060</v>
      </c>
      <c r="B1070" s="46" t="s">
        <v>7061</v>
      </c>
    </row>
    <row r="1071" spans="1:2" ht="14.5">
      <c r="A1071" s="45" t="s">
        <v>7062</v>
      </c>
      <c r="B1071" s="46" t="s">
        <v>7063</v>
      </c>
    </row>
    <row r="1072" spans="1:2" ht="14.5">
      <c r="A1072" s="45" t="s">
        <v>7064</v>
      </c>
      <c r="B1072" s="46" t="s">
        <v>7065</v>
      </c>
    </row>
    <row r="1073" spans="1:2" ht="14.5">
      <c r="A1073" s="45" t="s">
        <v>4437</v>
      </c>
      <c r="B1073" s="46" t="s">
        <v>7066</v>
      </c>
    </row>
    <row r="1074" spans="1:2" ht="14.5">
      <c r="A1074" s="45" t="s">
        <v>7067</v>
      </c>
      <c r="B1074" s="46" t="s">
        <v>7068</v>
      </c>
    </row>
    <row r="1075" spans="1:2" ht="14.5">
      <c r="A1075" s="45" t="s">
        <v>7069</v>
      </c>
      <c r="B1075" s="46" t="s">
        <v>7070</v>
      </c>
    </row>
    <row r="1076" spans="1:2" ht="14.5">
      <c r="A1076" s="45" t="s">
        <v>7071</v>
      </c>
      <c r="B1076" s="46" t="s">
        <v>7072</v>
      </c>
    </row>
    <row r="1077" spans="1:2" ht="14.5">
      <c r="A1077" s="45" t="s">
        <v>7073</v>
      </c>
      <c r="B1077" s="46" t="s">
        <v>7074</v>
      </c>
    </row>
    <row r="1078" spans="1:2" ht="14.5">
      <c r="A1078" s="45" t="s">
        <v>7075</v>
      </c>
      <c r="B1078" s="46" t="s">
        <v>7076</v>
      </c>
    </row>
    <row r="1079" spans="1:2" ht="14.5">
      <c r="A1079" s="45" t="s">
        <v>7077</v>
      </c>
      <c r="B1079" s="46" t="s">
        <v>7078</v>
      </c>
    </row>
    <row r="1080" spans="1:2" ht="14.5">
      <c r="A1080" s="45" t="s">
        <v>4583</v>
      </c>
      <c r="B1080" s="46" t="s">
        <v>7079</v>
      </c>
    </row>
    <row r="1081" spans="1:2" ht="14.5">
      <c r="A1081" s="45" t="s">
        <v>7080</v>
      </c>
      <c r="B1081" s="46" t="s">
        <v>7081</v>
      </c>
    </row>
    <row r="1082" spans="1:2" ht="14.5">
      <c r="A1082" s="45" t="s">
        <v>4283</v>
      </c>
      <c r="B1082" s="46" t="s">
        <v>7082</v>
      </c>
    </row>
    <row r="1083" spans="1:2" ht="14.5">
      <c r="A1083" s="45" t="s">
        <v>4142</v>
      </c>
      <c r="B1083" s="46" t="s">
        <v>7083</v>
      </c>
    </row>
    <row r="1084" spans="1:2" ht="14.5">
      <c r="A1084" s="45" t="s">
        <v>7084</v>
      </c>
      <c r="B1084" s="46" t="s">
        <v>7085</v>
      </c>
    </row>
    <row r="1085" spans="1:2" ht="14.5">
      <c r="A1085" s="45" t="s">
        <v>4590</v>
      </c>
      <c r="B1085" s="46" t="s">
        <v>7086</v>
      </c>
    </row>
    <row r="1086" spans="1:2" ht="14.5">
      <c r="A1086" s="45" t="s">
        <v>7087</v>
      </c>
      <c r="B1086" s="46" t="s">
        <v>7088</v>
      </c>
    </row>
    <row r="1087" spans="1:2" ht="14.5">
      <c r="A1087" s="45" t="s">
        <v>7089</v>
      </c>
      <c r="B1087" s="46" t="s">
        <v>7090</v>
      </c>
    </row>
    <row r="1088" spans="1:2" ht="14.5">
      <c r="A1088" s="45" t="s">
        <v>7091</v>
      </c>
      <c r="B1088" s="46" t="s">
        <v>7092</v>
      </c>
    </row>
    <row r="1089" spans="1:2" ht="14.5">
      <c r="A1089" s="45" t="s">
        <v>7093</v>
      </c>
      <c r="B1089" s="46" t="s">
        <v>7094</v>
      </c>
    </row>
    <row r="1090" spans="1:2" ht="14.5">
      <c r="A1090" s="45" t="s">
        <v>4602</v>
      </c>
      <c r="B1090" s="46" t="s">
        <v>7095</v>
      </c>
    </row>
    <row r="1091" spans="1:2" ht="14.5">
      <c r="A1091" s="45" t="s">
        <v>7096</v>
      </c>
      <c r="B1091" s="46" t="s">
        <v>7097</v>
      </c>
    </row>
    <row r="1092" spans="1:2" ht="14.5">
      <c r="A1092" s="45" t="s">
        <v>4393</v>
      </c>
      <c r="B1092" s="46" t="s">
        <v>7098</v>
      </c>
    </row>
    <row r="1093" spans="1:2" ht="14.5">
      <c r="A1093" s="45" t="s">
        <v>7099</v>
      </c>
      <c r="B1093" s="46" t="s">
        <v>7100</v>
      </c>
    </row>
    <row r="1094" spans="1:2" ht="14.5">
      <c r="A1094" s="45" t="s">
        <v>7101</v>
      </c>
      <c r="B1094" s="46" t="s">
        <v>7102</v>
      </c>
    </row>
    <row r="1095" spans="1:2" ht="14.5">
      <c r="A1095" s="45" t="s">
        <v>4781</v>
      </c>
      <c r="B1095" s="46" t="s">
        <v>7103</v>
      </c>
    </row>
    <row r="1096" spans="1:2" ht="14.5">
      <c r="A1096" s="45" t="s">
        <v>7104</v>
      </c>
      <c r="B1096" s="46" t="s">
        <v>7105</v>
      </c>
    </row>
    <row r="1097" spans="1:2" ht="14.5">
      <c r="A1097" s="45" t="s">
        <v>4282</v>
      </c>
      <c r="B1097" s="46" t="s">
        <v>7106</v>
      </c>
    </row>
    <row r="1098" spans="1:2" ht="14.5">
      <c r="A1098" s="45" t="s">
        <v>7107</v>
      </c>
      <c r="B1098" s="46" t="s">
        <v>7108</v>
      </c>
    </row>
    <row r="1099" spans="1:2" ht="14.5">
      <c r="A1099" s="45" t="s">
        <v>4704</v>
      </c>
      <c r="B1099" s="46" t="s">
        <v>7109</v>
      </c>
    </row>
    <row r="1100" spans="1:2" ht="14.5">
      <c r="A1100" s="45" t="s">
        <v>7110</v>
      </c>
      <c r="B1100" s="46" t="s">
        <v>7111</v>
      </c>
    </row>
    <row r="1101" spans="1:2" ht="14.5">
      <c r="A1101" s="45" t="s">
        <v>3992</v>
      </c>
      <c r="B1101" s="46" t="s">
        <v>7112</v>
      </c>
    </row>
    <row r="1102" spans="1:2" ht="14.5">
      <c r="A1102" s="45" t="s">
        <v>4864</v>
      </c>
      <c r="B1102" s="46" t="s">
        <v>7113</v>
      </c>
    </row>
    <row r="1103" spans="1:2" ht="14.5">
      <c r="A1103" s="45" t="s">
        <v>7114</v>
      </c>
      <c r="B1103" s="46" t="s">
        <v>7115</v>
      </c>
    </row>
    <row r="1104" spans="1:2" ht="14.5">
      <c r="A1104" s="45" t="s">
        <v>7116</v>
      </c>
      <c r="B1104" s="46" t="s">
        <v>7117</v>
      </c>
    </row>
    <row r="1105" spans="1:2" ht="14.5">
      <c r="A1105" s="45" t="s">
        <v>4698</v>
      </c>
      <c r="B1105" s="46" t="s">
        <v>7118</v>
      </c>
    </row>
    <row r="1106" spans="1:2" ht="14.5">
      <c r="A1106" s="45" t="s">
        <v>7119</v>
      </c>
      <c r="B1106" s="46" t="s">
        <v>7120</v>
      </c>
    </row>
    <row r="1107" spans="1:2" ht="14.5">
      <c r="A1107" s="45" t="s">
        <v>7121</v>
      </c>
      <c r="B1107" s="46" t="s">
        <v>7122</v>
      </c>
    </row>
    <row r="1108" spans="1:2" ht="14.5">
      <c r="A1108" s="45" t="s">
        <v>7123</v>
      </c>
      <c r="B1108" s="46" t="s">
        <v>7124</v>
      </c>
    </row>
    <row r="1109" spans="1:2" ht="14.5">
      <c r="A1109" s="45" t="s">
        <v>7125</v>
      </c>
      <c r="B1109" s="46" t="s">
        <v>7126</v>
      </c>
    </row>
    <row r="1110" spans="1:2" ht="14.5">
      <c r="A1110" s="45" t="s">
        <v>7127</v>
      </c>
      <c r="B1110" s="46" t="s">
        <v>7128</v>
      </c>
    </row>
    <row r="1111" spans="1:2" ht="14.5">
      <c r="A1111" s="45" t="s">
        <v>7129</v>
      </c>
      <c r="B1111" s="46" t="s">
        <v>7130</v>
      </c>
    </row>
    <row r="1112" spans="1:2" ht="14.5">
      <c r="A1112" s="45" t="s">
        <v>4784</v>
      </c>
      <c r="B1112" s="46" t="s">
        <v>7131</v>
      </c>
    </row>
    <row r="1113" spans="1:2" ht="14.5">
      <c r="A1113" s="45" t="s">
        <v>7132</v>
      </c>
      <c r="B1113" s="46" t="s">
        <v>7133</v>
      </c>
    </row>
    <row r="1114" spans="1:2" ht="14.5">
      <c r="A1114" s="45" t="s">
        <v>7134</v>
      </c>
      <c r="B1114" s="46" t="s">
        <v>7135</v>
      </c>
    </row>
    <row r="1115" spans="1:2" ht="14.5">
      <c r="A1115" s="45" t="s">
        <v>4801</v>
      </c>
      <c r="B1115" s="46" t="s">
        <v>7136</v>
      </c>
    </row>
    <row r="1116" spans="1:2" ht="14.5">
      <c r="A1116" s="45" t="s">
        <v>4898</v>
      </c>
      <c r="B1116" s="46" t="s">
        <v>7137</v>
      </c>
    </row>
    <row r="1117" spans="1:2" ht="14.5">
      <c r="A1117" s="45" t="s">
        <v>7138</v>
      </c>
      <c r="B1117" s="46" t="s">
        <v>7139</v>
      </c>
    </row>
    <row r="1118" spans="1:2" ht="14.5">
      <c r="A1118" s="45" t="s">
        <v>2360</v>
      </c>
      <c r="B1118" s="46" t="s">
        <v>7140</v>
      </c>
    </row>
    <row r="1119" spans="1:2" ht="14.5">
      <c r="A1119" s="45" t="s">
        <v>7141</v>
      </c>
      <c r="B1119" s="46" t="s">
        <v>7142</v>
      </c>
    </row>
    <row r="1120" spans="1:2" ht="14.5">
      <c r="A1120" s="45" t="s">
        <v>7143</v>
      </c>
      <c r="B1120" s="46" t="s">
        <v>7144</v>
      </c>
    </row>
    <row r="1121" spans="1:2" ht="14.5">
      <c r="A1121" s="45" t="s">
        <v>7145</v>
      </c>
      <c r="B1121" s="46" t="s">
        <v>7146</v>
      </c>
    </row>
    <row r="1122" spans="1:2" ht="14.5">
      <c r="A1122" s="45" t="s">
        <v>7147</v>
      </c>
      <c r="B1122" s="46" t="s">
        <v>7148</v>
      </c>
    </row>
    <row r="1123" spans="1:2" ht="14.5">
      <c r="A1123" s="45" t="s">
        <v>7149</v>
      </c>
      <c r="B1123" s="46" t="s">
        <v>7150</v>
      </c>
    </row>
    <row r="1124" spans="1:2" ht="14.5">
      <c r="A1124" s="45" t="s">
        <v>7151</v>
      </c>
      <c r="B1124" s="46" t="s">
        <v>7152</v>
      </c>
    </row>
    <row r="1125" spans="1:2" ht="14.5">
      <c r="A1125" s="45" t="s">
        <v>4731</v>
      </c>
      <c r="B1125" s="46" t="s">
        <v>7153</v>
      </c>
    </row>
    <row r="1126" spans="1:2" ht="14.5">
      <c r="A1126" s="45" t="s">
        <v>4927</v>
      </c>
      <c r="B1126" s="46" t="s">
        <v>7154</v>
      </c>
    </row>
    <row r="1127" spans="1:2" ht="14.5">
      <c r="A1127" s="45" t="s">
        <v>4947</v>
      </c>
      <c r="B1127" s="46" t="s">
        <v>7155</v>
      </c>
    </row>
    <row r="1128" spans="1:2" ht="14.5">
      <c r="A1128" s="45" t="s">
        <v>7156</v>
      </c>
      <c r="B1128" s="46" t="s">
        <v>7157</v>
      </c>
    </row>
    <row r="1129" spans="1:2" ht="14.5">
      <c r="A1129" s="45" t="s">
        <v>7158</v>
      </c>
      <c r="B1129" s="46" t="s">
        <v>7159</v>
      </c>
    </row>
    <row r="1130" spans="1:2" ht="14.5">
      <c r="A1130" s="45" t="s">
        <v>7160</v>
      </c>
      <c r="B1130" s="46" t="s">
        <v>7161</v>
      </c>
    </row>
    <row r="1131" spans="1:2" ht="14.5">
      <c r="A1131" s="45" t="s">
        <v>7162</v>
      </c>
      <c r="B1131" s="46" t="s">
        <v>7163</v>
      </c>
    </row>
    <row r="1132" spans="1:2" ht="14.5">
      <c r="A1132" s="45" t="s">
        <v>7164</v>
      </c>
      <c r="B1132" s="46" t="s">
        <v>7165</v>
      </c>
    </row>
    <row r="1133" spans="1:2" ht="14.5">
      <c r="A1133" s="45" t="s">
        <v>7166</v>
      </c>
      <c r="B1133" s="46" t="s">
        <v>7167</v>
      </c>
    </row>
    <row r="1134" spans="1:2" ht="14.5">
      <c r="A1134" s="45" t="s">
        <v>4726</v>
      </c>
      <c r="B1134" s="46" t="s">
        <v>7168</v>
      </c>
    </row>
    <row r="1135" spans="1:2" ht="14.5">
      <c r="A1135" s="45" t="s">
        <v>4922</v>
      </c>
      <c r="B1135" s="46" t="s">
        <v>7169</v>
      </c>
    </row>
    <row r="1136" spans="1:2" ht="14.5">
      <c r="A1136" s="45" t="s">
        <v>7170</v>
      </c>
      <c r="B1136" s="46" t="s">
        <v>7171</v>
      </c>
    </row>
    <row r="1137" spans="1:2" ht="14.5">
      <c r="A1137" s="45" t="s">
        <v>7172</v>
      </c>
      <c r="B1137" s="46" t="s">
        <v>7173</v>
      </c>
    </row>
    <row r="1138" spans="1:2" ht="14.5">
      <c r="A1138" s="45" t="s">
        <v>7174</v>
      </c>
      <c r="B1138" s="46" t="s">
        <v>7175</v>
      </c>
    </row>
    <row r="1139" spans="1:2" ht="14.5">
      <c r="A1139" s="45" t="s">
        <v>7176</v>
      </c>
      <c r="B1139" s="46" t="s">
        <v>7177</v>
      </c>
    </row>
    <row r="1140" spans="1:2" ht="14.5">
      <c r="A1140" s="45" t="s">
        <v>7178</v>
      </c>
      <c r="B1140" s="46" t="s">
        <v>7179</v>
      </c>
    </row>
    <row r="1141" spans="1:2" ht="14.5">
      <c r="A1141" s="45" t="s">
        <v>7180</v>
      </c>
      <c r="B1141" s="46" t="s">
        <v>7181</v>
      </c>
    </row>
    <row r="1142" spans="1:2" ht="14.5">
      <c r="A1142" s="45" t="s">
        <v>7182</v>
      </c>
      <c r="B1142" s="46" t="s">
        <v>7183</v>
      </c>
    </row>
    <row r="1143" spans="1:2" ht="14.5">
      <c r="A1143" s="45" t="s">
        <v>2605</v>
      </c>
      <c r="B1143" s="46" t="s">
        <v>7184</v>
      </c>
    </row>
    <row r="1144" spans="1:2" ht="14.5">
      <c r="A1144" s="45" t="s">
        <v>7185</v>
      </c>
      <c r="B1144" s="46" t="s">
        <v>7186</v>
      </c>
    </row>
    <row r="1145" spans="1:2" ht="14.5">
      <c r="A1145" s="45" t="s">
        <v>7187</v>
      </c>
      <c r="B1145" s="46" t="s">
        <v>7188</v>
      </c>
    </row>
    <row r="1146" spans="1:2" ht="14.5">
      <c r="A1146" s="45" t="s">
        <v>4701</v>
      </c>
      <c r="B1146" s="46" t="s">
        <v>7189</v>
      </c>
    </row>
    <row r="1147" spans="1:2" ht="14.5">
      <c r="A1147" s="45" t="s">
        <v>7190</v>
      </c>
      <c r="B1147" s="46" t="s">
        <v>7191</v>
      </c>
    </row>
    <row r="1148" spans="1:2" ht="14.5">
      <c r="A1148" s="45" t="s">
        <v>4355</v>
      </c>
      <c r="B1148" s="46" t="s">
        <v>7192</v>
      </c>
    </row>
    <row r="1149" spans="1:2" ht="14.5">
      <c r="A1149" s="45" t="s">
        <v>7193</v>
      </c>
      <c r="B1149" s="46" t="s">
        <v>7194</v>
      </c>
    </row>
    <row r="1150" spans="1:2" ht="14.5">
      <c r="A1150" s="45" t="s">
        <v>7195</v>
      </c>
      <c r="B1150" s="46" t="s">
        <v>7196</v>
      </c>
    </row>
    <row r="1151" spans="1:2" ht="14.5">
      <c r="A1151" s="45" t="s">
        <v>4163</v>
      </c>
      <c r="B1151" s="46" t="s">
        <v>7197</v>
      </c>
    </row>
    <row r="1152" spans="1:2" ht="14.5">
      <c r="A1152" s="45" t="s">
        <v>4573</v>
      </c>
      <c r="B1152" s="46" t="s">
        <v>7198</v>
      </c>
    </row>
    <row r="1153" spans="1:2" ht="14.5">
      <c r="A1153" s="45" t="s">
        <v>4447</v>
      </c>
      <c r="B1153" s="46" t="s">
        <v>7199</v>
      </c>
    </row>
    <row r="1154" spans="1:2" ht="14.5">
      <c r="A1154" s="45" t="s">
        <v>7200</v>
      </c>
      <c r="B1154" s="46" t="s">
        <v>7201</v>
      </c>
    </row>
    <row r="1155" spans="1:2" ht="14.5">
      <c r="A1155" s="45" t="s">
        <v>4904</v>
      </c>
      <c r="B1155" s="46" t="s">
        <v>7202</v>
      </c>
    </row>
    <row r="1156" spans="1:2" ht="14.5">
      <c r="A1156" s="45" t="s">
        <v>7203</v>
      </c>
      <c r="B1156" s="46" t="s">
        <v>7204</v>
      </c>
    </row>
    <row r="1157" spans="1:2" ht="14.5">
      <c r="A1157" s="45" t="s">
        <v>7205</v>
      </c>
      <c r="B1157" s="46" t="s">
        <v>7206</v>
      </c>
    </row>
    <row r="1158" spans="1:2" ht="14.5">
      <c r="A1158" s="45" t="s">
        <v>7207</v>
      </c>
      <c r="B1158" s="46" t="s">
        <v>7208</v>
      </c>
    </row>
    <row r="1159" spans="1:2" ht="14.5">
      <c r="A1159" s="45" t="s">
        <v>7209</v>
      </c>
      <c r="B1159" s="46" t="s">
        <v>7210</v>
      </c>
    </row>
    <row r="1160" spans="1:2" ht="14.5">
      <c r="A1160" s="45" t="s">
        <v>7211</v>
      </c>
      <c r="B1160" s="46" t="s">
        <v>7212</v>
      </c>
    </row>
    <row r="1161" spans="1:2" ht="14.5">
      <c r="A1161" s="45" t="s">
        <v>7213</v>
      </c>
      <c r="B1161" s="46" t="s">
        <v>7214</v>
      </c>
    </row>
    <row r="1162" spans="1:2" ht="14.5">
      <c r="A1162" s="45" t="s">
        <v>7215</v>
      </c>
      <c r="B1162" s="46" t="s">
        <v>7216</v>
      </c>
    </row>
    <row r="1163" spans="1:2" ht="14.5">
      <c r="A1163" s="45" t="s">
        <v>4236</v>
      </c>
      <c r="B1163" s="46" t="s">
        <v>7217</v>
      </c>
    </row>
    <row r="1164" spans="1:2" ht="14.5">
      <c r="A1164" s="45" t="s">
        <v>7218</v>
      </c>
      <c r="B1164" s="46" t="s">
        <v>7219</v>
      </c>
    </row>
    <row r="1165" spans="1:2" ht="14.5">
      <c r="A1165" s="45" t="s">
        <v>7220</v>
      </c>
      <c r="B1165" s="46" t="s">
        <v>7221</v>
      </c>
    </row>
    <row r="1166" spans="1:2" ht="14.5">
      <c r="A1166" s="45" t="s">
        <v>7222</v>
      </c>
      <c r="B1166" s="46" t="s">
        <v>7223</v>
      </c>
    </row>
    <row r="1167" spans="1:2" ht="14.5">
      <c r="A1167" s="45" t="s">
        <v>7224</v>
      </c>
      <c r="B1167" s="46" t="s">
        <v>7225</v>
      </c>
    </row>
    <row r="1168" spans="1:2" ht="14.5">
      <c r="A1168" s="45" t="s">
        <v>7226</v>
      </c>
      <c r="B1168" s="46" t="s">
        <v>7227</v>
      </c>
    </row>
    <row r="1169" spans="1:2" ht="14.5">
      <c r="A1169" s="45" t="s">
        <v>4144</v>
      </c>
      <c r="B1169" s="46" t="s">
        <v>7228</v>
      </c>
    </row>
    <row r="1170" spans="1:2" ht="14.5">
      <c r="A1170" s="45" t="s">
        <v>7229</v>
      </c>
      <c r="B1170" s="46" t="s">
        <v>7230</v>
      </c>
    </row>
    <row r="1171" spans="1:2" ht="14.5">
      <c r="A1171" s="45" t="s">
        <v>7231</v>
      </c>
      <c r="B1171" s="46" t="s">
        <v>7232</v>
      </c>
    </row>
    <row r="1172" spans="1:2" ht="14.5">
      <c r="A1172" s="45" t="s">
        <v>7233</v>
      </c>
      <c r="B1172" s="46" t="s">
        <v>7234</v>
      </c>
    </row>
    <row r="1173" spans="1:2" ht="14.5">
      <c r="A1173" s="45" t="s">
        <v>7235</v>
      </c>
      <c r="B1173" s="46" t="s">
        <v>7236</v>
      </c>
    </row>
    <row r="1174" spans="1:2" ht="14.5">
      <c r="A1174" s="45" t="s">
        <v>7237</v>
      </c>
      <c r="B1174" s="46" t="s">
        <v>7238</v>
      </c>
    </row>
    <row r="1175" spans="1:2" ht="14.5">
      <c r="A1175" s="45" t="s">
        <v>4949</v>
      </c>
      <c r="B1175" s="46" t="s">
        <v>7239</v>
      </c>
    </row>
    <row r="1176" spans="1:2" ht="14.5">
      <c r="A1176" s="45" t="s">
        <v>165</v>
      </c>
      <c r="B1176" s="46" t="s">
        <v>7240</v>
      </c>
    </row>
    <row r="1177" spans="1:2" ht="14.5">
      <c r="A1177" s="45" t="s">
        <v>4620</v>
      </c>
      <c r="B1177" s="46" t="s">
        <v>7241</v>
      </c>
    </row>
    <row r="1178" spans="1:2" ht="14.5">
      <c r="A1178" s="45" t="s">
        <v>7242</v>
      </c>
      <c r="B1178" s="46" t="s">
        <v>7243</v>
      </c>
    </row>
    <row r="1179" spans="1:2" ht="14.5">
      <c r="A1179" s="45" t="s">
        <v>7244</v>
      </c>
      <c r="B1179" s="46" t="s">
        <v>7245</v>
      </c>
    </row>
    <row r="1180" spans="1:2" ht="14.5">
      <c r="A1180" s="45" t="s">
        <v>2426</v>
      </c>
      <c r="B1180" s="46" t="s">
        <v>7246</v>
      </c>
    </row>
    <row r="1181" spans="1:2" ht="14.5">
      <c r="A1181" s="45" t="s">
        <v>7247</v>
      </c>
      <c r="B1181" s="46" t="s">
        <v>7248</v>
      </c>
    </row>
    <row r="1182" spans="1:2" ht="14.5">
      <c r="A1182" s="45" t="s">
        <v>7249</v>
      </c>
      <c r="B1182" s="46" t="s">
        <v>7250</v>
      </c>
    </row>
    <row r="1183" spans="1:2" ht="14.5">
      <c r="A1183" s="45" t="s">
        <v>7251</v>
      </c>
      <c r="B1183" s="46" t="s">
        <v>7252</v>
      </c>
    </row>
    <row r="1184" spans="1:2" ht="14.5">
      <c r="A1184" s="45" t="s">
        <v>7253</v>
      </c>
      <c r="B1184" s="46" t="s">
        <v>7254</v>
      </c>
    </row>
    <row r="1185" spans="1:2" ht="14.5">
      <c r="A1185" s="45" t="s">
        <v>7255</v>
      </c>
      <c r="B1185" s="46" t="s">
        <v>7256</v>
      </c>
    </row>
    <row r="1186" spans="1:2" ht="14.5">
      <c r="A1186" s="45" t="s">
        <v>7257</v>
      </c>
      <c r="B1186" s="46" t="s">
        <v>7258</v>
      </c>
    </row>
    <row r="1187" spans="1:2" ht="14.5">
      <c r="A1187" s="45" t="s">
        <v>7259</v>
      </c>
      <c r="B1187" s="46" t="s">
        <v>7260</v>
      </c>
    </row>
    <row r="1188" spans="1:2" ht="14.5">
      <c r="A1188" s="45" t="s">
        <v>7261</v>
      </c>
      <c r="B1188" s="46" t="s">
        <v>7262</v>
      </c>
    </row>
    <row r="1189" spans="1:2" ht="14.5">
      <c r="A1189" s="45" t="s">
        <v>2717</v>
      </c>
      <c r="B1189" s="46" t="s">
        <v>7263</v>
      </c>
    </row>
    <row r="1190" spans="1:2" ht="14.5">
      <c r="A1190" s="45" t="s">
        <v>4866</v>
      </c>
      <c r="B1190" s="46" t="s">
        <v>7264</v>
      </c>
    </row>
    <row r="1191" spans="1:2" ht="14.5">
      <c r="A1191" s="45" t="s">
        <v>7265</v>
      </c>
      <c r="B1191" s="46" t="s">
        <v>7266</v>
      </c>
    </row>
    <row r="1192" spans="1:2" ht="14.5">
      <c r="A1192" s="45" t="s">
        <v>3640</v>
      </c>
      <c r="B1192" s="46" t="s">
        <v>7267</v>
      </c>
    </row>
    <row r="1193" spans="1:2" ht="14.5">
      <c r="A1193" s="45" t="s">
        <v>7268</v>
      </c>
      <c r="B1193" s="46" t="s">
        <v>7269</v>
      </c>
    </row>
    <row r="1194" spans="1:2" ht="14.5">
      <c r="A1194" s="45" t="s">
        <v>7270</v>
      </c>
      <c r="B1194" s="46" t="s">
        <v>7271</v>
      </c>
    </row>
    <row r="1195" spans="1:2" ht="14.5">
      <c r="A1195" s="45" t="s">
        <v>7272</v>
      </c>
      <c r="B1195" s="46" t="s">
        <v>7273</v>
      </c>
    </row>
    <row r="1196" spans="1:2" ht="14.5">
      <c r="A1196" s="45" t="s">
        <v>4745</v>
      </c>
      <c r="B1196" s="46" t="s">
        <v>7274</v>
      </c>
    </row>
    <row r="1197" spans="1:2" ht="14.5">
      <c r="A1197" s="45" t="s">
        <v>7275</v>
      </c>
      <c r="B1197" s="46" t="s">
        <v>7276</v>
      </c>
    </row>
    <row r="1198" spans="1:2" ht="14.5">
      <c r="A1198" s="45" t="s">
        <v>7277</v>
      </c>
      <c r="B1198" s="46" t="s">
        <v>7278</v>
      </c>
    </row>
    <row r="1199" spans="1:2" ht="14.5">
      <c r="A1199" s="45" t="s">
        <v>7279</v>
      </c>
      <c r="B1199" s="46" t="s">
        <v>7280</v>
      </c>
    </row>
    <row r="1200" spans="1:2" ht="14.5">
      <c r="A1200" s="45" t="s">
        <v>4718</v>
      </c>
      <c r="B1200" s="46" t="s">
        <v>7281</v>
      </c>
    </row>
    <row r="1201" spans="1:2" ht="14.5">
      <c r="A1201" s="45" t="s">
        <v>7282</v>
      </c>
      <c r="B1201" s="46" t="s">
        <v>7283</v>
      </c>
    </row>
    <row r="1202" spans="1:2" ht="14.5">
      <c r="A1202" s="45" t="s">
        <v>4939</v>
      </c>
      <c r="B1202" s="46" t="s">
        <v>7284</v>
      </c>
    </row>
    <row r="1203" spans="1:2" ht="14.5">
      <c r="A1203" s="45" t="s">
        <v>7285</v>
      </c>
      <c r="B1203" s="46" t="s">
        <v>7286</v>
      </c>
    </row>
    <row r="1204" spans="1:2" ht="14.5">
      <c r="A1204" s="45" t="s">
        <v>7287</v>
      </c>
      <c r="B1204" s="46" t="s">
        <v>7288</v>
      </c>
    </row>
    <row r="1205" spans="1:2" ht="14.5">
      <c r="A1205" s="45" t="s">
        <v>7289</v>
      </c>
      <c r="B1205" s="46" t="s">
        <v>7290</v>
      </c>
    </row>
    <row r="1206" spans="1:2" ht="14.5">
      <c r="A1206" s="45" t="s">
        <v>4688</v>
      </c>
      <c r="B1206" s="46" t="s">
        <v>7291</v>
      </c>
    </row>
    <row r="1207" spans="1:2" ht="14.5">
      <c r="A1207" s="45" t="s">
        <v>7292</v>
      </c>
      <c r="B1207" s="46" t="s">
        <v>7293</v>
      </c>
    </row>
    <row r="1208" spans="1:2" ht="14.5">
      <c r="A1208" s="45" t="s">
        <v>7294</v>
      </c>
      <c r="B1208" s="46" t="s">
        <v>7295</v>
      </c>
    </row>
    <row r="1209" spans="1:2" ht="14.5">
      <c r="A1209" s="45" t="s">
        <v>7296</v>
      </c>
      <c r="B1209" s="46" t="s">
        <v>7297</v>
      </c>
    </row>
    <row r="1210" spans="1:2" ht="14.5">
      <c r="A1210" s="45" t="s">
        <v>2611</v>
      </c>
      <c r="B1210" s="46" t="s">
        <v>7298</v>
      </c>
    </row>
    <row r="1211" spans="1:2" ht="14.5">
      <c r="A1211" s="45" t="s">
        <v>7299</v>
      </c>
      <c r="B1211" s="46" t="s">
        <v>7300</v>
      </c>
    </row>
    <row r="1212" spans="1:2" ht="14.5">
      <c r="A1212" s="45" t="s">
        <v>4371</v>
      </c>
      <c r="B1212" s="46" t="s">
        <v>7301</v>
      </c>
    </row>
    <row r="1213" spans="1:2" ht="14.5">
      <c r="A1213" s="45" t="s">
        <v>7302</v>
      </c>
      <c r="B1213" s="46" t="s">
        <v>7303</v>
      </c>
    </row>
    <row r="1214" spans="1:2" ht="14.5">
      <c r="A1214" s="45" t="s">
        <v>429</v>
      </c>
      <c r="B1214" s="46" t="s">
        <v>7304</v>
      </c>
    </row>
    <row r="1215" spans="1:2" ht="14.5">
      <c r="A1215" s="45" t="s">
        <v>7305</v>
      </c>
      <c r="B1215" s="46" t="s">
        <v>7306</v>
      </c>
    </row>
    <row r="1216" spans="1:2" ht="14.5">
      <c r="A1216" s="45" t="s">
        <v>7307</v>
      </c>
      <c r="B1216" s="46" t="s">
        <v>7308</v>
      </c>
    </row>
    <row r="1217" spans="1:2" ht="14.5">
      <c r="A1217" s="45" t="s">
        <v>4703</v>
      </c>
      <c r="B1217" s="46" t="s">
        <v>7309</v>
      </c>
    </row>
    <row r="1218" spans="1:2" ht="14.5">
      <c r="A1218" s="45" t="s">
        <v>1068</v>
      </c>
      <c r="B1218" s="46" t="s">
        <v>7310</v>
      </c>
    </row>
    <row r="1219" spans="1:2" ht="14.5">
      <c r="A1219" s="45" t="s">
        <v>7311</v>
      </c>
      <c r="B1219" s="46" t="s">
        <v>7312</v>
      </c>
    </row>
    <row r="1220" spans="1:2" ht="14.5">
      <c r="A1220" s="45" t="s">
        <v>7313</v>
      </c>
      <c r="B1220" s="46" t="s">
        <v>7314</v>
      </c>
    </row>
    <row r="1221" spans="1:2" ht="14.5">
      <c r="A1221" s="45" t="s">
        <v>2713</v>
      </c>
      <c r="B1221" s="46" t="s">
        <v>7315</v>
      </c>
    </row>
    <row r="1222" spans="1:2" ht="14.5">
      <c r="A1222" s="45" t="s">
        <v>4584</v>
      </c>
      <c r="B1222" s="46" t="s">
        <v>7316</v>
      </c>
    </row>
    <row r="1223" spans="1:2" ht="14.5">
      <c r="A1223" s="45" t="s">
        <v>890</v>
      </c>
      <c r="B1223" s="46" t="s">
        <v>7317</v>
      </c>
    </row>
    <row r="1224" spans="1:2" ht="14.5">
      <c r="A1224" s="45" t="s">
        <v>7318</v>
      </c>
      <c r="B1224" s="46" t="s">
        <v>7319</v>
      </c>
    </row>
    <row r="1225" spans="1:2" ht="14.5">
      <c r="A1225" s="45" t="s">
        <v>4749</v>
      </c>
      <c r="B1225" s="46" t="s">
        <v>7320</v>
      </c>
    </row>
    <row r="1226" spans="1:2" ht="14.5">
      <c r="A1226" s="45" t="s">
        <v>7321</v>
      </c>
      <c r="B1226" s="46" t="s">
        <v>7322</v>
      </c>
    </row>
    <row r="1227" spans="1:2" ht="14.5">
      <c r="A1227" s="45" t="s">
        <v>7323</v>
      </c>
      <c r="B1227" s="46" t="s">
        <v>7324</v>
      </c>
    </row>
    <row r="1228" spans="1:2" ht="14.5">
      <c r="A1228" s="45" t="s">
        <v>7325</v>
      </c>
      <c r="B1228" s="46" t="s">
        <v>7326</v>
      </c>
    </row>
    <row r="1229" spans="1:2" ht="14.5">
      <c r="A1229" s="45" t="s">
        <v>4828</v>
      </c>
      <c r="B1229" s="46" t="s">
        <v>7327</v>
      </c>
    </row>
    <row r="1230" spans="1:2" ht="14.5">
      <c r="A1230" s="45" t="s">
        <v>7328</v>
      </c>
      <c r="B1230" s="46" t="s">
        <v>7329</v>
      </c>
    </row>
    <row r="1231" spans="1:2" ht="14.5">
      <c r="A1231" s="45" t="s">
        <v>7330</v>
      </c>
      <c r="B1231" s="46" t="s">
        <v>7331</v>
      </c>
    </row>
    <row r="1232" spans="1:2" ht="14.5">
      <c r="A1232" s="45" t="s">
        <v>1093</v>
      </c>
      <c r="B1232" s="46" t="s">
        <v>7332</v>
      </c>
    </row>
    <row r="1233" spans="1:2" ht="14.5">
      <c r="A1233" s="45" t="s">
        <v>4626</v>
      </c>
      <c r="B1233" s="46" t="s">
        <v>7333</v>
      </c>
    </row>
    <row r="1234" spans="1:2" ht="14.5">
      <c r="A1234" s="45" t="s">
        <v>7334</v>
      </c>
      <c r="B1234" s="46" t="s">
        <v>7335</v>
      </c>
    </row>
    <row r="1235" spans="1:2" ht="14.5">
      <c r="A1235" s="45" t="s">
        <v>7336</v>
      </c>
      <c r="B1235" s="46" t="s">
        <v>7337</v>
      </c>
    </row>
    <row r="1236" spans="1:2" ht="14.5">
      <c r="A1236" s="45" t="s">
        <v>7338</v>
      </c>
      <c r="B1236" s="46" t="s">
        <v>7339</v>
      </c>
    </row>
    <row r="1237" spans="1:2" ht="14.5">
      <c r="A1237" s="45" t="s">
        <v>7340</v>
      </c>
      <c r="B1237" s="46" t="s">
        <v>7341</v>
      </c>
    </row>
    <row r="1238" spans="1:2" ht="14.5">
      <c r="A1238" s="45" t="s">
        <v>4751</v>
      </c>
      <c r="B1238" s="46" t="s">
        <v>7342</v>
      </c>
    </row>
    <row r="1239" spans="1:2" ht="14.5">
      <c r="A1239" s="45" t="s">
        <v>998</v>
      </c>
      <c r="B1239" s="46" t="s">
        <v>7343</v>
      </c>
    </row>
    <row r="1240" spans="1:2" ht="14.5">
      <c r="A1240" s="45" t="s">
        <v>7344</v>
      </c>
      <c r="B1240" s="46" t="s">
        <v>7345</v>
      </c>
    </row>
    <row r="1241" spans="1:2" ht="14.5">
      <c r="A1241" s="45" t="s">
        <v>7346</v>
      </c>
      <c r="B1241" s="46" t="s">
        <v>7347</v>
      </c>
    </row>
    <row r="1242" spans="1:2" ht="14.5">
      <c r="A1242" s="45" t="s">
        <v>7348</v>
      </c>
      <c r="B1242" s="46" t="s">
        <v>7349</v>
      </c>
    </row>
    <row r="1243" spans="1:2" ht="14.5">
      <c r="A1243" s="45" t="s">
        <v>7350</v>
      </c>
      <c r="B1243" s="46" t="s">
        <v>7351</v>
      </c>
    </row>
    <row r="1244" spans="1:2" ht="14.5">
      <c r="A1244" s="45" t="s">
        <v>4572</v>
      </c>
      <c r="B1244" s="46" t="s">
        <v>7352</v>
      </c>
    </row>
    <row r="1245" spans="1:2" ht="14.5">
      <c r="A1245" s="45" t="s">
        <v>7353</v>
      </c>
      <c r="B1245" s="46" t="s">
        <v>7354</v>
      </c>
    </row>
    <row r="1246" spans="1:2" ht="14.5">
      <c r="A1246" s="45" t="s">
        <v>4691</v>
      </c>
      <c r="B1246" s="46" t="s">
        <v>7355</v>
      </c>
    </row>
    <row r="1247" spans="1:2" ht="14.5">
      <c r="A1247" s="45" t="s">
        <v>7356</v>
      </c>
      <c r="B1247" s="46" t="s">
        <v>7357</v>
      </c>
    </row>
    <row r="1248" spans="1:2" ht="14.5">
      <c r="A1248" s="45" t="s">
        <v>7358</v>
      </c>
      <c r="B1248" s="46" t="s">
        <v>7359</v>
      </c>
    </row>
    <row r="1249" spans="1:2" ht="14.5">
      <c r="A1249" s="45" t="s">
        <v>7360</v>
      </c>
      <c r="B1249" s="46" t="s">
        <v>7361</v>
      </c>
    </row>
    <row r="1250" spans="1:2" ht="14.5">
      <c r="A1250" s="45" t="s">
        <v>805</v>
      </c>
      <c r="B1250" s="46" t="s">
        <v>7362</v>
      </c>
    </row>
    <row r="1251" spans="1:2" ht="14.5">
      <c r="A1251" s="45" t="s">
        <v>7363</v>
      </c>
      <c r="B1251" s="46" t="s">
        <v>7364</v>
      </c>
    </row>
    <row r="1252" spans="1:2" ht="14.5">
      <c r="A1252" s="45" t="s">
        <v>7365</v>
      </c>
      <c r="B1252" s="46" t="s">
        <v>7366</v>
      </c>
    </row>
    <row r="1253" spans="1:2" ht="14.5">
      <c r="A1253" s="45" t="s">
        <v>7367</v>
      </c>
      <c r="B1253" s="46" t="s">
        <v>7368</v>
      </c>
    </row>
    <row r="1254" spans="1:2" ht="14.5">
      <c r="A1254" s="45" t="s">
        <v>7369</v>
      </c>
      <c r="B1254" s="46" t="s">
        <v>7370</v>
      </c>
    </row>
    <row r="1255" spans="1:2" ht="14.5">
      <c r="A1255" s="45" t="s">
        <v>7371</v>
      </c>
      <c r="B1255" s="46" t="s">
        <v>7372</v>
      </c>
    </row>
    <row r="1256" spans="1:2" ht="14.5">
      <c r="A1256" s="45" t="s">
        <v>7373</v>
      </c>
      <c r="B1256" s="46" t="s">
        <v>7374</v>
      </c>
    </row>
    <row r="1257" spans="1:2" ht="14.5">
      <c r="A1257" s="45" t="s">
        <v>5361</v>
      </c>
      <c r="B1257" s="46" t="s">
        <v>7375</v>
      </c>
    </row>
    <row r="1258" spans="1:2" ht="14.5">
      <c r="A1258" s="45" t="s">
        <v>328</v>
      </c>
      <c r="B1258" s="46" t="s">
        <v>7376</v>
      </c>
    </row>
    <row r="1259" spans="1:2" ht="14.5">
      <c r="A1259" s="45" t="s">
        <v>4797</v>
      </c>
      <c r="B1259" s="46" t="s">
        <v>7377</v>
      </c>
    </row>
    <row r="1260" spans="1:2" ht="14.5">
      <c r="A1260" s="45" t="s">
        <v>7378</v>
      </c>
      <c r="B1260" s="46" t="s">
        <v>7379</v>
      </c>
    </row>
    <row r="1261" spans="1:2" ht="14.5">
      <c r="A1261" s="45" t="s">
        <v>7380</v>
      </c>
      <c r="B1261" s="46" t="s">
        <v>7381</v>
      </c>
    </row>
    <row r="1262" spans="1:2" ht="14.5">
      <c r="A1262" s="45" t="s">
        <v>7382</v>
      </c>
      <c r="B1262" s="46" t="s">
        <v>7383</v>
      </c>
    </row>
    <row r="1263" spans="1:2" ht="14.5">
      <c r="A1263" s="45" t="s">
        <v>7384</v>
      </c>
      <c r="B1263" s="46" t="s">
        <v>7385</v>
      </c>
    </row>
    <row r="1264" spans="1:2" ht="14.5">
      <c r="A1264" s="45" t="s">
        <v>352</v>
      </c>
      <c r="B1264" s="46" t="s">
        <v>7386</v>
      </c>
    </row>
    <row r="1265" spans="1:2" ht="14.5">
      <c r="A1265" s="45" t="s">
        <v>7387</v>
      </c>
      <c r="B1265" s="46" t="s">
        <v>7388</v>
      </c>
    </row>
    <row r="1266" spans="1:2" ht="14.5">
      <c r="A1266" s="45" t="s">
        <v>4120</v>
      </c>
      <c r="B1266" s="46" t="s">
        <v>7389</v>
      </c>
    </row>
    <row r="1267" spans="1:2" ht="14.5">
      <c r="A1267" s="45" t="s">
        <v>7390</v>
      </c>
      <c r="B1267" s="46" t="s">
        <v>7391</v>
      </c>
    </row>
    <row r="1268" spans="1:2" ht="14.5">
      <c r="A1268" s="45" t="s">
        <v>7392</v>
      </c>
      <c r="B1268" s="46" t="s">
        <v>7393</v>
      </c>
    </row>
    <row r="1269" spans="1:2" ht="14.5">
      <c r="A1269" s="45" t="s">
        <v>4551</v>
      </c>
      <c r="B1269" s="46" t="s">
        <v>7394</v>
      </c>
    </row>
    <row r="1270" spans="1:2" ht="14.5">
      <c r="A1270" s="45" t="s">
        <v>7395</v>
      </c>
      <c r="B1270" s="46" t="s">
        <v>7396</v>
      </c>
    </row>
    <row r="1271" spans="1:2" ht="14.5">
      <c r="A1271" s="45" t="s">
        <v>7397</v>
      </c>
      <c r="B1271" s="46" t="s">
        <v>7398</v>
      </c>
    </row>
    <row r="1272" spans="1:2" ht="14.5">
      <c r="A1272" s="45" t="s">
        <v>7399</v>
      </c>
      <c r="B1272" s="46" t="s">
        <v>7400</v>
      </c>
    </row>
    <row r="1273" spans="1:2" ht="14.5">
      <c r="A1273" s="45" t="s">
        <v>4580</v>
      </c>
      <c r="B1273" s="46" t="s">
        <v>7401</v>
      </c>
    </row>
    <row r="1274" spans="1:2" ht="14.5">
      <c r="A1274" s="45" t="s">
        <v>4858</v>
      </c>
      <c r="B1274" s="46" t="s">
        <v>7402</v>
      </c>
    </row>
    <row r="1275" spans="1:2" ht="14.5">
      <c r="A1275" s="45" t="s">
        <v>4445</v>
      </c>
      <c r="B1275" s="46" t="s">
        <v>7403</v>
      </c>
    </row>
    <row r="1276" spans="1:2" ht="14.5">
      <c r="A1276" s="45" t="s">
        <v>7404</v>
      </c>
      <c r="B1276" s="46" t="s">
        <v>7405</v>
      </c>
    </row>
    <row r="1277" spans="1:2" ht="14.5">
      <c r="A1277" s="45" t="s">
        <v>7406</v>
      </c>
      <c r="B1277" s="46" t="s">
        <v>7407</v>
      </c>
    </row>
    <row r="1278" spans="1:2" ht="14.5">
      <c r="A1278" s="45" t="s">
        <v>7408</v>
      </c>
      <c r="B1278" s="46" t="s">
        <v>7409</v>
      </c>
    </row>
    <row r="1279" spans="1:2" ht="14.5">
      <c r="A1279" s="45" t="s">
        <v>7410</v>
      </c>
      <c r="B1279" s="46" t="s">
        <v>7411</v>
      </c>
    </row>
    <row r="1280" spans="1:2" ht="14.5">
      <c r="A1280" s="45" t="s">
        <v>4109</v>
      </c>
      <c r="B1280" s="46" t="s">
        <v>7412</v>
      </c>
    </row>
    <row r="1281" spans="1:2" ht="14.5">
      <c r="A1281" s="45" t="s">
        <v>7413</v>
      </c>
      <c r="B1281" s="46" t="s">
        <v>7414</v>
      </c>
    </row>
    <row r="1282" spans="1:2" ht="14.5">
      <c r="A1282" s="45" t="s">
        <v>7415</v>
      </c>
      <c r="B1282" s="46" t="s">
        <v>7416</v>
      </c>
    </row>
    <row r="1283" spans="1:2" ht="14.5">
      <c r="A1283" s="45" t="s">
        <v>7417</v>
      </c>
      <c r="B1283" s="46" t="s">
        <v>7418</v>
      </c>
    </row>
    <row r="1284" spans="1:2" ht="14.5">
      <c r="A1284" s="45" t="s">
        <v>7419</v>
      </c>
      <c r="B1284" s="46" t="s">
        <v>7420</v>
      </c>
    </row>
    <row r="1285" spans="1:2" ht="14.5">
      <c r="A1285" s="45" t="s">
        <v>7421</v>
      </c>
      <c r="B1285" s="46" t="s">
        <v>7422</v>
      </c>
    </row>
    <row r="1286" spans="1:2" ht="14.5">
      <c r="A1286" s="45" t="s">
        <v>7423</v>
      </c>
      <c r="B1286" s="46" t="s">
        <v>7424</v>
      </c>
    </row>
    <row r="1287" spans="1:2" ht="14.5">
      <c r="A1287" s="45" t="s">
        <v>4099</v>
      </c>
      <c r="B1287" s="46" t="s">
        <v>7425</v>
      </c>
    </row>
    <row r="1288" spans="1:2" ht="14.5">
      <c r="A1288" s="45" t="s">
        <v>4687</v>
      </c>
      <c r="B1288" s="46" t="s">
        <v>7426</v>
      </c>
    </row>
    <row r="1289" spans="1:2" ht="14.5">
      <c r="A1289" s="45" t="s">
        <v>965</v>
      </c>
      <c r="B1289" s="46" t="s">
        <v>7427</v>
      </c>
    </row>
    <row r="1290" spans="1:2" ht="14.5">
      <c r="A1290" s="45" t="s">
        <v>448</v>
      </c>
      <c r="B1290" s="46" t="s">
        <v>7428</v>
      </c>
    </row>
    <row r="1291" spans="1:2" ht="14.5">
      <c r="A1291" s="45" t="s">
        <v>4732</v>
      </c>
      <c r="B1291" s="46" t="s">
        <v>7429</v>
      </c>
    </row>
    <row r="1292" spans="1:2" ht="14.5">
      <c r="A1292" s="45" t="s">
        <v>4874</v>
      </c>
      <c r="B1292" s="46" t="s">
        <v>7430</v>
      </c>
    </row>
    <row r="1293" spans="1:2" ht="14.5">
      <c r="A1293" s="45" t="s">
        <v>7431</v>
      </c>
      <c r="B1293" s="46" t="s">
        <v>7432</v>
      </c>
    </row>
    <row r="1294" spans="1:2" ht="14.5">
      <c r="A1294" s="45" t="s">
        <v>230</v>
      </c>
      <c r="B1294" s="46" t="s">
        <v>7433</v>
      </c>
    </row>
    <row r="1295" spans="1:2" ht="14.5">
      <c r="A1295" s="45" t="s">
        <v>7434</v>
      </c>
      <c r="B1295" s="46" t="s">
        <v>7435</v>
      </c>
    </row>
    <row r="1296" spans="1:2" ht="14.5">
      <c r="A1296" s="45" t="s">
        <v>7436</v>
      </c>
      <c r="B1296" s="46" t="s">
        <v>7437</v>
      </c>
    </row>
    <row r="1297" spans="1:2" ht="14.5">
      <c r="A1297" s="45" t="s">
        <v>4480</v>
      </c>
      <c r="B1297" s="46" t="s">
        <v>7438</v>
      </c>
    </row>
    <row r="1298" spans="1:2" ht="14.5">
      <c r="A1298" s="45" t="s">
        <v>1001</v>
      </c>
      <c r="B1298" s="46" t="s">
        <v>7439</v>
      </c>
    </row>
    <row r="1299" spans="1:2" ht="14.5">
      <c r="A1299" s="45" t="s">
        <v>4390</v>
      </c>
      <c r="B1299" s="46" t="s">
        <v>7440</v>
      </c>
    </row>
    <row r="1300" spans="1:2" ht="14.5">
      <c r="A1300" s="45" t="s">
        <v>4663</v>
      </c>
      <c r="B1300" s="46" t="s">
        <v>7441</v>
      </c>
    </row>
    <row r="1301" spans="1:2" ht="14.5">
      <c r="A1301" s="45" t="s">
        <v>7442</v>
      </c>
      <c r="B1301" s="46" t="s">
        <v>7443</v>
      </c>
    </row>
    <row r="1302" spans="1:2" ht="14.5">
      <c r="A1302" s="45" t="s">
        <v>4116</v>
      </c>
      <c r="B1302" s="46" t="s">
        <v>7444</v>
      </c>
    </row>
    <row r="1303" spans="1:2" ht="14.5">
      <c r="A1303" s="45" t="s">
        <v>4567</v>
      </c>
      <c r="B1303" s="46" t="s">
        <v>7445</v>
      </c>
    </row>
    <row r="1304" spans="1:2" ht="14.5">
      <c r="A1304" s="45" t="s">
        <v>4578</v>
      </c>
      <c r="B1304" s="46" t="s">
        <v>7446</v>
      </c>
    </row>
    <row r="1305" spans="1:2" ht="14.5">
      <c r="A1305" s="45" t="s">
        <v>7447</v>
      </c>
      <c r="B1305" s="46" t="s">
        <v>7448</v>
      </c>
    </row>
    <row r="1306" spans="1:2" ht="14.5">
      <c r="A1306" s="45" t="s">
        <v>4734</v>
      </c>
      <c r="B1306" s="46" t="s">
        <v>7449</v>
      </c>
    </row>
    <row r="1307" spans="1:2" ht="14.5">
      <c r="A1307" s="45" t="s">
        <v>4605</v>
      </c>
      <c r="B1307" s="46" t="s">
        <v>7450</v>
      </c>
    </row>
    <row r="1308" spans="1:2" ht="14.5">
      <c r="A1308" s="45" t="s">
        <v>4619</v>
      </c>
      <c r="B1308" s="46" t="s">
        <v>7451</v>
      </c>
    </row>
    <row r="1309" spans="1:2" ht="14.5">
      <c r="A1309" s="45" t="s">
        <v>7452</v>
      </c>
      <c r="B1309" s="46" t="s">
        <v>7453</v>
      </c>
    </row>
    <row r="1310" spans="1:2" ht="14.5">
      <c r="A1310" s="45" t="s">
        <v>4212</v>
      </c>
      <c r="B1310" s="46" t="s">
        <v>7454</v>
      </c>
    </row>
    <row r="1311" spans="1:2" ht="14.5">
      <c r="A1311" s="45" t="s">
        <v>4888</v>
      </c>
      <c r="B1311" s="46" t="s">
        <v>7455</v>
      </c>
    </row>
    <row r="1312" spans="1:2" ht="14.5">
      <c r="A1312" s="45" t="s">
        <v>7456</v>
      </c>
      <c r="B1312" s="46" t="s">
        <v>7457</v>
      </c>
    </row>
    <row r="1313" spans="1:2" ht="14.5">
      <c r="A1313" s="45" t="s">
        <v>7458</v>
      </c>
      <c r="B1313" s="46" t="s">
        <v>7459</v>
      </c>
    </row>
    <row r="1314" spans="1:2" ht="14.5">
      <c r="A1314" s="45" t="s">
        <v>4617</v>
      </c>
      <c r="B1314" s="46" t="s">
        <v>7460</v>
      </c>
    </row>
    <row r="1315" spans="1:2" ht="14.5">
      <c r="A1315" s="45" t="s">
        <v>7461</v>
      </c>
      <c r="B1315" s="46" t="s">
        <v>7462</v>
      </c>
    </row>
    <row r="1316" spans="1:2" ht="14.5">
      <c r="A1316" s="45" t="s">
        <v>5114</v>
      </c>
      <c r="B1316" s="46" t="s">
        <v>7463</v>
      </c>
    </row>
    <row r="1317" spans="1:2" ht="14.5">
      <c r="A1317" s="45" t="s">
        <v>7464</v>
      </c>
      <c r="B1317" s="46" t="s">
        <v>7465</v>
      </c>
    </row>
    <row r="1318" spans="1:2" ht="14.5">
      <c r="A1318" s="45" t="s">
        <v>7466</v>
      </c>
      <c r="B1318" s="46" t="s">
        <v>7467</v>
      </c>
    </row>
    <row r="1319" spans="1:2" ht="14.5">
      <c r="A1319" s="45" t="s">
        <v>4405</v>
      </c>
      <c r="B1319" s="46" t="s">
        <v>7468</v>
      </c>
    </row>
    <row r="1320" spans="1:2" ht="14.5">
      <c r="A1320" s="45" t="s">
        <v>7469</v>
      </c>
      <c r="B1320" s="46" t="s">
        <v>7470</v>
      </c>
    </row>
    <row r="1321" spans="1:2" ht="14.5">
      <c r="A1321" s="45" t="s">
        <v>4608</v>
      </c>
      <c r="B1321" s="46" t="s">
        <v>7471</v>
      </c>
    </row>
    <row r="1322" spans="1:2" ht="14.5">
      <c r="A1322" s="45" t="s">
        <v>7472</v>
      </c>
      <c r="B1322" s="46" t="s">
        <v>7473</v>
      </c>
    </row>
    <row r="1323" spans="1:2" ht="14.5">
      <c r="A1323" s="45" t="s">
        <v>7474</v>
      </c>
      <c r="B1323" s="46" t="s">
        <v>7475</v>
      </c>
    </row>
    <row r="1324" spans="1:2" ht="14.5">
      <c r="A1324" s="45" t="s">
        <v>4523</v>
      </c>
      <c r="B1324" s="46" t="s">
        <v>7476</v>
      </c>
    </row>
    <row r="1325" spans="1:2" ht="14.5">
      <c r="A1325" s="45" t="s">
        <v>4622</v>
      </c>
      <c r="B1325" s="46" t="s">
        <v>7477</v>
      </c>
    </row>
    <row r="1326" spans="1:2" ht="14.5">
      <c r="A1326" s="45" t="s">
        <v>218</v>
      </c>
      <c r="B1326" s="46" t="s">
        <v>7478</v>
      </c>
    </row>
    <row r="1327" spans="1:2" ht="14.5">
      <c r="A1327" s="45" t="s">
        <v>7479</v>
      </c>
      <c r="B1327" s="46" t="s">
        <v>7480</v>
      </c>
    </row>
    <row r="1328" spans="1:2" ht="14.5">
      <c r="A1328" s="45" t="s">
        <v>7481</v>
      </c>
      <c r="B1328" s="46" t="s">
        <v>7482</v>
      </c>
    </row>
    <row r="1329" spans="1:2" ht="14.5">
      <c r="A1329" s="45" t="s">
        <v>4545</v>
      </c>
      <c r="B1329" s="46" t="s">
        <v>7483</v>
      </c>
    </row>
    <row r="1330" spans="1:2" ht="14.5">
      <c r="A1330" s="45" t="s">
        <v>7484</v>
      </c>
      <c r="B1330" s="46" t="s">
        <v>7485</v>
      </c>
    </row>
    <row r="1331" spans="1:2" ht="14.5">
      <c r="A1331" s="45" t="s">
        <v>4861</v>
      </c>
      <c r="B1331" s="46" t="s">
        <v>7486</v>
      </c>
    </row>
    <row r="1332" spans="1:2" ht="14.5">
      <c r="A1332" s="45" t="s">
        <v>4299</v>
      </c>
      <c r="B1332" s="46" t="s">
        <v>7487</v>
      </c>
    </row>
    <row r="1333" spans="1:2" ht="14.5">
      <c r="A1333" s="45" t="s">
        <v>7488</v>
      </c>
      <c r="B1333" s="46" t="s">
        <v>7489</v>
      </c>
    </row>
    <row r="1334" spans="1:2" ht="14.5">
      <c r="A1334" s="45" t="s">
        <v>7490</v>
      </c>
      <c r="B1334" s="46" t="s">
        <v>7491</v>
      </c>
    </row>
    <row r="1335" spans="1:2" ht="14.5">
      <c r="A1335" s="45" t="s">
        <v>4457</v>
      </c>
      <c r="B1335" s="46" t="s">
        <v>7492</v>
      </c>
    </row>
    <row r="1336" spans="1:2" ht="14.5">
      <c r="A1336" s="45" t="s">
        <v>4681</v>
      </c>
      <c r="B1336" s="46" t="s">
        <v>7493</v>
      </c>
    </row>
    <row r="1337" spans="1:2" ht="14.5">
      <c r="A1337" s="45" t="s">
        <v>1957</v>
      </c>
      <c r="B1337" s="46" t="s">
        <v>7494</v>
      </c>
    </row>
    <row r="1338" spans="1:2" ht="14.5">
      <c r="A1338" s="45" t="s">
        <v>7495</v>
      </c>
      <c r="B1338" s="46" t="s">
        <v>7496</v>
      </c>
    </row>
    <row r="1339" spans="1:2" ht="14.5">
      <c r="A1339" s="45" t="s">
        <v>4263</v>
      </c>
      <c r="B1339" s="46" t="s">
        <v>7497</v>
      </c>
    </row>
    <row r="1340" spans="1:2" ht="14.5">
      <c r="A1340" s="45" t="s">
        <v>7498</v>
      </c>
      <c r="B1340" s="46" t="s">
        <v>7499</v>
      </c>
    </row>
    <row r="1341" spans="1:2" ht="14.5">
      <c r="A1341" s="45" t="s">
        <v>4493</v>
      </c>
      <c r="B1341" s="46" t="s">
        <v>7500</v>
      </c>
    </row>
    <row r="1342" spans="1:2" ht="14.5">
      <c r="A1342" s="45" t="s">
        <v>2236</v>
      </c>
      <c r="B1342" s="46" t="s">
        <v>7501</v>
      </c>
    </row>
    <row r="1343" spans="1:2" ht="14.5">
      <c r="A1343" s="45" t="s">
        <v>7502</v>
      </c>
      <c r="B1343" s="46" t="s">
        <v>7503</v>
      </c>
    </row>
    <row r="1344" spans="1:2" ht="14.5">
      <c r="A1344" s="45" t="s">
        <v>7504</v>
      </c>
      <c r="B1344" s="46" t="s">
        <v>7505</v>
      </c>
    </row>
    <row r="1345" spans="1:2" ht="14.5">
      <c r="A1345" s="45" t="s">
        <v>7506</v>
      </c>
      <c r="B1345" s="46" t="s">
        <v>7507</v>
      </c>
    </row>
    <row r="1346" spans="1:2" ht="14.5">
      <c r="A1346" s="45" t="s">
        <v>1018</v>
      </c>
      <c r="B1346" s="46" t="s">
        <v>7508</v>
      </c>
    </row>
    <row r="1347" spans="1:2" ht="14.5">
      <c r="A1347" s="45" t="s">
        <v>7509</v>
      </c>
      <c r="B1347" s="46" t="s">
        <v>7510</v>
      </c>
    </row>
    <row r="1348" spans="1:2" ht="14.5">
      <c r="A1348" s="45" t="s">
        <v>4632</v>
      </c>
      <c r="B1348" s="46" t="s">
        <v>7511</v>
      </c>
    </row>
    <row r="1349" spans="1:2" ht="14.5">
      <c r="A1349" s="45" t="s">
        <v>7512</v>
      </c>
      <c r="B1349" s="46" t="s">
        <v>7513</v>
      </c>
    </row>
    <row r="1350" spans="1:2" ht="14.5">
      <c r="A1350" s="45" t="s">
        <v>4788</v>
      </c>
      <c r="B1350" s="46" t="s">
        <v>7514</v>
      </c>
    </row>
    <row r="1351" spans="1:2" ht="14.5">
      <c r="A1351" s="45" t="s">
        <v>7515</v>
      </c>
      <c r="B1351" s="46" t="s">
        <v>7516</v>
      </c>
    </row>
    <row r="1352" spans="1:2" ht="14.5">
      <c r="A1352" s="45" t="s">
        <v>4271</v>
      </c>
      <c r="B1352" s="46" t="s">
        <v>7517</v>
      </c>
    </row>
    <row r="1353" spans="1:2" ht="14.5">
      <c r="A1353" s="45" t="s">
        <v>4314</v>
      </c>
      <c r="B1353" s="46" t="s">
        <v>7518</v>
      </c>
    </row>
    <row r="1354" spans="1:2" ht="14.5">
      <c r="A1354" s="45" t="s">
        <v>179</v>
      </c>
      <c r="B1354" s="46" t="s">
        <v>7519</v>
      </c>
    </row>
    <row r="1355" spans="1:2" ht="14.5">
      <c r="A1355" s="45" t="s">
        <v>7520</v>
      </c>
      <c r="B1355" s="46" t="s">
        <v>7521</v>
      </c>
    </row>
    <row r="1356" spans="1:2" ht="14.5">
      <c r="A1356" s="45" t="s">
        <v>7522</v>
      </c>
      <c r="B1356" s="46" t="s">
        <v>7523</v>
      </c>
    </row>
    <row r="1357" spans="1:2" ht="14.5">
      <c r="A1357" s="45" t="s">
        <v>7524</v>
      </c>
      <c r="B1357" s="46" t="s">
        <v>7525</v>
      </c>
    </row>
    <row r="1358" spans="1:2" ht="14.5">
      <c r="A1358" s="45" t="s">
        <v>7526</v>
      </c>
      <c r="B1358" s="46" t="s">
        <v>7527</v>
      </c>
    </row>
    <row r="1359" spans="1:2" ht="14.5">
      <c r="A1359" s="45" t="s">
        <v>4805</v>
      </c>
      <c r="B1359" s="46" t="s">
        <v>7528</v>
      </c>
    </row>
    <row r="1360" spans="1:2" ht="14.5">
      <c r="A1360" s="45" t="s">
        <v>4647</v>
      </c>
      <c r="B1360" s="46" t="s">
        <v>7529</v>
      </c>
    </row>
    <row r="1361" spans="1:2" ht="14.5">
      <c r="A1361" s="45" t="s">
        <v>7530</v>
      </c>
      <c r="B1361" s="46" t="s">
        <v>7531</v>
      </c>
    </row>
    <row r="1362" spans="1:2" ht="14.5">
      <c r="A1362" s="45" t="s">
        <v>7532</v>
      </c>
      <c r="B1362" s="46" t="s">
        <v>7533</v>
      </c>
    </row>
    <row r="1363" spans="1:2" ht="14.5">
      <c r="A1363" s="45" t="s">
        <v>7534</v>
      </c>
      <c r="B1363" s="46" t="s">
        <v>7535</v>
      </c>
    </row>
    <row r="1364" spans="1:2" ht="14.5">
      <c r="A1364" s="45" t="s">
        <v>7536</v>
      </c>
      <c r="B1364" s="46" t="s">
        <v>7537</v>
      </c>
    </row>
    <row r="1365" spans="1:2" ht="14.5">
      <c r="A1365" s="45" t="s">
        <v>7538</v>
      </c>
      <c r="B1365" s="46" t="s">
        <v>7539</v>
      </c>
    </row>
    <row r="1366" spans="1:2" ht="14.5">
      <c r="A1366" s="45" t="s">
        <v>7540</v>
      </c>
      <c r="B1366" s="46" t="s">
        <v>7541</v>
      </c>
    </row>
    <row r="1367" spans="1:2" ht="14.5">
      <c r="A1367" s="45" t="s">
        <v>7542</v>
      </c>
      <c r="B1367" s="46" t="s">
        <v>7543</v>
      </c>
    </row>
    <row r="1368" spans="1:2" ht="14.5">
      <c r="A1368" s="45" t="s">
        <v>4666</v>
      </c>
      <c r="B1368" s="46" t="s">
        <v>7544</v>
      </c>
    </row>
    <row r="1369" spans="1:2" ht="14.5">
      <c r="A1369" s="45" t="s">
        <v>356</v>
      </c>
      <c r="B1369" s="46" t="s">
        <v>7545</v>
      </c>
    </row>
    <row r="1370" spans="1:2" ht="14.5">
      <c r="A1370" s="45" t="s">
        <v>7546</v>
      </c>
      <c r="B1370" s="46" t="s">
        <v>7547</v>
      </c>
    </row>
    <row r="1371" spans="1:2" ht="14.5">
      <c r="A1371" s="45" t="s">
        <v>7548</v>
      </c>
      <c r="B1371" s="46" t="s">
        <v>7549</v>
      </c>
    </row>
    <row r="1372" spans="1:2" ht="14.5">
      <c r="A1372" s="45" t="s">
        <v>787</v>
      </c>
      <c r="B1372" s="46" t="s">
        <v>7550</v>
      </c>
    </row>
    <row r="1373" spans="1:2" ht="14.5">
      <c r="A1373" s="45" t="s">
        <v>7551</v>
      </c>
      <c r="B1373" s="46" t="s">
        <v>7552</v>
      </c>
    </row>
    <row r="1374" spans="1:2" ht="14.5">
      <c r="A1374" s="45" t="s">
        <v>4670</v>
      </c>
      <c r="B1374" s="46" t="s">
        <v>7553</v>
      </c>
    </row>
    <row r="1375" spans="1:2" ht="14.5">
      <c r="A1375" s="45" t="s">
        <v>7554</v>
      </c>
      <c r="B1375" s="46" t="s">
        <v>7555</v>
      </c>
    </row>
    <row r="1376" spans="1:2" ht="14.5">
      <c r="A1376" s="45" t="s">
        <v>406</v>
      </c>
      <c r="B1376" s="46" t="s">
        <v>7556</v>
      </c>
    </row>
    <row r="1377" spans="1:2" ht="14.5">
      <c r="A1377" s="45" t="s">
        <v>4601</v>
      </c>
      <c r="B1377" s="46" t="s">
        <v>7557</v>
      </c>
    </row>
    <row r="1378" spans="1:2" ht="14.5">
      <c r="A1378" s="45" t="s">
        <v>7558</v>
      </c>
      <c r="B1378" s="46" t="s">
        <v>7559</v>
      </c>
    </row>
    <row r="1379" spans="1:2" ht="14.5">
      <c r="A1379" s="45" t="s">
        <v>7560</v>
      </c>
      <c r="B1379" s="46" t="s">
        <v>7561</v>
      </c>
    </row>
    <row r="1380" spans="1:2" ht="14.5">
      <c r="A1380" s="45" t="s">
        <v>4879</v>
      </c>
      <c r="B1380" s="46" t="s">
        <v>7562</v>
      </c>
    </row>
    <row r="1381" spans="1:2" ht="14.5">
      <c r="A1381" s="45" t="s">
        <v>7563</v>
      </c>
      <c r="B1381" s="46" t="s">
        <v>7564</v>
      </c>
    </row>
    <row r="1382" spans="1:2" ht="14.5">
      <c r="A1382" s="45" t="s">
        <v>7565</v>
      </c>
      <c r="B1382" s="46" t="s">
        <v>7566</v>
      </c>
    </row>
    <row r="1383" spans="1:2" ht="14.5">
      <c r="A1383" s="45" t="s">
        <v>7567</v>
      </c>
      <c r="B1383" s="46" t="s">
        <v>7568</v>
      </c>
    </row>
    <row r="1384" spans="1:2" ht="14.5">
      <c r="A1384" s="45" t="s">
        <v>4129</v>
      </c>
      <c r="B1384" s="46" t="s">
        <v>7569</v>
      </c>
    </row>
    <row r="1385" spans="1:2" ht="14.5">
      <c r="A1385" s="45" t="s">
        <v>4586</v>
      </c>
      <c r="B1385" s="46" t="s">
        <v>7570</v>
      </c>
    </row>
    <row r="1386" spans="1:2" ht="14.5">
      <c r="A1386" s="45" t="s">
        <v>4042</v>
      </c>
      <c r="B1386" s="46" t="s">
        <v>7571</v>
      </c>
    </row>
    <row r="1387" spans="1:2" ht="14.5">
      <c r="A1387" s="45" t="s">
        <v>4659</v>
      </c>
      <c r="B1387" s="46" t="s">
        <v>7572</v>
      </c>
    </row>
    <row r="1388" spans="1:2" ht="14.5">
      <c r="A1388" s="45" t="s">
        <v>4061</v>
      </c>
      <c r="B1388" s="46" t="s">
        <v>7573</v>
      </c>
    </row>
    <row r="1389" spans="1:2" ht="14.5">
      <c r="A1389" s="45" t="s">
        <v>7574</v>
      </c>
      <c r="B1389" s="46" t="s">
        <v>7575</v>
      </c>
    </row>
    <row r="1390" spans="1:2" ht="14.5">
      <c r="A1390" s="45" t="s">
        <v>4796</v>
      </c>
      <c r="B1390" s="46" t="s">
        <v>7576</v>
      </c>
    </row>
    <row r="1391" spans="1:2" ht="14.5">
      <c r="A1391" s="45" t="s">
        <v>4628</v>
      </c>
      <c r="B1391" s="46" t="s">
        <v>7577</v>
      </c>
    </row>
    <row r="1392" spans="1:2" ht="14.5">
      <c r="A1392" s="45" t="s">
        <v>7578</v>
      </c>
      <c r="B1392" s="46" t="s">
        <v>7579</v>
      </c>
    </row>
    <row r="1393" spans="1:2" ht="14.5">
      <c r="A1393" s="45" t="s">
        <v>4804</v>
      </c>
      <c r="B1393" s="46" t="s">
        <v>7580</v>
      </c>
    </row>
    <row r="1394" spans="1:2" ht="14.5">
      <c r="A1394" s="45" t="s">
        <v>7581</v>
      </c>
      <c r="B1394" s="46" t="s">
        <v>7582</v>
      </c>
    </row>
    <row r="1395" spans="1:2" ht="14.5">
      <c r="A1395" s="45" t="s">
        <v>7583</v>
      </c>
      <c r="B1395" s="46" t="s">
        <v>7584</v>
      </c>
    </row>
    <row r="1396" spans="1:2" ht="14.5">
      <c r="A1396" s="45" t="s">
        <v>7585</v>
      </c>
      <c r="B1396" s="46" t="s">
        <v>7586</v>
      </c>
    </row>
    <row r="1397" spans="1:2" ht="14.5">
      <c r="A1397" s="45" t="s">
        <v>7587</v>
      </c>
      <c r="B1397" s="46" t="s">
        <v>7588</v>
      </c>
    </row>
    <row r="1398" spans="1:2" ht="14.5">
      <c r="A1398" s="45" t="s">
        <v>7589</v>
      </c>
      <c r="B1398" s="46" t="s">
        <v>7590</v>
      </c>
    </row>
    <row r="1399" spans="1:2" ht="14.5">
      <c r="A1399" s="45" t="s">
        <v>7591</v>
      </c>
      <c r="B1399" s="46" t="s">
        <v>7592</v>
      </c>
    </row>
    <row r="1400" spans="1:2" ht="14.5">
      <c r="A1400" s="45" t="s">
        <v>1034</v>
      </c>
      <c r="B1400" s="46" t="s">
        <v>7593</v>
      </c>
    </row>
    <row r="1401" spans="1:2" ht="14.5">
      <c r="A1401" s="45" t="s">
        <v>4486</v>
      </c>
      <c r="B1401" s="46" t="s">
        <v>7594</v>
      </c>
    </row>
    <row r="1402" spans="1:2" ht="14.5">
      <c r="A1402" s="45" t="s">
        <v>7595</v>
      </c>
      <c r="B1402" s="46" t="s">
        <v>7596</v>
      </c>
    </row>
    <row r="1403" spans="1:2" ht="14.5">
      <c r="A1403" s="45" t="s">
        <v>7597</v>
      </c>
      <c r="B1403" s="46" t="s">
        <v>7598</v>
      </c>
    </row>
    <row r="1404" spans="1:2" ht="14.5">
      <c r="A1404" s="45" t="s">
        <v>7599</v>
      </c>
      <c r="B1404" s="46" t="s">
        <v>7600</v>
      </c>
    </row>
    <row r="1405" spans="1:2" ht="14.5">
      <c r="A1405" s="45" t="s">
        <v>7601</v>
      </c>
      <c r="B1405" s="46" t="s">
        <v>7602</v>
      </c>
    </row>
    <row r="1406" spans="1:2" ht="14.5">
      <c r="A1406" s="45" t="s">
        <v>4244</v>
      </c>
      <c r="B1406" s="46" t="s">
        <v>7603</v>
      </c>
    </row>
    <row r="1407" spans="1:2" ht="14.5">
      <c r="A1407" s="45" t="s">
        <v>4126</v>
      </c>
      <c r="B1407" s="46" t="s">
        <v>7604</v>
      </c>
    </row>
    <row r="1408" spans="1:2" ht="14.5">
      <c r="A1408" s="45" t="s">
        <v>7605</v>
      </c>
      <c r="B1408" s="46" t="s">
        <v>7606</v>
      </c>
    </row>
    <row r="1409" spans="1:2" ht="14.5">
      <c r="A1409" s="45" t="s">
        <v>7607</v>
      </c>
      <c r="B1409" s="46" t="s">
        <v>7608</v>
      </c>
    </row>
    <row r="1410" spans="1:2" ht="14.5">
      <c r="A1410" s="45" t="s">
        <v>4072</v>
      </c>
      <c r="B1410" s="46" t="s">
        <v>7609</v>
      </c>
    </row>
    <row r="1411" spans="1:2" ht="14.5">
      <c r="A1411" s="45" t="s">
        <v>4905</v>
      </c>
      <c r="B1411" s="46" t="s">
        <v>7610</v>
      </c>
    </row>
    <row r="1412" spans="1:2" ht="14.5">
      <c r="A1412" s="45" t="s">
        <v>7611</v>
      </c>
      <c r="B1412" s="46" t="s">
        <v>7612</v>
      </c>
    </row>
    <row r="1413" spans="1:2" ht="14.5">
      <c r="A1413" s="45" t="s">
        <v>7613</v>
      </c>
      <c r="B1413" s="46" t="s">
        <v>7614</v>
      </c>
    </row>
    <row r="1414" spans="1:2" ht="14.5">
      <c r="A1414" s="45" t="s">
        <v>7615</v>
      </c>
      <c r="B1414" s="46" t="s">
        <v>7616</v>
      </c>
    </row>
    <row r="1415" spans="1:2" ht="14.5">
      <c r="A1415" s="45" t="s">
        <v>7617</v>
      </c>
      <c r="B1415" s="46" t="s">
        <v>7618</v>
      </c>
    </row>
    <row r="1416" spans="1:2" ht="14.5">
      <c r="A1416" s="45" t="s">
        <v>4426</v>
      </c>
      <c r="B1416" s="46" t="s">
        <v>7619</v>
      </c>
    </row>
    <row r="1417" spans="1:2" ht="14.5">
      <c r="A1417" s="45" t="s">
        <v>7620</v>
      </c>
      <c r="B1417" s="46" t="s">
        <v>7621</v>
      </c>
    </row>
    <row r="1418" spans="1:2" ht="14.5">
      <c r="A1418" s="45" t="s">
        <v>7622</v>
      </c>
      <c r="B1418" s="46" t="s">
        <v>7623</v>
      </c>
    </row>
    <row r="1419" spans="1:2" ht="14.5">
      <c r="A1419" s="45" t="s">
        <v>7624</v>
      </c>
      <c r="B1419" s="46" t="s">
        <v>7625</v>
      </c>
    </row>
    <row r="1420" spans="1:2" ht="14.5">
      <c r="A1420" s="45" t="s">
        <v>4929</v>
      </c>
      <c r="B1420" s="46" t="s">
        <v>7626</v>
      </c>
    </row>
    <row r="1421" spans="1:2" ht="14.5">
      <c r="A1421" s="45" t="s">
        <v>7627</v>
      </c>
      <c r="B1421" s="46" t="s">
        <v>7628</v>
      </c>
    </row>
    <row r="1422" spans="1:2" ht="14.5">
      <c r="A1422" s="45" t="s">
        <v>7629</v>
      </c>
      <c r="B1422" s="46" t="s">
        <v>7630</v>
      </c>
    </row>
    <row r="1423" spans="1:2" ht="14.5">
      <c r="A1423" s="45" t="s">
        <v>5294</v>
      </c>
      <c r="B1423" s="46" t="s">
        <v>7631</v>
      </c>
    </row>
    <row r="1424" spans="1:2" ht="14.5">
      <c r="A1424" s="45" t="s">
        <v>7632</v>
      </c>
      <c r="B1424" s="46" t="s">
        <v>7633</v>
      </c>
    </row>
    <row r="1425" spans="1:2" ht="14.5">
      <c r="A1425" s="45" t="s">
        <v>7634</v>
      </c>
      <c r="B1425" s="46" t="s">
        <v>7635</v>
      </c>
    </row>
    <row r="1426" spans="1:2" ht="14.5">
      <c r="A1426" s="45" t="s">
        <v>7636</v>
      </c>
      <c r="B1426" s="46" t="s">
        <v>7637</v>
      </c>
    </row>
    <row r="1427" spans="1:2" ht="14.5">
      <c r="A1427" s="45" t="s">
        <v>7638</v>
      </c>
      <c r="B1427" s="46" t="s">
        <v>7639</v>
      </c>
    </row>
    <row r="1428" spans="1:2" ht="14.5">
      <c r="A1428" s="45" t="s">
        <v>4431</v>
      </c>
      <c r="B1428" s="46" t="s">
        <v>7640</v>
      </c>
    </row>
    <row r="1429" spans="1:2" ht="14.5">
      <c r="A1429" s="45" t="s">
        <v>3347</v>
      </c>
      <c r="B1429" s="46" t="s">
        <v>7641</v>
      </c>
    </row>
    <row r="1430" spans="1:2" ht="14.5">
      <c r="A1430" s="45" t="s">
        <v>4169</v>
      </c>
      <c r="B1430" s="46" t="s">
        <v>7642</v>
      </c>
    </row>
    <row r="1431" spans="1:2" ht="14.5">
      <c r="A1431" s="45" t="s">
        <v>7643</v>
      </c>
      <c r="B1431" s="46" t="s">
        <v>7644</v>
      </c>
    </row>
    <row r="1432" spans="1:2" ht="14.5">
      <c r="A1432" s="45" t="s">
        <v>7645</v>
      </c>
      <c r="B1432" s="46" t="s">
        <v>7646</v>
      </c>
    </row>
    <row r="1433" spans="1:2" ht="14.5">
      <c r="A1433" s="45" t="s">
        <v>7647</v>
      </c>
      <c r="B1433" s="46" t="s">
        <v>7648</v>
      </c>
    </row>
    <row r="1434" spans="1:2" ht="14.5">
      <c r="A1434" s="45" t="s">
        <v>4705</v>
      </c>
      <c r="B1434" s="46" t="s">
        <v>7649</v>
      </c>
    </row>
    <row r="1435" spans="1:2" ht="14.5">
      <c r="A1435" s="45" t="s">
        <v>4881</v>
      </c>
      <c r="B1435" s="46" t="s">
        <v>7650</v>
      </c>
    </row>
    <row r="1436" spans="1:2" ht="14.5">
      <c r="A1436" s="45" t="s">
        <v>7651</v>
      </c>
      <c r="B1436" s="46" t="s">
        <v>7652</v>
      </c>
    </row>
    <row r="1437" spans="1:2" ht="14.5">
      <c r="A1437" s="45" t="s">
        <v>7653</v>
      </c>
      <c r="B1437" s="46" t="s">
        <v>7654</v>
      </c>
    </row>
    <row r="1438" spans="1:2" ht="14.5">
      <c r="A1438" s="45" t="s">
        <v>7655</v>
      </c>
      <c r="B1438" s="46" t="s">
        <v>7656</v>
      </c>
    </row>
    <row r="1439" spans="1:2" ht="14.5">
      <c r="A1439" s="45" t="s">
        <v>7657</v>
      </c>
      <c r="B1439" s="46" t="s">
        <v>7658</v>
      </c>
    </row>
    <row r="1440" spans="1:2" ht="14.5">
      <c r="A1440" s="45" t="s">
        <v>4867</v>
      </c>
      <c r="B1440" s="46" t="s">
        <v>7659</v>
      </c>
    </row>
    <row r="1441" spans="1:2" ht="14.5">
      <c r="A1441" s="45" t="s">
        <v>7660</v>
      </c>
      <c r="B1441" s="46" t="s">
        <v>7661</v>
      </c>
    </row>
    <row r="1442" spans="1:2" ht="14.5">
      <c r="A1442" s="45" t="s">
        <v>169</v>
      </c>
      <c r="B1442" s="46" t="s">
        <v>7662</v>
      </c>
    </row>
    <row r="1443" spans="1:2" ht="14.5">
      <c r="A1443" s="45" t="s">
        <v>7663</v>
      </c>
      <c r="B1443" s="46" t="s">
        <v>7664</v>
      </c>
    </row>
    <row r="1444" spans="1:2" ht="14.5">
      <c r="A1444" s="45" t="s">
        <v>7665</v>
      </c>
      <c r="B1444" s="46" t="s">
        <v>7666</v>
      </c>
    </row>
    <row r="1445" spans="1:2" ht="14.5">
      <c r="A1445" s="45" t="s">
        <v>7667</v>
      </c>
      <c r="B1445" s="46" t="s">
        <v>7668</v>
      </c>
    </row>
    <row r="1446" spans="1:2" ht="14.5">
      <c r="A1446" s="45" t="s">
        <v>4092</v>
      </c>
      <c r="B1446" s="46" t="s">
        <v>7669</v>
      </c>
    </row>
    <row r="1447" spans="1:2" ht="14.5">
      <c r="A1447" s="45" t="s">
        <v>7670</v>
      </c>
      <c r="B1447" s="46" t="s">
        <v>7671</v>
      </c>
    </row>
    <row r="1448" spans="1:2" ht="14.5">
      <c r="A1448" s="45" t="s">
        <v>486</v>
      </c>
      <c r="B1448" s="46" t="s">
        <v>7672</v>
      </c>
    </row>
    <row r="1449" spans="1:2" ht="14.5">
      <c r="A1449" s="45" t="s">
        <v>3282</v>
      </c>
      <c r="B1449" s="46" t="s">
        <v>7673</v>
      </c>
    </row>
    <row r="1450" spans="1:2" ht="14.5">
      <c r="A1450" s="45" t="s">
        <v>4449</v>
      </c>
      <c r="B1450" s="46" t="s">
        <v>7674</v>
      </c>
    </row>
    <row r="1451" spans="1:2" ht="14.5">
      <c r="A1451" s="45" t="s">
        <v>7675</v>
      </c>
      <c r="B1451" s="46" t="s">
        <v>7676</v>
      </c>
    </row>
    <row r="1452" spans="1:2" ht="14.5">
      <c r="A1452" s="45" t="s">
        <v>4716</v>
      </c>
      <c r="B1452" s="46" t="s">
        <v>7677</v>
      </c>
    </row>
    <row r="1453" spans="1:2" ht="14.5">
      <c r="A1453" s="45" t="s">
        <v>7678</v>
      </c>
      <c r="B1453" s="46" t="s">
        <v>7679</v>
      </c>
    </row>
    <row r="1454" spans="1:2" ht="14.5">
      <c r="A1454" s="45" t="s">
        <v>7680</v>
      </c>
      <c r="B1454" s="46" t="s">
        <v>7681</v>
      </c>
    </row>
    <row r="1455" spans="1:2" ht="14.5">
      <c r="A1455" s="45" t="s">
        <v>7682</v>
      </c>
      <c r="B1455" s="46" t="s">
        <v>7683</v>
      </c>
    </row>
    <row r="1456" spans="1:2" ht="14.5">
      <c r="A1456" s="45" t="s">
        <v>7684</v>
      </c>
      <c r="B1456" s="46" t="s">
        <v>7685</v>
      </c>
    </row>
    <row r="1457" spans="1:2" ht="14.5">
      <c r="A1457" s="45" t="s">
        <v>4885</v>
      </c>
      <c r="B1457" s="46" t="s">
        <v>7686</v>
      </c>
    </row>
    <row r="1458" spans="1:2" ht="14.5">
      <c r="A1458" s="45" t="s">
        <v>7687</v>
      </c>
      <c r="B1458" s="46" t="s">
        <v>7688</v>
      </c>
    </row>
    <row r="1459" spans="1:2" ht="14.5">
      <c r="A1459" s="45" t="s">
        <v>4164</v>
      </c>
      <c r="B1459" s="46" t="s">
        <v>7689</v>
      </c>
    </row>
    <row r="1460" spans="1:2" ht="14.5">
      <c r="A1460" s="45" t="s">
        <v>7690</v>
      </c>
      <c r="B1460" s="46" t="s">
        <v>7691</v>
      </c>
    </row>
    <row r="1461" spans="1:2" ht="14.5">
      <c r="A1461" s="45" t="s">
        <v>7692</v>
      </c>
      <c r="B1461" s="46" t="s">
        <v>7693</v>
      </c>
    </row>
    <row r="1462" spans="1:2" ht="14.5">
      <c r="A1462" s="45" t="s">
        <v>7694</v>
      </c>
      <c r="B1462" s="46" t="s">
        <v>7695</v>
      </c>
    </row>
    <row r="1463" spans="1:2" ht="14.5">
      <c r="A1463" s="45" t="s">
        <v>7696</v>
      </c>
      <c r="B1463" s="46" t="s">
        <v>7697</v>
      </c>
    </row>
    <row r="1464" spans="1:2" ht="14.5">
      <c r="A1464" s="45" t="s">
        <v>7698</v>
      </c>
      <c r="B1464" s="46" t="s">
        <v>7699</v>
      </c>
    </row>
    <row r="1465" spans="1:2" ht="14.5">
      <c r="A1465" s="45" t="s">
        <v>7700</v>
      </c>
      <c r="B1465" s="46" t="s">
        <v>7701</v>
      </c>
    </row>
    <row r="1466" spans="1:2" ht="14.5">
      <c r="A1466" s="45" t="s">
        <v>4563</v>
      </c>
      <c r="B1466" s="46" t="s">
        <v>7702</v>
      </c>
    </row>
    <row r="1467" spans="1:2" ht="14.5">
      <c r="A1467" s="45" t="s">
        <v>2095</v>
      </c>
      <c r="B1467" s="46" t="s">
        <v>7703</v>
      </c>
    </row>
    <row r="1468" spans="1:2" ht="14.5">
      <c r="A1468" s="45" t="s">
        <v>7704</v>
      </c>
      <c r="B1468" s="46" t="s">
        <v>7705</v>
      </c>
    </row>
    <row r="1469" spans="1:2" ht="14.5">
      <c r="A1469" s="45" t="s">
        <v>7706</v>
      </c>
      <c r="B1469" s="46" t="s">
        <v>7707</v>
      </c>
    </row>
    <row r="1470" spans="1:2" ht="14.5">
      <c r="A1470" s="45" t="s">
        <v>905</v>
      </c>
      <c r="B1470" s="46" t="s">
        <v>7708</v>
      </c>
    </row>
    <row r="1471" spans="1:2" ht="14.5">
      <c r="A1471" s="45" t="s">
        <v>4363</v>
      </c>
      <c r="B1471" s="46" t="s">
        <v>7709</v>
      </c>
    </row>
    <row r="1472" spans="1:2" ht="14.5">
      <c r="A1472" s="45" t="s">
        <v>7710</v>
      </c>
      <c r="B1472" s="46" t="s">
        <v>7711</v>
      </c>
    </row>
    <row r="1473" spans="1:2" ht="14.5">
      <c r="A1473" s="45" t="s">
        <v>4735</v>
      </c>
      <c r="B1473" s="46" t="s">
        <v>7712</v>
      </c>
    </row>
    <row r="1474" spans="1:2" ht="14.5">
      <c r="A1474" s="45" t="s">
        <v>7713</v>
      </c>
      <c r="B1474" s="46" t="s">
        <v>7714</v>
      </c>
    </row>
    <row r="1475" spans="1:2" ht="14.5">
      <c r="A1475" s="45" t="s">
        <v>515</v>
      </c>
      <c r="B1475" s="46" t="s">
        <v>7715</v>
      </c>
    </row>
    <row r="1476" spans="1:2" ht="14.5">
      <c r="A1476" s="45" t="s">
        <v>7716</v>
      </c>
      <c r="B1476" s="46" t="s">
        <v>7717</v>
      </c>
    </row>
    <row r="1477" spans="1:2" ht="14.5">
      <c r="A1477" s="45" t="s">
        <v>4894</v>
      </c>
      <c r="B1477" s="46" t="s">
        <v>7718</v>
      </c>
    </row>
    <row r="1478" spans="1:2" ht="14.5">
      <c r="A1478" s="45" t="s">
        <v>7719</v>
      </c>
      <c r="B1478" s="46" t="s">
        <v>7720</v>
      </c>
    </row>
    <row r="1479" spans="1:2" ht="14.5">
      <c r="A1479" s="45" t="s">
        <v>7721</v>
      </c>
      <c r="B1479" s="46" t="s">
        <v>7722</v>
      </c>
    </row>
    <row r="1480" spans="1:2" ht="14.5">
      <c r="A1480" s="45" t="s">
        <v>7723</v>
      </c>
      <c r="B1480" s="46" t="s">
        <v>7724</v>
      </c>
    </row>
    <row r="1481" spans="1:2" ht="14.5">
      <c r="A1481" s="45" t="s">
        <v>7725</v>
      </c>
      <c r="B1481" s="46" t="s">
        <v>7726</v>
      </c>
    </row>
    <row r="1482" spans="1:2" ht="14.5">
      <c r="A1482" s="45" t="s">
        <v>7727</v>
      </c>
      <c r="B1482" s="46" t="s">
        <v>7728</v>
      </c>
    </row>
    <row r="1483" spans="1:2" ht="14.5">
      <c r="A1483" s="45" t="s">
        <v>1072</v>
      </c>
      <c r="B1483" s="46" t="s">
        <v>7729</v>
      </c>
    </row>
    <row r="1484" spans="1:2" ht="14.5">
      <c r="A1484" s="45" t="s">
        <v>7730</v>
      </c>
      <c r="B1484" s="46" t="s">
        <v>7731</v>
      </c>
    </row>
    <row r="1485" spans="1:2" ht="14.5">
      <c r="A1485" s="45" t="s">
        <v>4544</v>
      </c>
      <c r="B1485" s="46" t="s">
        <v>7732</v>
      </c>
    </row>
    <row r="1486" spans="1:2" ht="14.5">
      <c r="A1486" s="45" t="s">
        <v>7733</v>
      </c>
      <c r="B1486" s="46" t="s">
        <v>7734</v>
      </c>
    </row>
    <row r="1487" spans="1:2" ht="14.5">
      <c r="A1487" s="45" t="s">
        <v>1790</v>
      </c>
      <c r="B1487" s="46" t="s">
        <v>7735</v>
      </c>
    </row>
    <row r="1488" spans="1:2" ht="14.5">
      <c r="A1488" s="45" t="s">
        <v>7736</v>
      </c>
      <c r="B1488" s="46" t="s">
        <v>7737</v>
      </c>
    </row>
    <row r="1489" spans="1:2" ht="14.5">
      <c r="A1489" s="45" t="s">
        <v>7738</v>
      </c>
      <c r="B1489" s="46" t="s">
        <v>7739</v>
      </c>
    </row>
    <row r="1490" spans="1:2" ht="14.5">
      <c r="A1490" s="45" t="s">
        <v>4827</v>
      </c>
      <c r="B1490" s="46" t="s">
        <v>7740</v>
      </c>
    </row>
    <row r="1491" spans="1:2" ht="14.5">
      <c r="A1491" s="45" t="s">
        <v>4832</v>
      </c>
      <c r="B1491" s="46" t="s">
        <v>7741</v>
      </c>
    </row>
    <row r="1492" spans="1:2" ht="14.5">
      <c r="A1492" s="45" t="s">
        <v>4877</v>
      </c>
      <c r="B1492" s="46" t="s">
        <v>7742</v>
      </c>
    </row>
    <row r="1493" spans="1:2" ht="14.5">
      <c r="A1493" s="45" t="s">
        <v>243</v>
      </c>
      <c r="B1493" s="46" t="s">
        <v>7743</v>
      </c>
    </row>
    <row r="1494" spans="1:2" ht="14.5">
      <c r="A1494" s="45" t="s">
        <v>4882</v>
      </c>
      <c r="B1494" s="46" t="s">
        <v>7744</v>
      </c>
    </row>
    <row r="1495" spans="1:2" ht="14.5">
      <c r="A1495" s="45" t="s">
        <v>7745</v>
      </c>
      <c r="B1495" s="46" t="s">
        <v>7746</v>
      </c>
    </row>
    <row r="1496" spans="1:2" ht="14.5">
      <c r="A1496" s="45" t="s">
        <v>4760</v>
      </c>
      <c r="B1496" s="46" t="s">
        <v>7747</v>
      </c>
    </row>
    <row r="1497" spans="1:2" ht="14.5">
      <c r="A1497" s="45" t="s">
        <v>7748</v>
      </c>
      <c r="B1497" s="46" t="s">
        <v>7749</v>
      </c>
    </row>
    <row r="1498" spans="1:2" ht="14.5">
      <c r="A1498" s="45" t="s">
        <v>409</v>
      </c>
      <c r="B1498" s="46" t="s">
        <v>7750</v>
      </c>
    </row>
    <row r="1499" spans="1:2" ht="14.5">
      <c r="A1499" s="45" t="s">
        <v>4260</v>
      </c>
      <c r="B1499" s="46" t="s">
        <v>7751</v>
      </c>
    </row>
    <row r="1500" spans="1:2" ht="14.5">
      <c r="A1500" s="45" t="s">
        <v>7752</v>
      </c>
      <c r="B1500" s="46" t="s">
        <v>7753</v>
      </c>
    </row>
    <row r="1501" spans="1:2" ht="14.5">
      <c r="A1501" s="45" t="s">
        <v>7754</v>
      </c>
      <c r="B1501" s="46" t="s">
        <v>7755</v>
      </c>
    </row>
    <row r="1502" spans="1:2" ht="14.5">
      <c r="A1502" s="45" t="s">
        <v>4044</v>
      </c>
      <c r="B1502" s="46" t="s">
        <v>7756</v>
      </c>
    </row>
    <row r="1503" spans="1:2" ht="14.5">
      <c r="A1503" s="45" t="s">
        <v>7757</v>
      </c>
      <c r="B1503" s="46" t="s">
        <v>7758</v>
      </c>
    </row>
    <row r="1504" spans="1:2" ht="14.5">
      <c r="A1504" s="45" t="s">
        <v>7759</v>
      </c>
      <c r="B1504" s="46" t="s">
        <v>7760</v>
      </c>
    </row>
    <row r="1505" spans="1:2" ht="14.5">
      <c r="A1505" s="45" t="s">
        <v>7761</v>
      </c>
      <c r="B1505" s="46" t="s">
        <v>7762</v>
      </c>
    </row>
    <row r="1506" spans="1:2" ht="14.5">
      <c r="A1506" s="45" t="s">
        <v>1060</v>
      </c>
      <c r="B1506" s="46" t="s">
        <v>7763</v>
      </c>
    </row>
    <row r="1507" spans="1:2" ht="14.5">
      <c r="A1507" s="45" t="s">
        <v>481</v>
      </c>
      <c r="B1507" s="46" t="s">
        <v>7764</v>
      </c>
    </row>
    <row r="1508" spans="1:2" ht="14.5">
      <c r="A1508" s="45" t="s">
        <v>7765</v>
      </c>
      <c r="B1508" s="46" t="s">
        <v>7766</v>
      </c>
    </row>
    <row r="1509" spans="1:2" ht="14.5">
      <c r="A1509" s="45" t="s">
        <v>4191</v>
      </c>
      <c r="B1509" s="46" t="s">
        <v>7767</v>
      </c>
    </row>
    <row r="1510" spans="1:2" ht="14.5">
      <c r="A1510" s="45" t="s">
        <v>4950</v>
      </c>
      <c r="B1510" s="46" t="s">
        <v>7768</v>
      </c>
    </row>
    <row r="1511" spans="1:2" ht="14.5">
      <c r="A1511" s="45" t="s">
        <v>7769</v>
      </c>
      <c r="B1511" s="46" t="s">
        <v>7770</v>
      </c>
    </row>
    <row r="1512" spans="1:2" ht="14.5">
      <c r="A1512" s="45" t="s">
        <v>7771</v>
      </c>
      <c r="B1512" s="46" t="s">
        <v>7772</v>
      </c>
    </row>
    <row r="1513" spans="1:2" ht="14.5">
      <c r="A1513" s="45" t="s">
        <v>7773</v>
      </c>
      <c r="B1513" s="46" t="s">
        <v>7774</v>
      </c>
    </row>
    <row r="1514" spans="1:2" ht="14.5">
      <c r="A1514" s="45" t="s">
        <v>4936</v>
      </c>
      <c r="B1514" s="46" t="s">
        <v>7775</v>
      </c>
    </row>
    <row r="1515" spans="1:2" ht="14.5">
      <c r="A1515" s="45" t="s">
        <v>4772</v>
      </c>
      <c r="B1515" s="46" t="s">
        <v>7776</v>
      </c>
    </row>
    <row r="1516" spans="1:2" ht="14.5">
      <c r="A1516" s="45" t="s">
        <v>507</v>
      </c>
      <c r="B1516" s="46" t="s">
        <v>7777</v>
      </c>
    </row>
    <row r="1517" spans="1:2" ht="14.5">
      <c r="A1517" s="45" t="s">
        <v>7778</v>
      </c>
      <c r="B1517" s="46" t="s">
        <v>7779</v>
      </c>
    </row>
    <row r="1518" spans="1:2" ht="14.5">
      <c r="A1518" s="45" t="s">
        <v>7780</v>
      </c>
      <c r="B1518" s="46" t="s">
        <v>7781</v>
      </c>
    </row>
    <row r="1519" spans="1:2" ht="14.5">
      <c r="A1519" s="45" t="s">
        <v>7782</v>
      </c>
      <c r="B1519" s="46" t="s">
        <v>7783</v>
      </c>
    </row>
    <row r="1520" spans="1:2" ht="14.5">
      <c r="A1520" s="45" t="s">
        <v>7784</v>
      </c>
      <c r="B1520" s="46" t="s">
        <v>7785</v>
      </c>
    </row>
    <row r="1521" spans="1:2" ht="14.5">
      <c r="A1521" s="45" t="s">
        <v>1888</v>
      </c>
      <c r="B1521" s="46" t="s">
        <v>7786</v>
      </c>
    </row>
    <row r="1522" spans="1:2" ht="14.5">
      <c r="A1522" s="45" t="s">
        <v>7787</v>
      </c>
      <c r="B1522" s="46" t="s">
        <v>7788</v>
      </c>
    </row>
    <row r="1523" spans="1:2" ht="14.5">
      <c r="A1523" s="45" t="s">
        <v>7789</v>
      </c>
      <c r="B1523" s="46" t="s">
        <v>7790</v>
      </c>
    </row>
    <row r="1524" spans="1:2" ht="14.5">
      <c r="A1524" s="45" t="s">
        <v>7791</v>
      </c>
      <c r="B1524" s="46" t="s">
        <v>7792</v>
      </c>
    </row>
    <row r="1525" spans="1:2" ht="14.5">
      <c r="A1525" s="45" t="s">
        <v>7793</v>
      </c>
      <c r="B1525" s="46" t="s">
        <v>7794</v>
      </c>
    </row>
    <row r="1526" spans="1:2" ht="14.5">
      <c r="A1526" s="45" t="s">
        <v>4252</v>
      </c>
      <c r="B1526" s="46" t="s">
        <v>7795</v>
      </c>
    </row>
    <row r="1527" spans="1:2" ht="14.5">
      <c r="A1527" s="45" t="s">
        <v>206</v>
      </c>
      <c r="B1527" s="46" t="s">
        <v>7796</v>
      </c>
    </row>
    <row r="1528" spans="1:2" ht="14.5">
      <c r="A1528" s="45" t="s">
        <v>7797</v>
      </c>
      <c r="B1528" s="46" t="s">
        <v>7798</v>
      </c>
    </row>
    <row r="1529" spans="1:2" ht="14.5">
      <c r="A1529" s="45" t="s">
        <v>7799</v>
      </c>
      <c r="B1529" s="46" t="s">
        <v>7800</v>
      </c>
    </row>
    <row r="1530" spans="1:2" ht="14.5">
      <c r="A1530" s="45" t="s">
        <v>4634</v>
      </c>
      <c r="B1530" s="46" t="s">
        <v>7801</v>
      </c>
    </row>
    <row r="1531" spans="1:2" ht="14.5">
      <c r="A1531" s="45" t="s">
        <v>7802</v>
      </c>
      <c r="B1531" s="46" t="s">
        <v>7803</v>
      </c>
    </row>
    <row r="1532" spans="1:2" ht="14.5">
      <c r="A1532" s="45" t="s">
        <v>7804</v>
      </c>
      <c r="B1532" s="46" t="s">
        <v>7805</v>
      </c>
    </row>
    <row r="1533" spans="1:2" ht="14.5">
      <c r="A1533" s="45" t="s">
        <v>812</v>
      </c>
      <c r="B1533" s="46" t="s">
        <v>7806</v>
      </c>
    </row>
    <row r="1534" spans="1:2" ht="14.5">
      <c r="A1534" s="45" t="s">
        <v>7807</v>
      </c>
      <c r="B1534" s="46" t="s">
        <v>7808</v>
      </c>
    </row>
    <row r="1535" spans="1:2" ht="14.5">
      <c r="A1535" s="45" t="s">
        <v>4862</v>
      </c>
      <c r="B1535" s="46" t="s">
        <v>7809</v>
      </c>
    </row>
    <row r="1536" spans="1:2" ht="14.5">
      <c r="A1536" s="45" t="s">
        <v>4310</v>
      </c>
      <c r="B1536" s="46" t="s">
        <v>7810</v>
      </c>
    </row>
    <row r="1537" spans="1:2" ht="14.5">
      <c r="A1537" s="45" t="s">
        <v>7811</v>
      </c>
      <c r="B1537" s="46" t="s">
        <v>7812</v>
      </c>
    </row>
    <row r="1538" spans="1:2" ht="14.5">
      <c r="A1538" s="45" t="s">
        <v>4296</v>
      </c>
      <c r="B1538" s="46" t="s">
        <v>7813</v>
      </c>
    </row>
    <row r="1539" spans="1:2" ht="14.5">
      <c r="A1539" s="45" t="s">
        <v>7814</v>
      </c>
      <c r="B1539" s="46" t="s">
        <v>7815</v>
      </c>
    </row>
    <row r="1540" spans="1:2" ht="14.5">
      <c r="A1540" s="45" t="s">
        <v>7816</v>
      </c>
      <c r="B1540" s="46" t="s">
        <v>7817</v>
      </c>
    </row>
    <row r="1541" spans="1:2" ht="14.5">
      <c r="A1541" s="45" t="s">
        <v>7818</v>
      </c>
      <c r="B1541" s="46" t="s">
        <v>7819</v>
      </c>
    </row>
    <row r="1542" spans="1:2" ht="14.5">
      <c r="A1542" s="45" t="s">
        <v>7820</v>
      </c>
      <c r="B1542" s="46" t="s">
        <v>7821</v>
      </c>
    </row>
    <row r="1543" spans="1:2" ht="14.5">
      <c r="A1543" s="45" t="s">
        <v>3090</v>
      </c>
      <c r="B1543" s="46" t="s">
        <v>7822</v>
      </c>
    </row>
    <row r="1544" spans="1:2" ht="14.5">
      <c r="A1544" s="45" t="s">
        <v>4682</v>
      </c>
      <c r="B1544" s="46" t="s">
        <v>7823</v>
      </c>
    </row>
    <row r="1545" spans="1:2" ht="14.5">
      <c r="A1545" s="45" t="s">
        <v>4525</v>
      </c>
      <c r="B1545" s="46" t="s">
        <v>7824</v>
      </c>
    </row>
    <row r="1546" spans="1:2" ht="14.5">
      <c r="A1546" s="45" t="s">
        <v>7825</v>
      </c>
      <c r="B1546" s="46" t="s">
        <v>7826</v>
      </c>
    </row>
    <row r="1547" spans="1:2" ht="14.5">
      <c r="A1547" s="45" t="s">
        <v>7827</v>
      </c>
      <c r="B1547" s="46" t="s">
        <v>7828</v>
      </c>
    </row>
    <row r="1548" spans="1:2" ht="14.5">
      <c r="A1548" s="45" t="s">
        <v>7829</v>
      </c>
      <c r="B1548" s="46" t="s">
        <v>7830</v>
      </c>
    </row>
    <row r="1549" spans="1:2" ht="14.5">
      <c r="A1549" s="45" t="s">
        <v>1075</v>
      </c>
      <c r="B1549" s="46" t="s">
        <v>7831</v>
      </c>
    </row>
    <row r="1550" spans="1:2" ht="14.5">
      <c r="A1550" s="45" t="s">
        <v>1026</v>
      </c>
      <c r="B1550" s="46" t="s">
        <v>7832</v>
      </c>
    </row>
    <row r="1551" spans="1:2" ht="14.5">
      <c r="A1551" s="45" t="s">
        <v>4656</v>
      </c>
      <c r="B1551" s="46" t="s">
        <v>7833</v>
      </c>
    </row>
    <row r="1552" spans="1:2" ht="14.5">
      <c r="A1552" s="45" t="s">
        <v>7834</v>
      </c>
      <c r="B1552" s="46" t="s">
        <v>7835</v>
      </c>
    </row>
    <row r="1553" spans="1:2" ht="14.5">
      <c r="A1553" s="45" t="s">
        <v>7836</v>
      </c>
      <c r="B1553" s="46" t="s">
        <v>7837</v>
      </c>
    </row>
    <row r="1554" spans="1:2" ht="14.5">
      <c r="A1554" s="45" t="s">
        <v>4970</v>
      </c>
      <c r="B1554" s="46" t="s">
        <v>7838</v>
      </c>
    </row>
    <row r="1555" spans="1:2" ht="14.5">
      <c r="A1555" s="45" t="s">
        <v>7839</v>
      </c>
      <c r="B1555" s="46" t="s">
        <v>7840</v>
      </c>
    </row>
    <row r="1556" spans="1:2" ht="14.5">
      <c r="A1556" s="45" t="s">
        <v>4235</v>
      </c>
      <c r="B1556" s="46" t="s">
        <v>7841</v>
      </c>
    </row>
    <row r="1557" spans="1:2" ht="14.5">
      <c r="A1557" s="45" t="s">
        <v>7842</v>
      </c>
      <c r="B1557" s="46" t="s">
        <v>7843</v>
      </c>
    </row>
    <row r="1558" spans="1:2" ht="14.5">
      <c r="A1558" s="45" t="s">
        <v>4332</v>
      </c>
      <c r="B1558" s="46" t="s">
        <v>7844</v>
      </c>
    </row>
    <row r="1559" spans="1:2" ht="14.5">
      <c r="A1559" s="45" t="s">
        <v>4803</v>
      </c>
      <c r="B1559" s="46" t="s">
        <v>7845</v>
      </c>
    </row>
    <row r="1560" spans="1:2" ht="14.5">
      <c r="A1560" s="45" t="s">
        <v>7846</v>
      </c>
      <c r="B1560" s="46" t="s">
        <v>7847</v>
      </c>
    </row>
    <row r="1561" spans="1:2" ht="14.5">
      <c r="A1561" s="45" t="s">
        <v>4848</v>
      </c>
      <c r="B1561" s="46" t="s">
        <v>7848</v>
      </c>
    </row>
    <row r="1562" spans="1:2" ht="14.5">
      <c r="A1562" s="45" t="s">
        <v>4969</v>
      </c>
      <c r="B1562" s="46" t="s">
        <v>7849</v>
      </c>
    </row>
    <row r="1563" spans="1:2" ht="14.5">
      <c r="A1563" s="45" t="s">
        <v>7850</v>
      </c>
      <c r="B1563" s="46" t="s">
        <v>7851</v>
      </c>
    </row>
    <row r="1564" spans="1:2" ht="14.5">
      <c r="A1564" s="45" t="s">
        <v>3755</v>
      </c>
      <c r="B1564" s="46" t="s">
        <v>7852</v>
      </c>
    </row>
    <row r="1565" spans="1:2" ht="14.5">
      <c r="A1565" s="45" t="s">
        <v>7853</v>
      </c>
      <c r="B1565" s="46" t="s">
        <v>7854</v>
      </c>
    </row>
    <row r="1566" spans="1:2" ht="14.5">
      <c r="A1566" s="45" t="s">
        <v>7855</v>
      </c>
      <c r="B1566" s="46" t="s">
        <v>7856</v>
      </c>
    </row>
    <row r="1567" spans="1:2" ht="14.5">
      <c r="A1567" s="45" t="s">
        <v>7857</v>
      </c>
      <c r="B1567" s="46" t="s">
        <v>7858</v>
      </c>
    </row>
    <row r="1568" spans="1:2" ht="14.5">
      <c r="A1568" s="45" t="s">
        <v>4910</v>
      </c>
      <c r="B1568" s="46" t="s">
        <v>7859</v>
      </c>
    </row>
    <row r="1569" spans="1:2" ht="14.5">
      <c r="A1569" s="45" t="s">
        <v>7860</v>
      </c>
      <c r="B1569" s="46" t="s">
        <v>7861</v>
      </c>
    </row>
    <row r="1570" spans="1:2" ht="14.5">
      <c r="A1570" s="45" t="s">
        <v>7862</v>
      </c>
      <c r="B1570" s="46" t="s">
        <v>7863</v>
      </c>
    </row>
    <row r="1571" spans="1:2" ht="14.5">
      <c r="A1571" s="45" t="s">
        <v>7864</v>
      </c>
      <c r="B1571" s="46" t="s">
        <v>7865</v>
      </c>
    </row>
    <row r="1572" spans="1:2" ht="14.5">
      <c r="A1572" s="45" t="s">
        <v>7866</v>
      </c>
      <c r="B1572" s="46" t="s">
        <v>7867</v>
      </c>
    </row>
    <row r="1573" spans="1:2" ht="14.5">
      <c r="A1573" s="45" t="s">
        <v>7868</v>
      </c>
      <c r="B1573" s="46" t="s">
        <v>7869</v>
      </c>
    </row>
    <row r="1574" spans="1:2" ht="14.5">
      <c r="A1574" s="45" t="s">
        <v>7870</v>
      </c>
      <c r="B1574" s="46" t="s">
        <v>7871</v>
      </c>
    </row>
    <row r="1575" spans="1:2" ht="14.5">
      <c r="A1575" s="45" t="s">
        <v>7872</v>
      </c>
      <c r="B1575" s="46" t="s">
        <v>7873</v>
      </c>
    </row>
    <row r="1576" spans="1:2" ht="14.5">
      <c r="A1576" s="45" t="s">
        <v>3764</v>
      </c>
      <c r="B1576" s="46" t="s">
        <v>7874</v>
      </c>
    </row>
    <row r="1577" spans="1:2" ht="14.5">
      <c r="A1577" s="45" t="s">
        <v>7875</v>
      </c>
      <c r="B1577" s="46" t="s">
        <v>7876</v>
      </c>
    </row>
    <row r="1578" spans="1:2" ht="14.5">
      <c r="A1578" s="45" t="s">
        <v>4765</v>
      </c>
      <c r="B1578" s="46" t="s">
        <v>7877</v>
      </c>
    </row>
    <row r="1579" spans="1:2" ht="14.5">
      <c r="A1579" s="45" t="s">
        <v>1826</v>
      </c>
      <c r="B1579" s="46" t="s">
        <v>7878</v>
      </c>
    </row>
    <row r="1580" spans="1:2" ht="14.5">
      <c r="A1580" s="45" t="s">
        <v>7879</v>
      </c>
      <c r="B1580" s="46" t="s">
        <v>7880</v>
      </c>
    </row>
    <row r="1581" spans="1:2" ht="14.5">
      <c r="A1581" s="45" t="s">
        <v>7881</v>
      </c>
      <c r="B1581" s="46" t="s">
        <v>7882</v>
      </c>
    </row>
    <row r="1582" spans="1:2" ht="14.5">
      <c r="A1582" s="45" t="s">
        <v>7883</v>
      </c>
      <c r="B1582" s="46" t="s">
        <v>7884</v>
      </c>
    </row>
    <row r="1583" spans="1:2" ht="14.5">
      <c r="A1583" s="45" t="s">
        <v>4834</v>
      </c>
      <c r="B1583" s="46" t="s">
        <v>7885</v>
      </c>
    </row>
    <row r="1584" spans="1:2" ht="14.5">
      <c r="A1584" s="45" t="s">
        <v>7886</v>
      </c>
      <c r="B1584" s="46" t="s">
        <v>7887</v>
      </c>
    </row>
    <row r="1585" spans="1:2" ht="14.5">
      <c r="A1585" s="45" t="s">
        <v>7888</v>
      </c>
      <c r="B1585" s="46" t="s">
        <v>7889</v>
      </c>
    </row>
    <row r="1586" spans="1:2" ht="14.5">
      <c r="A1586" s="45" t="s">
        <v>4728</v>
      </c>
      <c r="B1586" s="46" t="s">
        <v>7890</v>
      </c>
    </row>
    <row r="1587" spans="1:2" ht="14.5">
      <c r="A1587" s="45" t="s">
        <v>4050</v>
      </c>
      <c r="B1587" s="46" t="s">
        <v>7891</v>
      </c>
    </row>
    <row r="1588" spans="1:2" ht="14.5">
      <c r="A1588" s="45" t="s">
        <v>7892</v>
      </c>
      <c r="B1588" s="46" t="s">
        <v>7893</v>
      </c>
    </row>
    <row r="1589" spans="1:2" ht="14.5">
      <c r="A1589" s="45" t="s">
        <v>4548</v>
      </c>
      <c r="B1589" s="46" t="s">
        <v>7894</v>
      </c>
    </row>
    <row r="1590" spans="1:2" ht="14.5">
      <c r="A1590" s="45" t="s">
        <v>7895</v>
      </c>
      <c r="B1590" s="46" t="s">
        <v>7896</v>
      </c>
    </row>
    <row r="1591" spans="1:2" ht="14.5">
      <c r="A1591" s="45" t="s">
        <v>4810</v>
      </c>
      <c r="B1591" s="46" t="s">
        <v>7897</v>
      </c>
    </row>
    <row r="1592" spans="1:2" ht="14.5">
      <c r="A1592" s="45" t="s">
        <v>7898</v>
      </c>
      <c r="B1592" s="46" t="s">
        <v>7899</v>
      </c>
    </row>
    <row r="1593" spans="1:2" ht="14.5">
      <c r="A1593" s="45" t="s">
        <v>7900</v>
      </c>
      <c r="B1593" s="46" t="s">
        <v>7901</v>
      </c>
    </row>
    <row r="1594" spans="1:2" ht="14.5">
      <c r="A1594" s="45" t="s">
        <v>3372</v>
      </c>
      <c r="B1594" s="46" t="s">
        <v>7902</v>
      </c>
    </row>
    <row r="1595" spans="1:2" ht="14.5">
      <c r="A1595" s="45" t="s">
        <v>2407</v>
      </c>
      <c r="B1595" s="46" t="s">
        <v>7903</v>
      </c>
    </row>
    <row r="1596" spans="1:2" ht="14.5">
      <c r="A1596" s="45" t="s">
        <v>7904</v>
      </c>
      <c r="B1596" s="46" t="s">
        <v>7905</v>
      </c>
    </row>
    <row r="1597" spans="1:2" ht="14.5">
      <c r="A1597" s="45" t="s">
        <v>7906</v>
      </c>
      <c r="B1597" s="46" t="s">
        <v>7907</v>
      </c>
    </row>
    <row r="1598" spans="1:2" ht="14.5">
      <c r="A1598" s="45" t="s">
        <v>7908</v>
      </c>
      <c r="B1598" s="46" t="s">
        <v>7909</v>
      </c>
    </row>
    <row r="1599" spans="1:2" ht="14.5">
      <c r="A1599" s="45" t="s">
        <v>7910</v>
      </c>
      <c r="B1599" s="46" t="s">
        <v>7911</v>
      </c>
    </row>
    <row r="1600" spans="1:2" ht="14.5">
      <c r="A1600" s="45" t="s">
        <v>4668</v>
      </c>
      <c r="B1600" s="46" t="s">
        <v>7912</v>
      </c>
    </row>
    <row r="1601" spans="1:2" ht="14.5">
      <c r="A1601" s="45" t="s">
        <v>7913</v>
      </c>
      <c r="B1601" s="46" t="s">
        <v>7914</v>
      </c>
    </row>
    <row r="1602" spans="1:2" ht="14.5">
      <c r="A1602" s="45" t="s">
        <v>4143</v>
      </c>
      <c r="B1602" s="46" t="s">
        <v>7915</v>
      </c>
    </row>
    <row r="1603" spans="1:2" ht="14.5">
      <c r="A1603" s="45" t="s">
        <v>7916</v>
      </c>
      <c r="B1603" s="46" t="s">
        <v>7917</v>
      </c>
    </row>
    <row r="1604" spans="1:2" ht="14.5">
      <c r="A1604" s="45" t="s">
        <v>4871</v>
      </c>
      <c r="B1604" s="46" t="s">
        <v>7918</v>
      </c>
    </row>
    <row r="1605" spans="1:2" ht="14.5">
      <c r="A1605" s="45" t="s">
        <v>1492</v>
      </c>
      <c r="B1605" s="46" t="s">
        <v>7919</v>
      </c>
    </row>
    <row r="1606" spans="1:2" ht="14.5">
      <c r="A1606" s="45" t="s">
        <v>7920</v>
      </c>
      <c r="B1606" s="46" t="s">
        <v>7921</v>
      </c>
    </row>
    <row r="1607" spans="1:2" ht="14.5">
      <c r="A1607" s="45" t="s">
        <v>7922</v>
      </c>
      <c r="B1607" s="46" t="s">
        <v>7923</v>
      </c>
    </row>
    <row r="1608" spans="1:2" ht="14.5">
      <c r="A1608" s="45" t="s">
        <v>7924</v>
      </c>
      <c r="B1608" s="46" t="s">
        <v>7925</v>
      </c>
    </row>
    <row r="1609" spans="1:2" ht="14.5">
      <c r="A1609" s="45" t="s">
        <v>7926</v>
      </c>
      <c r="B1609" s="46" t="s">
        <v>7927</v>
      </c>
    </row>
    <row r="1610" spans="1:2" ht="14.5">
      <c r="A1610" s="45" t="s">
        <v>4188</v>
      </c>
      <c r="B1610" s="46" t="s">
        <v>7928</v>
      </c>
    </row>
    <row r="1611" spans="1:2" ht="14.5">
      <c r="A1611" s="45" t="s">
        <v>7929</v>
      </c>
      <c r="B1611" s="46" t="s">
        <v>7930</v>
      </c>
    </row>
    <row r="1612" spans="1:2" ht="14.5">
      <c r="A1612" s="45" t="s">
        <v>4777</v>
      </c>
      <c r="B1612" s="46" t="s">
        <v>7931</v>
      </c>
    </row>
    <row r="1613" spans="1:2" ht="14.5">
      <c r="A1613" s="45" t="s">
        <v>3769</v>
      </c>
      <c r="B1613" s="46" t="s">
        <v>7932</v>
      </c>
    </row>
    <row r="1614" spans="1:2" ht="14.5">
      <c r="A1614" s="45" t="s">
        <v>4863</v>
      </c>
      <c r="B1614" s="46" t="s">
        <v>7933</v>
      </c>
    </row>
    <row r="1615" spans="1:2" ht="14.5">
      <c r="A1615" s="45" t="s">
        <v>4148</v>
      </c>
      <c r="B1615" s="46" t="s">
        <v>7934</v>
      </c>
    </row>
    <row r="1616" spans="1:2" ht="14.5">
      <c r="A1616" s="45" t="s">
        <v>4466</v>
      </c>
      <c r="B1616" s="46" t="s">
        <v>7935</v>
      </c>
    </row>
    <row r="1617" spans="1:2" ht="14.5">
      <c r="A1617" s="45" t="s">
        <v>4291</v>
      </c>
      <c r="B1617" s="46" t="s">
        <v>7936</v>
      </c>
    </row>
    <row r="1618" spans="1:2" ht="14.5">
      <c r="A1618" s="45" t="s">
        <v>4128</v>
      </c>
      <c r="B1618" s="46" t="s">
        <v>7937</v>
      </c>
    </row>
    <row r="1619" spans="1:2" ht="14.5">
      <c r="A1619" s="45" t="s">
        <v>7938</v>
      </c>
      <c r="B1619" s="46" t="s">
        <v>7939</v>
      </c>
    </row>
    <row r="1620" spans="1:2" ht="14.5">
      <c r="A1620" s="45" t="s">
        <v>7940</v>
      </c>
      <c r="B1620" s="46" t="s">
        <v>7941</v>
      </c>
    </row>
    <row r="1621" spans="1:2" ht="14.5">
      <c r="A1621" s="45" t="s">
        <v>7942</v>
      </c>
      <c r="B1621" s="46" t="s">
        <v>7943</v>
      </c>
    </row>
    <row r="1622" spans="1:2" ht="14.5">
      <c r="A1622" s="45" t="s">
        <v>4287</v>
      </c>
      <c r="B1622" s="46" t="s">
        <v>7944</v>
      </c>
    </row>
    <row r="1623" spans="1:2" ht="14.5">
      <c r="A1623" s="45" t="s">
        <v>7945</v>
      </c>
      <c r="B1623" s="46" t="s">
        <v>7946</v>
      </c>
    </row>
    <row r="1624" spans="1:2" ht="14.5">
      <c r="A1624" s="45" t="s">
        <v>7947</v>
      </c>
      <c r="B1624" s="46" t="s">
        <v>7948</v>
      </c>
    </row>
    <row r="1625" spans="1:2" ht="14.5">
      <c r="A1625" s="45" t="s">
        <v>7949</v>
      </c>
      <c r="B1625" s="46" t="s">
        <v>7950</v>
      </c>
    </row>
    <row r="1626" spans="1:2" ht="14.5">
      <c r="A1626" s="45" t="s">
        <v>7951</v>
      </c>
      <c r="B1626" s="46" t="s">
        <v>7952</v>
      </c>
    </row>
    <row r="1627" spans="1:2" ht="14.5">
      <c r="A1627" s="45" t="s">
        <v>7953</v>
      </c>
      <c r="B1627" s="46" t="s">
        <v>7954</v>
      </c>
    </row>
    <row r="1628" spans="1:2" ht="14.5">
      <c r="A1628" s="45" t="s">
        <v>7955</v>
      </c>
      <c r="B1628" s="46" t="s">
        <v>7956</v>
      </c>
    </row>
    <row r="1629" spans="1:2" ht="14.5">
      <c r="A1629" s="45" t="s">
        <v>4485</v>
      </c>
      <c r="B1629" s="46" t="s">
        <v>7957</v>
      </c>
    </row>
    <row r="1630" spans="1:2" ht="14.5">
      <c r="A1630" s="45" t="s">
        <v>7958</v>
      </c>
      <c r="B1630" s="46" t="s">
        <v>7959</v>
      </c>
    </row>
    <row r="1631" spans="1:2" ht="14.5">
      <c r="A1631" s="45" t="s">
        <v>7960</v>
      </c>
      <c r="B1631" s="46" t="s">
        <v>7961</v>
      </c>
    </row>
    <row r="1632" spans="1:2" ht="14.5">
      <c r="A1632" s="45" t="s">
        <v>7962</v>
      </c>
      <c r="B1632" s="46" t="s">
        <v>7963</v>
      </c>
    </row>
    <row r="1633" spans="1:2" ht="14.5">
      <c r="A1633" s="45" t="s">
        <v>777</v>
      </c>
      <c r="B1633" s="46" t="s">
        <v>7964</v>
      </c>
    </row>
    <row r="1634" spans="1:2" ht="14.5">
      <c r="A1634" s="45" t="s">
        <v>3757</v>
      </c>
      <c r="B1634" s="46" t="s">
        <v>7965</v>
      </c>
    </row>
    <row r="1635" spans="1:2" ht="14.5">
      <c r="A1635" s="45" t="s">
        <v>4914</v>
      </c>
      <c r="B1635" s="46" t="s">
        <v>7966</v>
      </c>
    </row>
    <row r="1636" spans="1:2" ht="14.5">
      <c r="A1636" s="45" t="s">
        <v>7967</v>
      </c>
      <c r="B1636" s="46" t="s">
        <v>7968</v>
      </c>
    </row>
    <row r="1637" spans="1:2" ht="14.5">
      <c r="A1637" s="45" t="s">
        <v>3209</v>
      </c>
      <c r="B1637" s="46" t="s">
        <v>7969</v>
      </c>
    </row>
    <row r="1638" spans="1:2" ht="14.5">
      <c r="A1638" s="45" t="s">
        <v>2954</v>
      </c>
      <c r="B1638" s="46" t="s">
        <v>7970</v>
      </c>
    </row>
    <row r="1639" spans="1:2" ht="14.5">
      <c r="A1639" s="45" t="s">
        <v>7971</v>
      </c>
      <c r="B1639" s="46" t="s">
        <v>7972</v>
      </c>
    </row>
    <row r="1640" spans="1:2" ht="14.5">
      <c r="A1640" s="45" t="s">
        <v>1040</v>
      </c>
      <c r="B1640" s="46" t="s">
        <v>7973</v>
      </c>
    </row>
    <row r="1641" spans="1:2" ht="14.5">
      <c r="A1641" s="45" t="s">
        <v>7974</v>
      </c>
      <c r="B1641" s="46" t="s">
        <v>7975</v>
      </c>
    </row>
    <row r="1642" spans="1:2" ht="14.5">
      <c r="A1642" s="45" t="s">
        <v>7976</v>
      </c>
      <c r="B1642" s="46" t="s">
        <v>7977</v>
      </c>
    </row>
    <row r="1643" spans="1:2" ht="14.5">
      <c r="A1643" s="45" t="s">
        <v>7978</v>
      </c>
      <c r="B1643" s="46" t="s">
        <v>7979</v>
      </c>
    </row>
    <row r="1644" spans="1:2" ht="14.5">
      <c r="A1644" s="45" t="s">
        <v>7980</v>
      </c>
      <c r="B1644" s="46" t="s">
        <v>7981</v>
      </c>
    </row>
    <row r="1645" spans="1:2" ht="14.5">
      <c r="A1645" s="45" t="s">
        <v>7982</v>
      </c>
      <c r="B1645" s="46" t="s">
        <v>7983</v>
      </c>
    </row>
    <row r="1646" spans="1:2" ht="14.5">
      <c r="A1646" s="45" t="s">
        <v>7984</v>
      </c>
      <c r="B1646" s="46" t="s">
        <v>7985</v>
      </c>
    </row>
    <row r="1647" spans="1:2" ht="14.5">
      <c r="A1647" s="45" t="s">
        <v>7986</v>
      </c>
      <c r="B1647" s="46" t="s">
        <v>7987</v>
      </c>
    </row>
    <row r="1648" spans="1:2" ht="14.5">
      <c r="A1648" s="45" t="s">
        <v>7988</v>
      </c>
      <c r="B1648" s="46" t="s">
        <v>7989</v>
      </c>
    </row>
    <row r="1649" spans="1:2" ht="14.5">
      <c r="A1649" s="45" t="s">
        <v>4712</v>
      </c>
      <c r="B1649" s="46" t="s">
        <v>7990</v>
      </c>
    </row>
    <row r="1650" spans="1:2" ht="14.5">
      <c r="A1650" s="45" t="s">
        <v>7991</v>
      </c>
      <c r="B1650" s="46" t="s">
        <v>7992</v>
      </c>
    </row>
    <row r="1651" spans="1:2" ht="14.5">
      <c r="A1651" s="45" t="s">
        <v>4576</v>
      </c>
      <c r="B1651" s="46" t="s">
        <v>7993</v>
      </c>
    </row>
    <row r="1652" spans="1:2" ht="14.5">
      <c r="A1652" s="45" t="s">
        <v>4492</v>
      </c>
      <c r="B1652" s="46" t="s">
        <v>7994</v>
      </c>
    </row>
    <row r="1653" spans="1:2" ht="14.5">
      <c r="A1653" s="45" t="s">
        <v>7995</v>
      </c>
      <c r="B1653" s="46" t="s">
        <v>7996</v>
      </c>
    </row>
    <row r="1654" spans="1:2" ht="14.5">
      <c r="A1654" s="45" t="s">
        <v>7997</v>
      </c>
      <c r="B1654" s="46" t="s">
        <v>7998</v>
      </c>
    </row>
    <row r="1655" spans="1:2" ht="14.5">
      <c r="A1655" s="45" t="s">
        <v>4744</v>
      </c>
      <c r="B1655" s="46" t="s">
        <v>7999</v>
      </c>
    </row>
    <row r="1656" spans="1:2" ht="14.5">
      <c r="A1656" s="45" t="s">
        <v>8000</v>
      </c>
      <c r="B1656" s="46" t="s">
        <v>8001</v>
      </c>
    </row>
    <row r="1657" spans="1:2" ht="14.5">
      <c r="A1657" s="45" t="s">
        <v>8002</v>
      </c>
      <c r="B1657" s="46" t="s">
        <v>8003</v>
      </c>
    </row>
    <row r="1658" spans="1:2" ht="14.5">
      <c r="A1658" s="45" t="s">
        <v>8004</v>
      </c>
      <c r="B1658" s="46" t="s">
        <v>8005</v>
      </c>
    </row>
    <row r="1659" spans="1:2" ht="14.5">
      <c r="A1659" s="45" t="s">
        <v>4585</v>
      </c>
      <c r="B1659" s="46" t="s">
        <v>8006</v>
      </c>
    </row>
    <row r="1660" spans="1:2" ht="14.5">
      <c r="A1660" s="45" t="s">
        <v>8007</v>
      </c>
      <c r="B1660" s="46" t="s">
        <v>8008</v>
      </c>
    </row>
    <row r="1661" spans="1:2" ht="14.5">
      <c r="A1661" s="45" t="s">
        <v>8009</v>
      </c>
      <c r="B1661" s="46" t="s">
        <v>8010</v>
      </c>
    </row>
    <row r="1662" spans="1:2" ht="14.5">
      <c r="A1662" s="45" t="s">
        <v>8011</v>
      </c>
      <c r="B1662" s="46" t="s">
        <v>8012</v>
      </c>
    </row>
    <row r="1663" spans="1:2" ht="14.5">
      <c r="A1663" s="45" t="s">
        <v>8013</v>
      </c>
      <c r="B1663" s="46" t="s">
        <v>8014</v>
      </c>
    </row>
    <row r="1664" spans="1:2" ht="14.5">
      <c r="A1664" s="45" t="s">
        <v>8015</v>
      </c>
      <c r="B1664" s="46" t="s">
        <v>8016</v>
      </c>
    </row>
    <row r="1665" spans="1:2" ht="14.5">
      <c r="A1665" s="45" t="s">
        <v>4102</v>
      </c>
      <c r="B1665" s="46" t="s">
        <v>8017</v>
      </c>
    </row>
    <row r="1666" spans="1:2" ht="14.5">
      <c r="A1666" s="45" t="s">
        <v>8018</v>
      </c>
      <c r="B1666" s="46" t="s">
        <v>5644</v>
      </c>
    </row>
    <row r="1667" spans="1:2" ht="14.5">
      <c r="A1667" s="45" t="s">
        <v>4725</v>
      </c>
      <c r="B1667" s="46" t="s">
        <v>8019</v>
      </c>
    </row>
    <row r="1668" spans="1:2" ht="14.5">
      <c r="A1668" s="45" t="s">
        <v>8020</v>
      </c>
      <c r="B1668" s="46" t="s">
        <v>8021</v>
      </c>
    </row>
    <row r="1669" spans="1:2" ht="14.5">
      <c r="A1669" s="45" t="s">
        <v>8022</v>
      </c>
      <c r="B1669" s="46" t="s">
        <v>8023</v>
      </c>
    </row>
    <row r="1670" spans="1:2" ht="14.5">
      <c r="A1670" s="45" t="s">
        <v>8024</v>
      </c>
      <c r="B1670" s="46" t="s">
        <v>8025</v>
      </c>
    </row>
    <row r="1671" spans="1:2" ht="14.5">
      <c r="A1671" s="45" t="s">
        <v>8026</v>
      </c>
      <c r="B1671" s="46" t="s">
        <v>8027</v>
      </c>
    </row>
    <row r="1672" spans="1:2" ht="14.5">
      <c r="A1672" s="45" t="s">
        <v>4392</v>
      </c>
      <c r="B1672" s="46" t="s">
        <v>8028</v>
      </c>
    </row>
    <row r="1673" spans="1:2" ht="14.5">
      <c r="A1673" s="45" t="s">
        <v>4612</v>
      </c>
      <c r="B1673" s="46" t="s">
        <v>8029</v>
      </c>
    </row>
    <row r="1674" spans="1:2" ht="14.5">
      <c r="A1674" s="45" t="s">
        <v>8030</v>
      </c>
      <c r="B1674" s="46" t="s">
        <v>8031</v>
      </c>
    </row>
    <row r="1675" spans="1:2" ht="14.5">
      <c r="A1675" s="45" t="s">
        <v>8032</v>
      </c>
      <c r="B1675" s="46" t="s">
        <v>8033</v>
      </c>
    </row>
    <row r="1676" spans="1:2" ht="14.5">
      <c r="A1676" s="45" t="s">
        <v>8034</v>
      </c>
      <c r="B1676" s="46" t="s">
        <v>8035</v>
      </c>
    </row>
    <row r="1677" spans="1:2" ht="14.5">
      <c r="A1677" s="45" t="s">
        <v>4689</v>
      </c>
      <c r="B1677" s="46" t="s">
        <v>8036</v>
      </c>
    </row>
    <row r="1678" spans="1:2" ht="14.5">
      <c r="A1678" s="45" t="s">
        <v>8037</v>
      </c>
      <c r="B1678" s="46" t="s">
        <v>8038</v>
      </c>
    </row>
    <row r="1679" spans="1:2" ht="14.5">
      <c r="A1679" s="45" t="s">
        <v>3716</v>
      </c>
      <c r="B1679" s="46" t="s">
        <v>8039</v>
      </c>
    </row>
    <row r="1680" spans="1:2" ht="14.5">
      <c r="A1680" s="45" t="s">
        <v>4582</v>
      </c>
      <c r="B1680" s="46" t="s">
        <v>8040</v>
      </c>
    </row>
    <row r="1681" spans="1:2" ht="14.5">
      <c r="A1681" s="45" t="s">
        <v>8041</v>
      </c>
      <c r="B1681" s="46" t="s">
        <v>8042</v>
      </c>
    </row>
    <row r="1682" spans="1:2" ht="14.5">
      <c r="A1682" s="45" t="s">
        <v>8043</v>
      </c>
      <c r="B1682" s="46" t="s">
        <v>8044</v>
      </c>
    </row>
    <row r="1683" spans="1:2" ht="14.5">
      <c r="A1683" s="45" t="s">
        <v>4829</v>
      </c>
      <c r="B1683" s="46" t="s">
        <v>8045</v>
      </c>
    </row>
    <row r="1684" spans="1:2" ht="14.5">
      <c r="A1684" s="45" t="s">
        <v>8046</v>
      </c>
      <c r="B1684" s="46" t="s">
        <v>8047</v>
      </c>
    </row>
    <row r="1685" spans="1:2" ht="14.5">
      <c r="A1685" s="45" t="s">
        <v>8048</v>
      </c>
      <c r="B1685" s="46" t="s">
        <v>8049</v>
      </c>
    </row>
    <row r="1686" spans="1:2" ht="14.5">
      <c r="A1686" s="45" t="s">
        <v>8050</v>
      </c>
      <c r="B1686" s="46" t="s">
        <v>8051</v>
      </c>
    </row>
    <row r="1687" spans="1:2" ht="14.5">
      <c r="A1687" s="45" t="s">
        <v>8052</v>
      </c>
      <c r="B1687" s="46" t="s">
        <v>8053</v>
      </c>
    </row>
    <row r="1688" spans="1:2" ht="14.5">
      <c r="A1688" s="45" t="s">
        <v>4417</v>
      </c>
      <c r="B1688" s="46" t="s">
        <v>8054</v>
      </c>
    </row>
    <row r="1689" spans="1:2" ht="14.5">
      <c r="A1689" s="45" t="s">
        <v>8055</v>
      </c>
      <c r="B1689" s="46" t="s">
        <v>8056</v>
      </c>
    </row>
    <row r="1690" spans="1:2" ht="14.5">
      <c r="A1690" s="45" t="s">
        <v>8057</v>
      </c>
      <c r="B1690" s="46" t="s">
        <v>8058</v>
      </c>
    </row>
    <row r="1691" spans="1:2" ht="14.5">
      <c r="A1691" s="45" t="s">
        <v>3713</v>
      </c>
      <c r="B1691" s="46" t="s">
        <v>8059</v>
      </c>
    </row>
    <row r="1692" spans="1:2" ht="14.5">
      <c r="A1692" s="45" t="s">
        <v>4500</v>
      </c>
      <c r="B1692" s="46" t="s">
        <v>8060</v>
      </c>
    </row>
    <row r="1693" spans="1:2" ht="14.5">
      <c r="A1693" s="45" t="s">
        <v>4070</v>
      </c>
      <c r="B1693" s="46" t="s">
        <v>8061</v>
      </c>
    </row>
    <row r="1694" spans="1:2" ht="14.5">
      <c r="A1694" s="45" t="s">
        <v>8062</v>
      </c>
      <c r="B1694" s="46" t="s">
        <v>8063</v>
      </c>
    </row>
    <row r="1695" spans="1:2" ht="14.5">
      <c r="A1695" s="45" t="s">
        <v>4537</v>
      </c>
      <c r="B1695" s="46" t="s">
        <v>8064</v>
      </c>
    </row>
    <row r="1696" spans="1:2" ht="14.5">
      <c r="A1696" s="45" t="s">
        <v>4911</v>
      </c>
      <c r="B1696" s="46" t="s">
        <v>8065</v>
      </c>
    </row>
    <row r="1697" spans="1:2" ht="14.5">
      <c r="A1697" s="45" t="s">
        <v>472</v>
      </c>
      <c r="B1697" s="46" t="s">
        <v>8066</v>
      </c>
    </row>
    <row r="1698" spans="1:2" ht="14.5">
      <c r="A1698" s="45" t="s">
        <v>8067</v>
      </c>
      <c r="B1698" s="46" t="s">
        <v>8068</v>
      </c>
    </row>
    <row r="1699" spans="1:2" ht="14.5">
      <c r="A1699" s="45" t="s">
        <v>4913</v>
      </c>
      <c r="B1699" s="46" t="s">
        <v>8069</v>
      </c>
    </row>
    <row r="1700" spans="1:2" ht="14.5">
      <c r="A1700" s="45" t="s">
        <v>8070</v>
      </c>
      <c r="B1700" s="46" t="s">
        <v>8071</v>
      </c>
    </row>
    <row r="1701" spans="1:2" ht="14.5">
      <c r="A1701" s="45" t="s">
        <v>8072</v>
      </c>
      <c r="B1701" s="46" t="s">
        <v>8073</v>
      </c>
    </row>
    <row r="1702" spans="1:2" ht="14.5">
      <c r="A1702" s="45" t="s">
        <v>8074</v>
      </c>
      <c r="B1702" s="46" t="s">
        <v>8075</v>
      </c>
    </row>
    <row r="1703" spans="1:2" ht="14.5">
      <c r="A1703" s="45" t="s">
        <v>4439</v>
      </c>
      <c r="B1703" s="46" t="s">
        <v>8076</v>
      </c>
    </row>
    <row r="1704" spans="1:2" ht="14.5">
      <c r="A1704" s="45" t="s">
        <v>5362</v>
      </c>
      <c r="B1704" s="46" t="s">
        <v>8077</v>
      </c>
    </row>
    <row r="1705" spans="1:2" ht="14.5">
      <c r="A1705" s="45" t="s">
        <v>3746</v>
      </c>
      <c r="B1705" s="46" t="s">
        <v>8078</v>
      </c>
    </row>
    <row r="1706" spans="1:2" ht="14.5">
      <c r="A1706" s="45" t="s">
        <v>8079</v>
      </c>
      <c r="B1706" s="46" t="s">
        <v>8080</v>
      </c>
    </row>
    <row r="1707" spans="1:2" ht="14.5">
      <c r="A1707" s="45" t="s">
        <v>8081</v>
      </c>
      <c r="B1707" s="46" t="s">
        <v>8082</v>
      </c>
    </row>
    <row r="1708" spans="1:2" ht="14.5">
      <c r="A1708" s="45" t="s">
        <v>4972</v>
      </c>
      <c r="B1708" s="46" t="s">
        <v>8083</v>
      </c>
    </row>
    <row r="1709" spans="1:2" ht="14.5">
      <c r="A1709" s="45" t="s">
        <v>8084</v>
      </c>
      <c r="B1709" s="46" t="s">
        <v>8085</v>
      </c>
    </row>
    <row r="1710" spans="1:2" ht="14.5">
      <c r="A1710" s="45" t="s">
        <v>8086</v>
      </c>
      <c r="B1710" s="46" t="s">
        <v>8087</v>
      </c>
    </row>
    <row r="1711" spans="1:2" ht="14.5">
      <c r="A1711" s="45" t="s">
        <v>4065</v>
      </c>
      <c r="B1711" s="46" t="s">
        <v>8088</v>
      </c>
    </row>
    <row r="1712" spans="1:2" ht="14.5">
      <c r="A1712" s="45" t="s">
        <v>8089</v>
      </c>
      <c r="B1712" s="46" t="s">
        <v>8090</v>
      </c>
    </row>
    <row r="1713" spans="1:2" ht="14.5">
      <c r="A1713" s="45" t="s">
        <v>3333</v>
      </c>
      <c r="B1713" s="46" t="s">
        <v>8091</v>
      </c>
    </row>
    <row r="1714" spans="1:2" ht="14.5">
      <c r="A1714" s="45" t="s">
        <v>4721</v>
      </c>
      <c r="B1714" s="46" t="s">
        <v>8092</v>
      </c>
    </row>
    <row r="1715" spans="1:2" ht="14.5">
      <c r="A1715" s="45" t="s">
        <v>8093</v>
      </c>
      <c r="B1715" s="46" t="s">
        <v>8094</v>
      </c>
    </row>
    <row r="1716" spans="1:2" ht="14.5">
      <c r="A1716" s="45" t="s">
        <v>8095</v>
      </c>
      <c r="B1716" s="46" t="s">
        <v>8096</v>
      </c>
    </row>
    <row r="1717" spans="1:2" ht="14.5">
      <c r="A1717" s="45" t="s">
        <v>8097</v>
      </c>
      <c r="B1717" s="46" t="s">
        <v>8098</v>
      </c>
    </row>
    <row r="1718" spans="1:2" ht="14.5">
      <c r="A1718" s="45" t="s">
        <v>8099</v>
      </c>
      <c r="B1718" s="46" t="s">
        <v>8100</v>
      </c>
    </row>
    <row r="1719" spans="1:2" ht="14.5">
      <c r="A1719" s="45" t="s">
        <v>8101</v>
      </c>
      <c r="B1719" s="46" t="s">
        <v>8102</v>
      </c>
    </row>
    <row r="1720" spans="1:2" ht="14.5">
      <c r="A1720" s="45" t="s">
        <v>8103</v>
      </c>
      <c r="B1720" s="46" t="s">
        <v>8104</v>
      </c>
    </row>
    <row r="1721" spans="1:2" ht="14.5">
      <c r="A1721" s="45" t="s">
        <v>4613</v>
      </c>
      <c r="B1721" s="46" t="s">
        <v>8105</v>
      </c>
    </row>
    <row r="1722" spans="1:2" ht="14.5">
      <c r="A1722" s="45" t="s">
        <v>4938</v>
      </c>
      <c r="B1722" s="46" t="s">
        <v>8106</v>
      </c>
    </row>
    <row r="1723" spans="1:2" ht="14.5">
      <c r="A1723" s="45" t="s">
        <v>4165</v>
      </c>
      <c r="B1723" s="46" t="s">
        <v>8107</v>
      </c>
    </row>
    <row r="1724" spans="1:2" ht="14.5">
      <c r="A1724" s="45" t="s">
        <v>8108</v>
      </c>
      <c r="B1724" s="46" t="s">
        <v>8109</v>
      </c>
    </row>
    <row r="1725" spans="1:2" ht="14.5">
      <c r="A1725" s="45" t="s">
        <v>1015</v>
      </c>
      <c r="B1725" s="46" t="s">
        <v>8110</v>
      </c>
    </row>
    <row r="1726" spans="1:2" ht="14.5">
      <c r="A1726" s="45" t="s">
        <v>8111</v>
      </c>
      <c r="B1726" s="46" t="s">
        <v>8112</v>
      </c>
    </row>
    <row r="1727" spans="1:2" ht="14.5">
      <c r="A1727" s="45" t="s">
        <v>4335</v>
      </c>
      <c r="B1727" s="46" t="s">
        <v>8113</v>
      </c>
    </row>
    <row r="1728" spans="1:2" ht="14.5">
      <c r="A1728" s="45" t="s">
        <v>8114</v>
      </c>
      <c r="B1728" s="46" t="s">
        <v>8115</v>
      </c>
    </row>
    <row r="1729" spans="1:2" ht="14.5">
      <c r="A1729" s="45" t="s">
        <v>8116</v>
      </c>
      <c r="B1729" s="46" t="s">
        <v>8117</v>
      </c>
    </row>
    <row r="1730" spans="1:2" ht="14.5">
      <c r="A1730" s="45" t="s">
        <v>8118</v>
      </c>
      <c r="B1730" s="46" t="s">
        <v>8119</v>
      </c>
    </row>
    <row r="1731" spans="1:2" ht="14.5">
      <c r="A1731" s="45" t="s">
        <v>8120</v>
      </c>
      <c r="B1731" s="46" t="s">
        <v>8121</v>
      </c>
    </row>
    <row r="1732" spans="1:2" ht="14.5">
      <c r="A1732" s="45" t="s">
        <v>4067</v>
      </c>
      <c r="B1732" s="46" t="s">
        <v>8122</v>
      </c>
    </row>
    <row r="1733" spans="1:2" ht="14.5">
      <c r="A1733" s="45" t="s">
        <v>8123</v>
      </c>
      <c r="B1733" s="46" t="s">
        <v>8124</v>
      </c>
    </row>
    <row r="1734" spans="1:2" ht="14.5">
      <c r="A1734" s="45" t="s">
        <v>8125</v>
      </c>
      <c r="B1734" s="46" t="s">
        <v>8126</v>
      </c>
    </row>
    <row r="1735" spans="1:2" ht="14.5">
      <c r="A1735" s="45" t="s">
        <v>8127</v>
      </c>
      <c r="B1735" s="46" t="s">
        <v>8128</v>
      </c>
    </row>
    <row r="1736" spans="1:2" ht="14.5">
      <c r="A1736" s="45" t="s">
        <v>8129</v>
      </c>
      <c r="B1736" s="46" t="s">
        <v>8130</v>
      </c>
    </row>
    <row r="1737" spans="1:2" ht="14.5">
      <c r="A1737" s="45" t="s">
        <v>4915</v>
      </c>
      <c r="B1737" s="46" t="s">
        <v>8131</v>
      </c>
    </row>
    <row r="1738" spans="1:2" ht="14.5">
      <c r="A1738" s="45" t="s">
        <v>8132</v>
      </c>
      <c r="B1738" s="46" t="s">
        <v>8133</v>
      </c>
    </row>
    <row r="1739" spans="1:2" ht="14.5">
      <c r="A1739" s="45" t="s">
        <v>4599</v>
      </c>
      <c r="B1739" s="46" t="s">
        <v>8134</v>
      </c>
    </row>
    <row r="1740" spans="1:2" ht="14.5">
      <c r="A1740" s="45" t="s">
        <v>8135</v>
      </c>
      <c r="B1740" s="46" t="s">
        <v>8136</v>
      </c>
    </row>
    <row r="1741" spans="1:2" ht="14.5">
      <c r="A1741" s="45" t="s">
        <v>8137</v>
      </c>
      <c r="B1741" s="46" t="s">
        <v>8138</v>
      </c>
    </row>
    <row r="1742" spans="1:2" ht="14.5">
      <c r="A1742" s="45" t="s">
        <v>8139</v>
      </c>
      <c r="B1742" s="46" t="s">
        <v>8140</v>
      </c>
    </row>
    <row r="1743" spans="1:2" ht="14.5">
      <c r="A1743" s="45" t="s">
        <v>8141</v>
      </c>
      <c r="B1743" s="46" t="s">
        <v>8142</v>
      </c>
    </row>
    <row r="1744" spans="1:2" ht="14.5">
      <c r="A1744" s="45" t="s">
        <v>8143</v>
      </c>
      <c r="B1744" s="46" t="s">
        <v>8144</v>
      </c>
    </row>
    <row r="1745" spans="1:2" ht="14.5">
      <c r="A1745" s="45" t="s">
        <v>8145</v>
      </c>
      <c r="B1745" s="46" t="s">
        <v>8146</v>
      </c>
    </row>
    <row r="1746" spans="1:2" ht="14.5">
      <c r="A1746" s="45" t="s">
        <v>8147</v>
      </c>
      <c r="B1746" s="46" t="s">
        <v>8148</v>
      </c>
    </row>
    <row r="1747" spans="1:2" ht="14.5">
      <c r="A1747" s="45" t="s">
        <v>4538</v>
      </c>
      <c r="B1747" s="46" t="s">
        <v>8149</v>
      </c>
    </row>
    <row r="1748" spans="1:2" ht="14.5">
      <c r="A1748" s="45" t="s">
        <v>4226</v>
      </c>
      <c r="B1748" s="46" t="s">
        <v>8150</v>
      </c>
    </row>
    <row r="1749" spans="1:2" ht="14.5">
      <c r="A1749" s="45" t="s">
        <v>3105</v>
      </c>
      <c r="B1749" s="46" t="s">
        <v>8151</v>
      </c>
    </row>
    <row r="1750" spans="1:2" ht="14.5">
      <c r="A1750" s="45" t="s">
        <v>8152</v>
      </c>
      <c r="B1750" s="46" t="s">
        <v>8153</v>
      </c>
    </row>
    <row r="1751" spans="1:2" ht="14.5">
      <c r="A1751" s="45" t="s">
        <v>4194</v>
      </c>
      <c r="B1751" s="46" t="s">
        <v>8154</v>
      </c>
    </row>
    <row r="1752" spans="1:2" ht="14.5">
      <c r="A1752" s="45" t="s">
        <v>8155</v>
      </c>
      <c r="B1752" s="46" t="s">
        <v>8156</v>
      </c>
    </row>
    <row r="1753" spans="1:2" ht="14.5">
      <c r="A1753" s="45" t="s">
        <v>4649</v>
      </c>
      <c r="B1753" s="46" t="s">
        <v>8157</v>
      </c>
    </row>
    <row r="1754" spans="1:2" ht="14.5">
      <c r="A1754" s="45" t="s">
        <v>4623</v>
      </c>
      <c r="B1754" s="46" t="s">
        <v>8158</v>
      </c>
    </row>
    <row r="1755" spans="1:2" ht="14.5">
      <c r="A1755" s="45" t="s">
        <v>8159</v>
      </c>
      <c r="B1755" s="46" t="s">
        <v>8160</v>
      </c>
    </row>
    <row r="1756" spans="1:2" ht="14.5">
      <c r="A1756" s="45" t="s">
        <v>2770</v>
      </c>
      <c r="B1756" s="46" t="s">
        <v>8161</v>
      </c>
    </row>
    <row r="1757" spans="1:2" ht="14.5">
      <c r="A1757" s="45" t="s">
        <v>4349</v>
      </c>
      <c r="B1757" s="46" t="s">
        <v>8162</v>
      </c>
    </row>
    <row r="1758" spans="1:2" ht="14.5">
      <c r="A1758" s="45" t="s">
        <v>8163</v>
      </c>
      <c r="B1758" s="46" t="s">
        <v>8164</v>
      </c>
    </row>
    <row r="1759" spans="1:2" ht="14.5">
      <c r="A1759" s="45" t="s">
        <v>8165</v>
      </c>
      <c r="B1759" s="46" t="s">
        <v>8166</v>
      </c>
    </row>
    <row r="1760" spans="1:2" ht="14.5">
      <c r="A1760" s="45" t="s">
        <v>4369</v>
      </c>
      <c r="B1760" s="46" t="s">
        <v>8167</v>
      </c>
    </row>
    <row r="1761" spans="1:2" ht="14.5">
      <c r="A1761" s="45" t="s">
        <v>8168</v>
      </c>
      <c r="B1761" s="46" t="s">
        <v>8169</v>
      </c>
    </row>
    <row r="1762" spans="1:2" ht="14.5">
      <c r="A1762" s="45" t="s">
        <v>8170</v>
      </c>
      <c r="B1762" s="46" t="s">
        <v>8171</v>
      </c>
    </row>
    <row r="1763" spans="1:2" ht="14.5">
      <c r="A1763" s="45" t="s">
        <v>8172</v>
      </c>
      <c r="B1763" s="46" t="s">
        <v>8173</v>
      </c>
    </row>
    <row r="1764" spans="1:2" ht="14.5">
      <c r="A1764" s="45" t="s">
        <v>4738</v>
      </c>
      <c r="B1764" s="46" t="s">
        <v>8174</v>
      </c>
    </row>
    <row r="1765" spans="1:2" ht="14.5">
      <c r="A1765" s="45" t="s">
        <v>8175</v>
      </c>
      <c r="B1765" s="46" t="s">
        <v>8176</v>
      </c>
    </row>
    <row r="1766" spans="1:2" ht="14.5">
      <c r="A1766" s="45" t="s">
        <v>4720</v>
      </c>
      <c r="B1766" s="46" t="s">
        <v>8177</v>
      </c>
    </row>
    <row r="1767" spans="1:2" ht="14.5">
      <c r="A1767" s="45" t="s">
        <v>1476</v>
      </c>
      <c r="B1767" s="46" t="s">
        <v>8178</v>
      </c>
    </row>
    <row r="1768" spans="1:2" ht="14.5">
      <c r="A1768" s="45" t="s">
        <v>8179</v>
      </c>
      <c r="B1768" s="46" t="s">
        <v>8180</v>
      </c>
    </row>
    <row r="1769" spans="1:2" ht="14.5">
      <c r="A1769" s="45" t="s">
        <v>4399</v>
      </c>
      <c r="B1769" s="46" t="s">
        <v>8181</v>
      </c>
    </row>
    <row r="1770" spans="1:2" ht="14.5">
      <c r="A1770" s="45" t="s">
        <v>8182</v>
      </c>
      <c r="B1770" s="46" t="s">
        <v>8183</v>
      </c>
    </row>
    <row r="1771" spans="1:2" ht="14.5">
      <c r="A1771" s="45" t="s">
        <v>8184</v>
      </c>
      <c r="B1771" s="46" t="s">
        <v>8185</v>
      </c>
    </row>
    <row r="1772" spans="1:2" ht="14.5">
      <c r="A1772" s="45" t="s">
        <v>4775</v>
      </c>
      <c r="B1772" s="46" t="s">
        <v>8186</v>
      </c>
    </row>
    <row r="1773" spans="1:2" ht="14.5">
      <c r="A1773" s="45" t="s">
        <v>4160</v>
      </c>
      <c r="B1773" s="46" t="s">
        <v>8187</v>
      </c>
    </row>
    <row r="1774" spans="1:2" ht="14.5">
      <c r="A1774" s="45" t="s">
        <v>4640</v>
      </c>
      <c r="B1774" s="46" t="s">
        <v>8188</v>
      </c>
    </row>
    <row r="1775" spans="1:2" ht="14.5">
      <c r="A1775" s="45" t="s">
        <v>8189</v>
      </c>
      <c r="B1775" s="46" t="s">
        <v>8190</v>
      </c>
    </row>
    <row r="1776" spans="1:2" ht="14.5">
      <c r="A1776" s="45" t="s">
        <v>8191</v>
      </c>
      <c r="B1776" s="46" t="s">
        <v>8192</v>
      </c>
    </row>
    <row r="1777" spans="1:2" ht="14.5">
      <c r="A1777" s="45" t="s">
        <v>4736</v>
      </c>
      <c r="B1777" s="46" t="s">
        <v>8193</v>
      </c>
    </row>
    <row r="1778" spans="1:2" ht="14.5">
      <c r="A1778" s="45" t="s">
        <v>2800</v>
      </c>
      <c r="B1778" s="46" t="s">
        <v>8194</v>
      </c>
    </row>
    <row r="1779" spans="1:2" ht="14.5">
      <c r="A1779" s="45" t="s">
        <v>8195</v>
      </c>
      <c r="B1779" s="46" t="s">
        <v>8196</v>
      </c>
    </row>
    <row r="1780" spans="1:2" ht="14.5">
      <c r="A1780" s="45" t="s">
        <v>8197</v>
      </c>
      <c r="B1780" s="46" t="s">
        <v>8198</v>
      </c>
    </row>
    <row r="1781" spans="1:2" ht="14.5">
      <c r="A1781" s="45" t="s">
        <v>4462</v>
      </c>
      <c r="B1781" s="46" t="s">
        <v>8199</v>
      </c>
    </row>
    <row r="1782" spans="1:2" ht="14.5">
      <c r="A1782" s="45" t="s">
        <v>8200</v>
      </c>
      <c r="B1782" s="46" t="s">
        <v>8201</v>
      </c>
    </row>
    <row r="1783" spans="1:2" ht="14.5">
      <c r="A1783" s="45" t="s">
        <v>8202</v>
      </c>
      <c r="B1783" s="46" t="s">
        <v>8203</v>
      </c>
    </row>
    <row r="1784" spans="1:2" ht="14.5">
      <c r="A1784" s="45" t="s">
        <v>4062</v>
      </c>
      <c r="B1784" s="46" t="s">
        <v>8204</v>
      </c>
    </row>
    <row r="1785" spans="1:2" ht="14.5">
      <c r="A1785" s="45" t="s">
        <v>8205</v>
      </c>
      <c r="B1785" s="46" t="s">
        <v>8206</v>
      </c>
    </row>
    <row r="1786" spans="1:2" ht="14.5">
      <c r="A1786" s="45" t="s">
        <v>8207</v>
      </c>
      <c r="B1786" s="46" t="s">
        <v>8208</v>
      </c>
    </row>
    <row r="1787" spans="1:2" ht="14.5">
      <c r="A1787" s="45" t="s">
        <v>8209</v>
      </c>
      <c r="B1787" s="46" t="s">
        <v>8210</v>
      </c>
    </row>
    <row r="1788" spans="1:2" ht="14.5">
      <c r="A1788" s="45" t="s">
        <v>4406</v>
      </c>
      <c r="B1788" s="46" t="s">
        <v>8211</v>
      </c>
    </row>
    <row r="1789" spans="1:2" ht="14.5">
      <c r="A1789" s="45" t="s">
        <v>8212</v>
      </c>
      <c r="B1789" s="46" t="s">
        <v>8213</v>
      </c>
    </row>
    <row r="1790" spans="1:2" ht="14.5">
      <c r="A1790" s="45" t="s">
        <v>4488</v>
      </c>
      <c r="B1790" s="46" t="s">
        <v>8214</v>
      </c>
    </row>
    <row r="1791" spans="1:2" ht="14.5">
      <c r="A1791" s="45" t="s">
        <v>2711</v>
      </c>
      <c r="B1791" s="46" t="s">
        <v>8215</v>
      </c>
    </row>
    <row r="1792" spans="1:2" ht="14.5">
      <c r="A1792" s="45" t="s">
        <v>8216</v>
      </c>
      <c r="B1792" s="46" t="s">
        <v>8217</v>
      </c>
    </row>
    <row r="1793" spans="1:2" ht="14.5">
      <c r="A1793" s="45" t="s">
        <v>2260</v>
      </c>
      <c r="B1793" s="46" t="s">
        <v>8218</v>
      </c>
    </row>
    <row r="1794" spans="1:2" ht="14.5">
      <c r="A1794" s="45" t="s">
        <v>8219</v>
      </c>
      <c r="B1794" s="46" t="s">
        <v>8220</v>
      </c>
    </row>
    <row r="1795" spans="1:2" ht="14.5">
      <c r="A1795" s="45" t="s">
        <v>4277</v>
      </c>
      <c r="B1795" s="46" t="s">
        <v>8221</v>
      </c>
    </row>
    <row r="1796" spans="1:2" ht="14.5">
      <c r="A1796" s="45" t="s">
        <v>8222</v>
      </c>
      <c r="B1796" s="46" t="s">
        <v>8223</v>
      </c>
    </row>
    <row r="1797" spans="1:2" ht="14.5">
      <c r="A1797" s="45" t="s">
        <v>4443</v>
      </c>
      <c r="B1797" s="46" t="s">
        <v>8224</v>
      </c>
    </row>
    <row r="1798" spans="1:2" ht="14.5">
      <c r="A1798" s="45" t="s">
        <v>8225</v>
      </c>
      <c r="B1798" s="46" t="s">
        <v>8226</v>
      </c>
    </row>
    <row r="1799" spans="1:2" ht="14.5">
      <c r="A1799" s="45" t="s">
        <v>8227</v>
      </c>
      <c r="B1799" s="46" t="s">
        <v>8228</v>
      </c>
    </row>
    <row r="1800" spans="1:2" ht="14.5">
      <c r="A1800" s="45" t="s">
        <v>4336</v>
      </c>
      <c r="B1800" s="46" t="s">
        <v>8229</v>
      </c>
    </row>
    <row r="1801" spans="1:2" ht="14.5">
      <c r="A1801" s="45" t="s">
        <v>8230</v>
      </c>
      <c r="B1801" s="46" t="s">
        <v>8231</v>
      </c>
    </row>
    <row r="1802" spans="1:2" ht="14.5">
      <c r="A1802" s="45" t="s">
        <v>8232</v>
      </c>
      <c r="B1802" s="46" t="s">
        <v>8233</v>
      </c>
    </row>
    <row r="1803" spans="1:2" ht="14.5">
      <c r="A1803" s="45" t="s">
        <v>8234</v>
      </c>
      <c r="B1803" s="46" t="s">
        <v>8235</v>
      </c>
    </row>
    <row r="1804" spans="1:2" ht="14.5">
      <c r="A1804" s="45" t="s">
        <v>8236</v>
      </c>
      <c r="B1804" s="46" t="s">
        <v>8237</v>
      </c>
    </row>
    <row r="1805" spans="1:2" ht="14.5">
      <c r="A1805" s="45" t="s">
        <v>4146</v>
      </c>
      <c r="B1805" s="46" t="s">
        <v>8238</v>
      </c>
    </row>
    <row r="1806" spans="1:2" ht="14.5">
      <c r="A1806" s="45" t="s">
        <v>4631</v>
      </c>
      <c r="B1806" s="46" t="s">
        <v>8239</v>
      </c>
    </row>
    <row r="1807" spans="1:2" ht="14.5">
      <c r="A1807" s="45" t="s">
        <v>8240</v>
      </c>
      <c r="B1807" s="46" t="s">
        <v>8241</v>
      </c>
    </row>
    <row r="1808" spans="1:2" ht="14.5">
      <c r="A1808" s="45" t="s">
        <v>4579</v>
      </c>
      <c r="B1808" s="46" t="s">
        <v>8242</v>
      </c>
    </row>
    <row r="1809" spans="1:2" ht="14.5">
      <c r="A1809" s="45" t="s">
        <v>8243</v>
      </c>
      <c r="B1809" s="46" t="s">
        <v>8244</v>
      </c>
    </row>
    <row r="1810" spans="1:2" ht="14.5">
      <c r="A1810" s="45" t="s">
        <v>8245</v>
      </c>
      <c r="B1810" s="46" t="s">
        <v>8246</v>
      </c>
    </row>
    <row r="1811" spans="1:2" ht="14.5">
      <c r="A1811" s="45" t="s">
        <v>8247</v>
      </c>
      <c r="B1811" s="46" t="s">
        <v>8248</v>
      </c>
    </row>
    <row r="1812" spans="1:2" ht="14.5">
      <c r="A1812" s="45" t="s">
        <v>8249</v>
      </c>
      <c r="B1812" s="46" t="s">
        <v>8250</v>
      </c>
    </row>
    <row r="1813" spans="1:2" ht="14.5">
      <c r="A1813" s="45" t="s">
        <v>4696</v>
      </c>
      <c r="B1813" s="46" t="s">
        <v>8251</v>
      </c>
    </row>
    <row r="1814" spans="1:2" ht="14.5">
      <c r="A1814" s="45" t="s">
        <v>8252</v>
      </c>
      <c r="B1814" s="46" t="s">
        <v>8253</v>
      </c>
    </row>
    <row r="1815" spans="1:2" ht="14.5">
      <c r="A1815" s="45" t="s">
        <v>4933</v>
      </c>
      <c r="B1815" s="46" t="s">
        <v>8254</v>
      </c>
    </row>
    <row r="1816" spans="1:2" ht="14.5">
      <c r="A1816" s="45" t="s">
        <v>4057</v>
      </c>
      <c r="B1816" s="46" t="s">
        <v>8255</v>
      </c>
    </row>
    <row r="1817" spans="1:2" ht="14.5">
      <c r="A1817" s="45" t="s">
        <v>8256</v>
      </c>
      <c r="B1817" s="46" t="s">
        <v>8257</v>
      </c>
    </row>
    <row r="1818" spans="1:2" ht="14.5">
      <c r="A1818" s="45" t="s">
        <v>4465</v>
      </c>
      <c r="B1818" s="46" t="s">
        <v>8258</v>
      </c>
    </row>
    <row r="1819" spans="1:2" ht="14.5">
      <c r="A1819" s="45" t="s">
        <v>8259</v>
      </c>
      <c r="B1819" s="46" t="s">
        <v>8260</v>
      </c>
    </row>
    <row r="1820" spans="1:2" ht="14.5">
      <c r="A1820" s="45" t="s">
        <v>8261</v>
      </c>
      <c r="B1820" s="46" t="s">
        <v>8262</v>
      </c>
    </row>
    <row r="1821" spans="1:2" ht="14.5">
      <c r="A1821" s="45" t="s">
        <v>4610</v>
      </c>
      <c r="B1821" s="46" t="s">
        <v>8263</v>
      </c>
    </row>
    <row r="1822" spans="1:2" ht="14.5">
      <c r="A1822" s="45" t="s">
        <v>4428</v>
      </c>
      <c r="B1822" s="46" t="s">
        <v>8264</v>
      </c>
    </row>
    <row r="1823" spans="1:2" ht="14.5">
      <c r="A1823" s="45" t="s">
        <v>8265</v>
      </c>
      <c r="B1823" s="46" t="s">
        <v>8266</v>
      </c>
    </row>
    <row r="1824" spans="1:2" ht="14.5">
      <c r="A1824" s="45" t="s">
        <v>8267</v>
      </c>
      <c r="B1824" s="46" t="s">
        <v>8268</v>
      </c>
    </row>
    <row r="1825" spans="1:2" ht="14.5">
      <c r="A1825" s="45" t="s">
        <v>4157</v>
      </c>
      <c r="B1825" s="46" t="s">
        <v>8269</v>
      </c>
    </row>
    <row r="1826" spans="1:2" ht="14.5">
      <c r="A1826" s="45" t="s">
        <v>8270</v>
      </c>
      <c r="B1826" s="46" t="s">
        <v>8271</v>
      </c>
    </row>
    <row r="1827" spans="1:2" ht="14.5">
      <c r="A1827" s="45" t="s">
        <v>8272</v>
      </c>
      <c r="B1827" s="46" t="s">
        <v>8273</v>
      </c>
    </row>
    <row r="1828" spans="1:2" ht="14.5">
      <c r="A1828" s="45" t="s">
        <v>4593</v>
      </c>
      <c r="B1828" s="46" t="s">
        <v>8274</v>
      </c>
    </row>
    <row r="1829" spans="1:2" ht="14.5">
      <c r="A1829" s="45" t="s">
        <v>8275</v>
      </c>
      <c r="B1829" s="46" t="s">
        <v>8276</v>
      </c>
    </row>
    <row r="1830" spans="1:2" ht="14.5">
      <c r="A1830" s="45" t="s">
        <v>8277</v>
      </c>
      <c r="B1830" s="46" t="s">
        <v>8278</v>
      </c>
    </row>
    <row r="1831" spans="1:2" ht="14.5">
      <c r="A1831" s="45" t="s">
        <v>4598</v>
      </c>
      <c r="B1831" s="46" t="s">
        <v>8279</v>
      </c>
    </row>
    <row r="1832" spans="1:2" ht="14.5">
      <c r="A1832" s="45" t="s">
        <v>2463</v>
      </c>
      <c r="B1832" s="46" t="s">
        <v>8280</v>
      </c>
    </row>
    <row r="1833" spans="1:2" ht="14.5">
      <c r="A1833" s="45" t="s">
        <v>8281</v>
      </c>
      <c r="B1833" s="46" t="s">
        <v>8282</v>
      </c>
    </row>
    <row r="1834" spans="1:2" ht="14.5">
      <c r="A1834" s="45" t="s">
        <v>8283</v>
      </c>
      <c r="B1834" s="46" t="s">
        <v>8284</v>
      </c>
    </row>
    <row r="1835" spans="1:2" ht="14.5">
      <c r="A1835" s="45" t="s">
        <v>4418</v>
      </c>
      <c r="B1835" s="46" t="s">
        <v>8285</v>
      </c>
    </row>
    <row r="1836" spans="1:2" ht="14.5">
      <c r="A1836" s="45" t="s">
        <v>8286</v>
      </c>
      <c r="B1836" s="46" t="s">
        <v>8287</v>
      </c>
    </row>
    <row r="1837" spans="1:2" ht="14.5">
      <c r="A1837" s="45" t="s">
        <v>2128</v>
      </c>
      <c r="B1837" s="46" t="s">
        <v>8288</v>
      </c>
    </row>
    <row r="1838" spans="1:2" ht="14.5">
      <c r="A1838" s="45" t="s">
        <v>8289</v>
      </c>
      <c r="B1838" s="46" t="s">
        <v>8290</v>
      </c>
    </row>
    <row r="1839" spans="1:2" ht="14.5">
      <c r="A1839" s="45" t="s">
        <v>4329</v>
      </c>
      <c r="B1839" s="46" t="s">
        <v>8291</v>
      </c>
    </row>
    <row r="1840" spans="1:2" ht="14.5">
      <c r="A1840" s="45" t="s">
        <v>4662</v>
      </c>
      <c r="B1840" s="46" t="s">
        <v>8292</v>
      </c>
    </row>
    <row r="1841" spans="1:2" ht="14.5">
      <c r="A1841" s="45" t="s">
        <v>1053</v>
      </c>
      <c r="B1841" s="46" t="s">
        <v>8293</v>
      </c>
    </row>
    <row r="1842" spans="1:2" ht="14.5">
      <c r="A1842" s="45" t="s">
        <v>4942</v>
      </c>
      <c r="B1842" s="46" t="s">
        <v>8294</v>
      </c>
    </row>
    <row r="1843" spans="1:2" ht="14.5">
      <c r="A1843" s="45" t="s">
        <v>4134</v>
      </c>
      <c r="B1843" s="46" t="s">
        <v>8295</v>
      </c>
    </row>
    <row r="1844" spans="1:2" ht="14.5">
      <c r="A1844" s="45" t="s">
        <v>915</v>
      </c>
      <c r="B1844" s="46" t="s">
        <v>8296</v>
      </c>
    </row>
    <row r="1845" spans="1:2" ht="14.5">
      <c r="A1845" s="45" t="s">
        <v>8297</v>
      </c>
      <c r="B1845" s="46" t="s">
        <v>8298</v>
      </c>
    </row>
    <row r="1846" spans="1:2" ht="14.5">
      <c r="A1846" s="45" t="s">
        <v>8299</v>
      </c>
      <c r="B1846" s="46" t="s">
        <v>8300</v>
      </c>
    </row>
    <row r="1847" spans="1:2" ht="14.5">
      <c r="A1847" s="45" t="s">
        <v>4249</v>
      </c>
      <c r="B1847" s="46" t="s">
        <v>8301</v>
      </c>
    </row>
    <row r="1848" spans="1:2" ht="14.5">
      <c r="A1848" s="45" t="s">
        <v>4671</v>
      </c>
      <c r="B1848" s="46" t="s">
        <v>8302</v>
      </c>
    </row>
    <row r="1849" spans="1:2" ht="14.5">
      <c r="A1849" s="45" t="s">
        <v>8303</v>
      </c>
      <c r="B1849" s="46" t="s">
        <v>8304</v>
      </c>
    </row>
    <row r="1850" spans="1:2" ht="14.5">
      <c r="A1850" s="45" t="s">
        <v>8305</v>
      </c>
      <c r="B1850" s="46" t="s">
        <v>8306</v>
      </c>
    </row>
    <row r="1851" spans="1:2" ht="14.5">
      <c r="A1851" s="45" t="s">
        <v>1433</v>
      </c>
      <c r="B1851" s="46" t="s">
        <v>8307</v>
      </c>
    </row>
    <row r="1852" spans="1:2" ht="14.5">
      <c r="A1852" s="45" t="s">
        <v>8308</v>
      </c>
      <c r="B1852" s="46" t="s">
        <v>8309</v>
      </c>
    </row>
    <row r="1853" spans="1:2" ht="14.5">
      <c r="A1853" s="45" t="s">
        <v>4460</v>
      </c>
      <c r="B1853" s="46" t="s">
        <v>8310</v>
      </c>
    </row>
    <row r="1854" spans="1:2" ht="14.5">
      <c r="A1854" s="45" t="s">
        <v>5356</v>
      </c>
      <c r="B1854" s="46" t="s">
        <v>8311</v>
      </c>
    </row>
    <row r="1855" spans="1:2" ht="14.5">
      <c r="A1855" s="45" t="s">
        <v>4625</v>
      </c>
      <c r="B1855" s="46" t="s">
        <v>8312</v>
      </c>
    </row>
    <row r="1856" spans="1:2" ht="14.5">
      <c r="A1856" s="45" t="s">
        <v>880</v>
      </c>
      <c r="B1856" s="46" t="s">
        <v>8313</v>
      </c>
    </row>
    <row r="1857" spans="1:2" ht="14.5">
      <c r="A1857" s="45" t="s">
        <v>4937</v>
      </c>
      <c r="B1857" s="46" t="s">
        <v>8314</v>
      </c>
    </row>
    <row r="1858" spans="1:2" ht="14.5">
      <c r="A1858" s="45" t="s">
        <v>8315</v>
      </c>
      <c r="B1858" s="46" t="s">
        <v>8316</v>
      </c>
    </row>
    <row r="1859" spans="1:2" ht="14.5">
      <c r="A1859" s="45" t="s">
        <v>8317</v>
      </c>
      <c r="B1859" s="46" t="s">
        <v>8318</v>
      </c>
    </row>
    <row r="1860" spans="1:2" ht="14.5">
      <c r="A1860" s="45" t="s">
        <v>8319</v>
      </c>
      <c r="B1860" s="46" t="s">
        <v>8320</v>
      </c>
    </row>
    <row r="1861" spans="1:2" ht="14.5">
      <c r="A1861" s="45" t="s">
        <v>4132</v>
      </c>
      <c r="B1861" s="46" t="s">
        <v>8321</v>
      </c>
    </row>
    <row r="1862" spans="1:2" ht="14.5">
      <c r="A1862" s="45" t="s">
        <v>4709</v>
      </c>
      <c r="B1862" s="46" t="s">
        <v>8322</v>
      </c>
    </row>
    <row r="1863" spans="1:2" ht="14.5">
      <c r="A1863" s="45" t="s">
        <v>8323</v>
      </c>
      <c r="B1863" s="46" t="s">
        <v>8324</v>
      </c>
    </row>
    <row r="1864" spans="1:2" ht="14.5">
      <c r="A1864" s="45" t="s">
        <v>4821</v>
      </c>
      <c r="B1864" s="46" t="s">
        <v>8325</v>
      </c>
    </row>
    <row r="1865" spans="1:2" ht="14.5">
      <c r="A1865" s="45" t="s">
        <v>8326</v>
      </c>
      <c r="B1865" s="46" t="s">
        <v>8327</v>
      </c>
    </row>
    <row r="1866" spans="1:2" ht="14.5">
      <c r="A1866" s="45" t="s">
        <v>8328</v>
      </c>
      <c r="B1866" s="46" t="s">
        <v>8329</v>
      </c>
    </row>
    <row r="1867" spans="1:2" ht="14.5">
      <c r="A1867" s="45" t="s">
        <v>8330</v>
      </c>
      <c r="B1867" s="46" t="s">
        <v>8331</v>
      </c>
    </row>
    <row r="1868" spans="1:2" ht="14.5">
      <c r="A1868" s="45" t="s">
        <v>4763</v>
      </c>
      <c r="B1868" s="46" t="s">
        <v>8332</v>
      </c>
    </row>
    <row r="1869" spans="1:2" ht="14.5">
      <c r="A1869" s="45" t="s">
        <v>4285</v>
      </c>
      <c r="B1869" s="46" t="s">
        <v>8333</v>
      </c>
    </row>
    <row r="1870" spans="1:2" ht="14.5">
      <c r="A1870" s="45" t="s">
        <v>4790</v>
      </c>
      <c r="B1870" s="46" t="s">
        <v>8334</v>
      </c>
    </row>
    <row r="1871" spans="1:2" ht="14.5">
      <c r="A1871" s="45" t="s">
        <v>4388</v>
      </c>
      <c r="B1871" s="46" t="s">
        <v>8335</v>
      </c>
    </row>
    <row r="1872" spans="1:2" ht="14.5">
      <c r="A1872" s="45" t="s">
        <v>8336</v>
      </c>
      <c r="B1872" s="46" t="s">
        <v>8337</v>
      </c>
    </row>
    <row r="1873" spans="1:3" ht="14.5">
      <c r="A1873" s="45" t="s">
        <v>8338</v>
      </c>
      <c r="B1873" s="46" t="s">
        <v>8339</v>
      </c>
    </row>
    <row r="1874" spans="1:3" ht="14.5">
      <c r="A1874" s="45" t="s">
        <v>3238</v>
      </c>
      <c r="B1874" s="46" t="s">
        <v>8340</v>
      </c>
    </row>
    <row r="1875" spans="1:3" ht="14.5">
      <c r="A1875" s="45" t="s">
        <v>4535</v>
      </c>
      <c r="B1875" s="46" t="s">
        <v>8341</v>
      </c>
    </row>
    <row r="1876" spans="1:3" ht="14.5">
      <c r="A1876" s="45" t="s">
        <v>8342</v>
      </c>
      <c r="B1876" s="46" t="s">
        <v>8343</v>
      </c>
    </row>
    <row r="1877" spans="1:3" ht="14.5">
      <c r="A1877" s="45" t="s">
        <v>8344</v>
      </c>
      <c r="B1877" s="46" t="s">
        <v>8345</v>
      </c>
    </row>
    <row r="1878" spans="1:3" ht="14.5">
      <c r="A1878" s="45" t="s">
        <v>4503</v>
      </c>
      <c r="B1878" s="46" t="s">
        <v>8346</v>
      </c>
    </row>
    <row r="1879" spans="1:3" ht="14.5">
      <c r="A1879" s="45" t="s">
        <v>8347</v>
      </c>
      <c r="B1879" s="46" t="s">
        <v>8348</v>
      </c>
    </row>
    <row r="1880" spans="1:3" ht="14.5">
      <c r="A1880" s="45" t="s">
        <v>107</v>
      </c>
      <c r="B1880" s="46" t="s">
        <v>8349</v>
      </c>
    </row>
    <row r="1881" spans="1:3" ht="14.5">
      <c r="A1881" s="45" t="s">
        <v>512</v>
      </c>
      <c r="B1881" s="46" t="s">
        <v>8350</v>
      </c>
    </row>
    <row r="1882" spans="1:3" ht="14.5">
      <c r="A1882" s="45" t="s">
        <v>756</v>
      </c>
      <c r="B1882" s="46" t="s">
        <v>8351</v>
      </c>
    </row>
    <row r="1883" spans="1:3" ht="14.5">
      <c r="A1883" s="45" t="s">
        <v>779</v>
      </c>
      <c r="B1883" s="46" t="s">
        <v>8352</v>
      </c>
    </row>
    <row r="1884" spans="1:3" ht="14.5">
      <c r="A1884" s="45" t="s">
        <v>800</v>
      </c>
      <c r="B1884" s="46" t="s">
        <v>8353</v>
      </c>
    </row>
    <row r="1885" spans="1:3" ht="14.5">
      <c r="A1885" s="45" t="s">
        <v>1724</v>
      </c>
      <c r="B1885" s="46" t="s">
        <v>8354</v>
      </c>
    </row>
    <row r="1886" spans="1:3" ht="14.5">
      <c r="A1886" s="45" t="s">
        <v>982</v>
      </c>
      <c r="B1886" s="46" t="s">
        <v>8355</v>
      </c>
    </row>
    <row r="1887" spans="1:3" ht="14.5">
      <c r="A1887" s="45" t="s">
        <v>1780</v>
      </c>
      <c r="B1887" s="46" t="s">
        <v>8356</v>
      </c>
    </row>
    <row r="1888" spans="1:3" ht="14.5">
      <c r="A1888" s="45" t="s">
        <v>1933</v>
      </c>
      <c r="B1888" s="46" t="s">
        <v>8357</v>
      </c>
      <c r="C1888" s="47"/>
    </row>
    <row r="1889" spans="1:2" ht="14.5">
      <c r="A1889" s="45" t="s">
        <v>2109</v>
      </c>
      <c r="B1889" s="46" t="s">
        <v>8358</v>
      </c>
    </row>
    <row r="1890" spans="1:2" ht="14.5">
      <c r="A1890" s="45" t="s">
        <v>2229</v>
      </c>
      <c r="B1890" s="46" t="s">
        <v>8359</v>
      </c>
    </row>
    <row r="1891" spans="1:2" ht="14.5">
      <c r="A1891" s="45" t="s">
        <v>2609</v>
      </c>
      <c r="B1891" s="46" t="s">
        <v>8360</v>
      </c>
    </row>
    <row r="1892" spans="1:2" ht="14.5">
      <c r="A1892" s="45" t="s">
        <v>2952</v>
      </c>
      <c r="B1892" s="46" t="s">
        <v>8361</v>
      </c>
    </row>
    <row r="1893" spans="1:2" ht="14.5">
      <c r="A1893" s="45" t="s">
        <v>3188</v>
      </c>
      <c r="B1893" s="46" t="s">
        <v>8362</v>
      </c>
    </row>
    <row r="1894" spans="1:2" ht="14.5">
      <c r="A1894" s="45" t="s">
        <v>3247</v>
      </c>
      <c r="B1894" s="46" t="s">
        <v>8363</v>
      </c>
    </row>
    <row r="1895" spans="1:2" ht="14.5">
      <c r="A1895" s="45" t="s">
        <v>3279</v>
      </c>
      <c r="B1895" s="46" t="s">
        <v>8364</v>
      </c>
    </row>
    <row r="1896" spans="1:2" ht="14.5">
      <c r="A1896" s="45" t="s">
        <v>3502</v>
      </c>
      <c r="B1896" s="46" t="s">
        <v>8365</v>
      </c>
    </row>
    <row r="1897" spans="1:2" ht="29">
      <c r="A1897" s="45" t="s">
        <v>3513</v>
      </c>
      <c r="B1897" s="46" t="s">
        <v>8366</v>
      </c>
    </row>
    <row r="1898" spans="1:2" ht="14.5">
      <c r="A1898" s="45" t="s">
        <v>3586</v>
      </c>
      <c r="B1898" s="46" t="s">
        <v>8367</v>
      </c>
    </row>
    <row r="1899" spans="1:2" ht="14.5">
      <c r="A1899" s="45" t="s">
        <v>3620</v>
      </c>
      <c r="B1899" s="46" t="s">
        <v>8368</v>
      </c>
    </row>
    <row r="1900" spans="1:2" ht="14.5">
      <c r="A1900" s="45" t="s">
        <v>3702</v>
      </c>
      <c r="B1900" s="46" t="s">
        <v>8369</v>
      </c>
    </row>
    <row r="1901" spans="1:2" ht="14.5">
      <c r="A1901" s="45" t="s">
        <v>3744</v>
      </c>
      <c r="B1901" s="46" t="s">
        <v>8370</v>
      </c>
    </row>
    <row r="1902" spans="1:2" ht="14.5">
      <c r="A1902" s="45" t="s">
        <v>3776</v>
      </c>
      <c r="B1902" s="46" t="s">
        <v>8371</v>
      </c>
    </row>
    <row r="1903" spans="1:2" ht="29">
      <c r="A1903" s="45" t="s">
        <v>3782</v>
      </c>
      <c r="B1903" s="46" t="s">
        <v>8372</v>
      </c>
    </row>
    <row r="1904" spans="1:2" ht="14.5">
      <c r="A1904" s="45" t="s">
        <v>3960</v>
      </c>
      <c r="B1904" s="46" t="s">
        <v>8373</v>
      </c>
    </row>
    <row r="1905" spans="1:2" ht="14.5">
      <c r="A1905" s="45" t="s">
        <v>3976</v>
      </c>
      <c r="B1905" s="46" t="s">
        <v>8374</v>
      </c>
    </row>
    <row r="1906" spans="1:2" ht="14.5">
      <c r="A1906" s="45" t="s">
        <v>3983</v>
      </c>
      <c r="B1906" s="46" t="s">
        <v>8375</v>
      </c>
    </row>
    <row r="1907" spans="1:2" ht="14.5">
      <c r="A1907" s="45" t="s">
        <v>4009</v>
      </c>
      <c r="B1907" s="46" t="s">
        <v>8376</v>
      </c>
    </row>
    <row r="1908" spans="1:2" ht="14.5">
      <c r="A1908" s="45" t="s">
        <v>4047</v>
      </c>
      <c r="B1908" s="46" t="s">
        <v>8377</v>
      </c>
    </row>
    <row r="1909" spans="1:2" ht="29">
      <c r="A1909" s="45" t="s">
        <v>4049</v>
      </c>
      <c r="B1909" s="46" t="s">
        <v>8378</v>
      </c>
    </row>
    <row r="1910" spans="1:2" ht="29">
      <c r="A1910" s="45" t="s">
        <v>4052</v>
      </c>
      <c r="B1910" s="46" t="s">
        <v>8379</v>
      </c>
    </row>
    <row r="1911" spans="1:2" ht="14.5">
      <c r="A1911" s="45" t="s">
        <v>4054</v>
      </c>
      <c r="B1911" s="46" t="s">
        <v>8380</v>
      </c>
    </row>
    <row r="1912" spans="1:2" ht="14.5">
      <c r="A1912" s="45" t="s">
        <v>4058</v>
      </c>
      <c r="B1912" s="46" t="s">
        <v>8381</v>
      </c>
    </row>
    <row r="1913" spans="1:2" ht="14.5">
      <c r="A1913" s="45" t="s">
        <v>4060</v>
      </c>
      <c r="B1913" s="46" t="s">
        <v>8382</v>
      </c>
    </row>
    <row r="1914" spans="1:2" ht="14.5">
      <c r="A1914" s="45" t="s">
        <v>4068</v>
      </c>
      <c r="B1914" s="46" t="s">
        <v>8383</v>
      </c>
    </row>
    <row r="1915" spans="1:2" ht="14.5">
      <c r="A1915" s="45" t="s">
        <v>4073</v>
      </c>
      <c r="B1915" s="46" t="s">
        <v>8384</v>
      </c>
    </row>
    <row r="1916" spans="1:2" ht="14.5">
      <c r="A1916" s="45" t="s">
        <v>4074</v>
      </c>
      <c r="B1916" s="46" t="s">
        <v>8385</v>
      </c>
    </row>
    <row r="1917" spans="1:2" ht="14.5">
      <c r="A1917" s="45" t="s">
        <v>4076</v>
      </c>
      <c r="B1917" s="46" t="s">
        <v>8386</v>
      </c>
    </row>
    <row r="1918" spans="1:2" ht="14.5">
      <c r="A1918" s="45" t="s">
        <v>4078</v>
      </c>
      <c r="B1918" s="46" t="s">
        <v>8387</v>
      </c>
    </row>
    <row r="1919" spans="1:2" ht="29">
      <c r="A1919" s="45" t="s">
        <v>4079</v>
      </c>
      <c r="B1919" s="46" t="s">
        <v>8388</v>
      </c>
    </row>
    <row r="1920" spans="1:2" ht="14.5">
      <c r="A1920" s="45" t="s">
        <v>4080</v>
      </c>
      <c r="B1920" s="46" t="s">
        <v>8389</v>
      </c>
    </row>
    <row r="1921" spans="1:2" ht="14.5">
      <c r="A1921" s="45" t="s">
        <v>4081</v>
      </c>
      <c r="B1921" s="46" t="s">
        <v>8390</v>
      </c>
    </row>
    <row r="1922" spans="1:2" ht="29">
      <c r="A1922" s="45" t="s">
        <v>4082</v>
      </c>
      <c r="B1922" s="46" t="s">
        <v>8391</v>
      </c>
    </row>
    <row r="1923" spans="1:2" ht="14.5">
      <c r="A1923" s="45" t="s">
        <v>4083</v>
      </c>
      <c r="B1923" s="46" t="s">
        <v>8392</v>
      </c>
    </row>
    <row r="1924" spans="1:2" ht="14.5">
      <c r="A1924" s="45" t="s">
        <v>4084</v>
      </c>
      <c r="B1924" s="46" t="s">
        <v>8393</v>
      </c>
    </row>
    <row r="1925" spans="1:2" ht="14.5">
      <c r="A1925" s="45" t="s">
        <v>4085</v>
      </c>
      <c r="B1925" s="46" t="s">
        <v>8394</v>
      </c>
    </row>
    <row r="1926" spans="1:2" ht="14.5">
      <c r="A1926" s="45" t="s">
        <v>4086</v>
      </c>
      <c r="B1926" s="46" t="s">
        <v>8395</v>
      </c>
    </row>
    <row r="1927" spans="1:2" ht="14.5">
      <c r="A1927" s="45" t="s">
        <v>4087</v>
      </c>
      <c r="B1927" s="46" t="s">
        <v>8396</v>
      </c>
    </row>
    <row r="1928" spans="1:2" ht="29">
      <c r="A1928" s="45" t="s">
        <v>4088</v>
      </c>
      <c r="B1928" s="46" t="s">
        <v>8397</v>
      </c>
    </row>
    <row r="1929" spans="1:2" ht="14.5">
      <c r="A1929" s="45" t="s">
        <v>4089</v>
      </c>
      <c r="B1929" s="46" t="s">
        <v>8376</v>
      </c>
    </row>
    <row r="1930" spans="1:2" ht="29">
      <c r="A1930" s="45" t="s">
        <v>4090</v>
      </c>
      <c r="B1930" s="46" t="s">
        <v>8398</v>
      </c>
    </row>
    <row r="1931" spans="1:2" ht="14.5">
      <c r="A1931" s="45" t="s">
        <v>4091</v>
      </c>
      <c r="B1931" s="46" t="s">
        <v>8399</v>
      </c>
    </row>
    <row r="1932" spans="1:2" ht="14.5">
      <c r="A1932" s="45" t="s">
        <v>4093</v>
      </c>
      <c r="B1932" s="46" t="s">
        <v>8400</v>
      </c>
    </row>
    <row r="1933" spans="1:2" ht="29">
      <c r="A1933" s="45" t="s">
        <v>4095</v>
      </c>
      <c r="B1933" s="46" t="s">
        <v>8401</v>
      </c>
    </row>
    <row r="1934" spans="1:2" ht="14.5">
      <c r="A1934" s="45" t="s">
        <v>4096</v>
      </c>
      <c r="B1934" s="46" t="s">
        <v>8402</v>
      </c>
    </row>
    <row r="1935" spans="1:2" ht="29">
      <c r="A1935" s="45" t="s">
        <v>4098</v>
      </c>
      <c r="B1935" s="46" t="s">
        <v>8403</v>
      </c>
    </row>
    <row r="1936" spans="1:2" ht="14.5">
      <c r="A1936" s="45" t="s">
        <v>4107</v>
      </c>
      <c r="B1936" s="46" t="s">
        <v>8404</v>
      </c>
    </row>
    <row r="1937" spans="1:2" ht="14.5">
      <c r="A1937" s="45" t="s">
        <v>4108</v>
      </c>
      <c r="B1937" s="46" t="s">
        <v>8405</v>
      </c>
    </row>
    <row r="1938" spans="1:2" ht="14.5">
      <c r="A1938" s="45" t="s">
        <v>4117</v>
      </c>
      <c r="B1938" s="46" t="s">
        <v>8406</v>
      </c>
    </row>
    <row r="1939" spans="1:2" ht="14.5">
      <c r="A1939" s="45" t="s">
        <v>4118</v>
      </c>
      <c r="B1939" s="46" t="s">
        <v>8407</v>
      </c>
    </row>
    <row r="1940" spans="1:2" ht="14.5">
      <c r="A1940" s="45" t="s">
        <v>4125</v>
      </c>
      <c r="B1940" s="46" t="s">
        <v>8408</v>
      </c>
    </row>
    <row r="1941" spans="1:2" ht="29">
      <c r="A1941" s="45" t="s">
        <v>4153</v>
      </c>
      <c r="B1941" s="46" t="s">
        <v>8409</v>
      </c>
    </row>
    <row r="1942" spans="1:2" ht="14.5">
      <c r="A1942" s="45" t="s">
        <v>4159</v>
      </c>
      <c r="B1942" s="46" t="s">
        <v>8410</v>
      </c>
    </row>
    <row r="1943" spans="1:2" ht="14.5">
      <c r="A1943" s="45" t="s">
        <v>4184</v>
      </c>
      <c r="B1943" s="46" t="s">
        <v>8411</v>
      </c>
    </row>
    <row r="1944" spans="1:2" ht="14.5">
      <c r="A1944" s="45" t="s">
        <v>4196</v>
      </c>
      <c r="B1944" s="46" t="s">
        <v>8412</v>
      </c>
    </row>
    <row r="1945" spans="1:2" ht="14.5">
      <c r="A1945" s="45" t="s">
        <v>4198</v>
      </c>
      <c r="B1945" s="46" t="s">
        <v>8413</v>
      </c>
    </row>
    <row r="1946" spans="1:2" ht="29">
      <c r="A1946" s="45" t="s">
        <v>4208</v>
      </c>
      <c r="B1946" s="46" t="s">
        <v>8414</v>
      </c>
    </row>
    <row r="1947" spans="1:2" ht="14.5">
      <c r="A1947" s="45" t="s">
        <v>4217</v>
      </c>
      <c r="B1947" s="46" t="s">
        <v>8415</v>
      </c>
    </row>
    <row r="1948" spans="1:2" ht="29">
      <c r="A1948" s="45" t="s">
        <v>4218</v>
      </c>
      <c r="B1948" s="46" t="s">
        <v>8416</v>
      </c>
    </row>
    <row r="1949" spans="1:2" ht="14.5">
      <c r="A1949" s="45" t="s">
        <v>4220</v>
      </c>
      <c r="B1949" s="46" t="s">
        <v>8417</v>
      </c>
    </row>
    <row r="1950" spans="1:2" ht="29">
      <c r="A1950" s="45" t="s">
        <v>4223</v>
      </c>
      <c r="B1950" s="46" t="s">
        <v>8418</v>
      </c>
    </row>
    <row r="1951" spans="1:2" ht="14.5">
      <c r="A1951" s="45" t="s">
        <v>4233</v>
      </c>
      <c r="B1951" s="46" t="s">
        <v>8419</v>
      </c>
    </row>
    <row r="1952" spans="1:2" ht="14.5">
      <c r="A1952" s="45" t="s">
        <v>4239</v>
      </c>
      <c r="B1952" s="46" t="s">
        <v>8420</v>
      </c>
    </row>
    <row r="1953" spans="1:2" ht="14.5">
      <c r="A1953" s="45" t="s">
        <v>4251</v>
      </c>
      <c r="B1953" s="46" t="s">
        <v>8421</v>
      </c>
    </row>
    <row r="1954" spans="1:2" ht="14.5">
      <c r="A1954" s="45" t="s">
        <v>4265</v>
      </c>
      <c r="B1954" s="46" t="s">
        <v>8422</v>
      </c>
    </row>
    <row r="1955" spans="1:2" ht="14.5">
      <c r="A1955" s="45" t="s">
        <v>4267</v>
      </c>
      <c r="B1955" s="46" t="s">
        <v>8423</v>
      </c>
    </row>
    <row r="1956" spans="1:2" ht="29">
      <c r="A1956" s="45" t="s">
        <v>4268</v>
      </c>
      <c r="B1956" s="46" t="s">
        <v>8424</v>
      </c>
    </row>
    <row r="1957" spans="1:2" ht="14.5">
      <c r="A1957" s="45" t="s">
        <v>4270</v>
      </c>
      <c r="B1957" s="46" t="s">
        <v>8425</v>
      </c>
    </row>
    <row r="1958" spans="1:2" ht="14.5">
      <c r="A1958" s="45" t="s">
        <v>4275</v>
      </c>
      <c r="B1958" s="46" t="s">
        <v>8426</v>
      </c>
    </row>
    <row r="1959" spans="1:2" ht="14.5">
      <c r="A1959" s="45" t="s">
        <v>4280</v>
      </c>
      <c r="B1959" s="46" t="s">
        <v>8427</v>
      </c>
    </row>
    <row r="1960" spans="1:2" ht="14.5">
      <c r="A1960" s="45" t="s">
        <v>4286</v>
      </c>
      <c r="B1960" s="46" t="s">
        <v>8428</v>
      </c>
    </row>
    <row r="1961" spans="1:2" ht="14.5">
      <c r="A1961" s="45" t="s">
        <v>4294</v>
      </c>
      <c r="B1961" s="46" t="s">
        <v>8429</v>
      </c>
    </row>
    <row r="1962" spans="1:2" ht="14.5">
      <c r="A1962" s="45" t="s">
        <v>4298</v>
      </c>
      <c r="B1962" s="46" t="s">
        <v>8430</v>
      </c>
    </row>
    <row r="1963" spans="1:2" ht="14.5">
      <c r="A1963" s="45" t="s">
        <v>4300</v>
      </c>
      <c r="B1963" s="46" t="s">
        <v>8431</v>
      </c>
    </row>
    <row r="1964" spans="1:2" ht="14.5">
      <c r="A1964" s="45" t="s">
        <v>4302</v>
      </c>
      <c r="B1964" s="46" t="s">
        <v>8432</v>
      </c>
    </row>
    <row r="1965" spans="1:2" ht="14.5">
      <c r="A1965" s="45" t="s">
        <v>4307</v>
      </c>
      <c r="B1965" s="46" t="s">
        <v>8433</v>
      </c>
    </row>
    <row r="1966" spans="1:2" ht="14.5">
      <c r="A1966" s="45" t="s">
        <v>4313</v>
      </c>
      <c r="B1966" s="46" t="s">
        <v>8434</v>
      </c>
    </row>
    <row r="1967" spans="1:2" ht="14.5">
      <c r="A1967" s="45" t="s">
        <v>4316</v>
      </c>
      <c r="B1967" s="46" t="s">
        <v>8435</v>
      </c>
    </row>
    <row r="1968" spans="1:2" ht="14.5">
      <c r="A1968" s="45" t="s">
        <v>4317</v>
      </c>
      <c r="B1968" s="46" t="s">
        <v>8436</v>
      </c>
    </row>
    <row r="1969" spans="1:2" ht="14.5">
      <c r="A1969" s="45" t="s">
        <v>4319</v>
      </c>
      <c r="B1969" s="46" t="s">
        <v>8437</v>
      </c>
    </row>
    <row r="1970" spans="1:2" ht="14.5">
      <c r="A1970" s="45" t="s">
        <v>4321</v>
      </c>
      <c r="B1970" s="46" t="s">
        <v>8438</v>
      </c>
    </row>
    <row r="1971" spans="1:2" ht="14.5">
      <c r="A1971" s="45" t="s">
        <v>4328</v>
      </c>
      <c r="B1971" s="46" t="s">
        <v>8439</v>
      </c>
    </row>
    <row r="1972" spans="1:2" ht="14.5">
      <c r="A1972" s="45" t="s">
        <v>4333</v>
      </c>
      <c r="B1972" s="46" t="s">
        <v>8440</v>
      </c>
    </row>
    <row r="1973" spans="1:2" ht="14.5">
      <c r="A1973" s="45" t="s">
        <v>4338</v>
      </c>
      <c r="B1973" s="46" t="s">
        <v>8441</v>
      </c>
    </row>
    <row r="1974" spans="1:2" ht="29">
      <c r="A1974" s="45" t="s">
        <v>4341</v>
      </c>
      <c r="B1974" s="46" t="s">
        <v>8442</v>
      </c>
    </row>
    <row r="1975" spans="1:2" ht="14.5">
      <c r="A1975" s="45" t="s">
        <v>4350</v>
      </c>
      <c r="B1975" s="46" t="s">
        <v>8443</v>
      </c>
    </row>
    <row r="1976" spans="1:2" ht="14.5">
      <c r="A1976" s="45" t="s">
        <v>4354</v>
      </c>
      <c r="B1976" s="46" t="s">
        <v>8444</v>
      </c>
    </row>
    <row r="1977" spans="1:2" ht="29">
      <c r="A1977" s="45" t="s">
        <v>4356</v>
      </c>
      <c r="B1977" s="46" t="s">
        <v>8445</v>
      </c>
    </row>
    <row r="1978" spans="1:2" ht="14.5">
      <c r="A1978" s="45" t="s">
        <v>4372</v>
      </c>
      <c r="B1978" s="46" t="s">
        <v>8446</v>
      </c>
    </row>
    <row r="1979" spans="1:2" ht="14.5">
      <c r="A1979" s="45" t="s">
        <v>4373</v>
      </c>
      <c r="B1979" s="46" t="s">
        <v>8447</v>
      </c>
    </row>
    <row r="1980" spans="1:2" ht="14.5">
      <c r="A1980" s="45" t="s">
        <v>4375</v>
      </c>
      <c r="B1980" s="46" t="s">
        <v>8448</v>
      </c>
    </row>
    <row r="1981" spans="1:2" ht="14.5">
      <c r="A1981" s="45" t="s">
        <v>4376</v>
      </c>
      <c r="B1981" s="46" t="s">
        <v>8449</v>
      </c>
    </row>
    <row r="1982" spans="1:2" ht="14.5">
      <c r="A1982" s="45" t="s">
        <v>4379</v>
      </c>
      <c r="B1982" s="46" t="s">
        <v>8450</v>
      </c>
    </row>
    <row r="1983" spans="1:2" ht="29">
      <c r="A1983" s="45" t="s">
        <v>4380</v>
      </c>
      <c r="B1983" s="46" t="s">
        <v>8451</v>
      </c>
    </row>
    <row r="1984" spans="1:2" ht="14.5">
      <c r="A1984" s="45" t="s">
        <v>4382</v>
      </c>
      <c r="B1984" s="46" t="s">
        <v>8452</v>
      </c>
    </row>
    <row r="1985" spans="1:2" ht="14.5">
      <c r="A1985" s="45" t="s">
        <v>4384</v>
      </c>
      <c r="B1985" s="46" t="s">
        <v>8453</v>
      </c>
    </row>
    <row r="1986" spans="1:2" ht="14.5">
      <c r="A1986" s="45" t="s">
        <v>4386</v>
      </c>
      <c r="B1986" s="46" t="s">
        <v>8454</v>
      </c>
    </row>
    <row r="1987" spans="1:2" ht="14.5">
      <c r="A1987" s="45" t="s">
        <v>4389</v>
      </c>
      <c r="B1987" s="46" t="s">
        <v>8455</v>
      </c>
    </row>
    <row r="1988" spans="1:2" ht="29">
      <c r="A1988" s="45" t="s">
        <v>4394</v>
      </c>
      <c r="B1988" s="46" t="s">
        <v>8456</v>
      </c>
    </row>
    <row r="1989" spans="1:2" ht="29">
      <c r="A1989" s="45" t="s">
        <v>4395</v>
      </c>
      <c r="B1989" s="46" t="s">
        <v>8457</v>
      </c>
    </row>
    <row r="1990" spans="1:2" ht="14.5">
      <c r="A1990" s="45" t="s">
        <v>4397</v>
      </c>
      <c r="B1990" s="46" t="s">
        <v>8458</v>
      </c>
    </row>
    <row r="1991" spans="1:2" ht="29">
      <c r="A1991" s="45" t="s">
        <v>4404</v>
      </c>
      <c r="B1991" s="46" t="s">
        <v>8459</v>
      </c>
    </row>
    <row r="1992" spans="1:2" ht="14.5">
      <c r="A1992" s="45" t="s">
        <v>4409</v>
      </c>
      <c r="B1992" s="46" t="s">
        <v>8460</v>
      </c>
    </row>
    <row r="1993" spans="1:2" ht="14.5">
      <c r="A1993" s="45" t="s">
        <v>4412</v>
      </c>
      <c r="B1993" s="46" t="s">
        <v>8461</v>
      </c>
    </row>
    <row r="1994" spans="1:2" ht="14.5">
      <c r="A1994" s="45" t="s">
        <v>4419</v>
      </c>
      <c r="B1994" s="46" t="s">
        <v>8462</v>
      </c>
    </row>
    <row r="1995" spans="1:2" ht="14.5">
      <c r="A1995" s="45" t="s">
        <v>4422</v>
      </c>
      <c r="B1995" s="46" t="s">
        <v>8463</v>
      </c>
    </row>
    <row r="1996" spans="1:2" ht="14.5">
      <c r="A1996" s="45" t="s">
        <v>4423</v>
      </c>
      <c r="B1996" s="46" t="s">
        <v>8464</v>
      </c>
    </row>
    <row r="1997" spans="1:2" ht="14.5">
      <c r="A1997" s="45" t="s">
        <v>4427</v>
      </c>
      <c r="B1997" s="46" t="s">
        <v>8465</v>
      </c>
    </row>
    <row r="1998" spans="1:2" ht="14.5">
      <c r="A1998" s="45" t="s">
        <v>4436</v>
      </c>
      <c r="B1998" s="46" t="s">
        <v>8466</v>
      </c>
    </row>
    <row r="1999" spans="1:2" ht="29">
      <c r="A1999" s="45" t="s">
        <v>4441</v>
      </c>
      <c r="B1999" s="46" t="s">
        <v>8467</v>
      </c>
    </row>
    <row r="2000" spans="1:2" ht="14.5">
      <c r="A2000" s="45" t="s">
        <v>4446</v>
      </c>
      <c r="B2000" s="46" t="s">
        <v>8468</v>
      </c>
    </row>
    <row r="2001" spans="1:2" ht="14.5">
      <c r="A2001" s="45" t="s">
        <v>4455</v>
      </c>
      <c r="B2001" s="46" t="s">
        <v>8469</v>
      </c>
    </row>
    <row r="2002" spans="1:2" ht="29">
      <c r="A2002" s="45" t="s">
        <v>4461</v>
      </c>
      <c r="B2002" s="46" t="s">
        <v>8470</v>
      </c>
    </row>
    <row r="2003" spans="1:2" ht="14.5">
      <c r="A2003" s="45" t="s">
        <v>4463</v>
      </c>
      <c r="B2003" s="46" t="s">
        <v>8471</v>
      </c>
    </row>
    <row r="2004" spans="1:2" ht="29">
      <c r="A2004" s="45" t="s">
        <v>4470</v>
      </c>
      <c r="B2004" s="46" t="s">
        <v>8472</v>
      </c>
    </row>
    <row r="2005" spans="1:2" ht="29">
      <c r="A2005" s="45" t="s">
        <v>4474</v>
      </c>
      <c r="B2005" s="46" t="s">
        <v>8473</v>
      </c>
    </row>
    <row r="2006" spans="1:2" ht="14.5">
      <c r="A2006" s="45" t="s">
        <v>4475</v>
      </c>
      <c r="B2006" s="46" t="s">
        <v>8474</v>
      </c>
    </row>
    <row r="2007" spans="1:2" ht="14.5">
      <c r="A2007" s="45" t="s">
        <v>4476</v>
      </c>
      <c r="B2007" s="46" t="s">
        <v>8475</v>
      </c>
    </row>
    <row r="2008" spans="1:2" ht="14.5">
      <c r="A2008" s="45" t="s">
        <v>4478</v>
      </c>
      <c r="B2008" s="46" t="s">
        <v>8476</v>
      </c>
    </row>
    <row r="2009" spans="1:2" ht="29">
      <c r="A2009" s="45" t="s">
        <v>4479</v>
      </c>
      <c r="B2009" s="46" t="s">
        <v>8477</v>
      </c>
    </row>
    <row r="2010" spans="1:2" ht="29">
      <c r="A2010" s="45" t="s">
        <v>4481</v>
      </c>
      <c r="B2010" s="46" t="s">
        <v>8478</v>
      </c>
    </row>
    <row r="2011" spans="1:2" ht="14.5">
      <c r="A2011" s="45" t="s">
        <v>4482</v>
      </c>
      <c r="B2011" s="46" t="s">
        <v>8479</v>
      </c>
    </row>
    <row r="2012" spans="1:2" ht="14.5">
      <c r="A2012" s="45" t="s">
        <v>4484</v>
      </c>
      <c r="B2012" s="46" t="s">
        <v>8480</v>
      </c>
    </row>
    <row r="2013" spans="1:2" ht="14.5">
      <c r="A2013" s="45" t="s">
        <v>4487</v>
      </c>
      <c r="B2013" s="46" t="s">
        <v>8481</v>
      </c>
    </row>
    <row r="2014" spans="1:2" ht="14.5">
      <c r="A2014" s="45" t="s">
        <v>4491</v>
      </c>
      <c r="B2014" s="46" t="s">
        <v>8482</v>
      </c>
    </row>
    <row r="2015" spans="1:2" ht="14.5">
      <c r="A2015" s="45" t="s">
        <v>4495</v>
      </c>
      <c r="B2015" s="46" t="s">
        <v>8483</v>
      </c>
    </row>
    <row r="2016" spans="1:2" ht="14.5">
      <c r="A2016" s="45" t="s">
        <v>4496</v>
      </c>
      <c r="B2016" s="46" t="s">
        <v>8484</v>
      </c>
    </row>
    <row r="2017" spans="1:2" ht="14.5">
      <c r="A2017" s="45" t="s">
        <v>4501</v>
      </c>
      <c r="B2017" s="46" t="s">
        <v>8485</v>
      </c>
    </row>
    <row r="2018" spans="1:2" ht="14.5">
      <c r="A2018" s="45" t="s">
        <v>4502</v>
      </c>
      <c r="B2018" s="46" t="s">
        <v>8486</v>
      </c>
    </row>
    <row r="2019" spans="1:2" ht="14.5">
      <c r="A2019" s="45" t="s">
        <v>4504</v>
      </c>
      <c r="B2019" s="46" t="s">
        <v>8487</v>
      </c>
    </row>
    <row r="2020" spans="1:2" ht="14.5">
      <c r="A2020" s="45" t="s">
        <v>4506</v>
      </c>
      <c r="B2020" s="46" t="s">
        <v>8488</v>
      </c>
    </row>
    <row r="2021" spans="1:2" ht="29">
      <c r="A2021" s="45" t="s">
        <v>4507</v>
      </c>
      <c r="B2021" s="46" t="s">
        <v>8489</v>
      </c>
    </row>
    <row r="2022" spans="1:2" ht="14.5">
      <c r="A2022" s="45" t="s">
        <v>4508</v>
      </c>
      <c r="B2022" s="46" t="s">
        <v>8490</v>
      </c>
    </row>
    <row r="2023" spans="1:2" ht="29">
      <c r="A2023" s="45" t="s">
        <v>4510</v>
      </c>
      <c r="B2023" s="46" t="s">
        <v>8491</v>
      </c>
    </row>
    <row r="2024" spans="1:2" ht="14.5">
      <c r="A2024" s="45" t="s">
        <v>4511</v>
      </c>
      <c r="B2024" s="46" t="s">
        <v>8492</v>
      </c>
    </row>
    <row r="2025" spans="1:2" ht="14.5">
      <c r="A2025" s="45" t="s">
        <v>4512</v>
      </c>
      <c r="B2025" s="46" t="s">
        <v>8493</v>
      </c>
    </row>
    <row r="2026" spans="1:2" ht="14.5">
      <c r="A2026" s="45" t="s">
        <v>4513</v>
      </c>
      <c r="B2026" s="46" t="s">
        <v>8494</v>
      </c>
    </row>
    <row r="2027" spans="1:2" ht="43.5">
      <c r="A2027" s="45" t="s">
        <v>4514</v>
      </c>
      <c r="B2027" s="46" t="s">
        <v>8495</v>
      </c>
    </row>
    <row r="2028" spans="1:2" ht="29">
      <c r="A2028" s="45" t="s">
        <v>4515</v>
      </c>
      <c r="B2028" s="46" t="s">
        <v>8496</v>
      </c>
    </row>
    <row r="2029" spans="1:2" ht="14.5">
      <c r="A2029" s="45" t="s">
        <v>4516</v>
      </c>
      <c r="B2029" s="46" t="s">
        <v>8497</v>
      </c>
    </row>
    <row r="2030" spans="1:2" ht="29">
      <c r="A2030" s="45" t="s">
        <v>4520</v>
      </c>
      <c r="B2030" s="46" t="s">
        <v>8498</v>
      </c>
    </row>
    <row r="2031" spans="1:2" ht="14.5">
      <c r="A2031" s="45" t="s">
        <v>4522</v>
      </c>
      <c r="B2031" s="46" t="s">
        <v>8499</v>
      </c>
    </row>
    <row r="2032" spans="1:2" ht="14.5">
      <c r="A2032" s="45" t="s">
        <v>4527</v>
      </c>
      <c r="B2032" s="46" t="s">
        <v>8500</v>
      </c>
    </row>
    <row r="2033" spans="1:2" ht="14.5">
      <c r="A2033" s="45" t="s">
        <v>4531</v>
      </c>
      <c r="B2033" s="46" t="s">
        <v>8501</v>
      </c>
    </row>
    <row r="2034" spans="1:2" ht="14.5">
      <c r="A2034" s="45" t="s">
        <v>4533</v>
      </c>
      <c r="B2034" s="46" t="s">
        <v>8502</v>
      </c>
    </row>
    <row r="2035" spans="1:2" ht="29">
      <c r="A2035" s="45" t="s">
        <v>4534</v>
      </c>
      <c r="B2035" s="46" t="s">
        <v>8503</v>
      </c>
    </row>
    <row r="2036" spans="1:2" ht="14.5">
      <c r="A2036" s="45" t="s">
        <v>4541</v>
      </c>
      <c r="B2036" s="46" t="s">
        <v>8504</v>
      </c>
    </row>
    <row r="2037" spans="1:2" ht="29">
      <c r="A2037" s="45" t="s">
        <v>4543</v>
      </c>
      <c r="B2037" s="46" t="s">
        <v>8505</v>
      </c>
    </row>
    <row r="2038" spans="1:2" ht="14.5">
      <c r="A2038" s="45" t="s">
        <v>4547</v>
      </c>
      <c r="B2038" s="46" t="s">
        <v>8506</v>
      </c>
    </row>
    <row r="2039" spans="1:2" ht="14.5">
      <c r="A2039" s="45" t="s">
        <v>4549</v>
      </c>
      <c r="B2039" s="46" t="s">
        <v>8507</v>
      </c>
    </row>
    <row r="2040" spans="1:2" ht="14.5">
      <c r="A2040" s="45" t="s">
        <v>4552</v>
      </c>
      <c r="B2040" s="46" t="s">
        <v>8508</v>
      </c>
    </row>
    <row r="2041" spans="1:2" ht="14.5">
      <c r="A2041" s="45" t="s">
        <v>4553</v>
      </c>
      <c r="B2041" s="46" t="s">
        <v>8509</v>
      </c>
    </row>
    <row r="2042" spans="1:2" ht="14.5">
      <c r="A2042" s="45" t="s">
        <v>4554</v>
      </c>
      <c r="B2042" s="46" t="s">
        <v>8510</v>
      </c>
    </row>
    <row r="2043" spans="1:2" ht="14.5">
      <c r="A2043" s="45" t="s">
        <v>4555</v>
      </c>
      <c r="B2043" s="46" t="s">
        <v>8511</v>
      </c>
    </row>
    <row r="2044" spans="1:2" ht="14.5">
      <c r="A2044" s="45" t="s">
        <v>4557</v>
      </c>
      <c r="B2044" s="46" t="s">
        <v>8512</v>
      </c>
    </row>
    <row r="2045" spans="1:2" ht="29">
      <c r="A2045" s="45" t="s">
        <v>4558</v>
      </c>
      <c r="B2045" s="46" t="s">
        <v>8513</v>
      </c>
    </row>
    <row r="2046" spans="1:2" ht="29">
      <c r="A2046" s="45" t="s">
        <v>4560</v>
      </c>
      <c r="B2046" s="46" t="s">
        <v>8514</v>
      </c>
    </row>
    <row r="2047" spans="1:2" ht="29">
      <c r="A2047" s="45" t="s">
        <v>4562</v>
      </c>
      <c r="B2047" s="46" t="s">
        <v>8515</v>
      </c>
    </row>
    <row r="2048" spans="1:2" ht="14.5">
      <c r="A2048" s="45" t="s">
        <v>4564</v>
      </c>
      <c r="B2048" s="46" t="s">
        <v>8516</v>
      </c>
    </row>
    <row r="2049" spans="1:2" ht="14.5">
      <c r="A2049" s="45" t="s">
        <v>4565</v>
      </c>
      <c r="B2049" s="46" t="s">
        <v>8517</v>
      </c>
    </row>
    <row r="2050" spans="1:2" ht="14.5">
      <c r="A2050" s="45" t="s">
        <v>4566</v>
      </c>
      <c r="B2050" s="46" t="s">
        <v>8518</v>
      </c>
    </row>
    <row r="2051" spans="1:2" ht="14.5">
      <c r="A2051" s="45" t="s">
        <v>4569</v>
      </c>
      <c r="B2051" s="46" t="s">
        <v>8519</v>
      </c>
    </row>
    <row r="2052" spans="1:2" ht="14.5">
      <c r="A2052" s="45" t="s">
        <v>4570</v>
      </c>
      <c r="B2052" s="46" t="s">
        <v>8520</v>
      </c>
    </row>
    <row r="2053" spans="1:2" ht="14.5">
      <c r="A2053" s="45" t="s">
        <v>4575</v>
      </c>
      <c r="B2053" s="46" t="s">
        <v>8521</v>
      </c>
    </row>
    <row r="2054" spans="1:2" ht="14.5">
      <c r="A2054" s="45" t="s">
        <v>4587</v>
      </c>
      <c r="B2054" s="46" t="s">
        <v>8522</v>
      </c>
    </row>
    <row r="2055" spans="1:2" ht="14.5">
      <c r="A2055" s="45" t="s">
        <v>4588</v>
      </c>
      <c r="B2055" s="46" t="s">
        <v>8523</v>
      </c>
    </row>
    <row r="2056" spans="1:2" ht="14.5">
      <c r="A2056" s="45" t="s">
        <v>4591</v>
      </c>
      <c r="B2056" s="46" t="s">
        <v>8524</v>
      </c>
    </row>
    <row r="2057" spans="1:2" ht="14.5">
      <c r="A2057" s="45" t="s">
        <v>4595</v>
      </c>
      <c r="B2057" s="46" t="s">
        <v>8525</v>
      </c>
    </row>
    <row r="2058" spans="1:2" ht="14.5">
      <c r="A2058" s="45" t="s">
        <v>4596</v>
      </c>
      <c r="B2058" s="46" t="s">
        <v>8526</v>
      </c>
    </row>
    <row r="2059" spans="1:2" ht="29">
      <c r="A2059" s="45" t="s">
        <v>4604</v>
      </c>
      <c r="B2059" s="46" t="s">
        <v>8527</v>
      </c>
    </row>
    <row r="2060" spans="1:2" ht="14.5">
      <c r="A2060" s="45" t="s">
        <v>4606</v>
      </c>
      <c r="B2060" s="46" t="s">
        <v>8528</v>
      </c>
    </row>
    <row r="2061" spans="1:2" ht="14.5">
      <c r="A2061" s="45" t="s">
        <v>4607</v>
      </c>
      <c r="B2061" s="46" t="s">
        <v>8529</v>
      </c>
    </row>
    <row r="2062" spans="1:2" ht="14.5">
      <c r="A2062" s="45" t="s">
        <v>4616</v>
      </c>
      <c r="B2062" s="46" t="s">
        <v>8530</v>
      </c>
    </row>
    <row r="2063" spans="1:2" ht="14.5">
      <c r="A2063" s="45" t="s">
        <v>4618</v>
      </c>
      <c r="B2063" s="46" t="s">
        <v>8531</v>
      </c>
    </row>
    <row r="2064" spans="1:2" ht="14.5">
      <c r="A2064" s="45" t="s">
        <v>4630</v>
      </c>
      <c r="B2064" s="46" t="s">
        <v>8532</v>
      </c>
    </row>
    <row r="2065" spans="1:2" ht="14.5">
      <c r="A2065" s="45" t="s">
        <v>4638</v>
      </c>
      <c r="B2065" s="46" t="s">
        <v>8533</v>
      </c>
    </row>
    <row r="2066" spans="1:2" ht="14.5">
      <c r="A2066" s="45" t="s">
        <v>4642</v>
      </c>
      <c r="B2066" s="46" t="s">
        <v>8534</v>
      </c>
    </row>
    <row r="2067" spans="1:2" ht="29">
      <c r="A2067" s="45" t="s">
        <v>4645</v>
      </c>
      <c r="B2067" s="46" t="s">
        <v>8535</v>
      </c>
    </row>
    <row r="2068" spans="1:2" ht="14.5">
      <c r="A2068" s="45" t="s">
        <v>4652</v>
      </c>
      <c r="B2068" s="46" t="s">
        <v>8536</v>
      </c>
    </row>
    <row r="2069" spans="1:2" ht="14.5">
      <c r="A2069" s="45" t="s">
        <v>4657</v>
      </c>
      <c r="B2069" s="46" t="s">
        <v>8537</v>
      </c>
    </row>
    <row r="2070" spans="1:2" ht="29">
      <c r="A2070" s="45" t="s">
        <v>4660</v>
      </c>
      <c r="B2070" s="46" t="s">
        <v>8538</v>
      </c>
    </row>
    <row r="2071" spans="1:2" ht="14.5">
      <c r="A2071" s="45" t="s">
        <v>4661</v>
      </c>
      <c r="B2071" s="46" t="s">
        <v>8539</v>
      </c>
    </row>
    <row r="2072" spans="1:2" ht="14.5">
      <c r="A2072" s="45" t="s">
        <v>4669</v>
      </c>
      <c r="B2072" s="46" t="s">
        <v>8540</v>
      </c>
    </row>
    <row r="2073" spans="1:2" ht="14.5">
      <c r="A2073" s="45" t="s">
        <v>4677</v>
      </c>
      <c r="B2073" s="46" t="s">
        <v>8541</v>
      </c>
    </row>
    <row r="2074" spans="1:2" ht="14.5">
      <c r="A2074" s="45" t="s">
        <v>4678</v>
      </c>
      <c r="B2074" s="46" t="s">
        <v>8542</v>
      </c>
    </row>
    <row r="2075" spans="1:2" ht="29">
      <c r="A2075" s="45" t="s">
        <v>4683</v>
      </c>
      <c r="B2075" s="46" t="s">
        <v>8543</v>
      </c>
    </row>
    <row r="2076" spans="1:2" ht="14.5">
      <c r="A2076" s="45" t="s">
        <v>4690</v>
      </c>
      <c r="B2076" s="46" t="s">
        <v>8544</v>
      </c>
    </row>
    <row r="2077" spans="1:2" ht="29">
      <c r="A2077" s="45" t="s">
        <v>4692</v>
      </c>
      <c r="B2077" s="46" t="s">
        <v>8545</v>
      </c>
    </row>
    <row r="2078" spans="1:2" ht="14.5">
      <c r="A2078" s="45" t="s">
        <v>4695</v>
      </c>
      <c r="B2078" s="46" t="s">
        <v>8546</v>
      </c>
    </row>
    <row r="2079" spans="1:2" ht="29">
      <c r="A2079" s="45" t="s">
        <v>4708</v>
      </c>
      <c r="B2079" s="46" t="s">
        <v>8547</v>
      </c>
    </row>
    <row r="2080" spans="1:2" ht="29">
      <c r="A2080" s="45" t="s">
        <v>4723</v>
      </c>
      <c r="B2080" s="46" t="s">
        <v>8548</v>
      </c>
    </row>
    <row r="2081" spans="1:2" ht="14.5">
      <c r="A2081" s="45" t="s">
        <v>4737</v>
      </c>
      <c r="B2081" s="46" t="s">
        <v>8549</v>
      </c>
    </row>
    <row r="2082" spans="1:2" ht="14.5">
      <c r="A2082" s="45" t="s">
        <v>4739</v>
      </c>
      <c r="B2082" s="46" t="s">
        <v>8550</v>
      </c>
    </row>
    <row r="2083" spans="1:2" ht="29">
      <c r="A2083" s="45" t="s">
        <v>4740</v>
      </c>
      <c r="B2083" s="46" t="s">
        <v>8551</v>
      </c>
    </row>
    <row r="2084" spans="1:2" ht="29">
      <c r="A2084" s="45" t="s">
        <v>4742</v>
      </c>
      <c r="B2084" s="46" t="s">
        <v>8552</v>
      </c>
    </row>
    <row r="2085" spans="1:2" ht="14.5">
      <c r="A2085" s="45" t="s">
        <v>4743</v>
      </c>
      <c r="B2085" s="46" t="s">
        <v>8553</v>
      </c>
    </row>
    <row r="2086" spans="1:2" ht="14.5">
      <c r="A2086" s="45" t="s">
        <v>4746</v>
      </c>
      <c r="B2086" s="46" t="s">
        <v>8554</v>
      </c>
    </row>
    <row r="2087" spans="1:2" ht="14.5">
      <c r="A2087" s="45" t="s">
        <v>4748</v>
      </c>
      <c r="B2087" s="46" t="s">
        <v>8555</v>
      </c>
    </row>
    <row r="2088" spans="1:2" ht="14.5">
      <c r="A2088" s="45" t="s">
        <v>4753</v>
      </c>
      <c r="B2088" s="46" t="s">
        <v>8556</v>
      </c>
    </row>
    <row r="2089" spans="1:2" ht="14.5">
      <c r="A2089" s="45" t="s">
        <v>4757</v>
      </c>
      <c r="B2089" s="46" t="s">
        <v>8557</v>
      </c>
    </row>
    <row r="2090" spans="1:2" ht="14.5">
      <c r="A2090" s="45" t="s">
        <v>4758</v>
      </c>
      <c r="B2090" s="46" t="s">
        <v>8558</v>
      </c>
    </row>
    <row r="2091" spans="1:2" ht="29">
      <c r="A2091" s="45" t="s">
        <v>4759</v>
      </c>
      <c r="B2091" s="46" t="s">
        <v>8559</v>
      </c>
    </row>
    <row r="2092" spans="1:2" ht="14.5">
      <c r="A2092" s="45" t="s">
        <v>4762</v>
      </c>
      <c r="B2092" s="46" t="s">
        <v>8560</v>
      </c>
    </row>
    <row r="2093" spans="1:2" ht="14.5">
      <c r="A2093" s="45" t="s">
        <v>4766</v>
      </c>
      <c r="B2093" s="46" t="s">
        <v>8561</v>
      </c>
    </row>
    <row r="2094" spans="1:2" ht="14.5">
      <c r="A2094" s="45" t="s">
        <v>4773</v>
      </c>
      <c r="B2094" s="46" t="s">
        <v>8562</v>
      </c>
    </row>
    <row r="2095" spans="1:2" ht="29">
      <c r="A2095" s="45" t="s">
        <v>4774</v>
      </c>
      <c r="B2095" s="46" t="s">
        <v>8563</v>
      </c>
    </row>
    <row r="2096" spans="1:2" ht="14.5">
      <c r="A2096" s="45" t="s">
        <v>4780</v>
      </c>
      <c r="B2096" s="46" t="s">
        <v>8564</v>
      </c>
    </row>
    <row r="2097" spans="1:2" ht="14.5">
      <c r="A2097" s="45" t="s">
        <v>4782</v>
      </c>
      <c r="B2097" s="46" t="s">
        <v>8565</v>
      </c>
    </row>
    <row r="2098" spans="1:2" ht="29">
      <c r="A2098" s="45" t="s">
        <v>4785</v>
      </c>
      <c r="B2098" s="46" t="s">
        <v>8566</v>
      </c>
    </row>
    <row r="2099" spans="1:2" ht="14.5">
      <c r="A2099" s="45" t="s">
        <v>4793</v>
      </c>
      <c r="B2099" s="46" t="s">
        <v>8567</v>
      </c>
    </row>
    <row r="2100" spans="1:2" ht="14.5">
      <c r="A2100" s="45" t="s">
        <v>4794</v>
      </c>
      <c r="B2100" s="46" t="s">
        <v>8568</v>
      </c>
    </row>
    <row r="2101" spans="1:2" ht="14.5">
      <c r="A2101" s="45" t="s">
        <v>4799</v>
      </c>
      <c r="B2101" s="46" t="s">
        <v>8569</v>
      </c>
    </row>
    <row r="2102" spans="1:2" ht="14.5">
      <c r="A2102" s="45" t="s">
        <v>4806</v>
      </c>
      <c r="B2102" s="46" t="s">
        <v>8570</v>
      </c>
    </row>
    <row r="2103" spans="1:2" ht="14.5">
      <c r="A2103" s="45" t="s">
        <v>4807</v>
      </c>
      <c r="B2103" s="46" t="s">
        <v>8571</v>
      </c>
    </row>
    <row r="2104" spans="1:2" ht="14.5">
      <c r="A2104" s="45" t="s">
        <v>4808</v>
      </c>
      <c r="B2104" s="46" t="s">
        <v>8572</v>
      </c>
    </row>
    <row r="2105" spans="1:2" ht="14.5">
      <c r="A2105" s="45" t="s">
        <v>4812</v>
      </c>
      <c r="B2105" s="46" t="s">
        <v>8573</v>
      </c>
    </row>
    <row r="2106" spans="1:2" ht="14.5">
      <c r="A2106" s="45" t="s">
        <v>4814</v>
      </c>
      <c r="B2106" s="46" t="s">
        <v>8574</v>
      </c>
    </row>
    <row r="2107" spans="1:2" ht="14.5">
      <c r="A2107" s="45" t="s">
        <v>4816</v>
      </c>
      <c r="B2107" s="46" t="s">
        <v>8575</v>
      </c>
    </row>
    <row r="2108" spans="1:2" ht="14.5">
      <c r="A2108" s="45" t="s">
        <v>4818</v>
      </c>
      <c r="B2108" s="46" t="s">
        <v>8576</v>
      </c>
    </row>
    <row r="2109" spans="1:2" ht="14.5">
      <c r="A2109" s="45" t="s">
        <v>4819</v>
      </c>
      <c r="B2109" s="46" t="s">
        <v>8577</v>
      </c>
    </row>
    <row r="2110" spans="1:2" ht="29">
      <c r="A2110" s="45" t="s">
        <v>4826</v>
      </c>
      <c r="B2110" s="46" t="s">
        <v>8578</v>
      </c>
    </row>
    <row r="2111" spans="1:2" ht="29">
      <c r="A2111" s="45" t="s">
        <v>4835</v>
      </c>
      <c r="B2111" s="46" t="s">
        <v>8579</v>
      </c>
    </row>
    <row r="2112" spans="1:2" ht="14.5">
      <c r="A2112" s="45" t="s">
        <v>4836</v>
      </c>
      <c r="B2112" s="46" t="s">
        <v>8580</v>
      </c>
    </row>
    <row r="2113" spans="1:2" ht="14.5">
      <c r="A2113" s="45" t="s">
        <v>4837</v>
      </c>
      <c r="B2113" s="46" t="s">
        <v>8581</v>
      </c>
    </row>
    <row r="2114" spans="1:2" ht="14.5">
      <c r="A2114" s="45" t="s">
        <v>4846</v>
      </c>
      <c r="B2114" s="46" t="s">
        <v>8582</v>
      </c>
    </row>
    <row r="2115" spans="1:2" ht="14.5">
      <c r="A2115" s="45" t="s">
        <v>4850</v>
      </c>
      <c r="B2115" s="46" t="s">
        <v>8583</v>
      </c>
    </row>
    <row r="2116" spans="1:2" ht="14.5">
      <c r="A2116" s="45" t="s">
        <v>4851</v>
      </c>
      <c r="B2116" s="46" t="s">
        <v>8584</v>
      </c>
    </row>
    <row r="2117" spans="1:2" ht="14.5">
      <c r="A2117" s="45" t="s">
        <v>4853</v>
      </c>
      <c r="B2117" s="46" t="s">
        <v>8585</v>
      </c>
    </row>
    <row r="2118" spans="1:2" ht="14.5">
      <c r="A2118" s="45" t="s">
        <v>4854</v>
      </c>
      <c r="B2118" s="46" t="s">
        <v>8586</v>
      </c>
    </row>
    <row r="2119" spans="1:2" ht="14.5">
      <c r="A2119" s="45" t="s">
        <v>4856</v>
      </c>
      <c r="B2119" s="46" t="s">
        <v>8587</v>
      </c>
    </row>
    <row r="2120" spans="1:2" ht="14.5">
      <c r="A2120" s="45" t="s">
        <v>4857</v>
      </c>
      <c r="B2120" s="46" t="s">
        <v>8588</v>
      </c>
    </row>
    <row r="2121" spans="1:2" ht="14.5">
      <c r="A2121" s="45" t="s">
        <v>4865</v>
      </c>
      <c r="B2121" s="46" t="s">
        <v>8589</v>
      </c>
    </row>
    <row r="2122" spans="1:2" ht="29">
      <c r="A2122" s="45" t="s">
        <v>4873</v>
      </c>
      <c r="B2122" s="46" t="s">
        <v>8590</v>
      </c>
    </row>
    <row r="2123" spans="1:2" ht="29">
      <c r="A2123" s="45" t="s">
        <v>4875</v>
      </c>
      <c r="B2123" s="46" t="s">
        <v>8591</v>
      </c>
    </row>
    <row r="2124" spans="1:2" ht="14.5">
      <c r="A2124" s="45" t="s">
        <v>4876</v>
      </c>
      <c r="B2124" s="46" t="s">
        <v>8592</v>
      </c>
    </row>
    <row r="2125" spans="1:2" ht="29">
      <c r="A2125" s="45" t="s">
        <v>4878</v>
      </c>
      <c r="B2125" s="46" t="s">
        <v>8593</v>
      </c>
    </row>
    <row r="2126" spans="1:2" ht="14.5">
      <c r="A2126" s="45" t="s">
        <v>4880</v>
      </c>
      <c r="B2126" s="46" t="s">
        <v>8594</v>
      </c>
    </row>
    <row r="2127" spans="1:2" ht="14.5">
      <c r="A2127" s="45" t="s">
        <v>4886</v>
      </c>
      <c r="B2127" s="46" t="s">
        <v>8595</v>
      </c>
    </row>
    <row r="2128" spans="1:2" ht="14.5">
      <c r="A2128" s="45" t="s">
        <v>4895</v>
      </c>
      <c r="B2128" s="46" t="s">
        <v>8596</v>
      </c>
    </row>
    <row r="2129" spans="1:2" ht="29">
      <c r="A2129" s="45" t="s">
        <v>4896</v>
      </c>
      <c r="B2129" s="46" t="s">
        <v>8597</v>
      </c>
    </row>
    <row r="2130" spans="1:2" ht="14.5">
      <c r="A2130" s="45" t="s">
        <v>4900</v>
      </c>
      <c r="B2130" s="46" t="s">
        <v>8598</v>
      </c>
    </row>
    <row r="2131" spans="1:2" ht="14.5">
      <c r="A2131" s="45" t="s">
        <v>4901</v>
      </c>
      <c r="B2131" s="46" t="s">
        <v>8599</v>
      </c>
    </row>
    <row r="2132" spans="1:2" ht="29">
      <c r="A2132" s="45" t="s">
        <v>4902</v>
      </c>
      <c r="B2132" s="46" t="s">
        <v>8600</v>
      </c>
    </row>
    <row r="2133" spans="1:2" ht="14.5">
      <c r="A2133" s="45" t="s">
        <v>4903</v>
      </c>
      <c r="B2133" s="46" t="s">
        <v>8601</v>
      </c>
    </row>
    <row r="2134" spans="1:2" ht="14.5">
      <c r="A2134" s="45" t="s">
        <v>4907</v>
      </c>
      <c r="B2134" s="46" t="s">
        <v>8602</v>
      </c>
    </row>
    <row r="2135" spans="1:2" ht="14.5">
      <c r="A2135" s="45" t="s">
        <v>4908</v>
      </c>
      <c r="B2135" s="46" t="s">
        <v>8603</v>
      </c>
    </row>
    <row r="2136" spans="1:2" ht="14.5">
      <c r="A2136" s="45" t="s">
        <v>4912</v>
      </c>
      <c r="B2136" s="46" t="s">
        <v>8604</v>
      </c>
    </row>
    <row r="2137" spans="1:2" ht="14.5">
      <c r="A2137" s="45" t="s">
        <v>4916</v>
      </c>
      <c r="B2137" s="46" t="s">
        <v>8605</v>
      </c>
    </row>
    <row r="2138" spans="1:2" ht="14.5">
      <c r="A2138" s="45" t="s">
        <v>4921</v>
      </c>
      <c r="B2138" s="46" t="s">
        <v>8606</v>
      </c>
    </row>
    <row r="2139" spans="1:2" ht="14.5">
      <c r="A2139" s="45" t="s">
        <v>4924</v>
      </c>
      <c r="B2139" s="46" t="s">
        <v>8607</v>
      </c>
    </row>
    <row r="2140" spans="1:2" ht="14.5">
      <c r="A2140" s="45" t="s">
        <v>4925</v>
      </c>
      <c r="B2140" s="46" t="s">
        <v>8608</v>
      </c>
    </row>
    <row r="2141" spans="1:2" ht="14.5">
      <c r="A2141" s="45" t="s">
        <v>4926</v>
      </c>
      <c r="B2141" s="46" t="s">
        <v>8609</v>
      </c>
    </row>
    <row r="2142" spans="1:2" ht="14.5">
      <c r="A2142" s="45" t="s">
        <v>4928</v>
      </c>
      <c r="B2142" s="46" t="s">
        <v>8610</v>
      </c>
    </row>
    <row r="2143" spans="1:2" ht="14.5">
      <c r="A2143" s="45" t="s">
        <v>4932</v>
      </c>
      <c r="B2143" s="46" t="s">
        <v>8611</v>
      </c>
    </row>
    <row r="2144" spans="1:2" ht="14.5">
      <c r="A2144" s="45" t="s">
        <v>4941</v>
      </c>
      <c r="B2144" s="46" t="s">
        <v>8612</v>
      </c>
    </row>
    <row r="2145" spans="1:2" ht="14.5">
      <c r="A2145" s="45" t="s">
        <v>4943</v>
      </c>
      <c r="B2145" s="46" t="s">
        <v>8613</v>
      </c>
    </row>
    <row r="2146" spans="1:2" ht="14.5">
      <c r="A2146" s="45" t="s">
        <v>4944</v>
      </c>
      <c r="B2146" s="46" t="s">
        <v>8614</v>
      </c>
    </row>
    <row r="2147" spans="1:2" ht="14.5">
      <c r="A2147" s="45" t="s">
        <v>4945</v>
      </c>
      <c r="B2147" s="46" t="s">
        <v>8615</v>
      </c>
    </row>
    <row r="2148" spans="1:2" ht="14.5">
      <c r="A2148" s="45" t="s">
        <v>4948</v>
      </c>
      <c r="B2148" s="46" t="s">
        <v>8616</v>
      </c>
    </row>
    <row r="2149" spans="1:2" ht="29">
      <c r="A2149" s="45" t="s">
        <v>4952</v>
      </c>
      <c r="B2149" s="46" t="s">
        <v>8617</v>
      </c>
    </row>
    <row r="2150" spans="1:2" ht="14.5">
      <c r="A2150" s="45" t="s">
        <v>4953</v>
      </c>
      <c r="B2150" s="46" t="s">
        <v>8618</v>
      </c>
    </row>
    <row r="2151" spans="1:2" ht="29">
      <c r="A2151" s="45" t="s">
        <v>4966</v>
      </c>
      <c r="B2151" s="46" t="s">
        <v>8619</v>
      </c>
    </row>
    <row r="2152" spans="1:2" ht="14.5">
      <c r="A2152" s="45" t="s">
        <v>4971</v>
      </c>
      <c r="B2152" s="46" t="s">
        <v>8620</v>
      </c>
    </row>
    <row r="2153" spans="1:2" ht="14.5">
      <c r="A2153" s="45" t="s">
        <v>5023</v>
      </c>
      <c r="B2153" s="46" t="s">
        <v>8621</v>
      </c>
    </row>
    <row r="2154" spans="1:2" ht="14.5">
      <c r="A2154" s="45" t="s">
        <v>5115</v>
      </c>
      <c r="B2154" s="46" t="s">
        <v>8622</v>
      </c>
    </row>
    <row r="2155" spans="1:2" ht="14.5">
      <c r="A2155" s="45" t="s">
        <v>5178</v>
      </c>
      <c r="B2155" s="46" t="s">
        <v>8622</v>
      </c>
    </row>
    <row r="2156" spans="1:2" ht="14.5">
      <c r="A2156" s="45" t="s">
        <v>5168</v>
      </c>
      <c r="B2156" s="46" t="s">
        <v>8623</v>
      </c>
    </row>
    <row r="2157" spans="1:2" ht="14.5">
      <c r="A2157" s="45" t="s">
        <v>5169</v>
      </c>
      <c r="B2157" s="46" t="s">
        <v>8624</v>
      </c>
    </row>
    <row r="2158" spans="1:2" ht="14.5">
      <c r="A2158" s="45" t="s">
        <v>5170</v>
      </c>
      <c r="B2158" s="46" t="s">
        <v>7764</v>
      </c>
    </row>
    <row r="2159" spans="1:2" ht="14.5">
      <c r="A2159" s="45" t="s">
        <v>5171</v>
      </c>
      <c r="B2159" s="46" t="s">
        <v>8625</v>
      </c>
    </row>
    <row r="2160" spans="1:2" ht="14.5">
      <c r="A2160" s="45" t="s">
        <v>5172</v>
      </c>
      <c r="B2160" s="46" t="s">
        <v>8626</v>
      </c>
    </row>
    <row r="2161" spans="1:2" ht="14.5">
      <c r="A2161" s="45" t="s">
        <v>5177</v>
      </c>
      <c r="B2161" s="46" t="s">
        <v>8627</v>
      </c>
    </row>
    <row r="2162" spans="1:2" ht="14.5">
      <c r="A2162" s="45" t="s">
        <v>5179</v>
      </c>
      <c r="B2162" s="46" t="s">
        <v>8628</v>
      </c>
    </row>
    <row r="2163" spans="1:2" ht="14.5">
      <c r="A2163" s="45" t="s">
        <v>5182</v>
      </c>
      <c r="B2163" s="46" t="s">
        <v>8629</v>
      </c>
    </row>
    <row r="2164" spans="1:2" ht="14.5">
      <c r="A2164" s="45" t="s">
        <v>5187</v>
      </c>
      <c r="B2164" s="46" t="s">
        <v>8630</v>
      </c>
    </row>
    <row r="2165" spans="1:2" ht="14.5">
      <c r="A2165" s="45" t="s">
        <v>5291</v>
      </c>
      <c r="B2165" s="46" t="s">
        <v>8631</v>
      </c>
    </row>
    <row r="2166" spans="1:2" ht="14.5">
      <c r="A2166" s="45" t="s">
        <v>5298</v>
      </c>
      <c r="B2166" s="46" t="s">
        <v>8632</v>
      </c>
    </row>
    <row r="2167" spans="1:2" ht="14.5">
      <c r="A2167" s="45" t="s">
        <v>5301</v>
      </c>
      <c r="B2167" s="46" t="s">
        <v>8633</v>
      </c>
    </row>
    <row r="2168" spans="1:2">
      <c r="A2168" s="45" t="s">
        <v>4074</v>
      </c>
      <c r="B2168" s="48" t="s">
        <v>4075</v>
      </c>
    </row>
    <row r="2169" spans="1:2">
      <c r="A2169" s="45" t="s">
        <v>5311</v>
      </c>
      <c r="B2169" s="48" t="s">
        <v>8967</v>
      </c>
    </row>
    <row r="2170" spans="1:2">
      <c r="A2170" s="52" t="s">
        <v>8635</v>
      </c>
      <c r="B2170" s="48" t="s">
        <v>8980</v>
      </c>
    </row>
    <row r="2171" spans="1:2">
      <c r="A2171" s="52" t="s">
        <v>8639</v>
      </c>
      <c r="B2171" s="48" t="s">
        <v>8981</v>
      </c>
    </row>
    <row r="2172" spans="1:2">
      <c r="A2172" s="52" t="s">
        <v>8643</v>
      </c>
      <c r="B2172" s="48" t="s">
        <v>8982</v>
      </c>
    </row>
    <row r="2173" spans="1:2">
      <c r="A2173" s="52" t="s">
        <v>8654</v>
      </c>
      <c r="B2173" s="48" t="s">
        <v>8983</v>
      </c>
    </row>
    <row r="2174" spans="1:2">
      <c r="A2174" s="52" t="s">
        <v>8667</v>
      </c>
      <c r="B2174" s="48" t="s">
        <v>8984</v>
      </c>
    </row>
    <row r="2175" spans="1:2">
      <c r="A2175" s="52" t="s">
        <v>8669</v>
      </c>
      <c r="B2175" s="48" t="s">
        <v>8985</v>
      </c>
    </row>
    <row r="2176" spans="1:2">
      <c r="A2176" s="52" t="s">
        <v>8674</v>
      </c>
      <c r="B2176" s="48" t="s">
        <v>8986</v>
      </c>
    </row>
    <row r="2177" spans="1:2">
      <c r="A2177" s="52" t="s">
        <v>8690</v>
      </c>
      <c r="B2177" s="48" t="s">
        <v>8987</v>
      </c>
    </row>
    <row r="2264" spans="1:2">
      <c r="A2264" s="49"/>
      <c r="B2264" s="49"/>
    </row>
    <row r="2265" spans="1:2">
      <c r="A2265" s="49"/>
      <c r="B2265" s="49"/>
    </row>
    <row r="2266" spans="1:2">
      <c r="A2266" s="49"/>
      <c r="B2266" s="49"/>
    </row>
    <row r="2267" spans="1:2">
      <c r="A2267" s="49"/>
      <c r="B2267" s="49"/>
    </row>
    <row r="2268" spans="1:2">
      <c r="A2268" s="49"/>
      <c r="B2268" s="49"/>
    </row>
    <row r="2269" spans="1:2">
      <c r="A2269" s="49"/>
      <c r="B2269" s="49"/>
    </row>
    <row r="2270" spans="1:2">
      <c r="A2270" s="49"/>
      <c r="B2270" s="49"/>
    </row>
    <row r="2271" spans="1:2">
      <c r="A2271" s="49"/>
      <c r="B2271" s="49"/>
    </row>
    <row r="2272" spans="1:2">
      <c r="A2272" s="49"/>
      <c r="B2272" s="49"/>
    </row>
    <row r="2273" spans="1:2">
      <c r="A2273" s="49"/>
      <c r="B2273" s="49"/>
    </row>
    <row r="2274" spans="1:2">
      <c r="A2274" s="49"/>
      <c r="B2274" s="49"/>
    </row>
    <row r="2275" spans="1:2">
      <c r="A2275" s="49"/>
      <c r="B2275" s="49"/>
    </row>
    <row r="2276" spans="1:2">
      <c r="A2276" s="49"/>
      <c r="B2276" s="49"/>
    </row>
    <row r="2277" spans="1:2">
      <c r="A2277" s="49"/>
      <c r="B2277" s="49"/>
    </row>
    <row r="2278" spans="1:2">
      <c r="A2278" s="49"/>
      <c r="B2278" s="49"/>
    </row>
    <row r="2279" spans="1:2">
      <c r="A2279" s="49"/>
      <c r="B2279" s="49"/>
    </row>
    <row r="2280" spans="1:2">
      <c r="A2280" s="49"/>
      <c r="B2280" s="49"/>
    </row>
    <row r="2281" spans="1:2">
      <c r="A2281" s="49"/>
      <c r="B2281" s="49"/>
    </row>
    <row r="2282" spans="1:2">
      <c r="A2282" s="49"/>
      <c r="B2282" s="49"/>
    </row>
    <row r="2283" spans="1:2">
      <c r="A2283" s="49"/>
      <c r="B2283" s="49"/>
    </row>
    <row r="2284" spans="1:2">
      <c r="A2284" s="49"/>
      <c r="B2284" s="49"/>
    </row>
    <row r="2285" spans="1:2">
      <c r="A2285" s="49"/>
      <c r="B2285" s="49"/>
    </row>
    <row r="2286" spans="1:2">
      <c r="A2286" s="49"/>
      <c r="B2286" s="49"/>
    </row>
    <row r="2287" spans="1:2">
      <c r="A2287" s="49"/>
      <c r="B2287" s="49"/>
    </row>
    <row r="2288" spans="1:2">
      <c r="A2288" s="49"/>
      <c r="B2288" s="49"/>
    </row>
    <row r="2289" spans="1:2">
      <c r="A2289" s="49"/>
      <c r="B2289" s="49"/>
    </row>
    <row r="2290" spans="1:2">
      <c r="A2290" s="49"/>
      <c r="B2290" s="49"/>
    </row>
    <row r="2291" spans="1:2">
      <c r="A2291" s="49"/>
      <c r="B2291" s="49"/>
    </row>
    <row r="2292" spans="1:2">
      <c r="A2292" s="49"/>
      <c r="B2292" s="49"/>
    </row>
    <row r="2293" spans="1:2">
      <c r="A2293" s="49"/>
      <c r="B2293" s="49"/>
    </row>
    <row r="2294" spans="1:2">
      <c r="A2294" s="49"/>
      <c r="B2294" s="49"/>
    </row>
    <row r="2295" spans="1:2">
      <c r="A2295" s="49"/>
      <c r="B2295" s="49"/>
    </row>
    <row r="2296" spans="1:2">
      <c r="A2296" s="49"/>
      <c r="B2296" s="49"/>
    </row>
    <row r="2297" spans="1:2">
      <c r="A2297" s="49"/>
      <c r="B2297" s="49"/>
    </row>
    <row r="2298" spans="1:2">
      <c r="A2298" s="49"/>
      <c r="B2298" s="49"/>
    </row>
    <row r="2299" spans="1:2">
      <c r="A2299" s="49"/>
      <c r="B2299" s="49"/>
    </row>
    <row r="2300" spans="1:2">
      <c r="A2300" s="49"/>
      <c r="B2300" s="49"/>
    </row>
    <row r="2301" spans="1:2">
      <c r="A2301" s="49"/>
      <c r="B2301" s="49"/>
    </row>
    <row r="2302" spans="1:2">
      <c r="A2302" s="49"/>
      <c r="B2302" s="49"/>
    </row>
    <row r="2303" spans="1:2">
      <c r="A2303" s="49"/>
      <c r="B2303" s="49"/>
    </row>
    <row r="2304" spans="1:2">
      <c r="A2304" s="49"/>
      <c r="B2304" s="49"/>
    </row>
    <row r="2305" spans="1:2">
      <c r="A2305" s="49"/>
      <c r="B2305" s="49"/>
    </row>
    <row r="2306" spans="1:2">
      <c r="A2306" s="49"/>
      <c r="B2306" s="49"/>
    </row>
    <row r="2307" spans="1:2">
      <c r="A2307" s="49"/>
      <c r="B2307" s="49"/>
    </row>
    <row r="2308" spans="1:2">
      <c r="A2308" s="49"/>
      <c r="B2308" s="49"/>
    </row>
    <row r="2309" spans="1:2">
      <c r="A2309" s="49"/>
      <c r="B2309" s="49"/>
    </row>
    <row r="2310" spans="1:2">
      <c r="A2310" s="49"/>
      <c r="B2310" s="49"/>
    </row>
    <row r="2311" spans="1:2">
      <c r="A2311" s="49"/>
      <c r="B2311" s="49"/>
    </row>
    <row r="2312" spans="1:2">
      <c r="A2312" s="49"/>
      <c r="B2312" s="49"/>
    </row>
    <row r="2313" spans="1:2">
      <c r="A2313" s="49"/>
      <c r="B2313" s="49"/>
    </row>
    <row r="2314" spans="1:2">
      <c r="A2314" s="49"/>
      <c r="B2314" s="49"/>
    </row>
    <row r="2315" spans="1:2">
      <c r="A2315" s="49"/>
      <c r="B2315" s="49"/>
    </row>
    <row r="2316" spans="1:2">
      <c r="A2316" s="49"/>
      <c r="B2316" s="49"/>
    </row>
    <row r="2317" spans="1:2">
      <c r="A2317" s="49"/>
      <c r="B2317" s="49"/>
    </row>
    <row r="2318" spans="1:2">
      <c r="A2318" s="49"/>
      <c r="B2318" s="49"/>
    </row>
    <row r="2319" spans="1:2">
      <c r="A2319" s="49"/>
      <c r="B2319" s="49"/>
    </row>
    <row r="2320" spans="1:2">
      <c r="A2320" s="49"/>
      <c r="B2320" s="49"/>
    </row>
    <row r="2321" spans="1:2">
      <c r="A2321" s="49"/>
      <c r="B2321" s="49"/>
    </row>
    <row r="2322" spans="1:2">
      <c r="A2322" s="49"/>
      <c r="B2322" s="49"/>
    </row>
    <row r="2323" spans="1:2">
      <c r="A2323" s="49"/>
      <c r="B2323" s="49"/>
    </row>
    <row r="2324" spans="1:2">
      <c r="A2324" s="49"/>
      <c r="B2324" s="49"/>
    </row>
    <row r="2325" spans="1:2">
      <c r="A2325" s="49"/>
      <c r="B2325" s="49"/>
    </row>
    <row r="2326" spans="1:2">
      <c r="A2326" s="49"/>
      <c r="B2326" s="49"/>
    </row>
    <row r="2327" spans="1:2">
      <c r="A2327" s="49"/>
      <c r="B2327" s="49"/>
    </row>
    <row r="2328" spans="1:2">
      <c r="A2328" s="49"/>
      <c r="B2328" s="49"/>
    </row>
    <row r="2329" spans="1:2">
      <c r="A2329" s="49"/>
      <c r="B2329" s="49"/>
    </row>
    <row r="2330" spans="1:2">
      <c r="A2330" s="49"/>
      <c r="B2330" s="49"/>
    </row>
    <row r="2331" spans="1:2">
      <c r="A2331" s="49"/>
      <c r="B2331" s="49"/>
    </row>
    <row r="2332" spans="1:2">
      <c r="A2332" s="49"/>
      <c r="B2332" s="49"/>
    </row>
    <row r="2333" spans="1:2">
      <c r="A2333" s="49"/>
      <c r="B2333" s="49"/>
    </row>
    <row r="2334" spans="1:2">
      <c r="A2334" s="49"/>
      <c r="B2334" s="49"/>
    </row>
    <row r="2335" spans="1:2">
      <c r="A2335" s="49"/>
      <c r="B2335" s="49"/>
    </row>
    <row r="2336" spans="1:2">
      <c r="A2336" s="49"/>
      <c r="B2336" s="49"/>
    </row>
    <row r="2337" spans="1:2">
      <c r="A2337" s="49"/>
      <c r="B2337" s="49"/>
    </row>
    <row r="2338" spans="1:2">
      <c r="A2338" s="49"/>
      <c r="B2338" s="49"/>
    </row>
    <row r="2339" spans="1:2">
      <c r="A2339" s="49"/>
      <c r="B2339" s="49"/>
    </row>
    <row r="2340" spans="1:2">
      <c r="A2340" s="49"/>
      <c r="B2340" s="49"/>
    </row>
    <row r="2341" spans="1:2">
      <c r="A2341" s="49"/>
      <c r="B2341" s="49"/>
    </row>
    <row r="2342" spans="1:2">
      <c r="A2342" s="49"/>
      <c r="B2342" s="49"/>
    </row>
    <row r="2343" spans="1:2">
      <c r="A2343" s="49"/>
      <c r="B2343" s="49"/>
    </row>
    <row r="2344" spans="1:2">
      <c r="A2344" s="49"/>
      <c r="B2344" s="49"/>
    </row>
    <row r="2345" spans="1:2">
      <c r="A2345" s="49"/>
      <c r="B2345" s="49"/>
    </row>
    <row r="2346" spans="1:2">
      <c r="A2346" s="49"/>
      <c r="B2346" s="49"/>
    </row>
    <row r="2347" spans="1:2">
      <c r="A2347" s="49"/>
      <c r="B2347" s="49"/>
    </row>
    <row r="2348" spans="1:2">
      <c r="A2348" s="49"/>
      <c r="B2348" s="49"/>
    </row>
    <row r="2349" spans="1:2">
      <c r="A2349" s="49"/>
      <c r="B2349" s="49"/>
    </row>
    <row r="2350" spans="1:2">
      <c r="A2350" s="49"/>
      <c r="B2350" s="49"/>
    </row>
    <row r="2351" spans="1:2">
      <c r="A2351" s="49"/>
      <c r="B2351" s="49"/>
    </row>
    <row r="2352" spans="1:2">
      <c r="A2352" s="49"/>
      <c r="B2352" s="49"/>
    </row>
    <row r="2353" spans="1:2">
      <c r="A2353" s="49"/>
      <c r="B2353" s="49"/>
    </row>
    <row r="2354" spans="1:2">
      <c r="A2354" s="49"/>
      <c r="B2354" s="49"/>
    </row>
    <row r="2355" spans="1:2">
      <c r="A2355" s="49"/>
      <c r="B2355" s="49"/>
    </row>
    <row r="2356" spans="1:2">
      <c r="A2356" s="49"/>
      <c r="B2356" s="49"/>
    </row>
    <row r="2357" spans="1:2">
      <c r="A2357" s="49"/>
      <c r="B2357" s="49"/>
    </row>
    <row r="2358" spans="1:2">
      <c r="A2358" s="49"/>
      <c r="B2358" s="49"/>
    </row>
    <row r="2359" spans="1:2">
      <c r="A2359" s="49"/>
      <c r="B2359" s="49"/>
    </row>
    <row r="2360" spans="1:2">
      <c r="A2360" s="49"/>
      <c r="B2360" s="49"/>
    </row>
    <row r="2361" spans="1:2">
      <c r="A2361" s="49"/>
      <c r="B2361" s="49"/>
    </row>
    <row r="2362" spans="1:2">
      <c r="A2362" s="49"/>
      <c r="B2362" s="49"/>
    </row>
    <row r="2363" spans="1:2">
      <c r="A2363" s="49"/>
      <c r="B2363" s="49"/>
    </row>
    <row r="2364" spans="1:2">
      <c r="A2364" s="49"/>
      <c r="B2364" s="49"/>
    </row>
    <row r="2365" spans="1:2">
      <c r="A2365" s="49"/>
      <c r="B2365" s="49"/>
    </row>
    <row r="2366" spans="1:2">
      <c r="A2366" s="49"/>
      <c r="B2366" s="49"/>
    </row>
    <row r="2367" spans="1:2">
      <c r="A2367" s="49"/>
      <c r="B2367" s="49"/>
    </row>
    <row r="2368" spans="1:2">
      <c r="A2368" s="49"/>
      <c r="B2368" s="49"/>
    </row>
    <row r="2369" spans="1:2">
      <c r="A2369" s="49"/>
      <c r="B2369" s="49"/>
    </row>
    <row r="2370" spans="1:2">
      <c r="A2370" s="49"/>
      <c r="B2370" s="49"/>
    </row>
    <row r="2371" spans="1:2">
      <c r="A2371" s="49"/>
      <c r="B2371" s="49"/>
    </row>
    <row r="2372" spans="1:2">
      <c r="A2372" s="49"/>
      <c r="B2372" s="49"/>
    </row>
    <row r="2373" spans="1:2">
      <c r="A2373" s="49"/>
      <c r="B2373" s="49"/>
    </row>
    <row r="2374" spans="1:2">
      <c r="A2374" s="49"/>
      <c r="B2374" s="49"/>
    </row>
    <row r="2375" spans="1:2">
      <c r="A2375" s="49"/>
      <c r="B2375" s="49"/>
    </row>
    <row r="2376" spans="1:2">
      <c r="A2376" s="49"/>
      <c r="B2376" s="49"/>
    </row>
    <row r="2377" spans="1:2">
      <c r="A2377" s="49"/>
      <c r="B2377" s="49"/>
    </row>
    <row r="2378" spans="1:2">
      <c r="A2378" s="49"/>
      <c r="B2378" s="49"/>
    </row>
    <row r="2379" spans="1:2">
      <c r="A2379" s="49"/>
      <c r="B2379" s="49"/>
    </row>
    <row r="2380" spans="1:2">
      <c r="A2380" s="49"/>
      <c r="B2380" s="49"/>
    </row>
    <row r="2381" spans="1:2">
      <c r="A2381" s="49"/>
      <c r="B2381" s="49"/>
    </row>
    <row r="2382" spans="1:2">
      <c r="A2382" s="49"/>
      <c r="B2382" s="49"/>
    </row>
    <row r="2383" spans="1:2">
      <c r="A2383" s="49"/>
      <c r="B2383" s="49"/>
    </row>
    <row r="2384" spans="1:2">
      <c r="A2384" s="49"/>
      <c r="B2384" s="49"/>
    </row>
    <row r="2385" spans="1:2">
      <c r="A2385" s="49"/>
      <c r="B2385" s="49"/>
    </row>
    <row r="2386" spans="1:2">
      <c r="A2386" s="49"/>
      <c r="B2386" s="49"/>
    </row>
    <row r="2387" spans="1:2">
      <c r="A2387" s="49"/>
      <c r="B2387" s="49"/>
    </row>
    <row r="2388" spans="1:2">
      <c r="A2388" s="49"/>
      <c r="B2388" s="49"/>
    </row>
    <row r="2389" spans="1:2">
      <c r="A2389" s="49"/>
      <c r="B2389" s="49"/>
    </row>
    <row r="2390" spans="1:2">
      <c r="A2390" s="49"/>
      <c r="B2390" s="49"/>
    </row>
    <row r="2391" spans="1:2">
      <c r="A2391" s="49"/>
      <c r="B2391" s="49"/>
    </row>
    <row r="2392" spans="1:2">
      <c r="A2392" s="49"/>
      <c r="B2392" s="49"/>
    </row>
    <row r="2393" spans="1:2">
      <c r="A2393" s="49"/>
      <c r="B2393" s="49"/>
    </row>
    <row r="2394" spans="1:2">
      <c r="A2394" s="49"/>
      <c r="B2394" s="49"/>
    </row>
    <row r="2395" spans="1:2">
      <c r="A2395" s="49"/>
      <c r="B2395" s="49"/>
    </row>
    <row r="2396" spans="1:2">
      <c r="A2396" s="49"/>
      <c r="B2396" s="49"/>
    </row>
    <row r="2397" spans="1:2">
      <c r="A2397" s="49"/>
      <c r="B2397" s="49"/>
    </row>
    <row r="2398" spans="1:2">
      <c r="A2398" s="49"/>
      <c r="B2398" s="49"/>
    </row>
    <row r="2399" spans="1:2">
      <c r="A2399" s="49"/>
      <c r="B2399" s="49"/>
    </row>
    <row r="2400" spans="1:2">
      <c r="A2400" s="49"/>
      <c r="B2400" s="49"/>
    </row>
    <row r="2401" spans="1:2">
      <c r="A2401" s="49"/>
      <c r="B2401" s="49"/>
    </row>
    <row r="2402" spans="1:2">
      <c r="A2402" s="49"/>
      <c r="B2402" s="49"/>
    </row>
    <row r="2403" spans="1:2">
      <c r="A2403" s="49"/>
      <c r="B2403" s="49"/>
    </row>
    <row r="2404" spans="1:2">
      <c r="A2404" s="49"/>
      <c r="B2404" s="49"/>
    </row>
    <row r="2405" spans="1:2">
      <c r="A2405" s="49"/>
      <c r="B2405" s="49"/>
    </row>
    <row r="2406" spans="1:2">
      <c r="A2406" s="49"/>
      <c r="B2406" s="49"/>
    </row>
    <row r="2407" spans="1:2">
      <c r="A2407" s="49"/>
      <c r="B2407" s="49"/>
    </row>
    <row r="2408" spans="1:2">
      <c r="A2408" s="49"/>
      <c r="B2408" s="49"/>
    </row>
    <row r="2409" spans="1:2">
      <c r="A2409" s="49"/>
      <c r="B2409" s="49"/>
    </row>
    <row r="2410" spans="1:2">
      <c r="A2410" s="49"/>
      <c r="B2410" s="49"/>
    </row>
    <row r="2411" spans="1:2">
      <c r="A2411" s="49"/>
      <c r="B2411" s="49"/>
    </row>
    <row r="2412" spans="1:2">
      <c r="A2412" s="49"/>
      <c r="B2412" s="49"/>
    </row>
    <row r="2413" spans="1:2">
      <c r="A2413" s="49"/>
      <c r="B2413" s="49"/>
    </row>
    <row r="2414" spans="1:2">
      <c r="A2414" s="49"/>
      <c r="B2414" s="49"/>
    </row>
    <row r="2415" spans="1:2">
      <c r="A2415" s="49"/>
      <c r="B2415" s="49"/>
    </row>
    <row r="2416" spans="1:2">
      <c r="A2416" s="49"/>
      <c r="B2416" s="49"/>
    </row>
    <row r="2417" spans="1:2">
      <c r="A2417" s="49"/>
      <c r="B2417" s="49"/>
    </row>
    <row r="2418" spans="1:2">
      <c r="A2418" s="49"/>
      <c r="B2418" s="49"/>
    </row>
    <row r="2419" spans="1:2">
      <c r="A2419" s="49"/>
      <c r="B2419" s="49"/>
    </row>
    <row r="2420" spans="1:2">
      <c r="A2420" s="49"/>
      <c r="B2420" s="49"/>
    </row>
    <row r="2421" spans="1:2">
      <c r="A2421" s="49"/>
      <c r="B2421" s="49"/>
    </row>
    <row r="2422" spans="1:2">
      <c r="A2422" s="49"/>
      <c r="B2422" s="49"/>
    </row>
    <row r="2423" spans="1:2">
      <c r="A2423" s="49"/>
      <c r="B2423" s="49"/>
    </row>
    <row r="2424" spans="1:2">
      <c r="A2424" s="49"/>
      <c r="B2424" s="49"/>
    </row>
    <row r="2425" spans="1:2">
      <c r="A2425" s="49"/>
      <c r="B2425" s="49"/>
    </row>
    <row r="2426" spans="1:2">
      <c r="A2426" s="49"/>
      <c r="B2426" s="49"/>
    </row>
    <row r="2427" spans="1:2">
      <c r="A2427" s="49"/>
      <c r="B2427" s="49"/>
    </row>
    <row r="2428" spans="1:2">
      <c r="A2428" s="49"/>
      <c r="B2428" s="49"/>
    </row>
    <row r="2429" spans="1:2">
      <c r="A2429" s="49"/>
      <c r="B2429" s="49"/>
    </row>
    <row r="2430" spans="1:2">
      <c r="A2430" s="49"/>
      <c r="B2430" s="49"/>
    </row>
    <row r="2431" spans="1:2">
      <c r="A2431" s="49"/>
      <c r="B2431" s="49"/>
    </row>
    <row r="2432" spans="1:2">
      <c r="A2432" s="49"/>
      <c r="B2432" s="49"/>
    </row>
    <row r="2433" spans="1:2">
      <c r="A2433" s="49"/>
      <c r="B2433" s="49"/>
    </row>
    <row r="2434" spans="1:2">
      <c r="A2434" s="49"/>
      <c r="B2434" s="49"/>
    </row>
    <row r="2435" spans="1:2">
      <c r="A2435" s="49"/>
      <c r="B2435" s="49"/>
    </row>
    <row r="2436" spans="1:2">
      <c r="A2436" s="49"/>
      <c r="B2436" s="49"/>
    </row>
    <row r="2437" spans="1:2">
      <c r="A2437" s="49"/>
      <c r="B2437" s="49"/>
    </row>
    <row r="2438" spans="1:2">
      <c r="A2438" s="49"/>
      <c r="B2438" s="49"/>
    </row>
    <row r="2439" spans="1:2">
      <c r="A2439" s="49"/>
      <c r="B2439" s="49"/>
    </row>
    <row r="2440" spans="1:2">
      <c r="A2440" s="49"/>
      <c r="B2440" s="49"/>
    </row>
    <row r="2441" spans="1:2">
      <c r="A2441" s="49"/>
      <c r="B2441" s="49"/>
    </row>
    <row r="2442" spans="1:2">
      <c r="A2442" s="49"/>
      <c r="B2442" s="49"/>
    </row>
    <row r="2443" spans="1:2">
      <c r="A2443" s="49"/>
      <c r="B2443" s="49"/>
    </row>
    <row r="2444" spans="1:2">
      <c r="A2444" s="49"/>
      <c r="B2444" s="49"/>
    </row>
    <row r="2445" spans="1:2">
      <c r="A2445" s="49"/>
      <c r="B2445" s="49"/>
    </row>
    <row r="2446" spans="1:2">
      <c r="A2446" s="49"/>
      <c r="B2446" s="49"/>
    </row>
    <row r="2447" spans="1:2">
      <c r="A2447" s="49"/>
      <c r="B2447" s="49"/>
    </row>
    <row r="2448" spans="1:2">
      <c r="A2448" s="49"/>
      <c r="B2448" s="49"/>
    </row>
    <row r="2449" spans="1:2">
      <c r="A2449" s="49"/>
      <c r="B2449" s="49"/>
    </row>
    <row r="2450" spans="1:2">
      <c r="A2450" s="49"/>
      <c r="B2450" s="49"/>
    </row>
    <row r="2451" spans="1:2">
      <c r="A2451" s="49"/>
      <c r="B2451" s="49"/>
    </row>
    <row r="2452" spans="1:2">
      <c r="A2452" s="49"/>
      <c r="B2452" s="49"/>
    </row>
    <row r="2453" spans="1:2">
      <c r="A2453" s="49"/>
      <c r="B2453" s="49"/>
    </row>
    <row r="2454" spans="1:2">
      <c r="A2454" s="49"/>
      <c r="B2454" s="49"/>
    </row>
    <row r="2455" spans="1:2">
      <c r="A2455" s="49"/>
      <c r="B2455" s="49"/>
    </row>
    <row r="2456" spans="1:2">
      <c r="A2456" s="49"/>
      <c r="B2456" s="49"/>
    </row>
    <row r="2457" spans="1:2">
      <c r="A2457" s="49"/>
      <c r="B2457" s="49"/>
    </row>
    <row r="2458" spans="1:2">
      <c r="A2458" s="49"/>
      <c r="B2458" s="49"/>
    </row>
    <row r="2459" spans="1:2">
      <c r="A2459" s="49"/>
      <c r="B2459" s="49"/>
    </row>
    <row r="2460" spans="1:2">
      <c r="A2460" s="49"/>
      <c r="B2460" s="49"/>
    </row>
    <row r="2461" spans="1:2">
      <c r="A2461" s="49"/>
      <c r="B2461" s="49"/>
    </row>
    <row r="2462" spans="1:2">
      <c r="A2462" s="49"/>
      <c r="B2462" s="49"/>
    </row>
    <row r="2463" spans="1:2">
      <c r="A2463" s="49"/>
      <c r="B2463" s="49"/>
    </row>
    <row r="2464" spans="1:2">
      <c r="A2464" s="49"/>
      <c r="B2464" s="49"/>
    </row>
    <row r="2465" spans="1:2">
      <c r="A2465" s="49"/>
      <c r="B2465" s="49"/>
    </row>
    <row r="2466" spans="1:2">
      <c r="A2466" s="49"/>
      <c r="B2466" s="49"/>
    </row>
    <row r="2467" spans="1:2">
      <c r="A2467" s="49"/>
      <c r="B2467" s="49"/>
    </row>
    <row r="2468" spans="1:2">
      <c r="A2468" s="49"/>
      <c r="B2468" s="49"/>
    </row>
    <row r="2469" spans="1:2">
      <c r="A2469" s="49"/>
      <c r="B2469" s="49"/>
    </row>
    <row r="2470" spans="1:2">
      <c r="A2470" s="49"/>
      <c r="B2470" s="49"/>
    </row>
    <row r="2471" spans="1:2">
      <c r="A2471" s="49"/>
      <c r="B2471" s="49"/>
    </row>
    <row r="2472" spans="1:2">
      <c r="A2472" s="49"/>
      <c r="B2472" s="49"/>
    </row>
    <row r="2473" spans="1:2">
      <c r="A2473" s="49"/>
      <c r="B2473" s="49"/>
    </row>
    <row r="2474" spans="1:2">
      <c r="A2474" s="49"/>
      <c r="B2474" s="49"/>
    </row>
    <row r="2475" spans="1:2">
      <c r="A2475" s="49"/>
      <c r="B2475" s="49"/>
    </row>
    <row r="2476" spans="1:2">
      <c r="A2476" s="49"/>
      <c r="B2476" s="49"/>
    </row>
    <row r="2477" spans="1:2">
      <c r="A2477" s="49"/>
      <c r="B2477" s="49"/>
    </row>
    <row r="2478" spans="1:2">
      <c r="A2478" s="49"/>
      <c r="B2478" s="49"/>
    </row>
    <row r="2479" spans="1:2">
      <c r="A2479" s="49"/>
      <c r="B2479" s="49"/>
    </row>
    <row r="2480" spans="1:2">
      <c r="A2480" s="49"/>
      <c r="B2480" s="49"/>
    </row>
    <row r="2481" spans="1:2">
      <c r="A2481" s="49"/>
      <c r="B2481" s="49"/>
    </row>
    <row r="2482" spans="1:2">
      <c r="A2482" s="49"/>
      <c r="B2482" s="49"/>
    </row>
    <row r="2483" spans="1:2">
      <c r="A2483" s="49"/>
      <c r="B2483" s="49"/>
    </row>
    <row r="2484" spans="1:2">
      <c r="A2484" s="49"/>
      <c r="B2484" s="49"/>
    </row>
    <row r="2485" spans="1:2">
      <c r="A2485" s="49"/>
      <c r="B2485" s="49"/>
    </row>
    <row r="2486" spans="1:2">
      <c r="A2486" s="49"/>
      <c r="B2486" s="49"/>
    </row>
    <row r="2487" spans="1:2">
      <c r="A2487" s="49"/>
      <c r="B2487" s="49"/>
    </row>
    <row r="2488" spans="1:2">
      <c r="A2488" s="49"/>
      <c r="B2488" s="49"/>
    </row>
    <row r="2489" spans="1:2">
      <c r="A2489" s="49"/>
      <c r="B2489" s="49"/>
    </row>
    <row r="2490" spans="1:2">
      <c r="A2490" s="49"/>
      <c r="B2490" s="49"/>
    </row>
    <row r="2491" spans="1:2">
      <c r="A2491" s="49"/>
      <c r="B2491" s="49"/>
    </row>
    <row r="2492" spans="1:2">
      <c r="A2492" s="49"/>
      <c r="B2492" s="49"/>
    </row>
    <row r="2493" spans="1:2">
      <c r="A2493" s="49"/>
      <c r="B2493" s="49"/>
    </row>
    <row r="2494" spans="1:2">
      <c r="A2494" s="49"/>
      <c r="B2494" s="49"/>
    </row>
    <row r="2495" spans="1:2">
      <c r="A2495" s="49"/>
      <c r="B2495" s="49"/>
    </row>
    <row r="2496" spans="1:2">
      <c r="A2496" s="49"/>
      <c r="B2496" s="49"/>
    </row>
    <row r="2497" spans="1:2">
      <c r="A2497" s="49"/>
      <c r="B2497" s="49"/>
    </row>
    <row r="2498" spans="1:2">
      <c r="A2498" s="49"/>
      <c r="B2498" s="49"/>
    </row>
    <row r="2499" spans="1:2">
      <c r="A2499" s="49"/>
      <c r="B2499" s="49"/>
    </row>
    <row r="2500" spans="1:2">
      <c r="A2500" s="49"/>
      <c r="B2500" s="49"/>
    </row>
    <row r="2501" spans="1:2">
      <c r="A2501" s="49"/>
      <c r="B2501" s="49"/>
    </row>
    <row r="2502" spans="1:2">
      <c r="A2502" s="49"/>
      <c r="B2502" s="49"/>
    </row>
    <row r="2503" spans="1:2">
      <c r="A2503" s="49"/>
      <c r="B2503" s="49"/>
    </row>
    <row r="2504" spans="1:2">
      <c r="A2504" s="49"/>
      <c r="B2504" s="49"/>
    </row>
    <row r="2505" spans="1:2">
      <c r="A2505" s="49"/>
      <c r="B2505" s="49"/>
    </row>
    <row r="2506" spans="1:2">
      <c r="A2506" s="49"/>
      <c r="B2506" s="49"/>
    </row>
    <row r="2507" spans="1:2">
      <c r="A2507" s="49"/>
      <c r="B2507" s="49"/>
    </row>
    <row r="2508" spans="1:2">
      <c r="A2508" s="49"/>
      <c r="B2508" s="49"/>
    </row>
    <row r="2509" spans="1:2">
      <c r="A2509" s="49"/>
      <c r="B2509" s="49"/>
    </row>
    <row r="2510" spans="1:2">
      <c r="A2510" s="49"/>
      <c r="B2510" s="49"/>
    </row>
    <row r="2511" spans="1:2">
      <c r="A2511" s="49"/>
      <c r="B2511" s="49"/>
    </row>
    <row r="2512" spans="1:2">
      <c r="A2512" s="49"/>
      <c r="B2512" s="49"/>
    </row>
    <row r="2513" spans="1:2">
      <c r="A2513" s="49"/>
      <c r="B2513" s="49"/>
    </row>
    <row r="2514" spans="1:2">
      <c r="A2514" s="49"/>
      <c r="B2514" s="49"/>
    </row>
    <row r="2515" spans="1:2">
      <c r="A2515" s="49"/>
      <c r="B2515" s="49"/>
    </row>
    <row r="2516" spans="1:2">
      <c r="A2516" s="49"/>
      <c r="B2516" s="49"/>
    </row>
    <row r="2517" spans="1:2">
      <c r="A2517" s="49"/>
      <c r="B2517" s="49"/>
    </row>
    <row r="2518" spans="1:2">
      <c r="A2518" s="49"/>
      <c r="B2518" s="49"/>
    </row>
    <row r="2519" spans="1:2">
      <c r="A2519" s="49"/>
      <c r="B2519" s="49"/>
    </row>
    <row r="2520" spans="1:2">
      <c r="A2520" s="49"/>
      <c r="B2520" s="49"/>
    </row>
    <row r="2521" spans="1:2">
      <c r="A2521" s="49"/>
      <c r="B2521" s="49"/>
    </row>
    <row r="2522" spans="1:2">
      <c r="A2522" s="49"/>
      <c r="B2522" s="49"/>
    </row>
    <row r="2523" spans="1:2">
      <c r="A2523" s="49"/>
      <c r="B2523" s="49"/>
    </row>
    <row r="2524" spans="1:2">
      <c r="A2524" s="49"/>
      <c r="B2524" s="49"/>
    </row>
    <row r="2525" spans="1:2">
      <c r="A2525" s="49"/>
      <c r="B2525" s="49"/>
    </row>
    <row r="2526" spans="1:2">
      <c r="A2526" s="49"/>
      <c r="B2526" s="49"/>
    </row>
    <row r="2527" spans="1:2">
      <c r="A2527" s="49"/>
      <c r="B2527" s="49"/>
    </row>
    <row r="2528" spans="1:2">
      <c r="A2528" s="49"/>
      <c r="B2528" s="49"/>
    </row>
    <row r="2529" spans="1:2">
      <c r="A2529" s="49"/>
      <c r="B2529" s="49"/>
    </row>
    <row r="2530" spans="1:2">
      <c r="A2530" s="49"/>
      <c r="B2530" s="49"/>
    </row>
    <row r="2531" spans="1:2">
      <c r="A2531" s="49"/>
      <c r="B2531" s="49"/>
    </row>
    <row r="2532" spans="1:2">
      <c r="A2532" s="49"/>
      <c r="B2532" s="49"/>
    </row>
    <row r="2533" spans="1:2">
      <c r="A2533" s="49"/>
      <c r="B2533" s="49"/>
    </row>
    <row r="2534" spans="1:2">
      <c r="A2534" s="49"/>
      <c r="B2534" s="49"/>
    </row>
    <row r="2535" spans="1:2">
      <c r="A2535" s="49"/>
      <c r="B2535" s="49"/>
    </row>
    <row r="2536" spans="1:2">
      <c r="A2536" s="49"/>
      <c r="B2536" s="49"/>
    </row>
    <row r="2537" spans="1:2">
      <c r="A2537" s="49"/>
      <c r="B2537" s="49"/>
    </row>
    <row r="2538" spans="1:2">
      <c r="A2538" s="49"/>
      <c r="B2538" s="49"/>
    </row>
    <row r="2539" spans="1:2">
      <c r="A2539" s="49"/>
      <c r="B2539" s="49"/>
    </row>
    <row r="2540" spans="1:2">
      <c r="A2540" s="49"/>
      <c r="B2540" s="49"/>
    </row>
    <row r="2541" spans="1:2">
      <c r="A2541" s="49"/>
      <c r="B2541" s="49"/>
    </row>
    <row r="2542" spans="1:2">
      <c r="A2542" s="49"/>
      <c r="B2542" s="49"/>
    </row>
    <row r="2543" spans="1:2">
      <c r="A2543" s="49"/>
      <c r="B2543" s="49"/>
    </row>
    <row r="2544" spans="1:2">
      <c r="A2544" s="49"/>
      <c r="B2544" s="49"/>
    </row>
    <row r="2545" spans="1:2">
      <c r="A2545" s="49"/>
      <c r="B2545" s="49"/>
    </row>
    <row r="2546" spans="1:2">
      <c r="A2546" s="49"/>
      <c r="B2546" s="49"/>
    </row>
    <row r="2547" spans="1:2">
      <c r="A2547" s="49"/>
      <c r="B2547" s="49"/>
    </row>
    <row r="2548" spans="1:2">
      <c r="A2548" s="49"/>
      <c r="B2548" s="49"/>
    </row>
    <row r="2549" spans="1:2">
      <c r="A2549" s="49"/>
      <c r="B2549" s="49"/>
    </row>
    <row r="2550" spans="1:2">
      <c r="A2550" s="49"/>
      <c r="B2550" s="49"/>
    </row>
    <row r="2551" spans="1:2">
      <c r="A2551" s="49"/>
      <c r="B2551" s="49"/>
    </row>
    <row r="2552" spans="1:2">
      <c r="A2552" s="49"/>
      <c r="B2552" s="49"/>
    </row>
    <row r="2553" spans="1:2">
      <c r="A2553" s="49"/>
      <c r="B2553" s="49"/>
    </row>
    <row r="2554" spans="1:2">
      <c r="A2554" s="49"/>
      <c r="B2554" s="49"/>
    </row>
    <row r="2555" spans="1:2">
      <c r="A2555" s="49"/>
      <c r="B2555" s="49"/>
    </row>
    <row r="2556" spans="1:2">
      <c r="A2556" s="49"/>
      <c r="B2556" s="49"/>
    </row>
    <row r="2557" spans="1:2">
      <c r="A2557" s="49"/>
      <c r="B2557" s="49"/>
    </row>
    <row r="2558" spans="1:2">
      <c r="A2558" s="49"/>
      <c r="B2558" s="49"/>
    </row>
    <row r="2559" spans="1:2">
      <c r="A2559" s="49"/>
      <c r="B2559" s="49"/>
    </row>
    <row r="2560" spans="1:2">
      <c r="A2560" s="49"/>
      <c r="B2560" s="49"/>
    </row>
    <row r="2561" spans="1:2">
      <c r="A2561" s="49"/>
      <c r="B2561" s="49"/>
    </row>
    <row r="2562" spans="1:2">
      <c r="A2562" s="49"/>
      <c r="B2562" s="49"/>
    </row>
    <row r="2563" spans="1:2">
      <c r="A2563" s="49"/>
      <c r="B2563" s="49"/>
    </row>
    <row r="2564" spans="1:2">
      <c r="A2564" s="49"/>
      <c r="B2564" s="49"/>
    </row>
    <row r="2565" spans="1:2">
      <c r="A2565" s="49"/>
      <c r="B2565" s="49"/>
    </row>
    <row r="2566" spans="1:2">
      <c r="A2566" s="49"/>
      <c r="B2566" s="49"/>
    </row>
    <row r="2567" spans="1:2">
      <c r="A2567" s="49"/>
      <c r="B2567" s="49"/>
    </row>
    <row r="2568" spans="1:2">
      <c r="A2568" s="49"/>
      <c r="B2568" s="49"/>
    </row>
    <row r="2569" spans="1:2">
      <c r="A2569" s="49"/>
      <c r="B2569" s="49"/>
    </row>
    <row r="2570" spans="1:2">
      <c r="A2570" s="49"/>
      <c r="B2570" s="49"/>
    </row>
    <row r="2571" spans="1:2">
      <c r="A2571" s="49"/>
      <c r="B2571" s="49"/>
    </row>
    <row r="2572" spans="1:2">
      <c r="A2572" s="49"/>
      <c r="B2572" s="49"/>
    </row>
    <row r="2573" spans="1:2">
      <c r="A2573" s="49"/>
      <c r="B2573" s="49"/>
    </row>
    <row r="2574" spans="1:2">
      <c r="A2574" s="49"/>
      <c r="B2574" s="49"/>
    </row>
    <row r="2575" spans="1:2">
      <c r="A2575" s="49"/>
      <c r="B2575" s="49"/>
    </row>
    <row r="2576" spans="1:2">
      <c r="A2576" s="49"/>
      <c r="B2576" s="49"/>
    </row>
    <row r="2577" spans="1:2">
      <c r="A2577" s="49"/>
      <c r="B2577" s="49"/>
    </row>
    <row r="2578" spans="1:2">
      <c r="A2578" s="49"/>
      <c r="B2578" s="49"/>
    </row>
    <row r="2579" spans="1:2">
      <c r="A2579" s="49"/>
      <c r="B2579" s="49"/>
    </row>
    <row r="2580" spans="1:2">
      <c r="A2580" s="49"/>
      <c r="B2580" s="49"/>
    </row>
    <row r="2581" spans="1:2">
      <c r="A2581" s="49"/>
      <c r="B2581" s="49"/>
    </row>
    <row r="2582" spans="1:2">
      <c r="A2582" s="49"/>
      <c r="B2582" s="49"/>
    </row>
    <row r="2583" spans="1:2">
      <c r="A2583" s="49"/>
      <c r="B2583" s="49"/>
    </row>
    <row r="2584" spans="1:2">
      <c r="A2584" s="49"/>
      <c r="B2584" s="49"/>
    </row>
    <row r="2585" spans="1:2">
      <c r="A2585" s="49"/>
      <c r="B2585" s="49"/>
    </row>
    <row r="2586" spans="1:2">
      <c r="A2586" s="49"/>
      <c r="B2586" s="49"/>
    </row>
    <row r="2587" spans="1:2">
      <c r="A2587" s="49"/>
      <c r="B2587" s="49"/>
    </row>
    <row r="2588" spans="1:2">
      <c r="A2588" s="49"/>
      <c r="B2588" s="49"/>
    </row>
    <row r="2589" spans="1:2">
      <c r="A2589" s="49"/>
      <c r="B2589" s="49"/>
    </row>
    <row r="2590" spans="1:2">
      <c r="A2590" s="49"/>
      <c r="B2590" s="49"/>
    </row>
    <row r="2591" spans="1:2">
      <c r="A2591" s="49"/>
      <c r="B2591" s="49"/>
    </row>
    <row r="2592" spans="1:2">
      <c r="A2592" s="49"/>
      <c r="B2592" s="49"/>
    </row>
    <row r="2593" spans="1:2">
      <c r="A2593" s="49"/>
      <c r="B2593" s="49"/>
    </row>
    <row r="2594" spans="1:2">
      <c r="A2594" s="49"/>
      <c r="B2594" s="49"/>
    </row>
    <row r="2595" spans="1:2">
      <c r="A2595" s="49"/>
      <c r="B2595" s="49"/>
    </row>
    <row r="2596" spans="1:2">
      <c r="A2596" s="49"/>
      <c r="B2596" s="49"/>
    </row>
    <row r="2597" spans="1:2">
      <c r="A2597" s="49"/>
      <c r="B2597" s="49"/>
    </row>
    <row r="2598" spans="1:2">
      <c r="A2598" s="49"/>
      <c r="B2598" s="49"/>
    </row>
    <row r="2599" spans="1:2">
      <c r="A2599" s="49"/>
      <c r="B2599" s="49"/>
    </row>
    <row r="2600" spans="1:2">
      <c r="A2600" s="49"/>
      <c r="B2600" s="49"/>
    </row>
    <row r="2601" spans="1:2">
      <c r="A2601" s="49"/>
      <c r="B2601" s="49"/>
    </row>
    <row r="2602" spans="1:2">
      <c r="A2602" s="49"/>
      <c r="B2602" s="49"/>
    </row>
    <row r="2603" spans="1:2">
      <c r="A2603" s="49"/>
      <c r="B2603" s="49"/>
    </row>
    <row r="2604" spans="1:2">
      <c r="A2604" s="49"/>
      <c r="B2604" s="49"/>
    </row>
    <row r="2605" spans="1:2">
      <c r="A2605" s="49"/>
      <c r="B2605" s="49"/>
    </row>
    <row r="2606" spans="1:2">
      <c r="A2606" s="49"/>
      <c r="B2606" s="49"/>
    </row>
    <row r="2607" spans="1:2">
      <c r="A2607" s="49"/>
      <c r="B2607" s="49"/>
    </row>
    <row r="2608" spans="1:2">
      <c r="A2608" s="49"/>
      <c r="B2608" s="49"/>
    </row>
    <row r="2609" spans="1:2">
      <c r="A2609" s="49"/>
      <c r="B2609" s="49"/>
    </row>
    <row r="2610" spans="1:2">
      <c r="A2610" s="49"/>
      <c r="B2610" s="49"/>
    </row>
    <row r="2611" spans="1:2">
      <c r="A2611" s="49"/>
      <c r="B2611" s="49"/>
    </row>
    <row r="2612" spans="1:2">
      <c r="A2612" s="49"/>
      <c r="B2612" s="49"/>
    </row>
    <row r="2613" spans="1:2">
      <c r="A2613" s="49"/>
      <c r="B2613" s="49"/>
    </row>
    <row r="2614" spans="1:2">
      <c r="A2614" s="49"/>
      <c r="B2614" s="49"/>
    </row>
    <row r="2615" spans="1:2">
      <c r="A2615" s="49"/>
      <c r="B2615" s="49"/>
    </row>
    <row r="2616" spans="1:2">
      <c r="A2616" s="49"/>
      <c r="B2616" s="49"/>
    </row>
    <row r="2617" spans="1:2">
      <c r="A2617" s="49"/>
      <c r="B2617" s="49"/>
    </row>
    <row r="2618" spans="1:2">
      <c r="A2618" s="49"/>
      <c r="B2618" s="49"/>
    </row>
    <row r="2619" spans="1:2">
      <c r="A2619" s="49"/>
      <c r="B2619" s="49"/>
    </row>
    <row r="2620" spans="1:2">
      <c r="A2620" s="49"/>
      <c r="B2620" s="49"/>
    </row>
    <row r="2621" spans="1:2">
      <c r="A2621" s="49"/>
      <c r="B2621" s="49"/>
    </row>
    <row r="2622" spans="1:2">
      <c r="A2622" s="49"/>
      <c r="B2622" s="49"/>
    </row>
    <row r="2623" spans="1:2">
      <c r="A2623" s="49"/>
      <c r="B2623" s="49"/>
    </row>
    <row r="2624" spans="1:2">
      <c r="A2624" s="49"/>
      <c r="B2624" s="49"/>
    </row>
    <row r="2625" spans="1:2">
      <c r="A2625" s="49"/>
      <c r="B2625" s="49"/>
    </row>
    <row r="2626" spans="1:2">
      <c r="A2626" s="49"/>
      <c r="B2626" s="49"/>
    </row>
    <row r="2627" spans="1:2">
      <c r="A2627" s="49"/>
      <c r="B2627" s="49"/>
    </row>
    <row r="2628" spans="1:2">
      <c r="A2628" s="49"/>
      <c r="B2628" s="49"/>
    </row>
    <row r="2629" spans="1:2">
      <c r="A2629" s="49"/>
      <c r="B2629" s="49"/>
    </row>
    <row r="2630" spans="1:2">
      <c r="A2630" s="49"/>
      <c r="B2630" s="49"/>
    </row>
    <row r="2631" spans="1:2">
      <c r="A2631" s="49"/>
      <c r="B2631" s="49"/>
    </row>
    <row r="2632" spans="1:2">
      <c r="A2632" s="49"/>
      <c r="B2632" s="49"/>
    </row>
    <row r="2633" spans="1:2">
      <c r="A2633" s="49"/>
      <c r="B2633" s="49"/>
    </row>
    <row r="2634" spans="1:2">
      <c r="A2634" s="49"/>
      <c r="B2634" s="49"/>
    </row>
    <row r="2635" spans="1:2">
      <c r="A2635" s="49"/>
      <c r="B2635" s="49"/>
    </row>
    <row r="2636" spans="1:2">
      <c r="A2636" s="49"/>
      <c r="B2636" s="49"/>
    </row>
    <row r="2637" spans="1:2">
      <c r="A2637" s="49"/>
      <c r="B2637" s="49"/>
    </row>
    <row r="2638" spans="1:2">
      <c r="A2638" s="49"/>
      <c r="B2638" s="49"/>
    </row>
    <row r="2639" spans="1:2">
      <c r="A2639" s="49"/>
      <c r="B2639" s="49"/>
    </row>
    <row r="2640" spans="1:2">
      <c r="A2640" s="49"/>
      <c r="B2640" s="49"/>
    </row>
    <row r="2641" spans="1:2">
      <c r="A2641" s="49"/>
      <c r="B2641" s="49"/>
    </row>
    <row r="2642" spans="1:2">
      <c r="A2642" s="49"/>
      <c r="B2642" s="49"/>
    </row>
    <row r="2643" spans="1:2">
      <c r="A2643" s="49"/>
      <c r="B2643" s="49"/>
    </row>
    <row r="2644" spans="1:2">
      <c r="A2644" s="49"/>
      <c r="B2644" s="49"/>
    </row>
    <row r="2645" spans="1:2">
      <c r="A2645" s="49"/>
      <c r="B2645" s="49"/>
    </row>
    <row r="2646" spans="1:2">
      <c r="A2646" s="49"/>
      <c r="B2646" s="49"/>
    </row>
    <row r="2647" spans="1:2">
      <c r="A2647" s="49"/>
      <c r="B2647" s="49"/>
    </row>
    <row r="2648" spans="1:2">
      <c r="A2648" s="49"/>
      <c r="B2648" s="49"/>
    </row>
    <row r="2649" spans="1:2">
      <c r="A2649" s="49"/>
      <c r="B2649" s="49"/>
    </row>
    <row r="2650" spans="1:2">
      <c r="A2650" s="49"/>
      <c r="B2650" s="49"/>
    </row>
    <row r="2651" spans="1:2">
      <c r="A2651" s="49"/>
      <c r="B2651" s="49"/>
    </row>
    <row r="2652" spans="1:2">
      <c r="A2652" s="49"/>
      <c r="B2652" s="49"/>
    </row>
    <row r="2653" spans="1:2">
      <c r="A2653" s="49"/>
      <c r="B2653" s="49"/>
    </row>
    <row r="2654" spans="1:2">
      <c r="A2654" s="49"/>
      <c r="B2654" s="49"/>
    </row>
    <row r="2655" spans="1:2">
      <c r="A2655" s="49"/>
      <c r="B2655" s="49"/>
    </row>
    <row r="2656" spans="1:2">
      <c r="A2656" s="49"/>
      <c r="B2656" s="49"/>
    </row>
    <row r="2657" spans="1:2">
      <c r="A2657" s="49"/>
      <c r="B2657" s="49"/>
    </row>
    <row r="2658" spans="1:2">
      <c r="A2658" s="49"/>
      <c r="B2658" s="49"/>
    </row>
    <row r="2659" spans="1:2">
      <c r="A2659" s="49"/>
      <c r="B2659" s="49"/>
    </row>
    <row r="2660" spans="1:2">
      <c r="A2660" s="49"/>
      <c r="B2660" s="49"/>
    </row>
    <row r="2661" spans="1:2">
      <c r="A2661" s="49"/>
      <c r="B2661" s="49"/>
    </row>
    <row r="2662" spans="1:2">
      <c r="A2662" s="49"/>
      <c r="B2662" s="49"/>
    </row>
    <row r="2663" spans="1:2">
      <c r="A2663" s="49"/>
      <c r="B2663" s="49"/>
    </row>
    <row r="2664" spans="1:2">
      <c r="A2664" s="49"/>
      <c r="B2664" s="49"/>
    </row>
    <row r="2665" spans="1:2">
      <c r="A2665" s="49"/>
      <c r="B2665" s="49"/>
    </row>
    <row r="2666" spans="1:2">
      <c r="A2666" s="49"/>
      <c r="B2666" s="49"/>
    </row>
    <row r="2667" spans="1:2">
      <c r="A2667" s="49"/>
      <c r="B2667" s="49"/>
    </row>
    <row r="2668" spans="1:2">
      <c r="A2668" s="49"/>
      <c r="B2668" s="49"/>
    </row>
    <row r="2669" spans="1:2">
      <c r="A2669" s="49"/>
      <c r="B2669" s="49"/>
    </row>
    <row r="2670" spans="1:2">
      <c r="A2670" s="49"/>
      <c r="B2670" s="49"/>
    </row>
    <row r="2671" spans="1:2">
      <c r="A2671" s="49"/>
      <c r="B2671" s="49"/>
    </row>
    <row r="2672" spans="1:2">
      <c r="A2672" s="49"/>
      <c r="B2672" s="49"/>
    </row>
    <row r="2673" spans="1:2">
      <c r="A2673" s="49"/>
      <c r="B2673" s="49"/>
    </row>
    <row r="2674" spans="1:2">
      <c r="A2674" s="49"/>
      <c r="B2674" s="49"/>
    </row>
    <row r="2675" spans="1:2">
      <c r="A2675" s="49"/>
      <c r="B2675" s="49"/>
    </row>
    <row r="2676" spans="1:2">
      <c r="A2676" s="49"/>
      <c r="B2676" s="49"/>
    </row>
    <row r="2677" spans="1:2">
      <c r="A2677" s="49"/>
      <c r="B2677" s="49"/>
    </row>
    <row r="2678" spans="1:2">
      <c r="A2678" s="49"/>
      <c r="B2678" s="49"/>
    </row>
    <row r="2679" spans="1:2">
      <c r="A2679" s="49"/>
      <c r="B2679" s="49"/>
    </row>
    <row r="2680" spans="1:2">
      <c r="A2680" s="49"/>
      <c r="B2680" s="49"/>
    </row>
    <row r="2681" spans="1:2">
      <c r="A2681" s="49"/>
      <c r="B2681" s="49"/>
    </row>
    <row r="2682" spans="1:2">
      <c r="A2682" s="49"/>
      <c r="B2682" s="49"/>
    </row>
    <row r="2683" spans="1:2">
      <c r="A2683" s="49"/>
      <c r="B2683" s="49"/>
    </row>
    <row r="2684" spans="1:2">
      <c r="A2684" s="49"/>
      <c r="B2684" s="49"/>
    </row>
    <row r="2685" spans="1:2">
      <c r="A2685" s="49"/>
      <c r="B2685" s="49"/>
    </row>
    <row r="2686" spans="1:2">
      <c r="A2686" s="49"/>
      <c r="B2686" s="49"/>
    </row>
    <row r="2687" spans="1:2">
      <c r="A2687" s="49"/>
      <c r="B2687" s="49"/>
    </row>
    <row r="2688" spans="1:2">
      <c r="A2688" s="49"/>
      <c r="B2688" s="49"/>
    </row>
    <row r="2689" spans="1:2">
      <c r="A2689" s="49"/>
      <c r="B2689" s="49"/>
    </row>
    <row r="2690" spans="1:2">
      <c r="A2690" s="49"/>
      <c r="B2690" s="49"/>
    </row>
    <row r="2691" spans="1:2">
      <c r="A2691" s="49"/>
      <c r="B2691" s="49"/>
    </row>
    <row r="2692" spans="1:2">
      <c r="A2692" s="49"/>
      <c r="B2692" s="49"/>
    </row>
    <row r="2693" spans="1:2">
      <c r="A2693" s="49"/>
      <c r="B2693" s="49"/>
    </row>
    <row r="2694" spans="1:2">
      <c r="A2694" s="49"/>
      <c r="B2694" s="49"/>
    </row>
    <row r="2695" spans="1:2">
      <c r="A2695" s="49"/>
      <c r="B2695" s="49"/>
    </row>
    <row r="2696" spans="1:2">
      <c r="A2696" s="49"/>
      <c r="B2696" s="49"/>
    </row>
    <row r="2697" spans="1:2">
      <c r="A2697" s="49"/>
      <c r="B2697" s="49"/>
    </row>
    <row r="2698" spans="1:2">
      <c r="A2698" s="49"/>
      <c r="B2698" s="49"/>
    </row>
    <row r="2699" spans="1:2">
      <c r="A2699" s="49"/>
      <c r="B2699" s="49"/>
    </row>
    <row r="2700" spans="1:2">
      <c r="A2700" s="49"/>
      <c r="B2700" s="49"/>
    </row>
    <row r="2701" spans="1:2">
      <c r="A2701" s="49"/>
      <c r="B2701" s="49"/>
    </row>
    <row r="2702" spans="1:2">
      <c r="A2702" s="49"/>
      <c r="B2702" s="49"/>
    </row>
    <row r="2703" spans="1:2">
      <c r="A2703" s="49"/>
      <c r="B2703" s="49"/>
    </row>
    <row r="2704" spans="1:2">
      <c r="A2704" s="49"/>
      <c r="B2704" s="49"/>
    </row>
    <row r="2705" spans="1:2">
      <c r="A2705" s="49"/>
      <c r="B2705" s="49"/>
    </row>
    <row r="2706" spans="1:2">
      <c r="A2706" s="49"/>
      <c r="B2706" s="49"/>
    </row>
    <row r="2707" spans="1:2">
      <c r="A2707" s="49"/>
      <c r="B2707" s="49"/>
    </row>
    <row r="2708" spans="1:2">
      <c r="A2708" s="49"/>
      <c r="B2708" s="49"/>
    </row>
    <row r="2709" spans="1:2">
      <c r="A2709" s="49"/>
      <c r="B2709" s="49"/>
    </row>
    <row r="2710" spans="1:2">
      <c r="A2710" s="49"/>
      <c r="B2710" s="49"/>
    </row>
    <row r="2711" spans="1:2">
      <c r="A2711" s="49"/>
      <c r="B2711" s="49"/>
    </row>
    <row r="2712" spans="1:2">
      <c r="A2712" s="49"/>
      <c r="B2712" s="49"/>
    </row>
    <row r="2713" spans="1:2">
      <c r="A2713" s="49"/>
      <c r="B2713" s="49"/>
    </row>
    <row r="2714" spans="1:2">
      <c r="A2714" s="49"/>
      <c r="B2714" s="49"/>
    </row>
    <row r="2715" spans="1:2">
      <c r="A2715" s="49"/>
      <c r="B2715" s="49"/>
    </row>
    <row r="2716" spans="1:2">
      <c r="A2716" s="49"/>
      <c r="B2716" s="49"/>
    </row>
    <row r="2717" spans="1:2">
      <c r="A2717" s="49"/>
      <c r="B2717" s="49"/>
    </row>
    <row r="2718" spans="1:2">
      <c r="A2718" s="49"/>
      <c r="B2718" s="49"/>
    </row>
    <row r="2719" spans="1:2">
      <c r="A2719" s="49"/>
      <c r="B2719" s="49"/>
    </row>
    <row r="2720" spans="1:2">
      <c r="A2720" s="49"/>
      <c r="B2720" s="49"/>
    </row>
    <row r="2721" spans="1:2">
      <c r="A2721" s="49"/>
      <c r="B2721" s="49"/>
    </row>
    <row r="2722" spans="1:2">
      <c r="A2722" s="49"/>
      <c r="B2722" s="49"/>
    </row>
    <row r="2723" spans="1:2">
      <c r="A2723" s="49"/>
      <c r="B2723" s="49"/>
    </row>
    <row r="2724" spans="1:2">
      <c r="A2724" s="49"/>
      <c r="B2724" s="49"/>
    </row>
    <row r="2725" spans="1:2">
      <c r="A2725" s="49"/>
      <c r="B2725" s="49"/>
    </row>
    <row r="2726" spans="1:2">
      <c r="A2726" s="49"/>
      <c r="B2726" s="49"/>
    </row>
    <row r="2727" spans="1:2">
      <c r="A2727" s="49"/>
      <c r="B2727" s="49"/>
    </row>
    <row r="2728" spans="1:2">
      <c r="A2728" s="49"/>
      <c r="B2728" s="49"/>
    </row>
    <row r="2729" spans="1:2">
      <c r="A2729" s="49"/>
      <c r="B2729" s="49"/>
    </row>
    <row r="2730" spans="1:2">
      <c r="A2730" s="49"/>
      <c r="B2730" s="49"/>
    </row>
    <row r="2731" spans="1:2">
      <c r="A2731" s="49"/>
      <c r="B2731" s="49"/>
    </row>
    <row r="2732" spans="1:2">
      <c r="A2732" s="49"/>
      <c r="B2732" s="49"/>
    </row>
    <row r="2733" spans="1:2">
      <c r="A2733" s="49"/>
      <c r="B2733" s="49"/>
    </row>
    <row r="2734" spans="1:2">
      <c r="A2734" s="49"/>
      <c r="B2734" s="49"/>
    </row>
    <row r="2735" spans="1:2">
      <c r="A2735" s="49"/>
      <c r="B2735" s="49"/>
    </row>
    <row r="2736" spans="1:2">
      <c r="A2736" s="49"/>
      <c r="B2736" s="49"/>
    </row>
    <row r="2737" spans="1:2">
      <c r="A2737" s="49"/>
      <c r="B2737" s="49"/>
    </row>
    <row r="2738" spans="1:2">
      <c r="A2738" s="49"/>
      <c r="B2738" s="49"/>
    </row>
    <row r="2739" spans="1:2">
      <c r="A2739" s="49"/>
      <c r="B2739" s="49"/>
    </row>
    <row r="2740" spans="1:2">
      <c r="A2740" s="49"/>
      <c r="B2740" s="49"/>
    </row>
    <row r="2741" spans="1:2">
      <c r="A2741" s="49"/>
      <c r="B2741" s="49"/>
    </row>
    <row r="2742" spans="1:2">
      <c r="A2742" s="49"/>
      <c r="B2742" s="49"/>
    </row>
    <row r="2743" spans="1:2">
      <c r="A2743" s="49"/>
      <c r="B2743" s="49"/>
    </row>
    <row r="2744" spans="1:2">
      <c r="A2744" s="49"/>
      <c r="B2744" s="49"/>
    </row>
    <row r="2745" spans="1:2">
      <c r="A2745" s="49"/>
      <c r="B2745" s="49"/>
    </row>
    <row r="2746" spans="1:2">
      <c r="A2746" s="49"/>
      <c r="B2746" s="49"/>
    </row>
    <row r="2747" spans="1:2">
      <c r="A2747" s="49"/>
      <c r="B2747" s="49"/>
    </row>
    <row r="2748" spans="1:2">
      <c r="A2748" s="49"/>
      <c r="B2748" s="49"/>
    </row>
    <row r="2749" spans="1:2">
      <c r="A2749" s="49"/>
      <c r="B2749" s="49"/>
    </row>
    <row r="2750" spans="1:2">
      <c r="A2750" s="49"/>
      <c r="B2750" s="49"/>
    </row>
    <row r="2751" spans="1:2">
      <c r="A2751" s="49"/>
      <c r="B2751" s="49"/>
    </row>
    <row r="2752" spans="1:2">
      <c r="A2752" s="49"/>
      <c r="B2752" s="49"/>
    </row>
    <row r="2753" spans="1:2">
      <c r="A2753" s="49"/>
      <c r="B2753" s="49"/>
    </row>
    <row r="2754" spans="1:2">
      <c r="A2754" s="49"/>
      <c r="B2754" s="49"/>
    </row>
    <row r="2755" spans="1:2">
      <c r="A2755" s="49"/>
      <c r="B2755" s="49"/>
    </row>
    <row r="2756" spans="1:2">
      <c r="A2756" s="49"/>
      <c r="B2756" s="49"/>
    </row>
    <row r="2757" spans="1:2">
      <c r="A2757" s="49"/>
      <c r="B2757" s="49"/>
    </row>
    <row r="2758" spans="1:2">
      <c r="A2758" s="49"/>
      <c r="B2758" s="49"/>
    </row>
    <row r="2759" spans="1:2">
      <c r="A2759" s="49"/>
      <c r="B2759" s="49"/>
    </row>
    <row r="2760" spans="1:2">
      <c r="A2760" s="49"/>
      <c r="B2760" s="49"/>
    </row>
    <row r="2761" spans="1:2">
      <c r="A2761" s="49"/>
      <c r="B2761" s="49"/>
    </row>
    <row r="2762" spans="1:2">
      <c r="A2762" s="49"/>
      <c r="B2762" s="49"/>
    </row>
    <row r="2763" spans="1:2">
      <c r="A2763" s="49"/>
      <c r="B2763" s="49"/>
    </row>
    <row r="2764" spans="1:2">
      <c r="A2764" s="49"/>
      <c r="B2764" s="49"/>
    </row>
    <row r="2765" spans="1:2">
      <c r="A2765" s="49"/>
      <c r="B2765" s="49"/>
    </row>
    <row r="2766" spans="1:2">
      <c r="A2766" s="49"/>
      <c r="B2766" s="49"/>
    </row>
    <row r="2767" spans="1:2">
      <c r="A2767" s="49"/>
      <c r="B2767" s="49"/>
    </row>
    <row r="2768" spans="1:2">
      <c r="A2768" s="49"/>
      <c r="B2768" s="49"/>
    </row>
    <row r="2769" spans="1:2">
      <c r="A2769" s="49"/>
      <c r="B2769" s="49"/>
    </row>
    <row r="2770" spans="1:2">
      <c r="A2770" s="49"/>
      <c r="B2770" s="49"/>
    </row>
    <row r="2771" spans="1:2">
      <c r="A2771" s="49"/>
      <c r="B2771" s="49"/>
    </row>
    <row r="2772" spans="1:2">
      <c r="A2772" s="49"/>
      <c r="B2772" s="49"/>
    </row>
    <row r="2773" spans="1:2">
      <c r="A2773" s="49"/>
      <c r="B2773" s="49"/>
    </row>
    <row r="2774" spans="1:2">
      <c r="A2774" s="49"/>
      <c r="B2774" s="49"/>
    </row>
    <row r="2775" spans="1:2">
      <c r="A2775" s="49"/>
      <c r="B2775" s="49"/>
    </row>
    <row r="2776" spans="1:2">
      <c r="A2776" s="49"/>
      <c r="B2776" s="49"/>
    </row>
    <row r="2777" spans="1:2">
      <c r="A2777" s="49"/>
      <c r="B2777" s="49"/>
    </row>
    <row r="2778" spans="1:2">
      <c r="A2778" s="49"/>
      <c r="B2778" s="49"/>
    </row>
    <row r="2779" spans="1:2">
      <c r="A2779" s="49"/>
      <c r="B2779" s="49"/>
    </row>
    <row r="2780" spans="1:2">
      <c r="A2780" s="49"/>
      <c r="B2780" s="49"/>
    </row>
    <row r="2781" spans="1:2">
      <c r="A2781" s="49"/>
      <c r="B2781" s="49"/>
    </row>
    <row r="2782" spans="1:2">
      <c r="A2782" s="49"/>
      <c r="B2782" s="49"/>
    </row>
    <row r="2783" spans="1:2">
      <c r="A2783" s="49"/>
      <c r="B2783" s="49"/>
    </row>
    <row r="2784" spans="1:2">
      <c r="A2784" s="49"/>
      <c r="B2784" s="49"/>
    </row>
    <row r="2785" spans="1:2">
      <c r="A2785" s="49"/>
      <c r="B2785" s="49"/>
    </row>
    <row r="2786" spans="1:2">
      <c r="A2786" s="49"/>
      <c r="B2786" s="49"/>
    </row>
    <row r="2787" spans="1:2">
      <c r="A2787" s="49"/>
      <c r="B2787" s="49"/>
    </row>
    <row r="2788" spans="1:2">
      <c r="A2788" s="49"/>
      <c r="B2788" s="49"/>
    </row>
    <row r="2789" spans="1:2">
      <c r="A2789" s="49"/>
      <c r="B2789" s="49"/>
    </row>
    <row r="2790" spans="1:2">
      <c r="A2790" s="49"/>
      <c r="B2790" s="49"/>
    </row>
    <row r="2791" spans="1:2">
      <c r="A2791" s="49"/>
      <c r="B2791" s="49"/>
    </row>
    <row r="2792" spans="1:2">
      <c r="A2792" s="49"/>
      <c r="B2792" s="49"/>
    </row>
    <row r="2793" spans="1:2">
      <c r="A2793" s="49"/>
      <c r="B2793" s="49"/>
    </row>
    <row r="2794" spans="1:2">
      <c r="A2794" s="49"/>
      <c r="B2794" s="49"/>
    </row>
    <row r="2795" spans="1:2">
      <c r="A2795" s="49"/>
      <c r="B2795" s="49"/>
    </row>
    <row r="2796" spans="1:2">
      <c r="A2796" s="49"/>
      <c r="B2796" s="49"/>
    </row>
    <row r="2797" spans="1:2">
      <c r="A2797" s="49"/>
      <c r="B2797" s="49"/>
    </row>
    <row r="2798" spans="1:2">
      <c r="A2798" s="49"/>
      <c r="B2798" s="49"/>
    </row>
    <row r="2799" spans="1:2">
      <c r="A2799" s="49"/>
      <c r="B2799" s="49"/>
    </row>
    <row r="2800" spans="1:2">
      <c r="A2800" s="49"/>
      <c r="B2800" s="49"/>
    </row>
    <row r="2801" spans="1:2">
      <c r="A2801" s="49"/>
      <c r="B2801" s="49"/>
    </row>
    <row r="2802" spans="1:2">
      <c r="A2802" s="49"/>
      <c r="B2802" s="49"/>
    </row>
    <row r="2803" spans="1:2">
      <c r="A2803" s="49"/>
      <c r="B2803" s="49"/>
    </row>
    <row r="2804" spans="1:2">
      <c r="A2804" s="49"/>
      <c r="B2804" s="49"/>
    </row>
    <row r="2805" spans="1:2">
      <c r="A2805" s="49"/>
      <c r="B2805" s="49"/>
    </row>
    <row r="2806" spans="1:2">
      <c r="A2806" s="49"/>
      <c r="B2806" s="49"/>
    </row>
    <row r="2807" spans="1:2">
      <c r="A2807" s="49"/>
      <c r="B2807" s="49"/>
    </row>
    <row r="2808" spans="1:2">
      <c r="A2808" s="49"/>
      <c r="B2808" s="49"/>
    </row>
    <row r="2809" spans="1:2">
      <c r="A2809" s="49"/>
      <c r="B2809" s="49"/>
    </row>
    <row r="2810" spans="1:2">
      <c r="A2810" s="49"/>
      <c r="B2810" s="49"/>
    </row>
    <row r="2811" spans="1:2">
      <c r="A2811" s="49"/>
      <c r="B2811" s="49"/>
    </row>
    <row r="2812" spans="1:2">
      <c r="A2812" s="49"/>
      <c r="B2812" s="49"/>
    </row>
    <row r="2813" spans="1:2">
      <c r="A2813" s="49"/>
      <c r="B2813" s="49"/>
    </row>
    <row r="2814" spans="1:2">
      <c r="A2814" s="49"/>
      <c r="B2814" s="49"/>
    </row>
    <row r="2815" spans="1:2">
      <c r="A2815" s="49"/>
      <c r="B2815" s="49"/>
    </row>
    <row r="2816" spans="1:2">
      <c r="A2816" s="49"/>
      <c r="B2816" s="49"/>
    </row>
    <row r="2817" spans="1:2">
      <c r="A2817" s="49"/>
      <c r="B2817" s="49"/>
    </row>
    <row r="2818" spans="1:2">
      <c r="A2818" s="49"/>
      <c r="B2818" s="49"/>
    </row>
    <row r="2819" spans="1:2">
      <c r="A2819" s="49"/>
      <c r="B2819" s="49"/>
    </row>
    <row r="2820" spans="1:2">
      <c r="A2820" s="49"/>
      <c r="B2820" s="49"/>
    </row>
    <row r="2821" spans="1:2">
      <c r="A2821" s="49"/>
      <c r="B2821" s="49"/>
    </row>
    <row r="2822" spans="1:2">
      <c r="A2822" s="49"/>
      <c r="B2822" s="49"/>
    </row>
    <row r="2823" spans="1:2">
      <c r="A2823" s="49"/>
      <c r="B2823" s="49"/>
    </row>
    <row r="2824" spans="1:2">
      <c r="A2824" s="49"/>
      <c r="B2824" s="49"/>
    </row>
    <row r="2825" spans="1:2">
      <c r="A2825" s="49"/>
      <c r="B2825" s="49"/>
    </row>
    <row r="2826" spans="1:2">
      <c r="A2826" s="49"/>
      <c r="B2826" s="49"/>
    </row>
    <row r="2827" spans="1:2">
      <c r="A2827" s="49"/>
      <c r="B2827" s="49"/>
    </row>
    <row r="2828" spans="1:2">
      <c r="A2828" s="49"/>
      <c r="B2828" s="49"/>
    </row>
    <row r="2829" spans="1:2">
      <c r="A2829" s="49"/>
      <c r="B2829" s="49"/>
    </row>
    <row r="2830" spans="1:2">
      <c r="A2830" s="49"/>
      <c r="B2830" s="49"/>
    </row>
    <row r="2831" spans="1:2">
      <c r="A2831" s="49"/>
      <c r="B2831" s="49"/>
    </row>
    <row r="2832" spans="1:2">
      <c r="A2832" s="49"/>
      <c r="B2832" s="49"/>
    </row>
    <row r="2833" spans="1:2">
      <c r="A2833" s="49"/>
      <c r="B2833" s="49"/>
    </row>
    <row r="2834" spans="1:2">
      <c r="A2834" s="49"/>
      <c r="B2834" s="49"/>
    </row>
    <row r="2835" spans="1:2">
      <c r="A2835" s="49"/>
      <c r="B2835" s="49"/>
    </row>
    <row r="2836" spans="1:2">
      <c r="A2836" s="49"/>
      <c r="B2836" s="49"/>
    </row>
    <row r="2837" spans="1:2">
      <c r="A2837" s="49"/>
      <c r="B2837" s="49"/>
    </row>
    <row r="2838" spans="1:2">
      <c r="A2838" s="49"/>
      <c r="B2838" s="49"/>
    </row>
    <row r="2839" spans="1:2">
      <c r="A2839" s="49"/>
      <c r="B2839" s="49"/>
    </row>
    <row r="2840" spans="1:2">
      <c r="A2840" s="49"/>
      <c r="B2840" s="49"/>
    </row>
    <row r="2841" spans="1:2">
      <c r="A2841" s="49"/>
      <c r="B2841" s="49"/>
    </row>
    <row r="2842" spans="1:2">
      <c r="A2842" s="49"/>
      <c r="B2842" s="49"/>
    </row>
    <row r="2843" spans="1:2">
      <c r="A2843" s="49"/>
      <c r="B2843" s="49"/>
    </row>
    <row r="2844" spans="1:2">
      <c r="A2844" s="49"/>
      <c r="B2844" s="49"/>
    </row>
    <row r="2845" spans="1:2">
      <c r="A2845" s="49"/>
      <c r="B2845" s="49"/>
    </row>
    <row r="2846" spans="1:2">
      <c r="A2846" s="49"/>
      <c r="B2846" s="49"/>
    </row>
    <row r="2847" spans="1:2">
      <c r="A2847" s="49"/>
      <c r="B2847" s="49"/>
    </row>
    <row r="2848" spans="1:2">
      <c r="A2848" s="49"/>
      <c r="B2848" s="49"/>
    </row>
    <row r="2849" spans="1:2">
      <c r="A2849" s="49"/>
      <c r="B2849" s="49"/>
    </row>
    <row r="2850" spans="1:2">
      <c r="A2850" s="49"/>
      <c r="B2850" s="49"/>
    </row>
    <row r="2851" spans="1:2">
      <c r="A2851" s="49"/>
      <c r="B2851" s="49"/>
    </row>
    <row r="2852" spans="1:2">
      <c r="A2852" s="49"/>
      <c r="B2852" s="49"/>
    </row>
    <row r="2853" spans="1:2">
      <c r="A2853" s="49"/>
      <c r="B2853" s="49"/>
    </row>
    <row r="2854" spans="1:2">
      <c r="A2854" s="49"/>
      <c r="B2854" s="49"/>
    </row>
    <row r="2855" spans="1:2">
      <c r="A2855" s="49"/>
      <c r="B2855" s="49"/>
    </row>
    <row r="2856" spans="1:2">
      <c r="A2856" s="49"/>
      <c r="B2856" s="49"/>
    </row>
    <row r="2857" spans="1:2">
      <c r="A2857" s="49"/>
      <c r="B2857" s="49"/>
    </row>
    <row r="2858" spans="1:2">
      <c r="A2858" s="49"/>
      <c r="B2858" s="49"/>
    </row>
    <row r="2859" spans="1:2">
      <c r="A2859" s="49"/>
      <c r="B2859" s="49"/>
    </row>
    <row r="2860" spans="1:2">
      <c r="A2860" s="49"/>
      <c r="B2860" s="49"/>
    </row>
    <row r="2861" spans="1:2">
      <c r="A2861" s="49"/>
      <c r="B2861" s="49"/>
    </row>
    <row r="2862" spans="1:2">
      <c r="A2862" s="49"/>
      <c r="B2862" s="49"/>
    </row>
    <row r="2863" spans="1:2">
      <c r="A2863" s="49"/>
      <c r="B2863" s="49"/>
    </row>
    <row r="2864" spans="1:2">
      <c r="A2864" s="49"/>
      <c r="B2864" s="49"/>
    </row>
    <row r="2865" spans="1:2">
      <c r="A2865" s="49"/>
      <c r="B2865" s="49"/>
    </row>
    <row r="2866" spans="1:2">
      <c r="A2866" s="49"/>
      <c r="B2866" s="49"/>
    </row>
    <row r="2867" spans="1:2">
      <c r="A2867" s="49"/>
      <c r="B2867" s="49"/>
    </row>
    <row r="2868" spans="1:2">
      <c r="A2868" s="49"/>
      <c r="B2868" s="49"/>
    </row>
    <row r="2869" spans="1:2">
      <c r="A2869" s="49"/>
      <c r="B2869" s="49"/>
    </row>
    <row r="2870" spans="1:2">
      <c r="A2870" s="49"/>
      <c r="B2870" s="49"/>
    </row>
    <row r="2871" spans="1:2">
      <c r="A2871" s="49"/>
      <c r="B2871" s="49"/>
    </row>
    <row r="2872" spans="1:2">
      <c r="A2872" s="49"/>
      <c r="B2872" s="49"/>
    </row>
    <row r="2873" spans="1:2">
      <c r="A2873" s="49"/>
      <c r="B2873" s="49"/>
    </row>
    <row r="2874" spans="1:2">
      <c r="A2874" s="49"/>
      <c r="B2874" s="49"/>
    </row>
    <row r="2875" spans="1:2">
      <c r="A2875" s="49"/>
      <c r="B2875" s="49"/>
    </row>
    <row r="2876" spans="1:2">
      <c r="A2876" s="49"/>
      <c r="B2876" s="49"/>
    </row>
    <row r="2877" spans="1:2">
      <c r="A2877" s="49"/>
      <c r="B2877" s="49"/>
    </row>
    <row r="2878" spans="1:2">
      <c r="A2878" s="49"/>
      <c r="B2878" s="49"/>
    </row>
    <row r="2879" spans="1:2">
      <c r="A2879" s="49"/>
      <c r="B2879" s="49"/>
    </row>
    <row r="2880" spans="1:2">
      <c r="A2880" s="49"/>
      <c r="B2880" s="49"/>
    </row>
    <row r="2881" spans="1:2">
      <c r="A2881" s="49"/>
      <c r="B2881" s="49"/>
    </row>
    <row r="2882" spans="1:2">
      <c r="A2882" s="49"/>
      <c r="B2882" s="49"/>
    </row>
    <row r="2883" spans="1:2">
      <c r="A2883" s="49"/>
      <c r="B2883" s="49"/>
    </row>
    <row r="2884" spans="1:2">
      <c r="A2884" s="49"/>
      <c r="B2884" s="49"/>
    </row>
    <row r="2885" spans="1:2">
      <c r="A2885" s="49"/>
      <c r="B2885" s="49"/>
    </row>
    <row r="2886" spans="1:2">
      <c r="A2886" s="49"/>
      <c r="B2886" s="49"/>
    </row>
    <row r="2887" spans="1:2">
      <c r="A2887" s="49"/>
      <c r="B2887" s="49"/>
    </row>
    <row r="2888" spans="1:2">
      <c r="A2888" s="49"/>
      <c r="B2888" s="49"/>
    </row>
    <row r="2889" spans="1:2">
      <c r="A2889" s="49"/>
      <c r="B2889" s="49"/>
    </row>
    <row r="2890" spans="1:2">
      <c r="A2890" s="49"/>
      <c r="B2890" s="49"/>
    </row>
    <row r="2891" spans="1:2">
      <c r="A2891" s="49"/>
      <c r="B2891" s="49"/>
    </row>
    <row r="2892" spans="1:2">
      <c r="A2892" s="49"/>
      <c r="B2892" s="49"/>
    </row>
    <row r="2893" spans="1:2">
      <c r="A2893" s="49"/>
      <c r="B2893" s="49"/>
    </row>
    <row r="2894" spans="1:2">
      <c r="A2894" s="49"/>
      <c r="B2894" s="49"/>
    </row>
    <row r="2895" spans="1:2">
      <c r="A2895" s="49"/>
      <c r="B2895" s="49"/>
    </row>
    <row r="2896" spans="1:2">
      <c r="A2896" s="49"/>
      <c r="B2896" s="49"/>
    </row>
    <row r="2897" spans="1:2">
      <c r="A2897" s="49"/>
      <c r="B2897" s="49"/>
    </row>
    <row r="2898" spans="1:2">
      <c r="A2898" s="49"/>
      <c r="B2898" s="49"/>
    </row>
    <row r="2899" spans="1:2">
      <c r="A2899" s="49"/>
      <c r="B2899" s="49"/>
    </row>
    <row r="2900" spans="1:2">
      <c r="A2900" s="49"/>
      <c r="B2900" s="49"/>
    </row>
    <row r="2901" spans="1:2">
      <c r="A2901" s="49"/>
      <c r="B2901" s="49"/>
    </row>
    <row r="2902" spans="1:2">
      <c r="A2902" s="49"/>
      <c r="B2902" s="49"/>
    </row>
    <row r="2903" spans="1:2">
      <c r="A2903" s="49"/>
      <c r="B2903" s="49"/>
    </row>
    <row r="2904" spans="1:2">
      <c r="A2904" s="49"/>
      <c r="B2904" s="49"/>
    </row>
    <row r="2905" spans="1:2">
      <c r="A2905" s="49"/>
      <c r="B2905" s="49"/>
    </row>
    <row r="2906" spans="1:2">
      <c r="A2906" s="49"/>
      <c r="B2906" s="49"/>
    </row>
    <row r="2907" spans="1:2">
      <c r="A2907" s="49"/>
      <c r="B2907" s="49"/>
    </row>
    <row r="2908" spans="1:2">
      <c r="A2908" s="49"/>
      <c r="B2908" s="49"/>
    </row>
    <row r="2909" spans="1:2">
      <c r="A2909" s="49"/>
      <c r="B2909" s="49"/>
    </row>
    <row r="2910" spans="1:2">
      <c r="A2910" s="49"/>
      <c r="B2910" s="49"/>
    </row>
    <row r="2911" spans="1:2">
      <c r="A2911" s="49"/>
      <c r="B2911" s="49"/>
    </row>
    <row r="2912" spans="1:2">
      <c r="A2912" s="49"/>
      <c r="B2912" s="49"/>
    </row>
    <row r="2913" spans="1:2">
      <c r="A2913" s="49"/>
      <c r="B2913" s="49"/>
    </row>
    <row r="2914" spans="1:2">
      <c r="A2914" s="49"/>
      <c r="B2914" s="49"/>
    </row>
    <row r="2915" spans="1:2">
      <c r="A2915" s="49"/>
      <c r="B2915" s="49"/>
    </row>
    <row r="2916" spans="1:2">
      <c r="A2916" s="49"/>
      <c r="B2916" s="49"/>
    </row>
    <row r="2917" spans="1:2">
      <c r="A2917" s="49"/>
      <c r="B2917" s="49"/>
    </row>
    <row r="2918" spans="1:2">
      <c r="A2918" s="49"/>
      <c r="B2918" s="49"/>
    </row>
    <row r="2919" spans="1:2">
      <c r="A2919" s="49"/>
      <c r="B2919" s="49"/>
    </row>
    <row r="2920" spans="1:2">
      <c r="A2920" s="49"/>
      <c r="B2920" s="49"/>
    </row>
    <row r="2921" spans="1:2">
      <c r="A2921" s="49"/>
      <c r="B2921" s="49"/>
    </row>
    <row r="2922" spans="1:2">
      <c r="A2922" s="49"/>
      <c r="B2922" s="49"/>
    </row>
    <row r="2923" spans="1:2">
      <c r="A2923" s="49"/>
      <c r="B2923" s="49"/>
    </row>
    <row r="2924" spans="1:2">
      <c r="A2924" s="49"/>
      <c r="B2924" s="49"/>
    </row>
    <row r="2925" spans="1:2">
      <c r="A2925" s="49"/>
      <c r="B2925" s="49"/>
    </row>
    <row r="2926" spans="1:2">
      <c r="A2926" s="49"/>
      <c r="B2926" s="49"/>
    </row>
    <row r="2927" spans="1:2">
      <c r="A2927" s="49"/>
      <c r="B2927" s="49"/>
    </row>
    <row r="2928" spans="1:2">
      <c r="A2928" s="49"/>
      <c r="B2928" s="49"/>
    </row>
    <row r="2929" spans="1:2">
      <c r="A2929" s="49"/>
      <c r="B2929" s="49"/>
    </row>
    <row r="2930" spans="1:2">
      <c r="A2930" s="49"/>
      <c r="B2930" s="49"/>
    </row>
    <row r="2931" spans="1:2">
      <c r="A2931" s="49"/>
      <c r="B2931" s="49"/>
    </row>
    <row r="2932" spans="1:2">
      <c r="A2932" s="49"/>
      <c r="B2932" s="49"/>
    </row>
    <row r="2933" spans="1:2">
      <c r="A2933" s="49"/>
      <c r="B2933" s="49"/>
    </row>
    <row r="2934" spans="1:2">
      <c r="A2934" s="49"/>
      <c r="B2934" s="49"/>
    </row>
    <row r="2935" spans="1:2">
      <c r="A2935" s="49"/>
      <c r="B2935" s="49"/>
    </row>
    <row r="2936" spans="1:2">
      <c r="A2936" s="49"/>
      <c r="B2936" s="49"/>
    </row>
    <row r="2937" spans="1:2">
      <c r="A2937" s="49"/>
      <c r="B2937" s="49"/>
    </row>
    <row r="2938" spans="1:2">
      <c r="A2938" s="49"/>
      <c r="B2938" s="49"/>
    </row>
    <row r="2939" spans="1:2">
      <c r="A2939" s="49"/>
      <c r="B2939" s="49"/>
    </row>
    <row r="2940" spans="1:2">
      <c r="A2940" s="49"/>
      <c r="B2940" s="49"/>
    </row>
    <row r="2941" spans="1:2">
      <c r="A2941" s="49"/>
      <c r="B2941" s="49"/>
    </row>
    <row r="2942" spans="1:2">
      <c r="A2942" s="49"/>
      <c r="B2942" s="49"/>
    </row>
    <row r="2943" spans="1:2">
      <c r="A2943" s="49"/>
      <c r="B2943" s="49"/>
    </row>
    <row r="2944" spans="1:2">
      <c r="A2944" s="49"/>
      <c r="B2944" s="49"/>
    </row>
    <row r="2945" spans="1:2">
      <c r="A2945" s="49"/>
      <c r="B2945" s="49"/>
    </row>
    <row r="2946" spans="1:2">
      <c r="A2946" s="49"/>
      <c r="B2946" s="49"/>
    </row>
    <row r="2947" spans="1:2">
      <c r="A2947" s="49"/>
      <c r="B2947" s="49"/>
    </row>
    <row r="2948" spans="1:2">
      <c r="A2948" s="49"/>
      <c r="B2948" s="49"/>
    </row>
    <row r="2949" spans="1:2">
      <c r="A2949" s="49"/>
      <c r="B2949" s="49"/>
    </row>
    <row r="2950" spans="1:2">
      <c r="A2950" s="49"/>
      <c r="B2950" s="49"/>
    </row>
    <row r="2951" spans="1:2">
      <c r="A2951" s="49"/>
      <c r="B2951" s="49"/>
    </row>
    <row r="2952" spans="1:2">
      <c r="A2952" s="49"/>
      <c r="B2952" s="49"/>
    </row>
    <row r="2953" spans="1:2">
      <c r="A2953" s="49"/>
      <c r="B2953" s="49"/>
    </row>
    <row r="2954" spans="1:2">
      <c r="A2954" s="49"/>
      <c r="B2954" s="49"/>
    </row>
    <row r="2955" spans="1:2">
      <c r="A2955" s="49"/>
      <c r="B2955" s="49"/>
    </row>
    <row r="2956" spans="1:2">
      <c r="A2956" s="49"/>
      <c r="B2956" s="49"/>
    </row>
    <row r="2957" spans="1:2">
      <c r="A2957" s="49"/>
      <c r="B2957" s="49"/>
    </row>
    <row r="2958" spans="1:2">
      <c r="A2958" s="49"/>
      <c r="B2958" s="49"/>
    </row>
    <row r="2959" spans="1:2">
      <c r="A2959" s="49"/>
      <c r="B2959" s="49"/>
    </row>
    <row r="2960" spans="1:2">
      <c r="A2960" s="49"/>
      <c r="B2960" s="49"/>
    </row>
    <row r="2961" spans="1:2">
      <c r="A2961" s="49"/>
      <c r="B2961" s="49"/>
    </row>
    <row r="2962" spans="1:2">
      <c r="A2962" s="49"/>
      <c r="B2962" s="49"/>
    </row>
    <row r="2963" spans="1:2">
      <c r="A2963" s="49"/>
      <c r="B2963" s="49"/>
    </row>
    <row r="2964" spans="1:2">
      <c r="A2964" s="49"/>
      <c r="B2964" s="49"/>
    </row>
    <row r="2965" spans="1:2">
      <c r="A2965" s="49"/>
      <c r="B2965" s="49"/>
    </row>
    <row r="2966" spans="1:2">
      <c r="A2966" s="49"/>
      <c r="B2966" s="49"/>
    </row>
    <row r="2967" spans="1:2">
      <c r="A2967" s="49"/>
      <c r="B2967" s="49"/>
    </row>
    <row r="2968" spans="1:2">
      <c r="A2968" s="49"/>
      <c r="B2968" s="49"/>
    </row>
    <row r="2969" spans="1:2">
      <c r="A2969" s="49"/>
      <c r="B2969" s="49"/>
    </row>
    <row r="2970" spans="1:2">
      <c r="A2970" s="49"/>
      <c r="B2970" s="49"/>
    </row>
    <row r="2971" spans="1:2">
      <c r="A2971" s="49"/>
      <c r="B2971" s="49"/>
    </row>
    <row r="2972" spans="1:2">
      <c r="A2972" s="49"/>
      <c r="B2972" s="49"/>
    </row>
    <row r="2973" spans="1:2">
      <c r="A2973" s="49"/>
      <c r="B2973" s="49"/>
    </row>
    <row r="2974" spans="1:2">
      <c r="A2974" s="49"/>
      <c r="B2974" s="49"/>
    </row>
    <row r="2975" spans="1:2">
      <c r="A2975" s="49"/>
      <c r="B2975" s="49"/>
    </row>
    <row r="2976" spans="1:2">
      <c r="A2976" s="49"/>
      <c r="B2976" s="49"/>
    </row>
    <row r="2977" spans="1:2">
      <c r="A2977" s="49"/>
      <c r="B2977" s="49"/>
    </row>
    <row r="2978" spans="1:2">
      <c r="A2978" s="49"/>
      <c r="B2978" s="49"/>
    </row>
    <row r="2979" spans="1:2">
      <c r="A2979" s="49"/>
      <c r="B2979" s="49"/>
    </row>
    <row r="2980" spans="1:2">
      <c r="A2980" s="49"/>
      <c r="B2980" s="49"/>
    </row>
    <row r="2981" spans="1:2">
      <c r="A2981" s="49"/>
      <c r="B2981" s="49"/>
    </row>
    <row r="2982" spans="1:2">
      <c r="A2982" s="49"/>
      <c r="B2982" s="49"/>
    </row>
    <row r="2983" spans="1:2">
      <c r="A2983" s="49"/>
      <c r="B2983" s="49"/>
    </row>
    <row r="2984" spans="1:2">
      <c r="A2984" s="49"/>
      <c r="B2984" s="49"/>
    </row>
    <row r="2985" spans="1:2">
      <c r="A2985" s="49"/>
      <c r="B2985" s="49"/>
    </row>
    <row r="2986" spans="1:2">
      <c r="A2986" s="49"/>
      <c r="B2986" s="49"/>
    </row>
    <row r="2987" spans="1:2">
      <c r="A2987" s="49"/>
      <c r="B2987" s="49"/>
    </row>
    <row r="2988" spans="1:2">
      <c r="A2988" s="49"/>
      <c r="B2988" s="49"/>
    </row>
    <row r="2989" spans="1:2">
      <c r="A2989" s="49"/>
      <c r="B2989" s="49"/>
    </row>
    <row r="2990" spans="1:2">
      <c r="A2990" s="49"/>
      <c r="B2990" s="49"/>
    </row>
    <row r="2991" spans="1:2">
      <c r="A2991" s="49"/>
      <c r="B2991" s="49"/>
    </row>
    <row r="2992" spans="1:2">
      <c r="A2992" s="49"/>
      <c r="B2992" s="49"/>
    </row>
    <row r="2993" spans="1:2">
      <c r="A2993" s="49"/>
      <c r="B2993" s="49"/>
    </row>
    <row r="2994" spans="1:2">
      <c r="A2994" s="49"/>
      <c r="B2994" s="49"/>
    </row>
    <row r="2995" spans="1:2">
      <c r="A2995" s="49"/>
      <c r="B2995" s="49"/>
    </row>
    <row r="2996" spans="1:2">
      <c r="A2996" s="49"/>
      <c r="B2996" s="49"/>
    </row>
    <row r="2997" spans="1:2">
      <c r="A2997" s="49"/>
      <c r="B2997" s="49"/>
    </row>
    <row r="2998" spans="1:2">
      <c r="A2998" s="49"/>
      <c r="B2998" s="49"/>
    </row>
    <row r="2999" spans="1:2">
      <c r="A2999" s="49"/>
      <c r="B2999" s="49"/>
    </row>
    <row r="3000" spans="1:2">
      <c r="A3000" s="49"/>
      <c r="B3000" s="49"/>
    </row>
    <row r="3001" spans="1:2">
      <c r="A3001" s="49"/>
      <c r="B3001" s="49"/>
    </row>
    <row r="3002" spans="1:2">
      <c r="A3002" s="49"/>
      <c r="B3002" s="49"/>
    </row>
    <row r="3003" spans="1:2">
      <c r="A3003" s="49"/>
      <c r="B3003" s="49"/>
    </row>
    <row r="3004" spans="1:2">
      <c r="A3004" s="49"/>
      <c r="B3004" s="49"/>
    </row>
    <row r="3005" spans="1:2">
      <c r="A3005" s="49"/>
      <c r="B3005" s="49"/>
    </row>
    <row r="3006" spans="1:2">
      <c r="A3006" s="49"/>
      <c r="B3006" s="49"/>
    </row>
    <row r="3007" spans="1:2">
      <c r="A3007" s="49"/>
      <c r="B3007" s="49"/>
    </row>
    <row r="3008" spans="1:2">
      <c r="A3008" s="49"/>
      <c r="B3008" s="49"/>
    </row>
    <row r="3009" spans="1:2">
      <c r="A3009" s="49"/>
      <c r="B3009" s="49"/>
    </row>
    <row r="3010" spans="1:2">
      <c r="A3010" s="49"/>
      <c r="B3010" s="49"/>
    </row>
    <row r="3011" spans="1:2">
      <c r="A3011" s="49"/>
      <c r="B3011" s="49"/>
    </row>
    <row r="3012" spans="1:2">
      <c r="A3012" s="49"/>
      <c r="B3012" s="49"/>
    </row>
    <row r="3013" spans="1:2">
      <c r="A3013" s="49"/>
      <c r="B3013" s="49"/>
    </row>
    <row r="3014" spans="1:2">
      <c r="A3014" s="49"/>
      <c r="B3014" s="49"/>
    </row>
    <row r="3015" spans="1:2">
      <c r="A3015" s="49"/>
      <c r="B3015" s="49"/>
    </row>
    <row r="3016" spans="1:2">
      <c r="A3016" s="49"/>
      <c r="B3016" s="49"/>
    </row>
    <row r="3017" spans="1:2">
      <c r="A3017" s="49"/>
      <c r="B3017" s="49"/>
    </row>
    <row r="3018" spans="1:2">
      <c r="A3018" s="49"/>
      <c r="B3018" s="49"/>
    </row>
    <row r="3019" spans="1:2">
      <c r="A3019" s="49"/>
      <c r="B3019" s="49"/>
    </row>
    <row r="3020" spans="1:2">
      <c r="A3020" s="49"/>
      <c r="B3020" s="49"/>
    </row>
    <row r="3021" spans="1:2">
      <c r="A3021" s="49"/>
      <c r="B3021" s="49"/>
    </row>
    <row r="3022" spans="1:2">
      <c r="A3022" s="49"/>
      <c r="B3022" s="49"/>
    </row>
    <row r="3023" spans="1:2">
      <c r="A3023" s="49"/>
      <c r="B3023" s="49"/>
    </row>
    <row r="3024" spans="1:2">
      <c r="A3024" s="49"/>
      <c r="B3024" s="49"/>
    </row>
    <row r="3025" spans="1:2">
      <c r="A3025" s="49"/>
      <c r="B3025" s="49"/>
    </row>
    <row r="3026" spans="1:2">
      <c r="A3026" s="49"/>
      <c r="B3026" s="49"/>
    </row>
    <row r="3027" spans="1:2">
      <c r="A3027" s="49"/>
      <c r="B3027" s="49"/>
    </row>
    <row r="3028" spans="1:2">
      <c r="A3028" s="49"/>
      <c r="B3028" s="49"/>
    </row>
    <row r="3029" spans="1:2">
      <c r="A3029" s="49"/>
      <c r="B3029" s="49"/>
    </row>
    <row r="3030" spans="1:2">
      <c r="A3030" s="49"/>
      <c r="B3030" s="49"/>
    </row>
    <row r="3031" spans="1:2">
      <c r="A3031" s="49"/>
      <c r="B3031" s="49"/>
    </row>
    <row r="3032" spans="1:2">
      <c r="A3032" s="49"/>
      <c r="B3032" s="49"/>
    </row>
    <row r="3033" spans="1:2">
      <c r="A3033" s="49"/>
      <c r="B3033" s="49"/>
    </row>
    <row r="3034" spans="1:2">
      <c r="A3034" s="49"/>
      <c r="B3034" s="49"/>
    </row>
    <row r="3035" spans="1:2">
      <c r="A3035" s="49"/>
      <c r="B3035" s="49"/>
    </row>
    <row r="3036" spans="1:2">
      <c r="A3036" s="49"/>
      <c r="B3036" s="49"/>
    </row>
    <row r="3037" spans="1:2">
      <c r="A3037" s="49"/>
      <c r="B3037" s="49"/>
    </row>
    <row r="3038" spans="1:2">
      <c r="A3038" s="49"/>
      <c r="B3038" s="49"/>
    </row>
    <row r="3039" spans="1:2">
      <c r="A3039" s="49"/>
      <c r="B3039" s="49"/>
    </row>
    <row r="3040" spans="1:2">
      <c r="A3040" s="49"/>
      <c r="B3040" s="49"/>
    </row>
    <row r="3041" spans="1:2">
      <c r="A3041" s="49"/>
      <c r="B3041" s="49"/>
    </row>
    <row r="3042" spans="1:2">
      <c r="A3042" s="49"/>
      <c r="B3042" s="49"/>
    </row>
    <row r="3043" spans="1:2">
      <c r="A3043" s="49"/>
      <c r="B3043" s="49"/>
    </row>
    <row r="3044" spans="1:2">
      <c r="A3044" s="49"/>
      <c r="B3044" s="49"/>
    </row>
    <row r="3045" spans="1:2">
      <c r="A3045" s="49"/>
      <c r="B3045" s="49"/>
    </row>
    <row r="3046" spans="1:2">
      <c r="A3046" s="49"/>
      <c r="B3046" s="49"/>
    </row>
    <row r="3047" spans="1:2">
      <c r="A3047" s="49"/>
      <c r="B3047" s="49"/>
    </row>
    <row r="3048" spans="1:2">
      <c r="A3048" s="49"/>
      <c r="B3048" s="49"/>
    </row>
    <row r="3049" spans="1:2">
      <c r="A3049" s="49"/>
      <c r="B3049" s="49"/>
    </row>
    <row r="3050" spans="1:2">
      <c r="A3050" s="49"/>
      <c r="B3050" s="49"/>
    </row>
    <row r="3051" spans="1:2">
      <c r="A3051" s="49"/>
      <c r="B3051" s="49"/>
    </row>
    <row r="3052" spans="1:2">
      <c r="A3052" s="49"/>
      <c r="B3052" s="49"/>
    </row>
    <row r="3053" spans="1:2">
      <c r="A3053" s="49"/>
      <c r="B3053" s="49"/>
    </row>
    <row r="3054" spans="1:2">
      <c r="A3054" s="49"/>
      <c r="B3054" s="49"/>
    </row>
    <row r="3055" spans="1:2">
      <c r="A3055" s="49"/>
      <c r="B3055" s="49"/>
    </row>
    <row r="3056" spans="1:2">
      <c r="A3056" s="49"/>
      <c r="B3056" s="49"/>
    </row>
    <row r="3057" spans="1:2">
      <c r="A3057" s="49"/>
      <c r="B3057" s="49"/>
    </row>
    <row r="3058" spans="1:2">
      <c r="A3058" s="49"/>
      <c r="B3058" s="49"/>
    </row>
    <row r="3059" spans="1:2">
      <c r="A3059" s="49"/>
      <c r="B3059" s="49"/>
    </row>
    <row r="3060" spans="1:2">
      <c r="A3060" s="49"/>
      <c r="B3060" s="49"/>
    </row>
    <row r="3061" spans="1:2">
      <c r="A3061" s="49"/>
      <c r="B3061" s="49"/>
    </row>
    <row r="3062" spans="1:2">
      <c r="A3062" s="49"/>
      <c r="B3062" s="49"/>
    </row>
    <row r="3063" spans="1:2">
      <c r="A3063" s="49"/>
      <c r="B3063" s="49"/>
    </row>
    <row r="3064" spans="1:2">
      <c r="A3064" s="49"/>
      <c r="B3064" s="49"/>
    </row>
    <row r="3065" spans="1:2">
      <c r="A3065" s="49"/>
      <c r="B3065" s="49"/>
    </row>
    <row r="3066" spans="1:2">
      <c r="A3066" s="49"/>
      <c r="B3066" s="49"/>
    </row>
    <row r="3067" spans="1:2">
      <c r="A3067" s="49"/>
      <c r="B3067" s="49"/>
    </row>
    <row r="3068" spans="1:2">
      <c r="A3068" s="49"/>
      <c r="B3068" s="49"/>
    </row>
    <row r="3069" spans="1:2">
      <c r="A3069" s="49"/>
      <c r="B3069" s="49"/>
    </row>
    <row r="3070" spans="1:2">
      <c r="A3070" s="49"/>
      <c r="B3070" s="49"/>
    </row>
    <row r="3071" spans="1:2">
      <c r="A3071" s="49"/>
      <c r="B3071" s="49"/>
    </row>
    <row r="3072" spans="1:2">
      <c r="A3072" s="49"/>
      <c r="B3072" s="49"/>
    </row>
    <row r="3073" spans="1:2">
      <c r="A3073" s="49"/>
      <c r="B3073" s="49"/>
    </row>
    <row r="3074" spans="1:2">
      <c r="A3074" s="49"/>
      <c r="B3074" s="49"/>
    </row>
    <row r="3075" spans="1:2">
      <c r="A3075" s="49"/>
      <c r="B3075" s="49"/>
    </row>
    <row r="3076" spans="1:2">
      <c r="A3076" s="49"/>
      <c r="B3076" s="49"/>
    </row>
    <row r="3077" spans="1:2">
      <c r="A3077" s="49"/>
      <c r="B3077" s="49"/>
    </row>
    <row r="3078" spans="1:2">
      <c r="A3078" s="49"/>
      <c r="B3078" s="49"/>
    </row>
    <row r="3079" spans="1:2">
      <c r="A3079" s="49"/>
      <c r="B3079" s="49"/>
    </row>
    <row r="3080" spans="1:2">
      <c r="A3080" s="49"/>
      <c r="B3080" s="49"/>
    </row>
    <row r="3081" spans="1:2">
      <c r="A3081" s="49"/>
      <c r="B3081" s="49"/>
    </row>
    <row r="3082" spans="1:2">
      <c r="A3082" s="49"/>
      <c r="B3082" s="49"/>
    </row>
    <row r="3083" spans="1:2">
      <c r="A3083" s="49"/>
      <c r="B3083" s="49"/>
    </row>
    <row r="3084" spans="1:2">
      <c r="A3084" s="49"/>
      <c r="B3084" s="49"/>
    </row>
    <row r="3085" spans="1:2">
      <c r="A3085" s="49"/>
      <c r="B3085" s="49"/>
    </row>
    <row r="3086" spans="1:2">
      <c r="A3086" s="49"/>
      <c r="B3086" s="49"/>
    </row>
    <row r="3087" spans="1:2">
      <c r="A3087" s="49"/>
      <c r="B3087" s="49"/>
    </row>
    <row r="3088" spans="1:2">
      <c r="A3088" s="49"/>
      <c r="B3088" s="49"/>
    </row>
    <row r="3089" spans="1:2">
      <c r="A3089" s="49"/>
      <c r="B3089" s="49"/>
    </row>
    <row r="3090" spans="1:2">
      <c r="A3090" s="49"/>
      <c r="B3090" s="49"/>
    </row>
    <row r="3091" spans="1:2">
      <c r="A3091" s="49"/>
      <c r="B3091" s="49"/>
    </row>
    <row r="3092" spans="1:2">
      <c r="A3092" s="49"/>
      <c r="B3092" s="49"/>
    </row>
    <row r="3093" spans="1:2">
      <c r="A3093" s="49"/>
      <c r="B3093" s="49"/>
    </row>
    <row r="3094" spans="1:2">
      <c r="A3094" s="49"/>
      <c r="B3094" s="49"/>
    </row>
    <row r="3095" spans="1:2">
      <c r="A3095" s="49"/>
      <c r="B3095" s="49"/>
    </row>
    <row r="3096" spans="1:2">
      <c r="A3096" s="49"/>
      <c r="B3096" s="49"/>
    </row>
    <row r="3097" spans="1:2">
      <c r="A3097" s="49"/>
      <c r="B3097" s="49"/>
    </row>
    <row r="3098" spans="1:2">
      <c r="A3098" s="49"/>
      <c r="B3098" s="49"/>
    </row>
    <row r="3099" spans="1:2">
      <c r="A3099" s="49"/>
      <c r="B3099" s="49"/>
    </row>
    <row r="3100" spans="1:2">
      <c r="A3100" s="49"/>
      <c r="B3100" s="49"/>
    </row>
    <row r="3101" spans="1:2">
      <c r="A3101" s="49"/>
      <c r="B3101" s="49"/>
    </row>
    <row r="3102" spans="1:2">
      <c r="A3102" s="49"/>
      <c r="B3102" s="49"/>
    </row>
    <row r="3103" spans="1:2">
      <c r="A3103" s="49"/>
      <c r="B3103" s="49"/>
    </row>
    <row r="3104" spans="1:2">
      <c r="A3104" s="49"/>
      <c r="B3104" s="49"/>
    </row>
    <row r="3105" spans="1:2">
      <c r="A3105" s="49"/>
      <c r="B3105" s="49"/>
    </row>
    <row r="3106" spans="1:2">
      <c r="A3106" s="49"/>
      <c r="B3106" s="49"/>
    </row>
    <row r="3107" spans="1:2">
      <c r="A3107" s="49"/>
      <c r="B3107" s="49"/>
    </row>
    <row r="3108" spans="1:2">
      <c r="A3108" s="49"/>
      <c r="B3108" s="49"/>
    </row>
    <row r="3109" spans="1:2">
      <c r="A3109" s="49"/>
      <c r="B3109" s="49"/>
    </row>
    <row r="3110" spans="1:2">
      <c r="A3110" s="49"/>
      <c r="B3110" s="49"/>
    </row>
    <row r="3111" spans="1:2">
      <c r="A3111" s="49"/>
      <c r="B3111" s="49"/>
    </row>
    <row r="3112" spans="1:2">
      <c r="A3112" s="49"/>
      <c r="B3112" s="49"/>
    </row>
    <row r="3113" spans="1:2">
      <c r="A3113" s="49"/>
      <c r="B3113" s="49"/>
    </row>
    <row r="3114" spans="1:2">
      <c r="A3114" s="49"/>
      <c r="B3114" s="49"/>
    </row>
    <row r="3115" spans="1:2">
      <c r="A3115" s="49"/>
      <c r="B3115" s="49"/>
    </row>
    <row r="3116" spans="1:2">
      <c r="A3116" s="49"/>
      <c r="B3116" s="49"/>
    </row>
    <row r="3117" spans="1:2">
      <c r="A3117" s="49"/>
      <c r="B3117" s="49"/>
    </row>
    <row r="3118" spans="1:2">
      <c r="A3118" s="49"/>
      <c r="B3118" s="49"/>
    </row>
    <row r="3119" spans="1:2">
      <c r="A3119" s="49"/>
      <c r="B3119" s="49"/>
    </row>
    <row r="3120" spans="1:2">
      <c r="A3120" s="49"/>
      <c r="B3120" s="49"/>
    </row>
    <row r="3121" spans="1:2">
      <c r="A3121" s="49"/>
      <c r="B3121" s="49"/>
    </row>
    <row r="3122" spans="1:2">
      <c r="A3122" s="49"/>
      <c r="B3122" s="49"/>
    </row>
    <row r="3123" spans="1:2">
      <c r="A3123" s="49"/>
      <c r="B3123" s="49"/>
    </row>
    <row r="3124" spans="1:2">
      <c r="A3124" s="49"/>
      <c r="B3124" s="49"/>
    </row>
    <row r="3125" spans="1:2">
      <c r="A3125" s="49"/>
      <c r="B3125" s="49"/>
    </row>
    <row r="3126" spans="1:2">
      <c r="A3126" s="49"/>
      <c r="B3126" s="49"/>
    </row>
    <row r="3127" spans="1:2">
      <c r="A3127" s="49"/>
      <c r="B3127" s="49"/>
    </row>
    <row r="3128" spans="1:2">
      <c r="A3128" s="49"/>
      <c r="B3128" s="49"/>
    </row>
    <row r="3129" spans="1:2">
      <c r="A3129" s="49"/>
      <c r="B3129" s="49"/>
    </row>
    <row r="3130" spans="1:2">
      <c r="A3130" s="49"/>
      <c r="B3130" s="49"/>
    </row>
    <row r="3131" spans="1:2">
      <c r="A3131" s="49"/>
      <c r="B3131" s="49"/>
    </row>
    <row r="3132" spans="1:2">
      <c r="A3132" s="49"/>
      <c r="B3132" s="49"/>
    </row>
    <row r="3133" spans="1:2">
      <c r="A3133" s="49"/>
      <c r="B3133" s="49"/>
    </row>
    <row r="3134" spans="1:2">
      <c r="A3134" s="49"/>
      <c r="B3134" s="49"/>
    </row>
    <row r="3135" spans="1:2">
      <c r="A3135" s="49"/>
      <c r="B3135" s="49"/>
    </row>
    <row r="3136" spans="1:2">
      <c r="A3136" s="49"/>
      <c r="B3136" s="49"/>
    </row>
    <row r="3137" spans="1:2">
      <c r="A3137" s="49"/>
      <c r="B3137" s="49"/>
    </row>
    <row r="3138" spans="1:2">
      <c r="A3138" s="49"/>
      <c r="B3138" s="49"/>
    </row>
    <row r="3139" spans="1:2">
      <c r="A3139" s="49"/>
      <c r="B3139" s="49"/>
    </row>
    <row r="3140" spans="1:2">
      <c r="A3140" s="49"/>
      <c r="B3140" s="49"/>
    </row>
    <row r="3141" spans="1:2">
      <c r="A3141" s="49"/>
      <c r="B3141" s="49"/>
    </row>
    <row r="3142" spans="1:2">
      <c r="A3142" s="49"/>
      <c r="B3142" s="49"/>
    </row>
    <row r="3143" spans="1:2">
      <c r="A3143" s="49"/>
      <c r="B3143" s="49"/>
    </row>
    <row r="3144" spans="1:2">
      <c r="A3144" s="49"/>
      <c r="B3144" s="49"/>
    </row>
    <row r="3145" spans="1:2">
      <c r="A3145" s="49"/>
      <c r="B3145" s="49"/>
    </row>
    <row r="3146" spans="1:2">
      <c r="A3146" s="49"/>
      <c r="B3146" s="49"/>
    </row>
    <row r="3147" spans="1:2">
      <c r="A3147" s="49"/>
      <c r="B3147" s="49"/>
    </row>
    <row r="3148" spans="1:2">
      <c r="A3148" s="49"/>
      <c r="B3148" s="49"/>
    </row>
    <row r="3149" spans="1:2">
      <c r="A3149" s="49"/>
      <c r="B3149" s="49"/>
    </row>
    <row r="3150" spans="1:2">
      <c r="A3150" s="49"/>
      <c r="B3150" s="49"/>
    </row>
    <row r="3151" spans="1:2">
      <c r="A3151" s="49"/>
      <c r="B3151" s="49"/>
    </row>
    <row r="3152" spans="1:2">
      <c r="A3152" s="49"/>
      <c r="B3152" s="49"/>
    </row>
    <row r="3153" spans="1:2">
      <c r="A3153" s="49"/>
      <c r="B3153" s="49"/>
    </row>
    <row r="3154" spans="1:2">
      <c r="A3154" s="49"/>
      <c r="B3154" s="49"/>
    </row>
    <row r="3155" spans="1:2">
      <c r="A3155" s="49"/>
      <c r="B3155" s="49"/>
    </row>
    <row r="3156" spans="1:2">
      <c r="A3156" s="49"/>
      <c r="B3156" s="49"/>
    </row>
    <row r="3157" spans="1:2">
      <c r="A3157" s="49"/>
      <c r="B3157" s="49"/>
    </row>
    <row r="3158" spans="1:2">
      <c r="A3158" s="49"/>
      <c r="B3158" s="49"/>
    </row>
    <row r="3159" spans="1:2">
      <c r="A3159" s="49"/>
      <c r="B3159" s="49"/>
    </row>
    <row r="3160" spans="1:2">
      <c r="A3160" s="49"/>
      <c r="B3160" s="49"/>
    </row>
    <row r="3161" spans="1:2">
      <c r="A3161" s="49"/>
      <c r="B3161" s="49"/>
    </row>
    <row r="3162" spans="1:2">
      <c r="A3162" s="49"/>
      <c r="B3162" s="49"/>
    </row>
    <row r="3163" spans="1:2">
      <c r="A3163" s="49"/>
      <c r="B3163" s="49"/>
    </row>
    <row r="3164" spans="1:2">
      <c r="A3164" s="49"/>
      <c r="B3164" s="49"/>
    </row>
    <row r="3165" spans="1:2">
      <c r="A3165" s="49"/>
      <c r="B3165" s="49"/>
    </row>
    <row r="3166" spans="1:2">
      <c r="A3166" s="49"/>
      <c r="B3166" s="49"/>
    </row>
    <row r="3167" spans="1:2">
      <c r="A3167" s="49"/>
      <c r="B3167" s="49"/>
    </row>
    <row r="3168" spans="1:2">
      <c r="A3168" s="49"/>
      <c r="B3168" s="49"/>
    </row>
    <row r="3169" spans="1:2">
      <c r="A3169" s="49"/>
      <c r="B3169" s="49"/>
    </row>
    <row r="3170" spans="1:2">
      <c r="A3170" s="49"/>
      <c r="B3170" s="49"/>
    </row>
    <row r="3171" spans="1:2">
      <c r="A3171" s="49"/>
      <c r="B3171" s="49"/>
    </row>
    <row r="3172" spans="1:2">
      <c r="A3172" s="49"/>
      <c r="B3172" s="49"/>
    </row>
    <row r="3173" spans="1:2">
      <c r="A3173" s="49"/>
      <c r="B3173" s="49"/>
    </row>
    <row r="3174" spans="1:2">
      <c r="A3174" s="49"/>
      <c r="B3174" s="49"/>
    </row>
    <row r="3175" spans="1:2">
      <c r="A3175" s="49"/>
      <c r="B3175" s="49"/>
    </row>
    <row r="3176" spans="1:2">
      <c r="A3176" s="49"/>
      <c r="B3176" s="49"/>
    </row>
    <row r="3177" spans="1:2">
      <c r="A3177" s="49"/>
      <c r="B3177" s="49"/>
    </row>
    <row r="3178" spans="1:2">
      <c r="A3178" s="49"/>
      <c r="B3178" s="49"/>
    </row>
    <row r="3179" spans="1:2">
      <c r="A3179" s="49"/>
      <c r="B3179" s="49"/>
    </row>
    <row r="3180" spans="1:2">
      <c r="A3180" s="49"/>
      <c r="B3180" s="49"/>
    </row>
    <row r="3181" spans="1:2">
      <c r="A3181" s="49"/>
      <c r="B3181" s="49"/>
    </row>
    <row r="3182" spans="1:2">
      <c r="A3182" s="49"/>
      <c r="B3182" s="49"/>
    </row>
    <row r="3183" spans="1:2">
      <c r="A3183" s="49"/>
      <c r="B3183" s="49"/>
    </row>
    <row r="3184" spans="1:2">
      <c r="A3184" s="49"/>
      <c r="B3184" s="49"/>
    </row>
    <row r="3185" spans="1:2">
      <c r="A3185" s="49"/>
      <c r="B3185" s="49"/>
    </row>
    <row r="3186" spans="1:2">
      <c r="A3186" s="49"/>
      <c r="B3186" s="49"/>
    </row>
    <row r="3187" spans="1:2">
      <c r="A3187" s="49"/>
      <c r="B3187" s="49"/>
    </row>
    <row r="3188" spans="1:2">
      <c r="A3188" s="49"/>
      <c r="B3188" s="49"/>
    </row>
    <row r="3189" spans="1:2">
      <c r="A3189" s="49"/>
      <c r="B3189" s="49"/>
    </row>
    <row r="3190" spans="1:2">
      <c r="A3190" s="49"/>
      <c r="B3190" s="49"/>
    </row>
    <row r="3191" spans="1:2">
      <c r="A3191" s="49"/>
      <c r="B3191" s="49"/>
    </row>
    <row r="3192" spans="1:2">
      <c r="A3192" s="49"/>
      <c r="B3192" s="49"/>
    </row>
    <row r="3193" spans="1:2">
      <c r="A3193" s="49"/>
      <c r="B3193" s="49"/>
    </row>
    <row r="3194" spans="1:2">
      <c r="A3194" s="49"/>
      <c r="B3194" s="49"/>
    </row>
    <row r="3195" spans="1:2">
      <c r="A3195" s="49"/>
      <c r="B3195" s="49"/>
    </row>
    <row r="3196" spans="1:2">
      <c r="A3196" s="49"/>
      <c r="B3196" s="49"/>
    </row>
    <row r="3197" spans="1:2">
      <c r="A3197" s="49"/>
      <c r="B3197" s="49"/>
    </row>
    <row r="3198" spans="1:2">
      <c r="A3198" s="49"/>
      <c r="B3198" s="49"/>
    </row>
    <row r="3199" spans="1:2">
      <c r="A3199" s="49"/>
      <c r="B3199" s="49"/>
    </row>
    <row r="3200" spans="1:2">
      <c r="A3200" s="49"/>
      <c r="B3200" s="49"/>
    </row>
    <row r="3201" spans="1:2">
      <c r="A3201" s="49"/>
      <c r="B3201" s="49"/>
    </row>
    <row r="3202" spans="1:2">
      <c r="A3202" s="49"/>
      <c r="B3202" s="49"/>
    </row>
    <row r="3203" spans="1:2">
      <c r="A3203" s="49"/>
      <c r="B3203" s="49"/>
    </row>
    <row r="3204" spans="1:2">
      <c r="A3204" s="49"/>
      <c r="B3204" s="49"/>
    </row>
    <row r="3205" spans="1:2">
      <c r="A3205" s="49"/>
      <c r="B3205" s="49"/>
    </row>
    <row r="3206" spans="1:2">
      <c r="A3206" s="49"/>
      <c r="B3206" s="49"/>
    </row>
    <row r="3207" spans="1:2">
      <c r="A3207" s="49"/>
      <c r="B3207" s="49"/>
    </row>
    <row r="3208" spans="1:2">
      <c r="A3208" s="49"/>
      <c r="B3208" s="49"/>
    </row>
    <row r="3209" spans="1:2">
      <c r="A3209" s="49"/>
      <c r="B3209" s="49"/>
    </row>
    <row r="3210" spans="1:2">
      <c r="A3210" s="49"/>
      <c r="B3210" s="49"/>
    </row>
    <row r="3211" spans="1:2">
      <c r="A3211" s="49"/>
      <c r="B3211" s="49"/>
    </row>
    <row r="3212" spans="1:2">
      <c r="A3212" s="49"/>
      <c r="B3212" s="49"/>
    </row>
    <row r="3213" spans="1:2">
      <c r="A3213" s="49"/>
      <c r="B3213" s="49"/>
    </row>
    <row r="3214" spans="1:2">
      <c r="A3214" s="49"/>
      <c r="B3214" s="49"/>
    </row>
    <row r="3215" spans="1:2">
      <c r="A3215" s="49"/>
      <c r="B3215" s="49"/>
    </row>
    <row r="3216" spans="1:2">
      <c r="A3216" s="49"/>
      <c r="B3216" s="49"/>
    </row>
    <row r="3217" spans="1:2">
      <c r="A3217" s="49"/>
      <c r="B3217" s="49"/>
    </row>
    <row r="3218" spans="1:2">
      <c r="A3218" s="49"/>
      <c r="B3218" s="49"/>
    </row>
    <row r="3219" spans="1:2">
      <c r="A3219" s="49"/>
      <c r="B3219" s="49"/>
    </row>
    <row r="3220" spans="1:2">
      <c r="A3220" s="49"/>
      <c r="B3220" s="49"/>
    </row>
    <row r="3221" spans="1:2">
      <c r="A3221" s="49"/>
      <c r="B3221" s="49"/>
    </row>
    <row r="3222" spans="1:2">
      <c r="A3222" s="49"/>
      <c r="B3222" s="49"/>
    </row>
    <row r="3223" spans="1:2">
      <c r="A3223" s="49"/>
      <c r="B3223" s="49"/>
    </row>
    <row r="3224" spans="1:2">
      <c r="A3224" s="49"/>
      <c r="B3224" s="49"/>
    </row>
    <row r="3225" spans="1:2">
      <c r="A3225" s="49"/>
      <c r="B3225" s="49"/>
    </row>
    <row r="3226" spans="1:2">
      <c r="A3226" s="49"/>
      <c r="B3226" s="49"/>
    </row>
    <row r="3227" spans="1:2">
      <c r="A3227" s="49"/>
      <c r="B3227" s="49"/>
    </row>
    <row r="3228" spans="1:2">
      <c r="A3228" s="49"/>
      <c r="B3228" s="49"/>
    </row>
    <row r="3229" spans="1:2">
      <c r="A3229" s="49"/>
      <c r="B3229" s="49"/>
    </row>
    <row r="3230" spans="1:2">
      <c r="A3230" s="49"/>
      <c r="B3230" s="49"/>
    </row>
    <row r="3231" spans="1:2">
      <c r="A3231" s="49"/>
      <c r="B3231" s="49"/>
    </row>
    <row r="3232" spans="1:2">
      <c r="A3232" s="49"/>
      <c r="B3232" s="49"/>
    </row>
    <row r="3233" spans="1:2">
      <c r="A3233" s="49"/>
      <c r="B3233" s="49"/>
    </row>
    <row r="3234" spans="1:2">
      <c r="A3234" s="49"/>
      <c r="B3234" s="49"/>
    </row>
    <row r="3235" spans="1:2">
      <c r="A3235" s="49"/>
      <c r="B3235" s="49"/>
    </row>
    <row r="3236" spans="1:2">
      <c r="A3236" s="49"/>
      <c r="B3236" s="49"/>
    </row>
    <row r="3237" spans="1:2">
      <c r="A3237" s="49"/>
      <c r="B3237" s="49"/>
    </row>
    <row r="3238" spans="1:2">
      <c r="A3238" s="49"/>
      <c r="B3238" s="49"/>
    </row>
    <row r="3239" spans="1:2">
      <c r="A3239" s="49"/>
      <c r="B3239" s="49"/>
    </row>
    <row r="3240" spans="1:2">
      <c r="A3240" s="49"/>
      <c r="B3240" s="49"/>
    </row>
    <row r="3241" spans="1:2">
      <c r="A3241" s="49"/>
      <c r="B3241" s="49"/>
    </row>
    <row r="3242" spans="1:2">
      <c r="A3242" s="49"/>
      <c r="B3242" s="49"/>
    </row>
    <row r="3243" spans="1:2">
      <c r="A3243" s="49"/>
      <c r="B3243" s="49"/>
    </row>
    <row r="3244" spans="1:2">
      <c r="A3244" s="49"/>
      <c r="B3244" s="49"/>
    </row>
    <row r="3245" spans="1:2">
      <c r="A3245" s="49"/>
      <c r="B3245" s="49"/>
    </row>
    <row r="3246" spans="1:2">
      <c r="A3246" s="49"/>
      <c r="B3246" s="49"/>
    </row>
    <row r="3247" spans="1:2">
      <c r="A3247" s="49"/>
      <c r="B3247" s="49"/>
    </row>
    <row r="3248" spans="1:2">
      <c r="A3248" s="49"/>
      <c r="B3248" s="49"/>
    </row>
    <row r="3249" spans="1:2">
      <c r="A3249" s="49"/>
      <c r="B3249" s="49"/>
    </row>
    <row r="3250" spans="1:2">
      <c r="A3250" s="49"/>
      <c r="B3250" s="49"/>
    </row>
    <row r="3251" spans="1:2">
      <c r="A3251" s="49"/>
      <c r="B3251" s="49"/>
    </row>
    <row r="3252" spans="1:2">
      <c r="A3252" s="49"/>
      <c r="B3252" s="49"/>
    </row>
    <row r="3253" spans="1:2">
      <c r="A3253" s="49"/>
      <c r="B3253" s="49"/>
    </row>
    <row r="3254" spans="1:2">
      <c r="A3254" s="49"/>
      <c r="B3254" s="49"/>
    </row>
    <row r="3255" spans="1:2">
      <c r="A3255" s="49"/>
      <c r="B3255" s="49"/>
    </row>
    <row r="3256" spans="1:2">
      <c r="A3256" s="49"/>
      <c r="B3256" s="49"/>
    </row>
    <row r="3257" spans="1:2">
      <c r="A3257" s="49"/>
      <c r="B3257" s="49"/>
    </row>
    <row r="3258" spans="1:2">
      <c r="A3258" s="49"/>
      <c r="B3258" s="49"/>
    </row>
    <row r="3259" spans="1:2">
      <c r="A3259" s="49"/>
      <c r="B3259" s="49"/>
    </row>
    <row r="3260" spans="1:2">
      <c r="A3260" s="49"/>
      <c r="B3260" s="49"/>
    </row>
    <row r="3261" spans="1:2">
      <c r="A3261" s="49"/>
      <c r="B3261" s="49"/>
    </row>
    <row r="3262" spans="1:2">
      <c r="A3262" s="49"/>
      <c r="B3262" s="49"/>
    </row>
    <row r="3263" spans="1:2">
      <c r="A3263" s="49"/>
      <c r="B3263" s="49"/>
    </row>
    <row r="3264" spans="1:2">
      <c r="A3264" s="49"/>
      <c r="B3264" s="49"/>
    </row>
    <row r="3265" spans="1:2">
      <c r="A3265" s="49"/>
      <c r="B3265" s="49"/>
    </row>
    <row r="3266" spans="1:2">
      <c r="A3266" s="49"/>
      <c r="B3266" s="49"/>
    </row>
    <row r="3267" spans="1:2">
      <c r="A3267" s="49"/>
      <c r="B3267" s="49"/>
    </row>
    <row r="3268" spans="1:2">
      <c r="A3268" s="49"/>
      <c r="B3268" s="49"/>
    </row>
    <row r="3269" spans="1:2">
      <c r="A3269" s="49"/>
      <c r="B3269" s="49"/>
    </row>
    <row r="3270" spans="1:2">
      <c r="A3270" s="49"/>
      <c r="B3270" s="49"/>
    </row>
    <row r="3271" spans="1:2">
      <c r="A3271" s="49"/>
      <c r="B3271" s="49"/>
    </row>
    <row r="3272" spans="1:2">
      <c r="A3272" s="49"/>
      <c r="B3272" s="49"/>
    </row>
    <row r="3273" spans="1:2">
      <c r="A3273" s="49"/>
      <c r="B3273" s="49"/>
    </row>
    <row r="3274" spans="1:2">
      <c r="A3274" s="49"/>
      <c r="B3274" s="49"/>
    </row>
    <row r="3275" spans="1:2">
      <c r="A3275" s="49"/>
      <c r="B3275" s="49"/>
    </row>
    <row r="3276" spans="1:2">
      <c r="A3276" s="49"/>
      <c r="B3276" s="49"/>
    </row>
    <row r="3277" spans="1:2">
      <c r="A3277" s="49"/>
      <c r="B3277" s="49"/>
    </row>
    <row r="3278" spans="1:2">
      <c r="A3278" s="49"/>
      <c r="B3278" s="49"/>
    </row>
    <row r="3279" spans="1:2">
      <c r="A3279" s="49"/>
      <c r="B3279" s="49"/>
    </row>
    <row r="3280" spans="1:2">
      <c r="A3280" s="49"/>
      <c r="B3280" s="49"/>
    </row>
    <row r="3281" spans="1:2">
      <c r="A3281" s="49"/>
      <c r="B3281" s="49"/>
    </row>
    <row r="3282" spans="1:2">
      <c r="A3282" s="49"/>
      <c r="B3282" s="49"/>
    </row>
    <row r="3283" spans="1:2">
      <c r="A3283" s="49"/>
      <c r="B3283" s="49"/>
    </row>
    <row r="3284" spans="1:2">
      <c r="A3284" s="49"/>
      <c r="B3284" s="49"/>
    </row>
    <row r="3285" spans="1:2">
      <c r="A3285" s="49"/>
      <c r="B3285" s="49"/>
    </row>
    <row r="3286" spans="1:2">
      <c r="A3286" s="49"/>
      <c r="B3286" s="49"/>
    </row>
    <row r="3287" spans="1:2">
      <c r="A3287" s="49"/>
      <c r="B3287" s="49"/>
    </row>
    <row r="3288" spans="1:2">
      <c r="A3288" s="49"/>
      <c r="B3288" s="49"/>
    </row>
    <row r="3289" spans="1:2">
      <c r="A3289" s="49"/>
      <c r="B3289" s="49"/>
    </row>
    <row r="3290" spans="1:2">
      <c r="A3290" s="49"/>
      <c r="B3290" s="49"/>
    </row>
    <row r="3291" spans="1:2">
      <c r="A3291" s="49"/>
      <c r="B3291" s="49"/>
    </row>
    <row r="3292" spans="1:2">
      <c r="A3292" s="49"/>
      <c r="B3292" s="49"/>
    </row>
    <row r="3293" spans="1:2">
      <c r="A3293" s="49"/>
      <c r="B3293" s="49"/>
    </row>
    <row r="3294" spans="1:2">
      <c r="A3294" s="49"/>
      <c r="B3294" s="49"/>
    </row>
    <row r="3295" spans="1:2">
      <c r="A3295" s="49"/>
      <c r="B3295" s="49"/>
    </row>
    <row r="3296" spans="1:2">
      <c r="A3296" s="49"/>
      <c r="B3296" s="49"/>
    </row>
    <row r="3297" spans="1:2">
      <c r="A3297" s="49"/>
      <c r="B3297" s="49"/>
    </row>
    <row r="3298" spans="1:2">
      <c r="A3298" s="49"/>
      <c r="B3298" s="49"/>
    </row>
    <row r="3299" spans="1:2">
      <c r="A3299" s="49"/>
      <c r="B3299" s="49"/>
    </row>
    <row r="3300" spans="1:2">
      <c r="A3300" s="49"/>
      <c r="B3300" s="49"/>
    </row>
    <row r="3301" spans="1:2">
      <c r="A3301" s="49"/>
      <c r="B3301" s="49"/>
    </row>
    <row r="3302" spans="1:2">
      <c r="A3302" s="49"/>
      <c r="B3302" s="49"/>
    </row>
    <row r="3303" spans="1:2">
      <c r="A3303" s="49"/>
      <c r="B3303" s="49"/>
    </row>
    <row r="3304" spans="1:2">
      <c r="A3304" s="49"/>
      <c r="B3304" s="49"/>
    </row>
    <row r="3305" spans="1:2">
      <c r="A3305" s="49"/>
      <c r="B3305" s="49"/>
    </row>
    <row r="3306" spans="1:2">
      <c r="A3306" s="49"/>
      <c r="B3306" s="49"/>
    </row>
    <row r="3307" spans="1:2">
      <c r="A3307" s="49"/>
      <c r="B3307" s="49"/>
    </row>
    <row r="3308" spans="1:2">
      <c r="A3308" s="49"/>
      <c r="B3308" s="49"/>
    </row>
    <row r="3309" spans="1:2">
      <c r="A3309" s="49"/>
      <c r="B3309" s="49"/>
    </row>
    <row r="3310" spans="1:2">
      <c r="A3310" s="49"/>
      <c r="B3310" s="49"/>
    </row>
    <row r="3311" spans="1:2">
      <c r="A3311" s="49"/>
      <c r="B3311" s="49"/>
    </row>
    <row r="3312" spans="1:2">
      <c r="A3312" s="49"/>
      <c r="B3312" s="49"/>
    </row>
    <row r="3313" spans="1:2">
      <c r="A3313" s="49"/>
      <c r="B3313" s="49"/>
    </row>
    <row r="3314" spans="1:2">
      <c r="A3314" s="49"/>
      <c r="B3314" s="49"/>
    </row>
    <row r="3315" spans="1:2">
      <c r="A3315" s="49"/>
      <c r="B3315" s="49"/>
    </row>
    <row r="3316" spans="1:2">
      <c r="A3316" s="49"/>
      <c r="B3316" s="49"/>
    </row>
    <row r="3317" spans="1:2">
      <c r="A3317" s="49"/>
      <c r="B3317" s="49"/>
    </row>
    <row r="3318" spans="1:2">
      <c r="A3318" s="49"/>
      <c r="B3318" s="49"/>
    </row>
    <row r="3319" spans="1:2">
      <c r="A3319" s="49"/>
      <c r="B3319" s="49"/>
    </row>
    <row r="3320" spans="1:2">
      <c r="A3320" s="49"/>
      <c r="B3320" s="49"/>
    </row>
    <row r="3321" spans="1:2">
      <c r="A3321" s="49"/>
      <c r="B3321" s="49"/>
    </row>
    <row r="3322" spans="1:2">
      <c r="A3322" s="49"/>
      <c r="B3322" s="49"/>
    </row>
    <row r="3323" spans="1:2">
      <c r="A3323" s="49"/>
      <c r="B3323" s="49"/>
    </row>
    <row r="3324" spans="1:2">
      <c r="A3324" s="49"/>
      <c r="B3324" s="49"/>
    </row>
    <row r="3325" spans="1:2">
      <c r="A3325" s="49"/>
      <c r="B3325" s="49"/>
    </row>
    <row r="3326" spans="1:2">
      <c r="A3326" s="49"/>
      <c r="B3326" s="49"/>
    </row>
    <row r="3327" spans="1:2">
      <c r="A3327" s="49"/>
      <c r="B3327" s="49"/>
    </row>
    <row r="3328" spans="1:2">
      <c r="A3328" s="49"/>
      <c r="B3328" s="49"/>
    </row>
    <row r="3329" spans="1:2">
      <c r="A3329" s="49"/>
      <c r="B3329" s="49"/>
    </row>
    <row r="3330" spans="1:2">
      <c r="A3330" s="49"/>
      <c r="B3330" s="49"/>
    </row>
    <row r="3331" spans="1:2">
      <c r="A3331" s="49"/>
      <c r="B3331" s="49"/>
    </row>
    <row r="3332" spans="1:2">
      <c r="A3332" s="49"/>
      <c r="B3332" s="49"/>
    </row>
    <row r="3333" spans="1:2">
      <c r="A3333" s="49"/>
      <c r="B3333" s="49"/>
    </row>
    <row r="3334" spans="1:2">
      <c r="A3334" s="49"/>
      <c r="B3334" s="49"/>
    </row>
    <row r="3335" spans="1:2">
      <c r="A3335" s="49"/>
      <c r="B3335" s="49"/>
    </row>
    <row r="3336" spans="1:2">
      <c r="A3336" s="49"/>
      <c r="B3336" s="49"/>
    </row>
    <row r="3337" spans="1:2">
      <c r="A3337" s="49"/>
      <c r="B3337" s="49"/>
    </row>
    <row r="3338" spans="1:2">
      <c r="A3338" s="49"/>
      <c r="B3338" s="49"/>
    </row>
    <row r="3339" spans="1:2">
      <c r="A3339" s="49"/>
      <c r="B3339" s="49"/>
    </row>
    <row r="3340" spans="1:2">
      <c r="A3340" s="49"/>
      <c r="B3340" s="49"/>
    </row>
    <row r="3341" spans="1:2">
      <c r="A3341" s="49"/>
      <c r="B3341" s="49"/>
    </row>
    <row r="3342" spans="1:2">
      <c r="A3342" s="49"/>
      <c r="B3342" s="49"/>
    </row>
    <row r="3343" spans="1:2">
      <c r="A3343" s="49"/>
      <c r="B3343" s="49"/>
    </row>
    <row r="3344" spans="1:2">
      <c r="A3344" s="49"/>
      <c r="B3344" s="49"/>
    </row>
    <row r="3345" spans="1:2">
      <c r="A3345" s="49"/>
      <c r="B3345" s="49"/>
    </row>
    <row r="3346" spans="1:2">
      <c r="A3346" s="49"/>
      <c r="B3346" s="49"/>
    </row>
    <row r="3347" spans="1:2">
      <c r="A3347" s="49"/>
      <c r="B3347" s="49"/>
    </row>
    <row r="3348" spans="1:2">
      <c r="A3348" s="49"/>
      <c r="B3348" s="49"/>
    </row>
    <row r="3349" spans="1:2">
      <c r="A3349" s="49"/>
      <c r="B3349" s="49"/>
    </row>
    <row r="3350" spans="1:2">
      <c r="A3350" s="49"/>
      <c r="B3350" s="49"/>
    </row>
    <row r="3351" spans="1:2">
      <c r="A3351" s="49"/>
      <c r="B3351" s="49"/>
    </row>
    <row r="3352" spans="1:2">
      <c r="A3352" s="49"/>
      <c r="B3352" s="49"/>
    </row>
    <row r="3353" spans="1:2">
      <c r="A3353" s="49"/>
      <c r="B3353" s="49"/>
    </row>
    <row r="3354" spans="1:2">
      <c r="A3354" s="49"/>
      <c r="B3354" s="49"/>
    </row>
    <row r="3355" spans="1:2">
      <c r="A3355" s="49"/>
      <c r="B3355" s="49"/>
    </row>
    <row r="3356" spans="1:2">
      <c r="A3356" s="49"/>
      <c r="B3356" s="49"/>
    </row>
    <row r="3357" spans="1:2">
      <c r="A3357" s="49"/>
      <c r="B3357" s="49"/>
    </row>
    <row r="3358" spans="1:2">
      <c r="A3358" s="49"/>
      <c r="B3358" s="49"/>
    </row>
    <row r="3359" spans="1:2">
      <c r="A3359" s="49"/>
      <c r="B3359" s="49"/>
    </row>
    <row r="3360" spans="1:2">
      <c r="A3360" s="49"/>
      <c r="B3360" s="49"/>
    </row>
    <row r="3361" spans="1:2">
      <c r="A3361" s="49"/>
      <c r="B3361" s="49"/>
    </row>
    <row r="3362" spans="1:2">
      <c r="A3362" s="49"/>
      <c r="B3362" s="49"/>
    </row>
    <row r="3363" spans="1:2">
      <c r="A3363" s="49"/>
      <c r="B3363" s="49"/>
    </row>
    <row r="3364" spans="1:2">
      <c r="A3364" s="49"/>
      <c r="B3364" s="49"/>
    </row>
    <row r="3365" spans="1:2">
      <c r="A3365" s="49"/>
      <c r="B3365" s="49"/>
    </row>
    <row r="3366" spans="1:2">
      <c r="A3366" s="49"/>
      <c r="B3366" s="49"/>
    </row>
    <row r="3367" spans="1:2">
      <c r="A3367" s="49"/>
      <c r="B3367" s="49"/>
    </row>
    <row r="3368" spans="1:2">
      <c r="A3368" s="49"/>
      <c r="B3368" s="49"/>
    </row>
    <row r="3369" spans="1:2">
      <c r="A3369" s="49"/>
      <c r="B3369" s="49"/>
    </row>
    <row r="3370" spans="1:2">
      <c r="A3370" s="49"/>
      <c r="B3370" s="49"/>
    </row>
    <row r="3371" spans="1:2">
      <c r="A3371" s="49"/>
      <c r="B3371" s="49"/>
    </row>
    <row r="3372" spans="1:2">
      <c r="A3372" s="49"/>
      <c r="B3372" s="49"/>
    </row>
    <row r="3373" spans="1:2">
      <c r="A3373" s="49"/>
      <c r="B3373" s="49"/>
    </row>
    <row r="3374" spans="1:2">
      <c r="A3374" s="49"/>
      <c r="B3374" s="49"/>
    </row>
    <row r="3375" spans="1:2">
      <c r="A3375" s="49"/>
      <c r="B3375" s="49"/>
    </row>
    <row r="3376" spans="1:2">
      <c r="A3376" s="49"/>
      <c r="B3376" s="49"/>
    </row>
    <row r="3377" spans="1:2">
      <c r="A3377" s="49"/>
      <c r="B3377" s="49"/>
    </row>
    <row r="3378" spans="1:2">
      <c r="A3378" s="49"/>
      <c r="B3378" s="49"/>
    </row>
    <row r="3379" spans="1:2">
      <c r="A3379" s="49"/>
      <c r="B3379" s="49"/>
    </row>
    <row r="3380" spans="1:2">
      <c r="A3380" s="49"/>
      <c r="B3380" s="49"/>
    </row>
    <row r="3381" spans="1:2">
      <c r="A3381" s="49"/>
      <c r="B3381" s="49"/>
    </row>
    <row r="3382" spans="1:2">
      <c r="A3382" s="49"/>
      <c r="B3382" s="49"/>
    </row>
    <row r="3383" spans="1:2">
      <c r="A3383" s="49"/>
      <c r="B3383" s="49"/>
    </row>
    <row r="3384" spans="1:2">
      <c r="A3384" s="49"/>
      <c r="B3384" s="49"/>
    </row>
    <row r="3385" spans="1:2">
      <c r="A3385" s="49"/>
      <c r="B3385" s="49"/>
    </row>
    <row r="3386" spans="1:2">
      <c r="A3386" s="49"/>
      <c r="B3386" s="49"/>
    </row>
    <row r="3387" spans="1:2">
      <c r="A3387" s="49"/>
      <c r="B3387" s="49"/>
    </row>
    <row r="3388" spans="1:2">
      <c r="A3388" s="49"/>
      <c r="B3388" s="49"/>
    </row>
    <row r="3389" spans="1:2">
      <c r="A3389" s="49"/>
      <c r="B3389" s="49"/>
    </row>
    <row r="3390" spans="1:2">
      <c r="A3390" s="49"/>
      <c r="B3390" s="49"/>
    </row>
    <row r="3391" spans="1:2">
      <c r="A3391" s="49"/>
      <c r="B3391" s="49"/>
    </row>
    <row r="3392" spans="1:2">
      <c r="A3392" s="49"/>
      <c r="B3392" s="49"/>
    </row>
    <row r="3393" spans="1:2">
      <c r="A3393" s="49"/>
      <c r="B3393" s="49"/>
    </row>
    <row r="3394" spans="1:2">
      <c r="A3394" s="49"/>
      <c r="B3394" s="49"/>
    </row>
    <row r="3395" spans="1:2">
      <c r="A3395" s="49"/>
      <c r="B3395" s="49"/>
    </row>
    <row r="3396" spans="1:2">
      <c r="A3396" s="49"/>
      <c r="B3396" s="49"/>
    </row>
    <row r="3397" spans="1:2">
      <c r="A3397" s="49"/>
      <c r="B3397" s="49"/>
    </row>
    <row r="3398" spans="1:2">
      <c r="A3398" s="49"/>
      <c r="B3398" s="49"/>
    </row>
    <row r="3399" spans="1:2">
      <c r="A3399" s="49"/>
      <c r="B3399" s="49"/>
    </row>
    <row r="3400" spans="1:2">
      <c r="A3400" s="49"/>
      <c r="B3400" s="49"/>
    </row>
    <row r="3401" spans="1:2">
      <c r="A3401" s="49"/>
      <c r="B3401" s="49"/>
    </row>
    <row r="3402" spans="1:2">
      <c r="A3402" s="49"/>
      <c r="B3402" s="49"/>
    </row>
    <row r="3403" spans="1:2">
      <c r="A3403" s="49"/>
      <c r="B3403" s="49"/>
    </row>
    <row r="3404" spans="1:2">
      <c r="A3404" s="49"/>
      <c r="B3404" s="49"/>
    </row>
    <row r="3405" spans="1:2">
      <c r="A3405" s="49"/>
      <c r="B3405" s="49"/>
    </row>
    <row r="3406" spans="1:2">
      <c r="A3406" s="49"/>
      <c r="B3406" s="49"/>
    </row>
    <row r="3407" spans="1:2">
      <c r="A3407" s="49"/>
      <c r="B3407" s="49"/>
    </row>
    <row r="3408" spans="1:2">
      <c r="A3408" s="49"/>
      <c r="B3408" s="49"/>
    </row>
    <row r="3409" spans="1:2">
      <c r="A3409" s="49"/>
      <c r="B3409" s="49"/>
    </row>
    <row r="3410" spans="1:2">
      <c r="A3410" s="49"/>
      <c r="B3410" s="49"/>
    </row>
    <row r="3411" spans="1:2">
      <c r="A3411" s="49"/>
      <c r="B3411" s="49"/>
    </row>
    <row r="3412" spans="1:2">
      <c r="A3412" s="49"/>
      <c r="B3412" s="49"/>
    </row>
    <row r="3413" spans="1:2">
      <c r="A3413" s="49"/>
      <c r="B3413" s="49"/>
    </row>
    <row r="3414" spans="1:2">
      <c r="A3414" s="49"/>
      <c r="B3414" s="49"/>
    </row>
    <row r="3415" spans="1:2">
      <c r="A3415" s="49"/>
      <c r="B3415" s="49"/>
    </row>
    <row r="3416" spans="1:2">
      <c r="A3416" s="49"/>
      <c r="B3416" s="49"/>
    </row>
    <row r="3417" spans="1:2">
      <c r="A3417" s="49"/>
      <c r="B3417" s="49"/>
    </row>
    <row r="3418" spans="1:2">
      <c r="A3418" s="49"/>
      <c r="B3418" s="49"/>
    </row>
    <row r="3419" spans="1:2">
      <c r="A3419" s="49"/>
      <c r="B3419" s="49"/>
    </row>
    <row r="3420" spans="1:2">
      <c r="A3420" s="49"/>
      <c r="B3420" s="49"/>
    </row>
    <row r="3421" spans="1:2">
      <c r="A3421" s="49"/>
      <c r="B3421" s="49"/>
    </row>
    <row r="3422" spans="1:2">
      <c r="A3422" s="49"/>
      <c r="B3422" s="49"/>
    </row>
    <row r="3423" spans="1:2">
      <c r="A3423" s="49"/>
      <c r="B3423" s="49"/>
    </row>
    <row r="3424" spans="1:2">
      <c r="A3424" s="49"/>
      <c r="B3424" s="49"/>
    </row>
    <row r="3425" spans="1:2">
      <c r="A3425" s="49"/>
      <c r="B3425" s="49"/>
    </row>
    <row r="3426" spans="1:2">
      <c r="A3426" s="49"/>
      <c r="B3426" s="49"/>
    </row>
    <row r="3427" spans="1:2">
      <c r="A3427" s="49"/>
      <c r="B3427" s="49"/>
    </row>
    <row r="3428" spans="1:2">
      <c r="A3428" s="49"/>
      <c r="B3428" s="49"/>
    </row>
    <row r="3429" spans="1:2">
      <c r="A3429" s="49"/>
      <c r="B3429" s="49"/>
    </row>
    <row r="3430" spans="1:2">
      <c r="A3430" s="49"/>
      <c r="B3430" s="49"/>
    </row>
    <row r="3431" spans="1:2">
      <c r="A3431" s="49"/>
      <c r="B3431" s="49"/>
    </row>
    <row r="3432" spans="1:2">
      <c r="A3432" s="49"/>
      <c r="B3432" s="49"/>
    </row>
    <row r="3433" spans="1:2">
      <c r="A3433" s="49"/>
      <c r="B3433" s="49"/>
    </row>
    <row r="3434" spans="1:2">
      <c r="A3434" s="49"/>
      <c r="B3434" s="49"/>
    </row>
    <row r="3435" spans="1:2">
      <c r="A3435" s="49"/>
      <c r="B3435" s="49"/>
    </row>
    <row r="3436" spans="1:2">
      <c r="A3436" s="49"/>
      <c r="B3436" s="49"/>
    </row>
    <row r="3437" spans="1:2">
      <c r="A3437" s="49"/>
      <c r="B3437" s="49"/>
    </row>
    <row r="3438" spans="1:2">
      <c r="A3438" s="49"/>
      <c r="B3438" s="49"/>
    </row>
    <row r="3439" spans="1:2">
      <c r="A3439" s="49"/>
      <c r="B3439" s="49"/>
    </row>
    <row r="3440" spans="1:2">
      <c r="A3440" s="49"/>
      <c r="B3440" s="49"/>
    </row>
    <row r="3441" spans="1:2">
      <c r="A3441" s="49"/>
      <c r="B3441" s="49"/>
    </row>
    <row r="3442" spans="1:2">
      <c r="A3442" s="49"/>
      <c r="B3442" s="49"/>
    </row>
    <row r="3443" spans="1:2">
      <c r="A3443" s="49"/>
      <c r="B3443" s="49"/>
    </row>
    <row r="3444" spans="1:2">
      <c r="A3444" s="49"/>
      <c r="B3444" s="49"/>
    </row>
    <row r="3445" spans="1:2">
      <c r="A3445" s="49"/>
      <c r="B3445" s="49"/>
    </row>
    <row r="3446" spans="1:2">
      <c r="A3446" s="49"/>
      <c r="B3446" s="49"/>
    </row>
    <row r="3447" spans="1:2">
      <c r="A3447" s="49"/>
      <c r="B3447" s="49"/>
    </row>
    <row r="3448" spans="1:2">
      <c r="A3448" s="49"/>
      <c r="B3448" s="49"/>
    </row>
    <row r="3449" spans="1:2">
      <c r="A3449" s="49"/>
      <c r="B3449" s="49"/>
    </row>
    <row r="3450" spans="1:2">
      <c r="A3450" s="49"/>
      <c r="B3450" s="49"/>
    </row>
    <row r="3451" spans="1:2">
      <c r="A3451" s="49"/>
      <c r="B3451" s="49"/>
    </row>
    <row r="3452" spans="1:2">
      <c r="A3452" s="49"/>
      <c r="B3452" s="49"/>
    </row>
    <row r="3453" spans="1:2">
      <c r="A3453" s="49"/>
      <c r="B3453" s="49"/>
    </row>
    <row r="3454" spans="1:2">
      <c r="A3454" s="49"/>
      <c r="B3454" s="49"/>
    </row>
    <row r="3455" spans="1:2">
      <c r="A3455" s="49"/>
      <c r="B3455" s="49"/>
    </row>
    <row r="3456" spans="1:2">
      <c r="A3456" s="49"/>
      <c r="B3456" s="49"/>
    </row>
    <row r="3457" spans="1:2">
      <c r="A3457" s="49"/>
      <c r="B3457" s="49"/>
    </row>
    <row r="3458" spans="1:2">
      <c r="A3458" s="49"/>
      <c r="B3458" s="49"/>
    </row>
    <row r="3459" spans="1:2">
      <c r="A3459" s="49"/>
      <c r="B3459" s="49"/>
    </row>
    <row r="3460" spans="1:2">
      <c r="A3460" s="49"/>
      <c r="B3460" s="49"/>
    </row>
    <row r="3461" spans="1:2">
      <c r="A3461" s="49"/>
      <c r="B3461" s="49"/>
    </row>
    <row r="3462" spans="1:2">
      <c r="A3462" s="49"/>
      <c r="B3462" s="49"/>
    </row>
    <row r="3463" spans="1:2">
      <c r="A3463" s="49"/>
      <c r="B3463" s="49"/>
    </row>
    <row r="3464" spans="1:2">
      <c r="A3464" s="49"/>
      <c r="B3464" s="49"/>
    </row>
    <row r="3465" spans="1:2">
      <c r="A3465" s="49"/>
      <c r="B3465" s="49"/>
    </row>
    <row r="3466" spans="1:2">
      <c r="A3466" s="49"/>
      <c r="B3466" s="49"/>
    </row>
    <row r="3467" spans="1:2">
      <c r="A3467" s="49"/>
      <c r="B3467" s="49"/>
    </row>
    <row r="3468" spans="1:2">
      <c r="A3468" s="49"/>
      <c r="B3468" s="49"/>
    </row>
    <row r="3469" spans="1:2">
      <c r="A3469" s="49"/>
      <c r="B3469" s="49"/>
    </row>
    <row r="3470" spans="1:2">
      <c r="A3470" s="49"/>
      <c r="B3470" s="49"/>
    </row>
    <row r="3471" spans="1:2">
      <c r="A3471" s="49"/>
      <c r="B3471" s="49"/>
    </row>
    <row r="3472" spans="1:2">
      <c r="A3472" s="49"/>
      <c r="B3472" s="49"/>
    </row>
    <row r="3473" spans="1:2">
      <c r="A3473" s="49"/>
      <c r="B3473" s="49"/>
    </row>
    <row r="3474" spans="1:2">
      <c r="A3474" s="49"/>
      <c r="B3474" s="49"/>
    </row>
    <row r="3475" spans="1:2">
      <c r="A3475" s="49"/>
      <c r="B3475" s="49"/>
    </row>
    <row r="3476" spans="1:2">
      <c r="A3476" s="49"/>
      <c r="B3476" s="49"/>
    </row>
    <row r="3477" spans="1:2">
      <c r="A3477" s="49"/>
      <c r="B3477" s="49"/>
    </row>
    <row r="3478" spans="1:2">
      <c r="A3478" s="49"/>
      <c r="B3478" s="49"/>
    </row>
    <row r="3479" spans="1:2">
      <c r="A3479" s="49"/>
      <c r="B3479" s="49"/>
    </row>
    <row r="3480" spans="1:2">
      <c r="A3480" s="49"/>
      <c r="B3480" s="49"/>
    </row>
    <row r="3481" spans="1:2">
      <c r="A3481" s="49"/>
      <c r="B3481" s="49"/>
    </row>
    <row r="3482" spans="1:2">
      <c r="A3482" s="49"/>
      <c r="B3482" s="49"/>
    </row>
    <row r="3483" spans="1:2">
      <c r="A3483" s="49"/>
      <c r="B3483" s="49"/>
    </row>
    <row r="3484" spans="1:2">
      <c r="A3484" s="49"/>
      <c r="B3484" s="49"/>
    </row>
    <row r="3485" spans="1:2">
      <c r="A3485" s="49"/>
      <c r="B3485" s="49"/>
    </row>
    <row r="3486" spans="1:2">
      <c r="A3486" s="49"/>
      <c r="B3486" s="49"/>
    </row>
    <row r="3487" spans="1:2">
      <c r="A3487" s="49"/>
      <c r="B3487" s="49"/>
    </row>
    <row r="3488" spans="1:2">
      <c r="A3488" s="49"/>
      <c r="B3488" s="49"/>
    </row>
    <row r="3489" spans="1:2">
      <c r="A3489" s="49"/>
      <c r="B3489" s="49"/>
    </row>
    <row r="3490" spans="1:2">
      <c r="A3490" s="49"/>
      <c r="B3490" s="49"/>
    </row>
    <row r="3491" spans="1:2">
      <c r="A3491" s="49"/>
      <c r="B3491" s="49"/>
    </row>
    <row r="3492" spans="1:2">
      <c r="A3492" s="49"/>
      <c r="B3492" s="49"/>
    </row>
    <row r="3493" spans="1:2">
      <c r="A3493" s="49"/>
      <c r="B3493" s="49"/>
    </row>
    <row r="3494" spans="1:2">
      <c r="A3494" s="49"/>
      <c r="B3494" s="49"/>
    </row>
    <row r="3495" spans="1:2">
      <c r="A3495" s="49"/>
      <c r="B3495" s="49"/>
    </row>
    <row r="3496" spans="1:2">
      <c r="A3496" s="49"/>
      <c r="B3496" s="49"/>
    </row>
    <row r="3497" spans="1:2">
      <c r="A3497" s="49"/>
      <c r="B3497" s="49"/>
    </row>
    <row r="3498" spans="1:2">
      <c r="A3498" s="49"/>
      <c r="B3498" s="49"/>
    </row>
    <row r="3499" spans="1:2">
      <c r="A3499" s="49"/>
      <c r="B3499" s="49"/>
    </row>
    <row r="3500" spans="1:2">
      <c r="A3500" s="49"/>
      <c r="B3500" s="49"/>
    </row>
    <row r="3501" spans="1:2">
      <c r="A3501" s="49"/>
      <c r="B3501" s="49"/>
    </row>
    <row r="3502" spans="1:2">
      <c r="A3502" s="49"/>
      <c r="B3502" s="49"/>
    </row>
    <row r="3503" spans="1:2">
      <c r="A3503" s="49"/>
      <c r="B3503" s="49"/>
    </row>
    <row r="3504" spans="1:2">
      <c r="A3504" s="49"/>
      <c r="B3504" s="49"/>
    </row>
    <row r="3505" spans="1:2">
      <c r="A3505" s="49"/>
      <c r="B3505" s="49"/>
    </row>
    <row r="3506" spans="1:2">
      <c r="A3506" s="49"/>
      <c r="B3506" s="49"/>
    </row>
    <row r="3507" spans="1:2">
      <c r="A3507" s="49"/>
      <c r="B3507" s="49"/>
    </row>
    <row r="3508" spans="1:2">
      <c r="A3508" s="49"/>
      <c r="B3508" s="49"/>
    </row>
    <row r="3509" spans="1:2">
      <c r="A3509" s="49"/>
      <c r="B3509" s="49"/>
    </row>
    <row r="3510" spans="1:2">
      <c r="A3510" s="49"/>
      <c r="B3510" s="49"/>
    </row>
    <row r="3511" spans="1:2">
      <c r="A3511" s="49"/>
      <c r="B3511" s="49"/>
    </row>
    <row r="3512" spans="1:2">
      <c r="A3512" s="49"/>
      <c r="B3512" s="49"/>
    </row>
    <row r="3513" spans="1:2">
      <c r="A3513" s="49"/>
      <c r="B3513" s="49"/>
    </row>
    <row r="3514" spans="1:2">
      <c r="A3514" s="49"/>
      <c r="B3514" s="49"/>
    </row>
    <row r="3515" spans="1:2">
      <c r="A3515" s="49"/>
      <c r="B3515" s="49"/>
    </row>
    <row r="3516" spans="1:2">
      <c r="A3516" s="49"/>
      <c r="B3516" s="49"/>
    </row>
    <row r="3517" spans="1:2">
      <c r="A3517" s="49"/>
      <c r="B3517" s="49"/>
    </row>
    <row r="3518" spans="1:2">
      <c r="A3518" s="49"/>
      <c r="B3518" s="49"/>
    </row>
    <row r="3519" spans="1:2">
      <c r="A3519" s="49"/>
      <c r="B3519" s="49"/>
    </row>
    <row r="3520" spans="1:2">
      <c r="A3520" s="49"/>
      <c r="B3520" s="49"/>
    </row>
    <row r="3521" spans="1:2">
      <c r="A3521" s="49"/>
      <c r="B3521" s="49"/>
    </row>
    <row r="3522" spans="1:2">
      <c r="A3522" s="49"/>
      <c r="B3522" s="49"/>
    </row>
    <row r="3523" spans="1:2">
      <c r="A3523" s="49"/>
      <c r="B3523" s="49"/>
    </row>
    <row r="3524" spans="1:2">
      <c r="A3524" s="49"/>
      <c r="B3524" s="49"/>
    </row>
    <row r="3525" spans="1:2">
      <c r="A3525" s="49"/>
      <c r="B3525" s="49"/>
    </row>
    <row r="3526" spans="1:2">
      <c r="A3526" s="49"/>
      <c r="B3526" s="49"/>
    </row>
    <row r="3527" spans="1:2">
      <c r="A3527" s="49"/>
      <c r="B3527" s="49"/>
    </row>
    <row r="3528" spans="1:2">
      <c r="A3528" s="49"/>
      <c r="B3528" s="49"/>
    </row>
    <row r="3529" spans="1:2">
      <c r="A3529" s="49"/>
      <c r="B3529" s="49"/>
    </row>
    <row r="3530" spans="1:2">
      <c r="A3530" s="49"/>
      <c r="B3530" s="49"/>
    </row>
    <row r="3531" spans="1:2">
      <c r="A3531" s="49"/>
      <c r="B3531" s="49"/>
    </row>
    <row r="3532" spans="1:2">
      <c r="A3532" s="49"/>
      <c r="B3532" s="49"/>
    </row>
    <row r="3533" spans="1:2">
      <c r="A3533" s="49"/>
      <c r="B3533" s="49"/>
    </row>
    <row r="3534" spans="1:2">
      <c r="A3534" s="49"/>
      <c r="B3534" s="49"/>
    </row>
    <row r="3535" spans="1:2">
      <c r="A3535" s="49"/>
      <c r="B3535" s="49"/>
    </row>
    <row r="3536" spans="1:2">
      <c r="A3536" s="49"/>
      <c r="B3536" s="49"/>
    </row>
    <row r="3537" spans="1:2">
      <c r="A3537" s="49"/>
      <c r="B3537" s="49"/>
    </row>
    <row r="3538" spans="1:2">
      <c r="A3538" s="49"/>
      <c r="B3538" s="49"/>
    </row>
    <row r="3539" spans="1:2">
      <c r="A3539" s="49"/>
      <c r="B3539" s="49"/>
    </row>
    <row r="3540" spans="1:2">
      <c r="A3540" s="49"/>
      <c r="B3540" s="49"/>
    </row>
    <row r="3541" spans="1:2">
      <c r="A3541" s="49"/>
      <c r="B3541" s="49"/>
    </row>
    <row r="3542" spans="1:2">
      <c r="A3542" s="49"/>
      <c r="B3542" s="49"/>
    </row>
    <row r="3543" spans="1:2">
      <c r="A3543" s="49"/>
      <c r="B3543" s="49"/>
    </row>
    <row r="3544" spans="1:2">
      <c r="A3544" s="49"/>
      <c r="B3544" s="49"/>
    </row>
    <row r="3545" spans="1:2">
      <c r="A3545" s="49"/>
      <c r="B3545" s="49"/>
    </row>
    <row r="3546" spans="1:2">
      <c r="A3546" s="49"/>
      <c r="B3546" s="49"/>
    </row>
    <row r="3547" spans="1:2">
      <c r="A3547" s="49"/>
      <c r="B3547" s="49"/>
    </row>
    <row r="3548" spans="1:2">
      <c r="A3548" s="49"/>
      <c r="B3548" s="49"/>
    </row>
    <row r="3549" spans="1:2">
      <c r="A3549" s="49"/>
      <c r="B3549" s="49"/>
    </row>
    <row r="3550" spans="1:2">
      <c r="A3550" s="49"/>
      <c r="B3550" s="49"/>
    </row>
    <row r="3551" spans="1:2">
      <c r="A3551" s="49"/>
      <c r="B3551" s="49"/>
    </row>
    <row r="3552" spans="1:2">
      <c r="A3552" s="49"/>
      <c r="B3552" s="49"/>
    </row>
    <row r="3553" spans="1:2">
      <c r="A3553" s="49"/>
      <c r="B3553" s="49"/>
    </row>
    <row r="3554" spans="1:2">
      <c r="A3554" s="49"/>
      <c r="B3554" s="49"/>
    </row>
    <row r="3555" spans="1:2">
      <c r="A3555" s="49"/>
      <c r="B3555" s="49"/>
    </row>
    <row r="3556" spans="1:2">
      <c r="A3556" s="49"/>
      <c r="B3556" s="49"/>
    </row>
    <row r="3557" spans="1:2">
      <c r="A3557" s="49"/>
      <c r="B3557" s="49"/>
    </row>
    <row r="3558" spans="1:2">
      <c r="A3558" s="49"/>
      <c r="B3558" s="49"/>
    </row>
    <row r="3559" spans="1:2">
      <c r="A3559" s="49"/>
      <c r="B3559" s="49"/>
    </row>
    <row r="3560" spans="1:2">
      <c r="A3560" s="49"/>
      <c r="B3560" s="49"/>
    </row>
    <row r="3561" spans="1:2">
      <c r="A3561" s="49"/>
      <c r="B3561" s="49"/>
    </row>
    <row r="3562" spans="1:2">
      <c r="A3562" s="49"/>
      <c r="B3562" s="49"/>
    </row>
    <row r="3563" spans="1:2">
      <c r="A3563" s="49"/>
      <c r="B3563" s="49"/>
    </row>
    <row r="3564" spans="1:2">
      <c r="A3564" s="49"/>
      <c r="B3564" s="49"/>
    </row>
    <row r="3565" spans="1:2">
      <c r="A3565" s="49"/>
      <c r="B3565" s="49"/>
    </row>
    <row r="3566" spans="1:2">
      <c r="A3566" s="49"/>
      <c r="B3566" s="49"/>
    </row>
    <row r="3567" spans="1:2">
      <c r="A3567" s="49"/>
      <c r="B3567" s="49"/>
    </row>
    <row r="3568" spans="1:2">
      <c r="A3568" s="49"/>
      <c r="B3568" s="49"/>
    </row>
    <row r="3569" spans="1:2">
      <c r="A3569" s="49"/>
      <c r="B3569" s="49"/>
    </row>
    <row r="3570" spans="1:2">
      <c r="A3570" s="49"/>
      <c r="B3570" s="49"/>
    </row>
    <row r="3571" spans="1:2">
      <c r="A3571" s="49"/>
      <c r="B3571" s="49"/>
    </row>
    <row r="3572" spans="1:2">
      <c r="A3572" s="49"/>
      <c r="B3572" s="49"/>
    </row>
    <row r="3573" spans="1:2">
      <c r="A3573" s="49"/>
      <c r="B3573" s="49"/>
    </row>
    <row r="3574" spans="1:2">
      <c r="A3574" s="49"/>
      <c r="B3574" s="49"/>
    </row>
    <row r="3575" spans="1:2">
      <c r="A3575" s="49"/>
      <c r="B3575" s="49"/>
    </row>
    <row r="3576" spans="1:2">
      <c r="A3576" s="49"/>
      <c r="B3576" s="49"/>
    </row>
    <row r="3577" spans="1:2">
      <c r="A3577" s="49"/>
      <c r="B3577" s="49"/>
    </row>
    <row r="3578" spans="1:2">
      <c r="A3578" s="49"/>
      <c r="B3578" s="49"/>
    </row>
    <row r="3579" spans="1:2">
      <c r="A3579" s="49"/>
      <c r="B3579" s="49"/>
    </row>
    <row r="3580" spans="1:2">
      <c r="A3580" s="49"/>
      <c r="B3580" s="49"/>
    </row>
    <row r="3581" spans="1:2">
      <c r="A3581" s="49"/>
      <c r="B3581" s="49"/>
    </row>
    <row r="3582" spans="1:2">
      <c r="A3582" s="49"/>
      <c r="B3582" s="49"/>
    </row>
    <row r="3583" spans="1:2">
      <c r="A3583" s="49"/>
      <c r="B3583" s="49"/>
    </row>
    <row r="3584" spans="1:2">
      <c r="A3584" s="49"/>
      <c r="B3584" s="49"/>
    </row>
    <row r="3585" spans="1:2">
      <c r="A3585" s="49"/>
      <c r="B3585" s="49"/>
    </row>
    <row r="3586" spans="1:2">
      <c r="A3586" s="49"/>
      <c r="B3586" s="49"/>
    </row>
    <row r="3587" spans="1:2">
      <c r="A3587" s="49"/>
      <c r="B3587" s="49"/>
    </row>
    <row r="3588" spans="1:2">
      <c r="A3588" s="49"/>
      <c r="B3588" s="49"/>
    </row>
    <row r="3589" spans="1:2">
      <c r="A3589" s="49"/>
      <c r="B3589" s="49"/>
    </row>
    <row r="3590" spans="1:2">
      <c r="A3590" s="49"/>
      <c r="B3590" s="49"/>
    </row>
    <row r="3591" spans="1:2">
      <c r="A3591" s="49"/>
      <c r="B3591" s="49"/>
    </row>
    <row r="3592" spans="1:2">
      <c r="A3592" s="49"/>
      <c r="B3592" s="49"/>
    </row>
    <row r="3593" spans="1:2">
      <c r="A3593" s="49"/>
      <c r="B3593" s="49"/>
    </row>
    <row r="3594" spans="1:2">
      <c r="A3594" s="49"/>
      <c r="B3594" s="49"/>
    </row>
    <row r="3595" spans="1:2">
      <c r="A3595" s="49"/>
      <c r="B3595" s="49"/>
    </row>
    <row r="3596" spans="1:2">
      <c r="A3596" s="49"/>
      <c r="B3596" s="49"/>
    </row>
    <row r="3597" spans="1:2">
      <c r="A3597" s="49"/>
      <c r="B3597" s="49"/>
    </row>
    <row r="3598" spans="1:2">
      <c r="A3598" s="49"/>
      <c r="B3598" s="49"/>
    </row>
    <row r="3599" spans="1:2">
      <c r="A3599" s="49"/>
      <c r="B3599" s="49"/>
    </row>
    <row r="3600" spans="1:2">
      <c r="A3600" s="49"/>
      <c r="B3600" s="49"/>
    </row>
    <row r="3601" spans="1:2">
      <c r="A3601" s="49"/>
      <c r="B3601" s="49"/>
    </row>
    <row r="3602" spans="1:2">
      <c r="A3602" s="49"/>
      <c r="B3602" s="49"/>
    </row>
    <row r="3603" spans="1:2">
      <c r="A3603" s="49"/>
      <c r="B3603" s="49"/>
    </row>
    <row r="3604" spans="1:2">
      <c r="A3604" s="49"/>
      <c r="B3604" s="49"/>
    </row>
    <row r="3605" spans="1:2">
      <c r="A3605" s="49"/>
      <c r="B3605" s="49"/>
    </row>
    <row r="3606" spans="1:2">
      <c r="A3606" s="49"/>
      <c r="B3606" s="49"/>
    </row>
    <row r="3607" spans="1:2">
      <c r="A3607" s="49"/>
      <c r="B3607" s="49"/>
    </row>
    <row r="3608" spans="1:2">
      <c r="A3608" s="49"/>
      <c r="B3608" s="49"/>
    </row>
    <row r="3609" spans="1:2">
      <c r="A3609" s="49"/>
      <c r="B3609" s="49"/>
    </row>
    <row r="3610" spans="1:2">
      <c r="A3610" s="49"/>
      <c r="B3610" s="49"/>
    </row>
    <row r="3611" spans="1:2">
      <c r="A3611" s="49"/>
      <c r="B3611" s="49"/>
    </row>
    <row r="3612" spans="1:2">
      <c r="A3612" s="49"/>
      <c r="B3612" s="49"/>
    </row>
    <row r="3613" spans="1:2">
      <c r="A3613" s="49"/>
      <c r="B3613" s="49"/>
    </row>
    <row r="3614" spans="1:2">
      <c r="A3614" s="49"/>
      <c r="B3614" s="49"/>
    </row>
    <row r="3615" spans="1:2">
      <c r="A3615" s="49"/>
      <c r="B3615" s="49"/>
    </row>
    <row r="3616" spans="1:2">
      <c r="A3616" s="49"/>
      <c r="B3616" s="49"/>
    </row>
    <row r="3617" spans="1:2">
      <c r="A3617" s="49"/>
      <c r="B3617" s="49"/>
    </row>
    <row r="3618" spans="1:2">
      <c r="A3618" s="49"/>
      <c r="B3618" s="49"/>
    </row>
    <row r="3619" spans="1:2">
      <c r="A3619" s="49"/>
      <c r="B3619" s="49"/>
    </row>
    <row r="3620" spans="1:2">
      <c r="A3620" s="49"/>
      <c r="B3620" s="49"/>
    </row>
    <row r="3621" spans="1:2">
      <c r="A3621" s="49"/>
      <c r="B3621" s="49"/>
    </row>
    <row r="3622" spans="1:2">
      <c r="A3622" s="49"/>
      <c r="B3622" s="49"/>
    </row>
    <row r="3623" spans="1:2">
      <c r="A3623" s="49"/>
      <c r="B3623" s="49"/>
    </row>
    <row r="3624" spans="1:2">
      <c r="A3624" s="49"/>
      <c r="B3624" s="49"/>
    </row>
    <row r="3625" spans="1:2">
      <c r="A3625" s="49"/>
      <c r="B3625" s="49"/>
    </row>
    <row r="3626" spans="1:2">
      <c r="A3626" s="49"/>
      <c r="B3626" s="49"/>
    </row>
    <row r="3627" spans="1:2">
      <c r="A3627" s="49"/>
      <c r="B3627" s="49"/>
    </row>
    <row r="3628" spans="1:2">
      <c r="A3628" s="49"/>
      <c r="B3628" s="49"/>
    </row>
    <row r="3629" spans="1:2">
      <c r="A3629" s="49"/>
      <c r="B3629" s="49"/>
    </row>
    <row r="3630" spans="1:2">
      <c r="A3630" s="49"/>
      <c r="B3630" s="49"/>
    </row>
    <row r="3631" spans="1:2">
      <c r="A3631" s="49"/>
      <c r="B3631" s="49"/>
    </row>
    <row r="3632" spans="1:2">
      <c r="A3632" s="49"/>
      <c r="B3632" s="49"/>
    </row>
    <row r="3633" spans="1:2">
      <c r="A3633" s="49"/>
      <c r="B3633" s="49"/>
    </row>
    <row r="3634" spans="1:2">
      <c r="A3634" s="49"/>
      <c r="B3634" s="49"/>
    </row>
    <row r="3635" spans="1:2">
      <c r="A3635" s="49"/>
      <c r="B3635" s="49"/>
    </row>
    <row r="3636" spans="1:2">
      <c r="A3636" s="49"/>
      <c r="B3636" s="49"/>
    </row>
    <row r="3637" spans="1:2">
      <c r="A3637" s="49"/>
      <c r="B3637" s="49"/>
    </row>
    <row r="3638" spans="1:2">
      <c r="A3638" s="49"/>
      <c r="B3638" s="49"/>
    </row>
    <row r="3639" spans="1:2">
      <c r="A3639" s="49"/>
      <c r="B3639" s="49"/>
    </row>
    <row r="3640" spans="1:2">
      <c r="A3640" s="49"/>
      <c r="B3640" s="49"/>
    </row>
    <row r="3641" spans="1:2">
      <c r="A3641" s="49"/>
      <c r="B3641" s="49"/>
    </row>
    <row r="3642" spans="1:2">
      <c r="A3642" s="49"/>
      <c r="B3642" s="49"/>
    </row>
    <row r="3643" spans="1:2">
      <c r="A3643" s="49"/>
      <c r="B3643" s="49"/>
    </row>
    <row r="3644" spans="1:2">
      <c r="A3644" s="49"/>
      <c r="B3644" s="49"/>
    </row>
    <row r="3645" spans="1:2">
      <c r="A3645" s="49"/>
      <c r="B3645" s="49"/>
    </row>
    <row r="3646" spans="1:2">
      <c r="A3646" s="49"/>
      <c r="B3646" s="49"/>
    </row>
    <row r="3647" spans="1:2">
      <c r="A3647" s="49"/>
      <c r="B3647" s="49"/>
    </row>
    <row r="3648" spans="1:2">
      <c r="A3648" s="49"/>
      <c r="B3648" s="49"/>
    </row>
    <row r="3649" spans="1:2">
      <c r="A3649" s="49"/>
      <c r="B3649" s="49"/>
    </row>
    <row r="3650" spans="1:2">
      <c r="A3650" s="49"/>
      <c r="B3650" s="49"/>
    </row>
    <row r="3651" spans="1:2">
      <c r="A3651" s="49"/>
      <c r="B3651" s="49"/>
    </row>
    <row r="3652" spans="1:2">
      <c r="A3652" s="49"/>
      <c r="B3652" s="49"/>
    </row>
    <row r="3653" spans="1:2">
      <c r="A3653" s="49"/>
      <c r="B3653" s="49"/>
    </row>
    <row r="3654" spans="1:2">
      <c r="A3654" s="49"/>
      <c r="B3654" s="49"/>
    </row>
    <row r="3655" spans="1:2">
      <c r="A3655" s="49"/>
      <c r="B3655" s="49"/>
    </row>
    <row r="3656" spans="1:2">
      <c r="A3656" s="49"/>
      <c r="B3656" s="49"/>
    </row>
    <row r="3657" spans="1:2">
      <c r="A3657" s="49"/>
      <c r="B3657" s="49"/>
    </row>
    <row r="3658" spans="1:2">
      <c r="A3658" s="49"/>
      <c r="B3658" s="49"/>
    </row>
    <row r="3659" spans="1:2">
      <c r="A3659" s="49"/>
      <c r="B3659" s="49"/>
    </row>
    <row r="3660" spans="1:2">
      <c r="A3660" s="49"/>
      <c r="B3660" s="49"/>
    </row>
    <row r="3661" spans="1:2">
      <c r="A3661" s="49"/>
      <c r="B3661" s="49"/>
    </row>
    <row r="3662" spans="1:2">
      <c r="A3662" s="49"/>
      <c r="B3662" s="49"/>
    </row>
    <row r="3663" spans="1:2">
      <c r="A3663" s="49"/>
      <c r="B3663" s="49"/>
    </row>
    <row r="3664" spans="1:2">
      <c r="A3664" s="49"/>
      <c r="B3664" s="49"/>
    </row>
    <row r="3665" spans="1:2">
      <c r="A3665" s="49"/>
      <c r="B3665" s="49"/>
    </row>
    <row r="3666" spans="1:2">
      <c r="A3666" s="49"/>
      <c r="B3666" s="49"/>
    </row>
    <row r="3667" spans="1:2">
      <c r="A3667" s="49"/>
      <c r="B3667" s="49"/>
    </row>
    <row r="3668" spans="1:2">
      <c r="A3668" s="49"/>
      <c r="B3668" s="49"/>
    </row>
    <row r="3669" spans="1:2">
      <c r="A3669" s="49"/>
      <c r="B3669" s="49"/>
    </row>
    <row r="3670" spans="1:2">
      <c r="A3670" s="49"/>
      <c r="B3670" s="49"/>
    </row>
    <row r="3671" spans="1:2">
      <c r="A3671" s="49"/>
      <c r="B3671" s="49"/>
    </row>
    <row r="3672" spans="1:2">
      <c r="A3672" s="49"/>
      <c r="B3672" s="49"/>
    </row>
    <row r="3673" spans="1:2">
      <c r="A3673" s="49"/>
      <c r="B3673" s="49"/>
    </row>
    <row r="3674" spans="1:2">
      <c r="A3674" s="49"/>
      <c r="B3674" s="49"/>
    </row>
    <row r="3675" spans="1:2">
      <c r="A3675" s="49"/>
      <c r="B3675" s="49"/>
    </row>
    <row r="3676" spans="1:2">
      <c r="A3676" s="49"/>
      <c r="B3676" s="49"/>
    </row>
    <row r="3677" spans="1:2">
      <c r="A3677" s="49"/>
      <c r="B3677" s="49"/>
    </row>
    <row r="3678" spans="1:2">
      <c r="A3678" s="49"/>
      <c r="B3678" s="49"/>
    </row>
    <row r="3679" spans="1:2">
      <c r="A3679" s="49"/>
      <c r="B3679" s="49"/>
    </row>
    <row r="3680" spans="1:2">
      <c r="A3680" s="49"/>
      <c r="B3680" s="49"/>
    </row>
    <row r="3681" spans="1:2">
      <c r="A3681" s="49"/>
      <c r="B3681" s="49"/>
    </row>
    <row r="3682" spans="1:2">
      <c r="A3682" s="49"/>
      <c r="B3682" s="49"/>
    </row>
    <row r="3683" spans="1:2">
      <c r="A3683" s="49"/>
      <c r="B3683" s="49"/>
    </row>
    <row r="3684" spans="1:2">
      <c r="A3684" s="49"/>
      <c r="B3684" s="49"/>
    </row>
    <row r="3685" spans="1:2">
      <c r="A3685" s="49"/>
      <c r="B3685" s="49"/>
    </row>
    <row r="3686" spans="1:2">
      <c r="A3686" s="49"/>
      <c r="B3686" s="49"/>
    </row>
    <row r="3687" spans="1:2">
      <c r="A3687" s="49"/>
      <c r="B3687" s="49"/>
    </row>
    <row r="3688" spans="1:2">
      <c r="A3688" s="49"/>
      <c r="B3688" s="49"/>
    </row>
    <row r="3689" spans="1:2">
      <c r="A3689" s="49"/>
      <c r="B3689" s="49"/>
    </row>
    <row r="3690" spans="1:2">
      <c r="A3690" s="49"/>
      <c r="B3690" s="49"/>
    </row>
    <row r="3691" spans="1:2">
      <c r="A3691" s="49"/>
      <c r="B3691" s="49"/>
    </row>
    <row r="3692" spans="1:2">
      <c r="A3692" s="49"/>
      <c r="B3692" s="49"/>
    </row>
    <row r="3693" spans="1:2">
      <c r="A3693" s="49"/>
      <c r="B3693" s="49"/>
    </row>
    <row r="3694" spans="1:2">
      <c r="A3694" s="49"/>
      <c r="B3694" s="49"/>
    </row>
    <row r="3695" spans="1:2">
      <c r="A3695" s="49"/>
      <c r="B3695" s="49"/>
    </row>
    <row r="3696" spans="1:2">
      <c r="A3696" s="49"/>
      <c r="B3696" s="49"/>
    </row>
    <row r="3697" spans="1:2">
      <c r="A3697" s="49"/>
      <c r="B3697" s="49"/>
    </row>
    <row r="3698" spans="1:2">
      <c r="A3698" s="49"/>
      <c r="B3698" s="49"/>
    </row>
    <row r="3699" spans="1:2">
      <c r="A3699" s="49"/>
      <c r="B3699" s="49"/>
    </row>
    <row r="3700" spans="1:2">
      <c r="A3700" s="49"/>
      <c r="B3700" s="49"/>
    </row>
    <row r="3701" spans="1:2">
      <c r="A3701" s="49"/>
      <c r="B3701" s="49"/>
    </row>
    <row r="3702" spans="1:2">
      <c r="A3702" s="49"/>
      <c r="B3702" s="49"/>
    </row>
    <row r="3703" spans="1:2">
      <c r="A3703" s="49"/>
      <c r="B3703" s="49"/>
    </row>
    <row r="3704" spans="1:2">
      <c r="A3704" s="49"/>
      <c r="B3704" s="49"/>
    </row>
    <row r="3705" spans="1:2">
      <c r="A3705" s="49"/>
      <c r="B3705" s="49"/>
    </row>
    <row r="3706" spans="1:2">
      <c r="A3706" s="49"/>
      <c r="B3706" s="49"/>
    </row>
    <row r="3707" spans="1:2">
      <c r="A3707" s="49"/>
      <c r="B3707" s="49"/>
    </row>
    <row r="3708" spans="1:2">
      <c r="A3708" s="49"/>
      <c r="B3708" s="49"/>
    </row>
    <row r="3709" spans="1:2">
      <c r="A3709" s="49"/>
      <c r="B3709" s="49"/>
    </row>
    <row r="3710" spans="1:2">
      <c r="A3710" s="49"/>
      <c r="B3710" s="49"/>
    </row>
    <row r="3711" spans="1:2">
      <c r="A3711" s="49"/>
      <c r="B3711" s="49"/>
    </row>
    <row r="3712" spans="1:2">
      <c r="A3712" s="49"/>
      <c r="B3712" s="49"/>
    </row>
    <row r="3713" spans="1:2">
      <c r="A3713" s="49"/>
      <c r="B3713" s="49"/>
    </row>
    <row r="3714" spans="1:2">
      <c r="A3714" s="49"/>
      <c r="B3714" s="49"/>
    </row>
    <row r="3715" spans="1:2">
      <c r="A3715" s="49"/>
      <c r="B3715" s="49"/>
    </row>
    <row r="3716" spans="1:2">
      <c r="A3716" s="49"/>
      <c r="B3716" s="49"/>
    </row>
    <row r="3717" spans="1:2">
      <c r="A3717" s="49"/>
      <c r="B3717" s="49"/>
    </row>
    <row r="3718" spans="1:2">
      <c r="A3718" s="49"/>
      <c r="B3718" s="49"/>
    </row>
    <row r="3719" spans="1:2">
      <c r="A3719" s="49"/>
      <c r="B3719" s="49"/>
    </row>
    <row r="3720" spans="1:2">
      <c r="A3720" s="49"/>
      <c r="B3720" s="49"/>
    </row>
    <row r="3721" spans="1:2">
      <c r="A3721" s="49"/>
      <c r="B3721" s="49"/>
    </row>
    <row r="3722" spans="1:2">
      <c r="A3722" s="49"/>
      <c r="B3722" s="49"/>
    </row>
    <row r="3723" spans="1:2">
      <c r="A3723" s="49"/>
      <c r="B3723" s="49"/>
    </row>
    <row r="3724" spans="1:2">
      <c r="A3724" s="49"/>
      <c r="B3724" s="49"/>
    </row>
    <row r="3725" spans="1:2">
      <c r="A3725" s="49"/>
      <c r="B3725" s="49"/>
    </row>
    <row r="3726" spans="1:2">
      <c r="A3726" s="49"/>
      <c r="B3726" s="49"/>
    </row>
    <row r="3727" spans="1:2">
      <c r="A3727" s="49"/>
      <c r="B3727" s="49"/>
    </row>
    <row r="3728" spans="1:2">
      <c r="A3728" s="49"/>
      <c r="B3728" s="49"/>
    </row>
    <row r="3729" spans="1:2">
      <c r="A3729" s="49"/>
      <c r="B3729" s="49"/>
    </row>
    <row r="3730" spans="1:2">
      <c r="A3730" s="49"/>
      <c r="B3730" s="49"/>
    </row>
    <row r="3731" spans="1:2">
      <c r="A3731" s="49"/>
      <c r="B3731" s="49"/>
    </row>
    <row r="3732" spans="1:2">
      <c r="A3732" s="49"/>
      <c r="B3732" s="49"/>
    </row>
    <row r="3733" spans="1:2">
      <c r="A3733" s="49"/>
      <c r="B3733" s="49"/>
    </row>
    <row r="3734" spans="1:2">
      <c r="A3734" s="49"/>
      <c r="B3734" s="49"/>
    </row>
    <row r="3735" spans="1:2">
      <c r="A3735" s="49"/>
      <c r="B3735" s="49"/>
    </row>
    <row r="3736" spans="1:2">
      <c r="A3736" s="49"/>
      <c r="B3736" s="49"/>
    </row>
    <row r="3737" spans="1:2">
      <c r="A3737" s="49"/>
      <c r="B3737" s="49"/>
    </row>
    <row r="3738" spans="1:2">
      <c r="A3738" s="49"/>
      <c r="B3738" s="49"/>
    </row>
    <row r="3739" spans="1:2">
      <c r="A3739" s="49"/>
      <c r="B3739" s="49"/>
    </row>
    <row r="3740" spans="1:2">
      <c r="A3740" s="49"/>
      <c r="B3740" s="49"/>
    </row>
    <row r="3741" spans="1:2">
      <c r="A3741" s="49"/>
      <c r="B3741" s="49"/>
    </row>
    <row r="3742" spans="1:2">
      <c r="A3742" s="49"/>
      <c r="B3742" s="49"/>
    </row>
    <row r="3743" spans="1:2">
      <c r="A3743" s="49"/>
      <c r="B3743" s="49"/>
    </row>
    <row r="3744" spans="1:2">
      <c r="A3744" s="49"/>
      <c r="B3744" s="49"/>
    </row>
    <row r="3745" spans="1:2">
      <c r="A3745" s="49"/>
      <c r="B3745" s="49"/>
    </row>
    <row r="3746" spans="1:2">
      <c r="A3746" s="49"/>
      <c r="B3746" s="49"/>
    </row>
    <row r="3747" spans="1:2">
      <c r="A3747" s="49"/>
      <c r="B3747" s="49"/>
    </row>
    <row r="3748" spans="1:2">
      <c r="A3748" s="49"/>
      <c r="B3748" s="49"/>
    </row>
    <row r="3749" spans="1:2">
      <c r="A3749" s="49"/>
      <c r="B3749" s="49"/>
    </row>
    <row r="3750" spans="1:2">
      <c r="A3750" s="49"/>
      <c r="B3750" s="49"/>
    </row>
    <row r="3751" spans="1:2">
      <c r="A3751" s="49"/>
      <c r="B3751" s="49"/>
    </row>
    <row r="3752" spans="1:2">
      <c r="A3752" s="49"/>
      <c r="B3752" s="49"/>
    </row>
    <row r="3753" spans="1:2">
      <c r="A3753" s="49"/>
      <c r="B3753" s="49"/>
    </row>
    <row r="3754" spans="1:2">
      <c r="A3754" s="49"/>
      <c r="B3754" s="49"/>
    </row>
    <row r="3755" spans="1:2">
      <c r="A3755" s="49"/>
      <c r="B3755" s="49"/>
    </row>
    <row r="3756" spans="1:2">
      <c r="A3756" s="49"/>
      <c r="B3756" s="49"/>
    </row>
    <row r="3757" spans="1:2">
      <c r="A3757" s="49"/>
      <c r="B3757" s="49"/>
    </row>
    <row r="3758" spans="1:2">
      <c r="A3758" s="49"/>
      <c r="B3758" s="49"/>
    </row>
    <row r="3759" spans="1:2">
      <c r="A3759" s="49"/>
      <c r="B3759" s="49"/>
    </row>
    <row r="3760" spans="1:2">
      <c r="A3760" s="49"/>
      <c r="B3760" s="49"/>
    </row>
    <row r="3761" spans="1:2">
      <c r="A3761" s="49"/>
      <c r="B3761" s="49"/>
    </row>
    <row r="3762" spans="1:2">
      <c r="A3762" s="49"/>
      <c r="B3762" s="49"/>
    </row>
    <row r="3763" spans="1:2">
      <c r="A3763" s="49"/>
      <c r="B3763" s="49"/>
    </row>
    <row r="3764" spans="1:2">
      <c r="A3764" s="49"/>
      <c r="B3764" s="49"/>
    </row>
    <row r="3765" spans="1:2">
      <c r="A3765" s="49"/>
      <c r="B3765" s="49"/>
    </row>
    <row r="3766" spans="1:2">
      <c r="A3766" s="49"/>
      <c r="B3766" s="49"/>
    </row>
    <row r="3767" spans="1:2">
      <c r="A3767" s="49"/>
      <c r="B3767" s="49"/>
    </row>
    <row r="3768" spans="1:2">
      <c r="A3768" s="49"/>
      <c r="B3768" s="49"/>
    </row>
    <row r="3769" spans="1:2">
      <c r="A3769" s="49"/>
      <c r="B3769" s="49"/>
    </row>
    <row r="3770" spans="1:2">
      <c r="A3770" s="49"/>
      <c r="B3770" s="49"/>
    </row>
  </sheetData>
  <autoFilter ref="A1:B1862">
    <sortState ref="A2:B1887">
      <sortCondition ref="A2:A186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1"/>
  <dimension ref="A1:AA171"/>
  <sheetViews>
    <sheetView tabSelected="1" topLeftCell="J1" zoomScale="110" zoomScaleNormal="110" workbookViewId="0">
      <pane ySplit="3" topLeftCell="A4" activePane="bottomLeft" state="frozen"/>
      <selection pane="bottomLeft" activeCell="S1" sqref="S1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2695312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26953125" style="16" customWidth="1"/>
    <col min="13" max="13" width="10.54296875" style="16" customWidth="1"/>
    <col min="14" max="14" width="11" style="16" customWidth="1"/>
    <col min="15" max="16" width="7.81640625" style="29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5" customFormat="1" ht="27.65" customHeight="1">
      <c r="A1" s="34" t="s">
        <v>5399</v>
      </c>
      <c r="B1" s="34"/>
      <c r="J1" s="34" t="s">
        <v>5398</v>
      </c>
      <c r="K1" s="34"/>
      <c r="O1" s="36"/>
      <c r="P1" s="36"/>
      <c r="S1" s="34" t="s">
        <v>5397</v>
      </c>
      <c r="T1" s="34"/>
      <c r="W1" s="39"/>
    </row>
    <row r="2" spans="1:27">
      <c r="A2" s="26" t="s">
        <v>5393</v>
      </c>
      <c r="B2" s="17"/>
      <c r="J2" s="26" t="s">
        <v>5393</v>
      </c>
      <c r="K2" s="17"/>
      <c r="S2" s="26" t="s">
        <v>5393</v>
      </c>
      <c r="T2" s="1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30" t="s">
        <v>5324</v>
      </c>
      <c r="P3" s="30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COUNTIFS(E_Suivi_Eans!$C:$C,"01/2022",E_Suivi_Eans!$D:$D,"Déchets diffus spéc. Ménagers",E_Suivi_Eans!$J:$J,"Retour OK",E_Suivi_Eans!$K:$K,"&gt;31/12/2021",E_Suivi_Eans!K:K,"&lt;01/02/2022")</f>
        <v>0</v>
      </c>
      <c r="D4" s="21">
        <f t="shared" ref="D4:D14" si="0">F4-C4-E4</f>
        <v>51</v>
      </c>
      <c r="E4" s="21">
        <f>COUNTIFS(E_Suivi_Eans!$C:$C,"01/2022",E_Suivi_Eans!$D:$D,"Déchets diffus spéc. Ménagers",E_Suivi_Eans!$J:$J,"Abandon",E_Suivi_Eans!$K:$K,"&gt;31/12/2021",E_Suivi_Eans!K:K,"&lt;01/02/2022")</f>
        <v>0</v>
      </c>
      <c r="F4" s="21">
        <f>COUNTIFS(E_Suivi_Eans!$C:$C,"01/2022",E_Suivi_Eans!$D:$D,"Déchets diffus spéc. Ménagers")</f>
        <v>51</v>
      </c>
      <c r="G4" s="21">
        <f>F4-E4</f>
        <v>51</v>
      </c>
      <c r="J4" s="20" t="s">
        <v>5314</v>
      </c>
      <c r="K4" s="20" t="s">
        <v>5314</v>
      </c>
      <c r="L4" s="28">
        <f>C4/$G4</f>
        <v>0</v>
      </c>
      <c r="M4" s="28">
        <f t="shared" ref="M4:M14" si="1">O4-L4-N4</f>
        <v>1</v>
      </c>
      <c r="N4" s="28">
        <f t="shared" ref="N4" si="2">E4/$G4</f>
        <v>0</v>
      </c>
      <c r="O4" s="28">
        <v>1</v>
      </c>
      <c r="P4" s="28">
        <f>O4-N4</f>
        <v>1</v>
      </c>
      <c r="S4" s="20" t="s">
        <v>5314</v>
      </c>
      <c r="T4" s="20" t="s">
        <v>5314</v>
      </c>
      <c r="U4" s="38">
        <f t="array" ref="U4">COUNT(LN(MATCH($S$2&amp;$S4&amp;$T4&amp;U$3&amp;Tableau1[Nom Fournisseur],Tableau1[Taxe]&amp;Tableau1[Mois de campagne]&amp;TEXT(Tableau1[Date_Statut],"mm/aaaa")&amp;Tableau1[Statut]&amp;Tableau1[Nom Fournisseur],0)=ROW(Tableau1[])-1))</f>
        <v>0</v>
      </c>
      <c r="V4" s="21"/>
      <c r="W4" s="21"/>
      <c r="X4" s="38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COUNTIFS(E_Suivi_Eans!$C:$C,"01/2022",E_Suivi_Eans!$D:$D,"Déchets diffus spéc. Ménagers",E_Suivi_Eans!$J:$J,"Retour OK",E_Suivi_Eans!$K:$K,"&gt;31/12/2021",E_Suivi_Eans!$K:$K,"&lt;01/03/2022")</f>
        <v>40</v>
      </c>
      <c r="D5" s="21">
        <f t="shared" si="0"/>
        <v>11</v>
      </c>
      <c r="E5" s="21">
        <f>COUNTIFS(E_Suivi_Eans!$C:$C,"01/2022",E_Suivi_Eans!$D:$D,"Déchets diffus spéc. Ménagers",E_Suivi_Eans!$J:$J,"Abandon",E_Suivi_Eans!$K:$K,"&gt;31/12/2021",E_Suivi_Eans!K:K,"&lt;01/03/2022")</f>
        <v>0</v>
      </c>
      <c r="F5" s="21">
        <f>COUNTIFS(E_Suivi_Eans!$C:$C,"01/2022",E_Suivi_Eans!$D:$D,"Déchets diffus spéc. Ménagers")</f>
        <v>51</v>
      </c>
      <c r="G5" s="21">
        <f t="shared" ref="G5:G14" si="3">F5-E5</f>
        <v>51</v>
      </c>
      <c r="J5" s="20" t="s">
        <v>5314</v>
      </c>
      <c r="K5" s="20" t="s">
        <v>5315</v>
      </c>
      <c r="L5" s="28">
        <f t="shared" ref="L5:L14" si="4">C5/$G5</f>
        <v>0.78431372549019607</v>
      </c>
      <c r="M5" s="28">
        <f t="shared" si="1"/>
        <v>0.21568627450980393</v>
      </c>
      <c r="N5" s="28">
        <f t="shared" ref="N5:N14" si="5">E5/$G5</f>
        <v>0</v>
      </c>
      <c r="O5" s="28">
        <v>1</v>
      </c>
      <c r="P5" s="28">
        <f t="shared" ref="P5:P14" si="6">O5-N5</f>
        <v>1</v>
      </c>
      <c r="S5" s="20" t="s">
        <v>5314</v>
      </c>
      <c r="T5" s="20" t="s">
        <v>5315</v>
      </c>
      <c r="U5" s="38">
        <f t="array" ref="U5">COUNT(LN(MATCH($S$2&amp;$S5&amp;$T5&amp;U$3&amp;Tableau1[Nom Fournisseur],Tableau1[Taxe]&amp;Tableau1[Mois de campagne]&amp;TEXT(Tableau1[Date_Statut],"mm/aaaa")&amp;Tableau1[Statut]&amp;Tableau1[Nom Fournisseur],0)=ROW(Tableau1[])-1))</f>
        <v>0</v>
      </c>
      <c r="V5" s="21"/>
      <c r="W5" s="21"/>
      <c r="X5" s="38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COUNTIFS(E_Suivi_Eans!$C:$C,"01/2022",E_Suivi_Eans!$D:$D,"Déchets diffus spéc. Ménagers",E_Suivi_Eans!$J:$J,"Retour OK",E_Suivi_Eans!$K:$K,"&gt;31/12/2021",E_Suivi_Eans!$K:$K,"&lt;01/04/2022")</f>
        <v>40</v>
      </c>
      <c r="D6" s="21">
        <f t="shared" si="0"/>
        <v>11</v>
      </c>
      <c r="E6" s="21">
        <f>COUNTIFS(E_Suivi_Eans!$C:$C,"01/2022",E_Suivi_Eans!$D:$D,"Déchets diffus spéc. Ménagers",E_Suivi_Eans!$J:$J,"Abandon",E_Suivi_Eans!$K:$K,"&gt;31/12/2021",E_Suivi_Eans!K:K,"&lt;01/04/2022")</f>
        <v>0</v>
      </c>
      <c r="F6" s="21">
        <f>COUNTIFS(E_Suivi_Eans!$C:$C,"01/2022",E_Suivi_Eans!$D:$D,"Déchets diffus spéc. Ménagers")</f>
        <v>51</v>
      </c>
      <c r="G6" s="21">
        <f t="shared" si="3"/>
        <v>51</v>
      </c>
      <c r="J6" s="20" t="s">
        <v>5314</v>
      </c>
      <c r="K6" s="20" t="s">
        <v>5316</v>
      </c>
      <c r="L6" s="28">
        <f t="shared" si="4"/>
        <v>0.78431372549019607</v>
      </c>
      <c r="M6" s="28">
        <f t="shared" si="1"/>
        <v>0.21568627450980393</v>
      </c>
      <c r="N6" s="28">
        <f t="shared" si="5"/>
        <v>0</v>
      </c>
      <c r="O6" s="28">
        <v>1</v>
      </c>
      <c r="P6" s="28">
        <f t="shared" si="6"/>
        <v>1</v>
      </c>
      <c r="S6" s="20" t="s">
        <v>5314</v>
      </c>
      <c r="T6" s="20" t="s">
        <v>5316</v>
      </c>
      <c r="U6" s="38">
        <f t="array" ref="U6">COUNT(LN(MATCH($S$2&amp;$S6&amp;$T6&amp;U$3&amp;Tableau1[Nom Fournisseur],Tableau1[Taxe]&amp;Tableau1[Mois de campagne]&amp;TEXT(Tableau1[Date_Statut],"mm/aaaa")&amp;Tableau1[Statut]&amp;Tableau1[Nom Fournisseur],0)=ROW(Tableau1[])-1))</f>
        <v>0</v>
      </c>
      <c r="V6" s="21"/>
      <c r="W6" s="21"/>
      <c r="X6" s="38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COUNTIFS(E_Suivi_Eans!$C:$C,"01/2022",E_Suivi_Eans!$D:$D,"Déchets diffus spéc. Ménagers",E_Suivi_Eans!$J:$J,"Retour OK",E_Suivi_Eans!$K:$K,"&gt;31/12/2021",E_Suivi_Eans!$K:$K,"&lt;01/05/2022")</f>
        <v>40</v>
      </c>
      <c r="D7" s="21">
        <f t="shared" si="0"/>
        <v>11</v>
      </c>
      <c r="E7" s="21">
        <f>COUNTIFS(E_Suivi_Eans!$C:$C,"01/2022",E_Suivi_Eans!$D:$D,"Déchets diffus spéc. Ménagers",E_Suivi_Eans!$J:$J,"Abandon",E_Suivi_Eans!$K:$K,"&gt;31/12/2021",E_Suivi_Eans!K:K,"&lt;01/05/2022")</f>
        <v>0</v>
      </c>
      <c r="F7" s="21">
        <f>COUNTIFS(E_Suivi_Eans!$C:$C,"01/2022",E_Suivi_Eans!$D:$D,"Déchets diffus spéc. Ménagers")</f>
        <v>51</v>
      </c>
      <c r="G7" s="21">
        <f t="shared" si="3"/>
        <v>51</v>
      </c>
      <c r="J7" s="20" t="s">
        <v>5314</v>
      </c>
      <c r="K7" s="20" t="s">
        <v>5317</v>
      </c>
      <c r="L7" s="28">
        <f>C7/$G7</f>
        <v>0.78431372549019607</v>
      </c>
      <c r="M7" s="28">
        <f t="shared" si="1"/>
        <v>0.21568627450980393</v>
      </c>
      <c r="N7" s="28">
        <f t="shared" si="5"/>
        <v>0</v>
      </c>
      <c r="O7" s="28">
        <v>1</v>
      </c>
      <c r="P7" s="28">
        <f t="shared" si="6"/>
        <v>1</v>
      </c>
      <c r="S7" s="20" t="s">
        <v>5314</v>
      </c>
      <c r="T7" s="20" t="s">
        <v>5317</v>
      </c>
      <c r="U7" s="38">
        <f t="array" ref="U7">COUNT(LN(MATCH($S$2&amp;$S7&amp;$T7&amp;U$3&amp;Tableau1[Nom Fournisseur],Tableau1[Taxe]&amp;Tableau1[Mois de campagne]&amp;TEXT(Tableau1[Date_Statut],"mm/aaaa")&amp;Tableau1[Statut]&amp;Tableau1[Nom Fournisseur],0)=ROW(Tableau1[])-1))</f>
        <v>0</v>
      </c>
      <c r="V7" s="21"/>
      <c r="W7" s="21"/>
      <c r="X7" s="38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COUNTIFS(E_Suivi_Eans!$C:$C,"01/2022",E_Suivi_Eans!$D:$D,"Déchets diffus spéc. Ménagers",E_Suivi_Eans!$J:$J,"Retour OK",E_Suivi_Eans!$K:$K,"&gt;31/12/2021",E_Suivi_Eans!$K:$K,"&lt;01/06/2022")</f>
        <v>40</v>
      </c>
      <c r="D8" s="21">
        <f t="shared" si="0"/>
        <v>11</v>
      </c>
      <c r="E8" s="21">
        <f>COUNTIFS(E_Suivi_Eans!$C:$C,"01/2022",E_Suivi_Eans!$D:$D,"Déchets diffus spéc. Ménagers",E_Suivi_Eans!$J:$J,"Abandon",E_Suivi_Eans!$K:$K,"&gt;31/12/2021",E_Suivi_Eans!K:K,"&lt;01/06/2022")</f>
        <v>0</v>
      </c>
      <c r="F8" s="21">
        <f>COUNTIFS(E_Suivi_Eans!$C:$C,"01/2022",E_Suivi_Eans!$D:$D,"Déchets diffus spéc. Ménagers")</f>
        <v>51</v>
      </c>
      <c r="G8" s="21">
        <f t="shared" si="3"/>
        <v>51</v>
      </c>
      <c r="J8" s="20" t="s">
        <v>5314</v>
      </c>
      <c r="K8" s="20" t="s">
        <v>5318</v>
      </c>
      <c r="L8" s="28">
        <f t="shared" si="4"/>
        <v>0.78431372549019607</v>
      </c>
      <c r="M8" s="28">
        <f t="shared" si="1"/>
        <v>0.21568627450980393</v>
      </c>
      <c r="N8" s="28">
        <f t="shared" si="5"/>
        <v>0</v>
      </c>
      <c r="O8" s="28">
        <v>1</v>
      </c>
      <c r="P8" s="28">
        <f t="shared" si="6"/>
        <v>1</v>
      </c>
      <c r="S8" s="20" t="s">
        <v>5314</v>
      </c>
      <c r="T8" s="20" t="s">
        <v>5318</v>
      </c>
      <c r="U8" s="38">
        <f t="array" ref="U8">COUNT(LN(MATCH($S$2&amp;$S8&amp;$T8&amp;U$3&amp;Tableau1[Nom Fournisseur],Tableau1[Taxe]&amp;Tableau1[Mois de campagne]&amp;TEXT(Tableau1[Date_Statut],"mm/aaaa")&amp;Tableau1[Statut]&amp;Tableau1[Nom Fournisseur],0)=ROW(Tableau1[])-1))</f>
        <v>0</v>
      </c>
      <c r="V8" s="21"/>
      <c r="W8" s="21"/>
      <c r="X8" s="38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COUNTIFS(E_Suivi_Eans!$C:$C,"01/2022",E_Suivi_Eans!$D:$D,"Déchets diffus spéc. Ménagers",E_Suivi_Eans!$J:$J,"Retour OK",E_Suivi_Eans!$K:$K,"&gt;31/12/2021",E_Suivi_Eans!$K:$K,"&lt;01/07/2022")</f>
        <v>40</v>
      </c>
      <c r="D9" s="21">
        <f t="shared" si="0"/>
        <v>11</v>
      </c>
      <c r="E9" s="21">
        <f>COUNTIFS(E_Suivi_Eans!$C:$C,"01/2022",E_Suivi_Eans!$D:$D,"Déchets diffus spéc. Ménagers",E_Suivi_Eans!$J:$J,"Abandon",E_Suivi_Eans!$K:$K,"&gt;31/12/2021",E_Suivi_Eans!K:K,"&lt;01/07/2022")</f>
        <v>0</v>
      </c>
      <c r="F9" s="21">
        <f>COUNTIFS(E_Suivi_Eans!$C:$C,"01/2022",E_Suivi_Eans!$D:$D,"Déchets diffus spéc. Ménagers")</f>
        <v>51</v>
      </c>
      <c r="G9" s="21">
        <f t="shared" si="3"/>
        <v>51</v>
      </c>
      <c r="J9" s="20" t="s">
        <v>5314</v>
      </c>
      <c r="K9" s="20" t="s">
        <v>5319</v>
      </c>
      <c r="L9" s="28">
        <f t="shared" si="4"/>
        <v>0.78431372549019607</v>
      </c>
      <c r="M9" s="28">
        <f t="shared" si="1"/>
        <v>0.21568627450980393</v>
      </c>
      <c r="N9" s="28">
        <f t="shared" si="5"/>
        <v>0</v>
      </c>
      <c r="O9" s="28">
        <v>1</v>
      </c>
      <c r="P9" s="28">
        <f t="shared" si="6"/>
        <v>1</v>
      </c>
      <c r="S9" s="20" t="s">
        <v>5314</v>
      </c>
      <c r="T9" s="20" t="s">
        <v>5319</v>
      </c>
      <c r="U9" s="38">
        <f t="array" ref="U9">COUNT(LN(MATCH($S$2&amp;$S9&amp;$T9&amp;U$3&amp;Tableau1[Nom Fournisseur],Tableau1[Taxe]&amp;Tableau1[Mois de campagne]&amp;TEXT(Tableau1[Date_Statut],"mm/aaaa")&amp;Tableau1[Statut]&amp;Tableau1[Nom Fournisseur],0)=ROW(Tableau1[])-1))</f>
        <v>0</v>
      </c>
      <c r="V9" s="21"/>
      <c r="W9" s="21"/>
      <c r="X9" s="38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COUNTIFS(E_Suivi_Eans!$C:$C,"01/2022",E_Suivi_Eans!$D:$D,"Déchets diffus spéc. Ménagers",E_Suivi_Eans!$J:$J,"Retour OK",E_Suivi_Eans!$K:$K,"&gt;31/12/2021",E_Suivi_Eans!$K:$K,"&lt;01/08/2022")</f>
        <v>40</v>
      </c>
      <c r="D10" s="21">
        <f t="shared" si="0"/>
        <v>11</v>
      </c>
      <c r="E10" s="21">
        <f>COUNTIFS(E_Suivi_Eans!$C:$C,"01/2022",E_Suivi_Eans!$D:$D,"Déchets diffus spéc. Ménagers",E_Suivi_Eans!$J:$J,"Abandon",E_Suivi_Eans!$K:$K,"&gt;31/12/2021",E_Suivi_Eans!K:K,"&lt;01/08/2022")</f>
        <v>0</v>
      </c>
      <c r="F10" s="21">
        <f>COUNTIFS(E_Suivi_Eans!$C:$C,"01/2022",E_Suivi_Eans!$D:$D,"Déchets diffus spéc. Ménagers")</f>
        <v>51</v>
      </c>
      <c r="G10" s="21">
        <f t="shared" si="3"/>
        <v>51</v>
      </c>
      <c r="J10" s="20" t="s">
        <v>5314</v>
      </c>
      <c r="K10" s="20" t="s">
        <v>5320</v>
      </c>
      <c r="L10" s="28">
        <f t="shared" si="4"/>
        <v>0.78431372549019607</v>
      </c>
      <c r="M10" s="28">
        <f t="shared" si="1"/>
        <v>0.21568627450980393</v>
      </c>
      <c r="N10" s="28">
        <f t="shared" si="5"/>
        <v>0</v>
      </c>
      <c r="O10" s="28">
        <v>1</v>
      </c>
      <c r="P10" s="28">
        <f t="shared" si="6"/>
        <v>1</v>
      </c>
      <c r="S10" s="20" t="s">
        <v>5314</v>
      </c>
      <c r="T10" s="20" t="s">
        <v>5320</v>
      </c>
      <c r="U10" s="38">
        <f t="array" ref="U10">COUNT(LN(MATCH($S$2&amp;$S10&amp;$T10&amp;U$3&amp;Tableau1[Nom Fournisseur],Tableau1[Taxe]&amp;Tableau1[Mois de campagne]&amp;TEXT(Tableau1[Date_Statut],"mm/aaaa")&amp;Tableau1[Statut]&amp;Tableau1[Nom Fournisseur],0)=ROW(Tableau1[])-1))</f>
        <v>0</v>
      </c>
      <c r="V10" s="21"/>
      <c r="W10" s="21"/>
      <c r="X10" s="38"/>
      <c r="Y10" s="21"/>
      <c r="AA10" s="37"/>
    </row>
    <row r="11" spans="1:27">
      <c r="A11" s="20" t="s">
        <v>5314</v>
      </c>
      <c r="B11" s="20" t="s">
        <v>5321</v>
      </c>
      <c r="C11" s="21">
        <f>COUNTIFS(E_Suivi_Eans!$C:$C,"01/2022",E_Suivi_Eans!$D:$D,"Déchets diffus spéc. Ménagers",E_Suivi_Eans!$J:$J,"Retour OK",E_Suivi_Eans!$K:$K,"&gt;31/12/2021",E_Suivi_Eans!$K:$K,"&lt;01/09/2022")</f>
        <v>40</v>
      </c>
      <c r="D11" s="21">
        <f t="shared" si="0"/>
        <v>11</v>
      </c>
      <c r="E11" s="21">
        <f>COUNTIFS(E_Suivi_Eans!$C:$C,"01/2022",E_Suivi_Eans!$D:$D,"Déchets diffus spéc. Ménagers",E_Suivi_Eans!$J:$J,"Abandon",E_Suivi_Eans!$K:$K,"&gt;31/12/2021",E_Suivi_Eans!K:K,"&lt;01/09/2022")</f>
        <v>0</v>
      </c>
      <c r="F11" s="21">
        <f>COUNTIFS(E_Suivi_Eans!$C:$C,"01/2022",E_Suivi_Eans!$D:$D,"Déchets diffus spéc. Ménagers")</f>
        <v>51</v>
      </c>
      <c r="G11" s="21">
        <f t="shared" si="3"/>
        <v>51</v>
      </c>
      <c r="J11" s="20" t="s">
        <v>5314</v>
      </c>
      <c r="K11" s="20" t="s">
        <v>5321</v>
      </c>
      <c r="L11" s="28">
        <f t="shared" si="4"/>
        <v>0.78431372549019607</v>
      </c>
      <c r="M11" s="28">
        <f t="shared" si="1"/>
        <v>0.21568627450980393</v>
      </c>
      <c r="N11" s="28">
        <f t="shared" si="5"/>
        <v>0</v>
      </c>
      <c r="O11" s="28">
        <v>1</v>
      </c>
      <c r="P11" s="28">
        <f t="shared" si="6"/>
        <v>1</v>
      </c>
      <c r="S11" s="20" t="s">
        <v>5314</v>
      </c>
      <c r="T11" s="20" t="s">
        <v>5321</v>
      </c>
      <c r="U11" s="38">
        <f t="array" ref="U11">COUNT(LN(MATCH($S$2&amp;$S11&amp;$T11&amp;U$3&amp;Tableau1[Nom Fournisseur],Tableau1[Taxe]&amp;Tableau1[Mois de campagne]&amp;TEXT(Tableau1[Date_Statut],"mm/aaaa")&amp;Tableau1[Statut]&amp;Tableau1[Nom Fournisseur],0)=ROW(Tableau1[])-1))</f>
        <v>0</v>
      </c>
      <c r="V11" s="21"/>
      <c r="W11" s="21"/>
      <c r="X11" s="38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COUNTIFS(E_Suivi_Eans!$C:$C,"01/2022",E_Suivi_Eans!$D:$D,"Déchets diffus spéc. Ménagers",E_Suivi_Eans!$J:$J,"Retour OK",E_Suivi_Eans!$K:$K,"&gt;31/12/2021",E_Suivi_Eans!$K:$K,"&lt;01/10/2022")</f>
        <v>40</v>
      </c>
      <c r="D12" s="21">
        <f t="shared" si="0"/>
        <v>11</v>
      </c>
      <c r="E12" s="21">
        <f>COUNTIFS(E_Suivi_Eans!$C:$C,"01/2022",E_Suivi_Eans!$D:$D,"Déchets diffus spéc. Ménagers",E_Suivi_Eans!$J:$J,"Abandon",E_Suivi_Eans!$K:$K,"&gt;31/12/2021",E_Suivi_Eans!K:K,"&lt;01/10/2022")</f>
        <v>0</v>
      </c>
      <c r="F12" s="21">
        <f>COUNTIFS(E_Suivi_Eans!$C:$C,"01/2022",E_Suivi_Eans!$D:$D,"Déchets diffus spéc. Ménagers")</f>
        <v>51</v>
      </c>
      <c r="G12" s="21">
        <f t="shared" si="3"/>
        <v>51</v>
      </c>
      <c r="J12" s="20" t="s">
        <v>5314</v>
      </c>
      <c r="K12" s="20" t="s">
        <v>5325</v>
      </c>
      <c r="L12" s="28">
        <f t="shared" si="4"/>
        <v>0.78431372549019607</v>
      </c>
      <c r="M12" s="28">
        <f t="shared" si="1"/>
        <v>0.21568627450980393</v>
      </c>
      <c r="N12" s="28">
        <f t="shared" si="5"/>
        <v>0</v>
      </c>
      <c r="O12" s="28">
        <v>1</v>
      </c>
      <c r="P12" s="28">
        <f t="shared" si="6"/>
        <v>1</v>
      </c>
      <c r="S12" s="20" t="s">
        <v>5314</v>
      </c>
      <c r="T12" s="20" t="s">
        <v>5325</v>
      </c>
      <c r="U12" s="38">
        <f t="array" ref="U12">COUNT(LN(MATCH($S$2&amp;$S12&amp;$T12&amp;U$3&amp;Tableau1[Nom Fournisseur],Tableau1[Taxe]&amp;Tableau1[Mois de campagne]&amp;TEXT(Tableau1[Date_Statut],"mm/aaaa")&amp;Tableau1[Statut]&amp;Tableau1[Nom Fournisseur],0)=ROW(Tableau1[])-1))</f>
        <v>0</v>
      </c>
      <c r="V12" s="21"/>
      <c r="W12" s="21"/>
      <c r="X12" s="38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COUNTIFS(E_Suivi_Eans!$C:$C,"01/2022",E_Suivi_Eans!$D:$D,"Déchets diffus spéc. Ménagers",E_Suivi_Eans!$J:$J,"Retour OK",E_Suivi_Eans!$K:$K,"&gt;31/12/2021",E_Suivi_Eans!$K:$K,"&lt;01/11/2022")</f>
        <v>40</v>
      </c>
      <c r="D13" s="21">
        <f t="shared" si="0"/>
        <v>11</v>
      </c>
      <c r="E13" s="21">
        <f>COUNTIFS(E_Suivi_Eans!$C:$C,"01/2022",E_Suivi_Eans!$D:$D,"Déchets diffus spéc. Ménagers",E_Suivi_Eans!$J:$J,"Abandon",E_Suivi_Eans!$K:$K,"&gt;31/12/2021",E_Suivi_Eans!K:K,"&lt;01/11/2022")</f>
        <v>0</v>
      </c>
      <c r="F13" s="21">
        <f>COUNTIFS(E_Suivi_Eans!$C:$C,"01/2022",E_Suivi_Eans!$D:$D,"Déchets diffus spéc. Ménagers")</f>
        <v>51</v>
      </c>
      <c r="G13" s="21">
        <f t="shared" si="3"/>
        <v>51</v>
      </c>
      <c r="J13" s="20" t="s">
        <v>5314</v>
      </c>
      <c r="K13" s="20" t="s">
        <v>5326</v>
      </c>
      <c r="L13" s="28">
        <f t="shared" si="4"/>
        <v>0.78431372549019607</v>
      </c>
      <c r="M13" s="28">
        <f t="shared" si="1"/>
        <v>0.21568627450980393</v>
      </c>
      <c r="N13" s="28">
        <f t="shared" si="5"/>
        <v>0</v>
      </c>
      <c r="O13" s="28">
        <v>1</v>
      </c>
      <c r="P13" s="28">
        <f t="shared" si="6"/>
        <v>1</v>
      </c>
      <c r="S13" s="20" t="s">
        <v>5314</v>
      </c>
      <c r="T13" s="20" t="s">
        <v>5326</v>
      </c>
      <c r="U13" s="38">
        <f t="array" ref="U13">COUNT(LN(MATCH($S$2&amp;$S13&amp;$T13&amp;U$3&amp;Tableau1[Nom Fournisseur],Tableau1[Taxe]&amp;Tableau1[Mois de campagne]&amp;TEXT(Tableau1[Date_Statut],"mm/aaaa")&amp;Tableau1[Statut]&amp;Tableau1[Nom Fournisseur],0)=ROW(Tableau1[])-1))</f>
        <v>0</v>
      </c>
      <c r="V13" s="21"/>
      <c r="W13" s="21"/>
      <c r="X13" s="38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COUNTIFS(E_Suivi_Eans!$C:$C,"01/2022",E_Suivi_Eans!$D:$D,"Déchets diffus spéc. Ménagers",E_Suivi_Eans!$J:$J,"Retour OK",E_Suivi_Eans!$K:$K,"&gt;31/12/2021",E_Suivi_Eans!$K:$K,"&lt;01/12/2022")</f>
        <v>51</v>
      </c>
      <c r="D14" s="21">
        <f t="shared" si="0"/>
        <v>0</v>
      </c>
      <c r="E14" s="21">
        <f>COUNTIFS(E_Suivi_Eans!$C:$C,"01/2022",E_Suivi_Eans!$D:$D,"Déchets diffus spéc. Ménagers",E_Suivi_Eans!$J:$J,"Abandon",E_Suivi_Eans!$K:$K,"&gt;31/12/2021",E_Suivi_Eans!K:K,"&lt;01/12/2022")</f>
        <v>0</v>
      </c>
      <c r="F14" s="21">
        <f>COUNTIFS(E_Suivi_Eans!$C:$C,"01/2022",E_Suivi_Eans!$D:$D,"Déchets diffus spéc. Ménagers")</f>
        <v>51</v>
      </c>
      <c r="G14" s="21">
        <f t="shared" si="3"/>
        <v>51</v>
      </c>
      <c r="J14" s="20" t="s">
        <v>5314</v>
      </c>
      <c r="K14" s="20" t="s">
        <v>5327</v>
      </c>
      <c r="L14" s="28">
        <f t="shared" si="4"/>
        <v>1</v>
      </c>
      <c r="M14" s="28">
        <f t="shared" si="1"/>
        <v>0</v>
      </c>
      <c r="N14" s="28">
        <f t="shared" si="5"/>
        <v>0</v>
      </c>
      <c r="O14" s="28">
        <v>1</v>
      </c>
      <c r="P14" s="28">
        <f t="shared" si="6"/>
        <v>1</v>
      </c>
      <c r="S14" s="20" t="s">
        <v>5314</v>
      </c>
      <c r="T14" s="20" t="s">
        <v>5327</v>
      </c>
      <c r="U14" s="38">
        <f t="array" ref="U14">COUNT(LN(MATCH($S$2&amp;$S14&amp;$T14&amp;U$3&amp;Tableau1[Nom Fournisseur],Tableau1[Taxe]&amp;Tableau1[Mois de campagne]&amp;TEXT(Tableau1[Date_Statut],"mm/aaaa")&amp;Tableau1[Statut]&amp;Tableau1[Nom Fournisseur],0)=ROW(Tableau1[])-1))</f>
        <v>0</v>
      </c>
      <c r="V14" s="21"/>
      <c r="W14" s="21"/>
      <c r="X14" s="38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8"/>
      <c r="P15" s="28"/>
      <c r="S15" s="20" t="s">
        <v>5314</v>
      </c>
      <c r="T15" s="20" t="s">
        <v>5328</v>
      </c>
      <c r="U15" s="38">
        <f t="array" ref="U15">COUNT(LN(MATCH($S$2&amp;$S15&amp;$T15&amp;U$3&amp;Tableau1[Nom Fournisseur],Tableau1[Taxe]&amp;Tableau1[Mois de campagne]&amp;TEXT(Tableau1[Date_Statut],"mm/aaaa")&amp;Tableau1[Statut]&amp;Tableau1[Nom Fournisseur],0)=ROW(Tableau1[])-1))</f>
        <v>0</v>
      </c>
      <c r="V15" s="21"/>
      <c r="W15" s="21"/>
      <c r="X15" s="21"/>
      <c r="Y15" s="21"/>
    </row>
    <row r="16" spans="1:27">
      <c r="A16" s="22"/>
      <c r="B16" s="22"/>
      <c r="C16" s="23"/>
      <c r="D16" s="24"/>
      <c r="E16" s="25"/>
      <c r="F16" s="25"/>
      <c r="G16" s="25"/>
      <c r="J16" s="22"/>
      <c r="K16" s="22"/>
      <c r="L16" s="23"/>
      <c r="M16" s="24"/>
      <c r="N16" s="25"/>
      <c r="O16" s="31"/>
      <c r="P16" s="31"/>
      <c r="S16" s="22"/>
      <c r="T16" s="22"/>
      <c r="U16" s="23"/>
      <c r="V16" s="24"/>
      <c r="W16" s="25"/>
      <c r="X16" s="25"/>
      <c r="Y16" s="25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8"/>
      <c r="P17" s="28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COUNTIFS(E_Suivi_Eans!$C:$C,"02/2022",E_Suivi_Eans!$D:$D,"Déchets diffus spéc. Ménagers",E_Suivi_Eans!$J:$J,"Retour OK",E_Suivi_Eans!$K:$K,"&gt;31/12/2021",E_Suivi_Eans!K:K,"&lt;01/03/2022")</f>
        <v>4</v>
      </c>
      <c r="D18" s="21">
        <f t="shared" ref="D18:D27" si="7">F18-C18-E18</f>
        <v>53</v>
      </c>
      <c r="E18" s="21">
        <f>COUNTIFS(E_Suivi_Eans!$C:$C,"02/2022",E_Suivi_Eans!$D:$D,"Déchets diffus spéc. Ménagers",E_Suivi_Eans!$J:$J,"Abandon",E_Suivi_Eans!$K:$K,"&gt;31/12/2021",E_Suivi_Eans!K:K,"&lt;01/03/2022")</f>
        <v>0</v>
      </c>
      <c r="F18" s="21">
        <f>COUNTIFS(E_Suivi_Eans!$C:$C,"02/2022",E_Suivi_Eans!$D:$D,"Déchets diffus spéc. Ménagers")</f>
        <v>57</v>
      </c>
      <c r="G18" s="21">
        <f t="shared" ref="G18:G27" si="8">F18-E18</f>
        <v>57</v>
      </c>
      <c r="J18" s="20" t="s">
        <v>5315</v>
      </c>
      <c r="K18" s="20" t="s">
        <v>5315</v>
      </c>
      <c r="L18" s="28">
        <f t="shared" ref="L18:L27" si="9">C18/$G18</f>
        <v>7.0175438596491224E-2</v>
      </c>
      <c r="M18" s="28">
        <f t="shared" ref="M18:M27" si="10">O18-L18-N18</f>
        <v>0.92982456140350878</v>
      </c>
      <c r="N18" s="28">
        <f t="shared" ref="N18:N27" si="11">E18/$G18</f>
        <v>0</v>
      </c>
      <c r="O18" s="28">
        <v>1</v>
      </c>
      <c r="P18" s="28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COUNTIFS(E_Suivi_Eans!$C:$C,"02/2022",E_Suivi_Eans!$D:$D,"Déchets diffus spéc. Ménagers",E_Suivi_Eans!$J:$J,"Retour OK",E_Suivi_Eans!$K:$K,"&gt;31/12/2021",E_Suivi_Eans!K:K,"&lt;01/04/2022")</f>
        <v>53</v>
      </c>
      <c r="D19" s="21">
        <f t="shared" si="7"/>
        <v>4</v>
      </c>
      <c r="E19" s="21">
        <f>COUNTIFS(E_Suivi_Eans!$C:$C,"02/2022",E_Suivi_Eans!$D:$D,"Déchets diffus spéc. Ménagers",E_Suivi_Eans!$J:$J,"Abandon",E_Suivi_Eans!$K:$K,"&gt;31/12/2021",E_Suivi_Eans!K:K,"&lt;01/04/2022")</f>
        <v>0</v>
      </c>
      <c r="F19" s="21">
        <f>COUNTIFS(E_Suivi_Eans!$C:$C,"02/2022",E_Suivi_Eans!$D:$D,"Déchets diffus spéc. Ménagers")</f>
        <v>57</v>
      </c>
      <c r="G19" s="21">
        <f t="shared" si="8"/>
        <v>57</v>
      </c>
      <c r="J19" s="20" t="s">
        <v>5315</v>
      </c>
      <c r="K19" s="20" t="s">
        <v>5316</v>
      </c>
      <c r="L19" s="28">
        <f t="shared" si="9"/>
        <v>0.92982456140350878</v>
      </c>
      <c r="M19" s="28">
        <f t="shared" si="10"/>
        <v>7.0175438596491224E-2</v>
      </c>
      <c r="N19" s="28">
        <f t="shared" si="11"/>
        <v>0</v>
      </c>
      <c r="O19" s="28">
        <v>1</v>
      </c>
      <c r="P19" s="28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COUNTIFS(E_Suivi_Eans!$C:$C,"02/2022",E_Suivi_Eans!$D:$D,"Déchets diffus spéc. Ménagers",E_Suivi_Eans!$J:$J,"Retour OK",E_Suivi_Eans!$K:$K,"&gt;31/12/2021",E_Suivi_Eans!K:K,"&lt;01/05/2022")</f>
        <v>54</v>
      </c>
      <c r="D20" s="21">
        <f t="shared" si="7"/>
        <v>3</v>
      </c>
      <c r="E20" s="21">
        <f>COUNTIFS(E_Suivi_Eans!$C:$C,"02/2022",E_Suivi_Eans!$D:$D,"Déchets diffus spéc. Ménagers",E_Suivi_Eans!$J:$J,"Abandon",E_Suivi_Eans!$K:$K,"&gt;31/12/2021",E_Suivi_Eans!K:K,"&lt;01/05/2022")</f>
        <v>0</v>
      </c>
      <c r="F20" s="21">
        <f>COUNTIFS(E_Suivi_Eans!$C:$C,"02/2022",E_Suivi_Eans!$D:$D,"Déchets diffus spéc. Ménagers")</f>
        <v>57</v>
      </c>
      <c r="G20" s="21">
        <f t="shared" si="8"/>
        <v>57</v>
      </c>
      <c r="J20" s="20" t="s">
        <v>5315</v>
      </c>
      <c r="K20" s="20" t="s">
        <v>5317</v>
      </c>
      <c r="L20" s="28">
        <f t="shared" si="9"/>
        <v>0.94736842105263153</v>
      </c>
      <c r="M20" s="28">
        <f t="shared" si="10"/>
        <v>5.2631578947368474E-2</v>
      </c>
      <c r="N20" s="28">
        <f t="shared" si="11"/>
        <v>0</v>
      </c>
      <c r="O20" s="28">
        <v>1</v>
      </c>
      <c r="P20" s="28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COUNTIFS(E_Suivi_Eans!$C:$C,"02/2022",E_Suivi_Eans!$D:$D,"Déchets diffus spéc. Ménagers",E_Suivi_Eans!$J:$J,"Retour OK",E_Suivi_Eans!$K:$K,"&gt;31/12/2021",E_Suivi_Eans!K:K,"&lt;01/06/2022")</f>
        <v>56</v>
      </c>
      <c r="D21" s="21">
        <f t="shared" si="7"/>
        <v>1</v>
      </c>
      <c r="E21" s="21">
        <f>COUNTIFS(E_Suivi_Eans!$C:$C,"02/2022",E_Suivi_Eans!$D:$D,"Déchets diffus spéc. Ménagers",E_Suivi_Eans!$J:$J,"Abandon",E_Suivi_Eans!$K:$K,"&gt;31/12/2021",E_Suivi_Eans!K:K,"&lt;01/06/2022")</f>
        <v>0</v>
      </c>
      <c r="F21" s="21">
        <f>COUNTIFS(E_Suivi_Eans!$C:$C,"02/2022",E_Suivi_Eans!$D:$D,"Déchets diffus spéc. Ménagers")</f>
        <v>57</v>
      </c>
      <c r="G21" s="21">
        <f t="shared" si="8"/>
        <v>57</v>
      </c>
      <c r="J21" s="20" t="s">
        <v>5315</v>
      </c>
      <c r="K21" s="20" t="s">
        <v>5318</v>
      </c>
      <c r="L21" s="28">
        <f t="shared" si="9"/>
        <v>0.98245614035087714</v>
      </c>
      <c r="M21" s="28">
        <f t="shared" si="10"/>
        <v>1.7543859649122862E-2</v>
      </c>
      <c r="N21" s="28">
        <f t="shared" si="11"/>
        <v>0</v>
      </c>
      <c r="O21" s="28">
        <v>1</v>
      </c>
      <c r="P21" s="28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COUNTIFS(E_Suivi_Eans!$C:$C,"02/2022",E_Suivi_Eans!$D:$D,"Déchets diffus spéc. Ménagers",E_Suivi_Eans!$J:$J,"Retour OK",E_Suivi_Eans!$K:$K,"&gt;31/12/2021",E_Suivi_Eans!K:K,"&lt;01/07/2022")</f>
        <v>56</v>
      </c>
      <c r="D22" s="21">
        <f t="shared" si="7"/>
        <v>1</v>
      </c>
      <c r="E22" s="21">
        <f>COUNTIFS(E_Suivi_Eans!$C:$C,"02/2022",E_Suivi_Eans!$D:$D,"Déchets diffus spéc. Ménagers",E_Suivi_Eans!$J:$J,"Abandon",E_Suivi_Eans!$K:$K,"&gt;31/12/2021",E_Suivi_Eans!K:K,"&lt;01/07/2022")</f>
        <v>0</v>
      </c>
      <c r="F22" s="21">
        <f>COUNTIFS(E_Suivi_Eans!$C:$C,"02/2022",E_Suivi_Eans!$D:$D,"Déchets diffus spéc. Ménagers")</f>
        <v>57</v>
      </c>
      <c r="G22" s="21">
        <f t="shared" si="8"/>
        <v>57</v>
      </c>
      <c r="J22" s="20" t="s">
        <v>5315</v>
      </c>
      <c r="K22" s="20" t="s">
        <v>5319</v>
      </c>
      <c r="L22" s="28">
        <f t="shared" si="9"/>
        <v>0.98245614035087714</v>
      </c>
      <c r="M22" s="28">
        <f t="shared" si="10"/>
        <v>1.7543859649122862E-2</v>
      </c>
      <c r="N22" s="28">
        <f t="shared" si="11"/>
        <v>0</v>
      </c>
      <c r="O22" s="28">
        <v>1</v>
      </c>
      <c r="P22" s="28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COUNTIFS(E_Suivi_Eans!$C:$C,"02/2022",E_Suivi_Eans!$D:$D,"Déchets diffus spéc. Ménagers",E_Suivi_Eans!$J:$J,"Retour OK",E_Suivi_Eans!$K:$K,"&gt;31/12/2021",E_Suivi_Eans!K:K,"&lt;01/08/2022")</f>
        <v>56</v>
      </c>
      <c r="D23" s="21">
        <f t="shared" si="7"/>
        <v>1</v>
      </c>
      <c r="E23" s="21">
        <f>COUNTIFS(E_Suivi_Eans!$C:$C,"02/2022",E_Suivi_Eans!$D:$D,"Déchets diffus spéc. Ménagers",E_Suivi_Eans!$J:$J,"Abandon",E_Suivi_Eans!$K:$K,"&gt;31/12/2021",E_Suivi_Eans!K:K,"&lt;01/08/2022")</f>
        <v>0</v>
      </c>
      <c r="F23" s="21">
        <f>COUNTIFS(E_Suivi_Eans!$C:$C,"02/2022",E_Suivi_Eans!$D:$D,"Déchets diffus spéc. Ménagers")</f>
        <v>57</v>
      </c>
      <c r="G23" s="21">
        <f t="shared" si="8"/>
        <v>57</v>
      </c>
      <c r="J23" s="20" t="s">
        <v>5315</v>
      </c>
      <c r="K23" s="20" t="s">
        <v>5320</v>
      </c>
      <c r="L23" s="28">
        <f t="shared" si="9"/>
        <v>0.98245614035087714</v>
      </c>
      <c r="M23" s="28">
        <f t="shared" si="10"/>
        <v>1.7543859649122862E-2</v>
      </c>
      <c r="N23" s="28">
        <f t="shared" si="11"/>
        <v>0</v>
      </c>
      <c r="O23" s="28">
        <v>1</v>
      </c>
      <c r="P23" s="28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7"/>
    </row>
    <row r="24" spans="1:27">
      <c r="A24" s="20" t="s">
        <v>5315</v>
      </c>
      <c r="B24" s="20" t="s">
        <v>5321</v>
      </c>
      <c r="C24" s="21">
        <f>COUNTIFS(E_Suivi_Eans!$C:$C,"02/2022",E_Suivi_Eans!$D:$D,"Déchets diffus spéc. Ménagers",E_Suivi_Eans!$J:$J,"Retour OK",E_Suivi_Eans!$K:$K,"&gt;31/12/2021",E_Suivi_Eans!K:K,"&lt;01/09/2022")</f>
        <v>56</v>
      </c>
      <c r="D24" s="21">
        <f t="shared" si="7"/>
        <v>1</v>
      </c>
      <c r="E24" s="21">
        <f>COUNTIFS(E_Suivi_Eans!$C:$C,"02/2022",E_Suivi_Eans!$D:$D,"Déchets diffus spéc. Ménagers",E_Suivi_Eans!$J:$J,"Abandon",E_Suivi_Eans!$K:$K,"&gt;31/12/2021",E_Suivi_Eans!K:K,"&lt;01/09/2022")</f>
        <v>0</v>
      </c>
      <c r="F24" s="21">
        <f>COUNTIFS(E_Suivi_Eans!$C:$C,"02/2022",E_Suivi_Eans!$D:$D,"Déchets diffus spéc. Ménagers")</f>
        <v>57</v>
      </c>
      <c r="G24" s="21">
        <f t="shared" si="8"/>
        <v>57</v>
      </c>
      <c r="J24" s="20" t="s">
        <v>5315</v>
      </c>
      <c r="K24" s="20" t="s">
        <v>5321</v>
      </c>
      <c r="L24" s="28">
        <f t="shared" si="9"/>
        <v>0.98245614035087714</v>
      </c>
      <c r="M24" s="28">
        <f t="shared" si="10"/>
        <v>1.7543859649122862E-2</v>
      </c>
      <c r="N24" s="28">
        <f t="shared" si="11"/>
        <v>0</v>
      </c>
      <c r="O24" s="28">
        <v>1</v>
      </c>
      <c r="P24" s="28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COUNTIFS(E_Suivi_Eans!$C:$C,"02/2022",E_Suivi_Eans!$D:$D,"Déchets diffus spéc. Ménagers",E_Suivi_Eans!$J:$J,"Retour OK",E_Suivi_Eans!$K:$K,"&gt;31/12/2021",E_Suivi_Eans!K:K,"&lt;01/10/2022")</f>
        <v>56</v>
      </c>
      <c r="D25" s="21">
        <f t="shared" si="7"/>
        <v>1</v>
      </c>
      <c r="E25" s="21">
        <f>COUNTIFS(E_Suivi_Eans!$C:$C,"02/2022",E_Suivi_Eans!$D:$D,"Déchets diffus spéc. Ménagers",E_Suivi_Eans!$J:$J,"Abandon",E_Suivi_Eans!$K:$K,"&gt;31/12/2021",E_Suivi_Eans!K:K,"&lt;01/10/2022")</f>
        <v>0</v>
      </c>
      <c r="F25" s="21">
        <f>COUNTIFS(E_Suivi_Eans!$C:$C,"02/2022",E_Suivi_Eans!$D:$D,"Déchets diffus spéc. Ménagers")</f>
        <v>57</v>
      </c>
      <c r="G25" s="21">
        <f t="shared" si="8"/>
        <v>57</v>
      </c>
      <c r="J25" s="20" t="s">
        <v>5315</v>
      </c>
      <c r="K25" s="20" t="s">
        <v>5325</v>
      </c>
      <c r="L25" s="28">
        <f t="shared" si="9"/>
        <v>0.98245614035087714</v>
      </c>
      <c r="M25" s="28">
        <f t="shared" si="10"/>
        <v>1.7543859649122862E-2</v>
      </c>
      <c r="N25" s="28">
        <f t="shared" si="11"/>
        <v>0</v>
      </c>
      <c r="O25" s="28">
        <v>1</v>
      </c>
      <c r="P25" s="28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COUNTIFS(E_Suivi_Eans!$C:$C,"02/2022",E_Suivi_Eans!$D:$D,"Déchets diffus spéc. Ménagers",E_Suivi_Eans!$J:$J,"Retour OK",E_Suivi_Eans!$K:$K,"&gt;31/12/2021",E_Suivi_Eans!K:K,"&lt;01/11/2022")</f>
        <v>56</v>
      </c>
      <c r="D26" s="21">
        <f t="shared" si="7"/>
        <v>1</v>
      </c>
      <c r="E26" s="21">
        <f>COUNTIFS(E_Suivi_Eans!$C:$C,"02/2022",E_Suivi_Eans!$D:$D,"Déchets diffus spéc. Ménagers",E_Suivi_Eans!$J:$J,"Abandon",E_Suivi_Eans!$K:$K,"&gt;31/12/2021",E_Suivi_Eans!K:K,"&lt;01/11/2022")</f>
        <v>0</v>
      </c>
      <c r="F26" s="21">
        <f>COUNTIFS(E_Suivi_Eans!$C:$C,"02/2022",E_Suivi_Eans!$D:$D,"Déchets diffus spéc. Ménagers")</f>
        <v>57</v>
      </c>
      <c r="G26" s="21">
        <f t="shared" si="8"/>
        <v>57</v>
      </c>
      <c r="J26" s="20" t="s">
        <v>5315</v>
      </c>
      <c r="K26" s="20" t="s">
        <v>5326</v>
      </c>
      <c r="L26" s="28">
        <f t="shared" si="9"/>
        <v>0.98245614035087714</v>
      </c>
      <c r="M26" s="28">
        <f t="shared" si="10"/>
        <v>1.7543859649122862E-2</v>
      </c>
      <c r="N26" s="28">
        <f t="shared" si="11"/>
        <v>0</v>
      </c>
      <c r="O26" s="28">
        <v>1</v>
      </c>
      <c r="P26" s="28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COUNTIFS(E_Suivi_Eans!$C:$C,"02/2022",E_Suivi_Eans!$D:$D,"Déchets diffus spéc. Ménagers",E_Suivi_Eans!$J:$J,"Retour OK",E_Suivi_Eans!$K:$K,"&gt;31/12/2021",E_Suivi_Eans!K:K,"&lt;01/12/2022")</f>
        <v>56</v>
      </c>
      <c r="D27" s="21">
        <f t="shared" si="7"/>
        <v>1</v>
      </c>
      <c r="E27" s="21">
        <f>COUNTIFS(E_Suivi_Eans!$C:$C,"02/2022",E_Suivi_Eans!$D:$D,"Déchets diffus spéc. Ménagers",E_Suivi_Eans!$J:$J,"Abandon",E_Suivi_Eans!$K:$K,"&gt;31/12/2021",E_Suivi_Eans!K:K,"&lt;01/12/2022")</f>
        <v>0</v>
      </c>
      <c r="F27" s="21">
        <f>COUNTIFS(E_Suivi_Eans!$C:$C,"02/2022",E_Suivi_Eans!$D:$D,"Déchets diffus spéc. Ménagers")</f>
        <v>57</v>
      </c>
      <c r="G27" s="21">
        <f t="shared" si="8"/>
        <v>57</v>
      </c>
      <c r="J27" s="20" t="s">
        <v>5315</v>
      </c>
      <c r="K27" s="20" t="s">
        <v>5327</v>
      </c>
      <c r="L27" s="28">
        <f t="shared" si="9"/>
        <v>0.98245614035087714</v>
      </c>
      <c r="M27" s="28">
        <f t="shared" si="10"/>
        <v>1.7543859649122862E-2</v>
      </c>
      <c r="N27" s="28">
        <f t="shared" si="11"/>
        <v>0</v>
      </c>
      <c r="O27" s="28">
        <v>1</v>
      </c>
      <c r="P27" s="28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8"/>
      <c r="P28" s="28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5"/>
      <c r="F29" s="25"/>
      <c r="G29" s="25"/>
      <c r="J29" s="22"/>
      <c r="K29" s="22"/>
      <c r="L29" s="23"/>
      <c r="M29" s="24"/>
      <c r="N29" s="25"/>
      <c r="O29" s="31"/>
      <c r="P29" s="31"/>
      <c r="S29" s="22"/>
      <c r="T29" s="22"/>
      <c r="U29" s="23"/>
      <c r="V29" s="24"/>
      <c r="W29" s="25"/>
      <c r="X29" s="25"/>
      <c r="Y29" s="25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8"/>
      <c r="P30" s="28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8"/>
      <c r="P31" s="28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COUNTIFS(E_Suivi_Eans!$C:$C,"03/2022",E_Suivi_Eans!$D:$D,"Déchets diffus spéc. Ménagers",E_Suivi_Eans!$J:$J,"Retour OK",E_Suivi_Eans!$K:$K,"&gt;31/12/2021",E_Suivi_Eans!K:K,"&lt;01/04/2022")</f>
        <v>0</v>
      </c>
      <c r="D32" s="21">
        <f t="shared" ref="D32:D40" si="12">F32-C32-E32</f>
        <v>1</v>
      </c>
      <c r="E32" s="21">
        <f>COUNTIFS(E_Suivi_Eans!$C:$C,"03/2022",E_Suivi_Eans!$D:$D,"Déchets diffus spéc. Ménagers",E_Suivi_Eans!$J:$J,"Abandon",E_Suivi_Eans!$K:$K,"&gt;31/12/2021",E_Suivi_Eans!K:K,"&lt;01/04/2022")</f>
        <v>0</v>
      </c>
      <c r="F32" s="21">
        <f>COUNTIFS(E_Suivi_Eans!$C:$C,"03/2022",E_Suivi_Eans!$D:$D,"Déchets diffus spéc. Ménagers")</f>
        <v>1</v>
      </c>
      <c r="G32" s="21">
        <f t="shared" ref="G32:G40" si="13">F32-E32</f>
        <v>1</v>
      </c>
      <c r="J32" s="20" t="s">
        <v>5316</v>
      </c>
      <c r="K32" s="20" t="s">
        <v>5316</v>
      </c>
      <c r="L32" s="28">
        <f t="shared" ref="L32:L40" si="14">C32/$G32</f>
        <v>0</v>
      </c>
      <c r="M32" s="28">
        <f t="shared" ref="M32:M40" si="15">O32-L32-N32</f>
        <v>1</v>
      </c>
      <c r="N32" s="28">
        <f t="shared" ref="N32:N40" si="16">E32/$G32</f>
        <v>0</v>
      </c>
      <c r="O32" s="28">
        <v>1</v>
      </c>
      <c r="P32" s="28">
        <f t="shared" ref="P32:P40" si="17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COUNTIFS(E_Suivi_Eans!$C:$C,"03/2022",E_Suivi_Eans!$D:$D,"Déchets diffus spéc. Ménagers",E_Suivi_Eans!$J:$J,"Retour OK",E_Suivi_Eans!$K:$K,"&gt;31/12/2021",E_Suivi_Eans!K:K,"&lt;01/05/2022")</f>
        <v>0</v>
      </c>
      <c r="D33" s="21">
        <f t="shared" si="12"/>
        <v>1</v>
      </c>
      <c r="E33" s="21">
        <f>COUNTIFS(E_Suivi_Eans!$C:$C,"03/2022",E_Suivi_Eans!$D:$D,"Déchets diffus spéc. Ménagers",E_Suivi_Eans!$J:$J,"Abandon",E_Suivi_Eans!$K:$K,"&gt;31/12/2021",E_Suivi_Eans!K:K,"&lt;01/05/2022")</f>
        <v>0</v>
      </c>
      <c r="F33" s="21">
        <f>COUNTIFS(E_Suivi_Eans!$C:$C,"03/2022",E_Suivi_Eans!$D:$D,"Déchets diffus spéc. Ménagers")</f>
        <v>1</v>
      </c>
      <c r="G33" s="21">
        <f t="shared" si="13"/>
        <v>1</v>
      </c>
      <c r="J33" s="20" t="s">
        <v>5316</v>
      </c>
      <c r="K33" s="20" t="s">
        <v>5317</v>
      </c>
      <c r="L33" s="28">
        <f t="shared" si="14"/>
        <v>0</v>
      </c>
      <c r="M33" s="28">
        <f t="shared" si="15"/>
        <v>1</v>
      </c>
      <c r="N33" s="28">
        <f t="shared" si="16"/>
        <v>0</v>
      </c>
      <c r="O33" s="28">
        <v>1</v>
      </c>
      <c r="P33" s="28">
        <f t="shared" si="17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COUNTIFS(E_Suivi_Eans!$C:$C,"03/2022",E_Suivi_Eans!$D:$D,"Déchets diffus spéc. Ménagers",E_Suivi_Eans!$J:$J,"Retour OK",E_Suivi_Eans!$K:$K,"&gt;31/12/2021",E_Suivi_Eans!K:K,"&lt;01/06/2022")</f>
        <v>0</v>
      </c>
      <c r="D34" s="21">
        <f t="shared" si="12"/>
        <v>1</v>
      </c>
      <c r="E34" s="21">
        <f>COUNTIFS(E_Suivi_Eans!$C:$C,"03/2022",E_Suivi_Eans!$D:$D,"Déchets diffus spéc. Ménagers",E_Suivi_Eans!$J:$J,"Abandon",E_Suivi_Eans!$K:$K,"&gt;31/12/2021",E_Suivi_Eans!K:K,"&lt;01/06/2022")</f>
        <v>0</v>
      </c>
      <c r="F34" s="21">
        <f>COUNTIFS(E_Suivi_Eans!$C:$C,"03/2022",E_Suivi_Eans!$D:$D,"Déchets diffus spéc. Ménagers")</f>
        <v>1</v>
      </c>
      <c r="G34" s="21">
        <f t="shared" si="13"/>
        <v>1</v>
      </c>
      <c r="J34" s="20" t="s">
        <v>5316</v>
      </c>
      <c r="K34" s="20" t="s">
        <v>5318</v>
      </c>
      <c r="L34" s="28">
        <f t="shared" si="14"/>
        <v>0</v>
      </c>
      <c r="M34" s="28">
        <f t="shared" si="15"/>
        <v>1</v>
      </c>
      <c r="N34" s="28">
        <f t="shared" si="16"/>
        <v>0</v>
      </c>
      <c r="O34" s="28">
        <v>1</v>
      </c>
      <c r="P34" s="28">
        <f t="shared" si="17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COUNTIFS(E_Suivi_Eans!$C:$C,"03/2022",E_Suivi_Eans!$D:$D,"Déchets diffus spéc. Ménagers",E_Suivi_Eans!$J:$J,"Retour OK",E_Suivi_Eans!$K:$K,"&gt;31/12/2021",E_Suivi_Eans!K:K,"&lt;01/07/2022")</f>
        <v>0</v>
      </c>
      <c r="D35" s="21">
        <f t="shared" si="12"/>
        <v>1</v>
      </c>
      <c r="E35" s="21">
        <f>COUNTIFS(E_Suivi_Eans!$C:$C,"03/2022",E_Suivi_Eans!$D:$D,"Déchets diffus spéc. Ménagers",E_Suivi_Eans!$J:$J,"Abandon",E_Suivi_Eans!$K:$K,"&gt;31/12/2021",E_Suivi_Eans!K:K,"&lt;01/07/2022")</f>
        <v>0</v>
      </c>
      <c r="F35" s="21">
        <f>COUNTIFS(E_Suivi_Eans!$C:$C,"03/2022",E_Suivi_Eans!$D:$D,"Déchets diffus spéc. Ménagers")</f>
        <v>1</v>
      </c>
      <c r="G35" s="21">
        <f t="shared" si="13"/>
        <v>1</v>
      </c>
      <c r="J35" s="20" t="s">
        <v>5316</v>
      </c>
      <c r="K35" s="20" t="s">
        <v>5319</v>
      </c>
      <c r="L35" s="28">
        <f t="shared" si="14"/>
        <v>0</v>
      </c>
      <c r="M35" s="28">
        <f t="shared" si="15"/>
        <v>1</v>
      </c>
      <c r="N35" s="28">
        <f t="shared" si="16"/>
        <v>0</v>
      </c>
      <c r="O35" s="28">
        <v>1</v>
      </c>
      <c r="P35" s="28">
        <f t="shared" si="17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COUNTIFS(E_Suivi_Eans!$C:$C,"03/2022",E_Suivi_Eans!$D:$D,"Déchets diffus spéc. Ménagers",E_Suivi_Eans!$J:$J,"Retour OK",E_Suivi_Eans!$K:$K,"&gt;31/12/2021",E_Suivi_Eans!K:K,"&lt;01/08/2022")</f>
        <v>0</v>
      </c>
      <c r="D36" s="21">
        <f t="shared" si="12"/>
        <v>1</v>
      </c>
      <c r="E36" s="21">
        <f>COUNTIFS(E_Suivi_Eans!$C:$C,"03/2022",E_Suivi_Eans!$D:$D,"Déchets diffus spéc. Ménagers",E_Suivi_Eans!$J:$J,"Abandon",E_Suivi_Eans!$K:$K,"&gt;31/12/2021",E_Suivi_Eans!K:K,"&lt;01/08/2022")</f>
        <v>0</v>
      </c>
      <c r="F36" s="21">
        <f>COUNTIFS(E_Suivi_Eans!$C:$C,"03/2022",E_Suivi_Eans!$D:$D,"Déchets diffus spéc. Ménagers")</f>
        <v>1</v>
      </c>
      <c r="G36" s="21">
        <f t="shared" si="13"/>
        <v>1</v>
      </c>
      <c r="J36" s="20" t="s">
        <v>5316</v>
      </c>
      <c r="K36" s="20" t="s">
        <v>5320</v>
      </c>
      <c r="L36" s="28">
        <f t="shared" si="14"/>
        <v>0</v>
      </c>
      <c r="M36" s="28">
        <f t="shared" si="15"/>
        <v>1</v>
      </c>
      <c r="N36" s="28">
        <f t="shared" si="16"/>
        <v>0</v>
      </c>
      <c r="O36" s="28">
        <v>1</v>
      </c>
      <c r="P36" s="28">
        <f t="shared" si="17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COUNTIFS(E_Suivi_Eans!$C:$C,"03/2022",E_Suivi_Eans!$D:$D,"Déchets diffus spéc. Ménagers",E_Suivi_Eans!$J:$J,"Retour OK",E_Suivi_Eans!$K:$K,"&gt;31/12/2021",E_Suivi_Eans!K:K,"&lt;01/09/2022")</f>
        <v>0</v>
      </c>
      <c r="D37" s="21">
        <f t="shared" si="12"/>
        <v>1</v>
      </c>
      <c r="E37" s="21">
        <f>COUNTIFS(E_Suivi_Eans!$C:$C,"03/2022",E_Suivi_Eans!$D:$D,"Déchets diffus spéc. Ménagers",E_Suivi_Eans!$J:$J,"Abandon",E_Suivi_Eans!$K:$K,"&gt;31/12/2021",E_Suivi_Eans!K:K,"&lt;01/09/2022")</f>
        <v>0</v>
      </c>
      <c r="F37" s="21">
        <f>COUNTIFS(E_Suivi_Eans!$C:$C,"03/2022",E_Suivi_Eans!$D:$D,"Déchets diffus spéc. Ménagers")</f>
        <v>1</v>
      </c>
      <c r="G37" s="21">
        <f t="shared" si="13"/>
        <v>1</v>
      </c>
      <c r="J37" s="20" t="s">
        <v>5316</v>
      </c>
      <c r="K37" s="20" t="s">
        <v>5321</v>
      </c>
      <c r="L37" s="28">
        <f t="shared" si="14"/>
        <v>0</v>
      </c>
      <c r="M37" s="28">
        <f t="shared" si="15"/>
        <v>1</v>
      </c>
      <c r="N37" s="28">
        <f t="shared" si="16"/>
        <v>0</v>
      </c>
      <c r="O37" s="28">
        <v>1</v>
      </c>
      <c r="P37" s="28">
        <f t="shared" si="17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COUNTIFS(E_Suivi_Eans!$C:$C,"03/2022",E_Suivi_Eans!$D:$D,"Déchets diffus spéc. Ménagers",E_Suivi_Eans!$J:$J,"Retour OK",E_Suivi_Eans!$K:$K,"&gt;31/12/2021",E_Suivi_Eans!K:K,"&lt;01/10/2022")</f>
        <v>0</v>
      </c>
      <c r="D38" s="21">
        <f t="shared" si="12"/>
        <v>1</v>
      </c>
      <c r="E38" s="21">
        <f>COUNTIFS(E_Suivi_Eans!$C:$C,"03/2022",E_Suivi_Eans!$D:$D,"Déchets diffus spéc. Ménagers",E_Suivi_Eans!$J:$J,"Abandon",E_Suivi_Eans!$K:$K,"&gt;31/12/2021",E_Suivi_Eans!K:K,"&lt;01/10/2022")</f>
        <v>0</v>
      </c>
      <c r="F38" s="21">
        <f>COUNTIFS(E_Suivi_Eans!$C:$C,"03/2022",E_Suivi_Eans!$D:$D,"Déchets diffus spéc. Ménagers")</f>
        <v>1</v>
      </c>
      <c r="G38" s="21">
        <f t="shared" si="13"/>
        <v>1</v>
      </c>
      <c r="J38" s="20" t="s">
        <v>5316</v>
      </c>
      <c r="K38" s="20" t="s">
        <v>5325</v>
      </c>
      <c r="L38" s="28">
        <f t="shared" si="14"/>
        <v>0</v>
      </c>
      <c r="M38" s="28">
        <f t="shared" si="15"/>
        <v>1</v>
      </c>
      <c r="N38" s="28">
        <f t="shared" si="16"/>
        <v>0</v>
      </c>
      <c r="O38" s="28">
        <v>1</v>
      </c>
      <c r="P38" s="28">
        <f t="shared" si="17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COUNTIFS(E_Suivi_Eans!$C:$C,"03/2022",E_Suivi_Eans!$D:$D,"Déchets diffus spéc. Ménagers",E_Suivi_Eans!$J:$J,"Retour OK",E_Suivi_Eans!$K:$K,"&gt;31/12/2021",E_Suivi_Eans!K:K,"&lt;01/11/2022")</f>
        <v>0</v>
      </c>
      <c r="D39" s="21">
        <f t="shared" si="12"/>
        <v>1</v>
      </c>
      <c r="E39" s="21">
        <f>COUNTIFS(E_Suivi_Eans!$C:$C,"03/2022",E_Suivi_Eans!$D:$D,"Déchets diffus spéc. Ménagers",E_Suivi_Eans!$J:$J,"Abandon",E_Suivi_Eans!$K:$K,"&gt;31/12/2021",E_Suivi_Eans!K:K,"&lt;01/11/2022")</f>
        <v>0</v>
      </c>
      <c r="F39" s="21">
        <f>COUNTIFS(E_Suivi_Eans!$C:$C,"03/2022",E_Suivi_Eans!$D:$D,"Déchets diffus spéc. Ménagers")</f>
        <v>1</v>
      </c>
      <c r="G39" s="21">
        <f t="shared" si="13"/>
        <v>1</v>
      </c>
      <c r="J39" s="20" t="s">
        <v>5316</v>
      </c>
      <c r="K39" s="20" t="s">
        <v>5326</v>
      </c>
      <c r="L39" s="28">
        <f t="shared" si="14"/>
        <v>0</v>
      </c>
      <c r="M39" s="28">
        <f t="shared" si="15"/>
        <v>1</v>
      </c>
      <c r="N39" s="28">
        <f t="shared" si="16"/>
        <v>0</v>
      </c>
      <c r="O39" s="28">
        <v>1</v>
      </c>
      <c r="P39" s="28">
        <f t="shared" si="17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COUNTIFS(E_Suivi_Eans!$C:$C,"03/2022",E_Suivi_Eans!$D:$D,"Déchets diffus spéc. Ménagers",E_Suivi_Eans!$J:$J,"Retour OK",E_Suivi_Eans!$K:$K,"&gt;31/12/2021",E_Suivi_Eans!K:K,"&lt;01/12/2022")</f>
        <v>1</v>
      </c>
      <c r="D40" s="21">
        <f t="shared" si="12"/>
        <v>0</v>
      </c>
      <c r="E40" s="21">
        <f>COUNTIFS(E_Suivi_Eans!$C:$C,"03/2022",E_Suivi_Eans!$D:$D,"Déchets diffus spéc. Ménagers",E_Suivi_Eans!$J:$J,"Abandon",E_Suivi_Eans!$K:$K,"&gt;31/12/2021",E_Suivi_Eans!K:K,"&lt;01/12/2022")</f>
        <v>0</v>
      </c>
      <c r="F40" s="21">
        <f>COUNTIFS(E_Suivi_Eans!$C:$C,"03/2022",E_Suivi_Eans!$D:$D,"Déchets diffus spéc. Ménagers")</f>
        <v>1</v>
      </c>
      <c r="G40" s="21">
        <f t="shared" si="13"/>
        <v>1</v>
      </c>
      <c r="J40" s="20" t="s">
        <v>5316</v>
      </c>
      <c r="K40" s="20" t="s">
        <v>5327</v>
      </c>
      <c r="L40" s="28">
        <f t="shared" si="14"/>
        <v>1</v>
      </c>
      <c r="M40" s="28">
        <f t="shared" si="15"/>
        <v>0</v>
      </c>
      <c r="N40" s="28">
        <f t="shared" si="16"/>
        <v>0</v>
      </c>
      <c r="O40" s="28">
        <v>1</v>
      </c>
      <c r="P40" s="28">
        <f t="shared" si="17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8"/>
      <c r="P41" s="28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5"/>
      <c r="E42" s="25"/>
      <c r="F42" s="25"/>
      <c r="G42" s="25"/>
      <c r="J42" s="22"/>
      <c r="K42" s="22"/>
      <c r="L42" s="23"/>
      <c r="M42" s="25"/>
      <c r="N42" s="25"/>
      <c r="O42" s="31"/>
      <c r="P42" s="31"/>
      <c r="S42" s="22"/>
      <c r="T42" s="22"/>
      <c r="U42" s="23"/>
      <c r="V42" s="25"/>
      <c r="W42" s="25"/>
      <c r="X42" s="25"/>
      <c r="Y42" s="25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8"/>
      <c r="P43" s="28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8"/>
      <c r="P44" s="28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8"/>
      <c r="P45" s="28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COUNTIFS(E_Suivi_Eans!$C:$C,"04/2022",E_Suivi_Eans!$D:$D,"Déchets diffus spéc. Ménagers",E_Suivi_Eans!$J:$J,"Retour OK",E_Suivi_Eans!$K:$K,"&gt;31/12/2021",E_Suivi_Eans!K:K,"&lt;01/05/2022")</f>
        <v>9</v>
      </c>
      <c r="D46" s="21">
        <f>F46-C46-E46</f>
        <v>148</v>
      </c>
      <c r="E46" s="21">
        <f>COUNTIFS(E_Suivi_Eans!$C:$C,"04/2022",E_Suivi_Eans!$D:$D,"Déchets diffus spéc. Ménagers",E_Suivi_Eans!$J:$J,"Abandon",E_Suivi_Eans!$K:$K,"&gt;31/12/2021",E_Suivi_Eans!K:K,"&lt;01/05/2022")</f>
        <v>0</v>
      </c>
      <c r="F46" s="21">
        <f>COUNTIFS(E_Suivi_Eans!$C:$C,"04/2022",E_Suivi_Eans!$D:$D,"Déchets diffus spéc. Ménagers")</f>
        <v>157</v>
      </c>
      <c r="G46" s="21">
        <f t="shared" ref="G46:G53" si="18">F46-E46</f>
        <v>157</v>
      </c>
      <c r="J46" s="20" t="s">
        <v>5317</v>
      </c>
      <c r="K46" s="20" t="s">
        <v>5317</v>
      </c>
      <c r="L46" s="28">
        <f t="shared" ref="L46:L53" si="19">C46/$G46</f>
        <v>5.7324840764331211E-2</v>
      </c>
      <c r="M46" s="28">
        <f t="shared" ref="M46:M53" si="20">O46-L46-N46</f>
        <v>0.9426751592356688</v>
      </c>
      <c r="N46" s="28">
        <f t="shared" ref="N46:N53" si="21">E46/$G46</f>
        <v>0</v>
      </c>
      <c r="O46" s="28">
        <v>1</v>
      </c>
      <c r="P46" s="28">
        <f t="shared" ref="P46:P53" si="22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COUNTIFS(E_Suivi_Eans!$C:$C,"04/2022",E_Suivi_Eans!$D:$D,"Déchets diffus spéc. Ménagers",E_Suivi_Eans!$J:$J,"Retour OK",E_Suivi_Eans!$K:$K,"&gt;31/12/2021",E_Suivi_Eans!K:K,"&lt;01/06/2022")</f>
        <v>19</v>
      </c>
      <c r="D47" s="21">
        <f>F47-C47-E47</f>
        <v>132</v>
      </c>
      <c r="E47" s="21">
        <f>COUNTIFS(E_Suivi_Eans!$C:$C,"04/2022",E_Suivi_Eans!$D:$D,"Déchets diffus spéc. Ménagers",E_Suivi_Eans!$J:$J,"Abandon",E_Suivi_Eans!$K:$K,"&gt;31/12/2021",E_Suivi_Eans!K:K,"&lt;01/06/2022")</f>
        <v>6</v>
      </c>
      <c r="F47" s="21">
        <f>COUNTIFS(E_Suivi_Eans!$C:$C,"04/2022",E_Suivi_Eans!$D:$D,"Déchets diffus spéc. Ménagers")</f>
        <v>157</v>
      </c>
      <c r="G47" s="21">
        <f t="shared" si="18"/>
        <v>151</v>
      </c>
      <c r="J47" s="20" t="s">
        <v>5317</v>
      </c>
      <c r="K47" s="20" t="s">
        <v>5318</v>
      </c>
      <c r="L47" s="28">
        <f t="shared" si="19"/>
        <v>0.12582781456953643</v>
      </c>
      <c r="M47" s="28">
        <f t="shared" si="20"/>
        <v>0.83443708609271527</v>
      </c>
      <c r="N47" s="28">
        <f>E47/$G47</f>
        <v>3.9735099337748346E-2</v>
      </c>
      <c r="O47" s="28">
        <v>1</v>
      </c>
      <c r="P47" s="28">
        <f t="shared" si="22"/>
        <v>0.96026490066225167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COUNTIFS(E_Suivi_Eans!$C:$C,"04/2022",E_Suivi_Eans!$D:$D,"Déchets diffus spéc. Ménagers",E_Suivi_Eans!$J:$J,"Retour OK",E_Suivi_Eans!$K:$K,"&gt;31/12/2021",E_Suivi_Eans!K:K,"&lt;01/07/2022")</f>
        <v>19</v>
      </c>
      <c r="D48" s="21">
        <f>F48-C48-E48</f>
        <v>132</v>
      </c>
      <c r="E48" s="21">
        <f>COUNTIFS(E_Suivi_Eans!$C:$C,"04/2022",E_Suivi_Eans!$D:$D,"Déchets diffus spéc. Ménagers",E_Suivi_Eans!$J:$J,"Abandon",E_Suivi_Eans!$K:$K,"&gt;31/12/2021",E_Suivi_Eans!K:K,"&lt;01/07/2022")</f>
        <v>6</v>
      </c>
      <c r="F48" s="21">
        <f>COUNTIFS(E_Suivi_Eans!$C:$C,"04/2022",E_Suivi_Eans!$D:$D,"Déchets diffus spéc. Ménagers")</f>
        <v>157</v>
      </c>
      <c r="G48" s="21">
        <f t="shared" si="18"/>
        <v>151</v>
      </c>
      <c r="J48" s="20" t="s">
        <v>5317</v>
      </c>
      <c r="K48" s="20" t="s">
        <v>5319</v>
      </c>
      <c r="L48" s="28">
        <f t="shared" si="19"/>
        <v>0.12582781456953643</v>
      </c>
      <c r="M48" s="28">
        <f t="shared" si="20"/>
        <v>0.83443708609271527</v>
      </c>
      <c r="N48" s="28">
        <f t="shared" si="21"/>
        <v>3.9735099337748346E-2</v>
      </c>
      <c r="O48" s="28">
        <v>1</v>
      </c>
      <c r="P48" s="28">
        <f t="shared" si="22"/>
        <v>0.96026490066225167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COUNTIFS(E_Suivi_Eans!$C:$C,"04/2022",E_Suivi_Eans!$D:$D,"Déchets diffus spéc. Ménagers",E_Suivi_Eans!$J:$J,"Retour OK",E_Suivi_Eans!$K:$K,"&gt;31/12/2021",E_Suivi_Eans!K:K,"&lt;01/08/2022")</f>
        <v>19</v>
      </c>
      <c r="D49" s="21">
        <f t="shared" ref="D49:D50" si="23">F49-C49-E49</f>
        <v>132</v>
      </c>
      <c r="E49" s="21">
        <f>COUNTIFS(E_Suivi_Eans!$C:$C,"04/2022",E_Suivi_Eans!$D:$D,"Déchets diffus spéc. Ménagers",E_Suivi_Eans!$J:$J,"Abandon",E_Suivi_Eans!$K:$K,"&gt;31/12/2021",E_Suivi_Eans!K:K,"&lt;01/08/2022")</f>
        <v>6</v>
      </c>
      <c r="F49" s="21">
        <f>COUNTIFS(E_Suivi_Eans!$C:$C,"04/2022",E_Suivi_Eans!$D:$D,"Déchets diffus spéc. Ménagers")</f>
        <v>157</v>
      </c>
      <c r="G49" s="21">
        <f t="shared" si="18"/>
        <v>151</v>
      </c>
      <c r="J49" s="20" t="s">
        <v>5317</v>
      </c>
      <c r="K49" s="20" t="s">
        <v>5320</v>
      </c>
      <c r="L49" s="28">
        <f t="shared" si="19"/>
        <v>0.12582781456953643</v>
      </c>
      <c r="M49" s="28">
        <f t="shared" si="20"/>
        <v>0.83443708609271527</v>
      </c>
      <c r="N49" s="28">
        <f t="shared" si="21"/>
        <v>3.9735099337748346E-2</v>
      </c>
      <c r="O49" s="28">
        <v>1</v>
      </c>
      <c r="P49" s="28">
        <f t="shared" si="22"/>
        <v>0.96026490066225167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COUNTIFS(E_Suivi_Eans!$C:$C,"04/2022",E_Suivi_Eans!$D:$D,"Déchets diffus spéc. Ménagers",E_Suivi_Eans!$J:$J,"Retour OK",E_Suivi_Eans!$K:$K,"&gt;31/12/2021",E_Suivi_Eans!K:K,"&lt;01/09/2022")</f>
        <v>19</v>
      </c>
      <c r="D50" s="21">
        <f t="shared" si="23"/>
        <v>132</v>
      </c>
      <c r="E50" s="21">
        <f>COUNTIFS(E_Suivi_Eans!$C:$C,"04/2022",E_Suivi_Eans!$D:$D,"Déchets diffus spéc. Ménagers",E_Suivi_Eans!$J:$J,"Abandon",E_Suivi_Eans!$K:$K,"&gt;31/12/2021",E_Suivi_Eans!K:K,"&lt;01/09/2022")</f>
        <v>6</v>
      </c>
      <c r="F50" s="21">
        <f>COUNTIFS(E_Suivi_Eans!$C:$C,"04/2022",E_Suivi_Eans!$D:$D,"Déchets diffus spéc. Ménagers")</f>
        <v>157</v>
      </c>
      <c r="G50" s="21">
        <f t="shared" si="18"/>
        <v>151</v>
      </c>
      <c r="J50" s="20" t="s">
        <v>5317</v>
      </c>
      <c r="K50" s="20" t="s">
        <v>5321</v>
      </c>
      <c r="L50" s="28">
        <f t="shared" si="19"/>
        <v>0.12582781456953643</v>
      </c>
      <c r="M50" s="28">
        <f t="shared" si="20"/>
        <v>0.83443708609271527</v>
      </c>
      <c r="N50" s="28">
        <f t="shared" si="21"/>
        <v>3.9735099337748346E-2</v>
      </c>
      <c r="O50" s="28">
        <v>1</v>
      </c>
      <c r="P50" s="28">
        <f t="shared" si="22"/>
        <v>0.96026490066225167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COUNTIFS(E_Suivi_Eans!$C:$C,"04/2022",E_Suivi_Eans!$D:$D,"Déchets diffus spéc. Ménagers",E_Suivi_Eans!$J:$J,"Retour OK",E_Suivi_Eans!$K:$K,"&gt;31/12/2021",E_Suivi_Eans!K:K,"&lt;01/10/2022")</f>
        <v>19</v>
      </c>
      <c r="D51" s="21">
        <f>F51-C51-E51</f>
        <v>132</v>
      </c>
      <c r="E51" s="21">
        <f>COUNTIFS(E_Suivi_Eans!$C:$C,"04/2022",E_Suivi_Eans!$D:$D,"Déchets diffus spéc. Ménagers",E_Suivi_Eans!$J:$J,"Abandon",E_Suivi_Eans!$K:$K,"&gt;31/12/2021",E_Suivi_Eans!K:K,"&lt;01/10/2022")</f>
        <v>6</v>
      </c>
      <c r="F51" s="21">
        <f>COUNTIFS(E_Suivi_Eans!$C:$C,"04/2022",E_Suivi_Eans!$D:$D,"Déchets diffus spéc. Ménagers")</f>
        <v>157</v>
      </c>
      <c r="G51" s="21">
        <f t="shared" si="18"/>
        <v>151</v>
      </c>
      <c r="J51" s="20" t="s">
        <v>5317</v>
      </c>
      <c r="K51" s="20" t="s">
        <v>5325</v>
      </c>
      <c r="L51" s="28">
        <f t="shared" si="19"/>
        <v>0.12582781456953643</v>
      </c>
      <c r="M51" s="28">
        <f t="shared" si="20"/>
        <v>0.83443708609271527</v>
      </c>
      <c r="N51" s="28">
        <f t="shared" si="21"/>
        <v>3.9735099337748346E-2</v>
      </c>
      <c r="O51" s="28">
        <v>1</v>
      </c>
      <c r="P51" s="28">
        <f t="shared" si="22"/>
        <v>0.96026490066225167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COUNTIFS(E_Suivi_Eans!$C:$C,"04/2022",E_Suivi_Eans!$D:$D,"Déchets diffus spéc. Ménagers",E_Suivi_Eans!$J:$J,"Retour OK",E_Suivi_Eans!$K:$K,"&gt;31/12/2021",E_Suivi_Eans!K:K,"&lt;01/11/2022")</f>
        <v>61</v>
      </c>
      <c r="D52" s="21">
        <f>F52-C52-E52</f>
        <v>90</v>
      </c>
      <c r="E52" s="21">
        <f>COUNTIFS(E_Suivi_Eans!$C:$C,"04/2022",E_Suivi_Eans!$D:$D,"Déchets diffus spéc. Ménagers",E_Suivi_Eans!$J:$J,"Abandon",E_Suivi_Eans!$K:$K,"&gt;31/12/2021",E_Suivi_Eans!K:K,"&lt;01/11/2022")</f>
        <v>6</v>
      </c>
      <c r="F52" s="21">
        <f>COUNTIFS(E_Suivi_Eans!$C:$C,"04/2022",E_Suivi_Eans!$D:$D,"Déchets diffus spéc. Ménagers")</f>
        <v>157</v>
      </c>
      <c r="G52" s="21">
        <f t="shared" si="18"/>
        <v>151</v>
      </c>
      <c r="J52" s="20" t="s">
        <v>5317</v>
      </c>
      <c r="K52" s="20" t="s">
        <v>5326</v>
      </c>
      <c r="L52" s="28">
        <f t="shared" si="19"/>
        <v>0.40397350993377484</v>
      </c>
      <c r="M52" s="28">
        <f t="shared" si="20"/>
        <v>0.55629139072847678</v>
      </c>
      <c r="N52" s="28">
        <f t="shared" si="21"/>
        <v>3.9735099337748346E-2</v>
      </c>
      <c r="O52" s="28">
        <v>1</v>
      </c>
      <c r="P52" s="28">
        <f t="shared" si="22"/>
        <v>0.96026490066225167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COUNTIFS(E_Suivi_Eans!$C:$C,"04/2022",E_Suivi_Eans!$D:$D,"Déchets diffus spéc. Ménagers",E_Suivi_Eans!$J:$J,"Retour OK",E_Suivi_Eans!$K:$K,"&gt;31/12/2021",E_Suivi_Eans!K:K,"&lt;01/12/2022")</f>
        <v>78</v>
      </c>
      <c r="D53" s="21">
        <f>F53-C53-E53</f>
        <v>73</v>
      </c>
      <c r="E53" s="21">
        <f>COUNTIFS(E_Suivi_Eans!$C:$C,"04/2022",E_Suivi_Eans!$D:$D,"Déchets diffus spéc. Ménagers",E_Suivi_Eans!$J:$J,"Abandon",E_Suivi_Eans!$K:$K,"&gt;31/12/2021",E_Suivi_Eans!K:K,"&lt;01/12/2022")</f>
        <v>6</v>
      </c>
      <c r="F53" s="21">
        <f>COUNTIFS(E_Suivi_Eans!$C:$C,"04/2022",E_Suivi_Eans!$D:$D,"Déchets diffus spéc. Ménagers")</f>
        <v>157</v>
      </c>
      <c r="G53" s="21">
        <f t="shared" si="18"/>
        <v>151</v>
      </c>
      <c r="J53" s="20" t="s">
        <v>5317</v>
      </c>
      <c r="K53" s="20" t="s">
        <v>5327</v>
      </c>
      <c r="L53" s="28">
        <f t="shared" si="19"/>
        <v>0.51655629139072845</v>
      </c>
      <c r="M53" s="28">
        <f t="shared" si="20"/>
        <v>0.44370860927152322</v>
      </c>
      <c r="N53" s="28">
        <f t="shared" si="21"/>
        <v>3.9735099337748346E-2</v>
      </c>
      <c r="O53" s="28">
        <v>1</v>
      </c>
      <c r="P53" s="28">
        <f t="shared" si="22"/>
        <v>0.96026490066225167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8"/>
      <c r="P54" s="28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5"/>
      <c r="E55" s="25"/>
      <c r="F55" s="25"/>
      <c r="G55" s="25"/>
      <c r="J55" s="22"/>
      <c r="K55" s="22"/>
      <c r="L55" s="23"/>
      <c r="M55" s="25"/>
      <c r="N55" s="25"/>
      <c r="O55" s="31"/>
      <c r="P55" s="31"/>
      <c r="S55" s="22"/>
      <c r="T55" s="22"/>
      <c r="U55" s="23"/>
      <c r="V55" s="25"/>
      <c r="W55" s="25"/>
      <c r="X55" s="25"/>
      <c r="Y55" s="25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8"/>
      <c r="P56" s="28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8"/>
      <c r="P57" s="28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8"/>
      <c r="P58" s="28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J59" s="20" t="s">
        <v>5318</v>
      </c>
      <c r="K59" s="20" t="s">
        <v>5317</v>
      </c>
      <c r="L59" s="21"/>
      <c r="M59" s="21"/>
      <c r="N59" s="21"/>
      <c r="O59" s="28"/>
      <c r="P59" s="28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COUNTIFS(E_Suivi_Eans!$C:$C,"05/2022",E_Suivi_Eans!$D:$D,"Déchets diffus spéc. Ménagers",E_Suivi_Eans!$J:$J,"Retour OK",E_Suivi_Eans!$K:$K,"&gt;31/12/2021",E_Suivi_Eans!K:K,"&lt;01/06/2022")</f>
        <v>0</v>
      </c>
      <c r="D60" s="21">
        <f>F60-C60-E60</f>
        <v>0</v>
      </c>
      <c r="E60" s="21">
        <f>COUNTIFS(E_Suivi_Eans!$C:$C,"05/2022",E_Suivi_Eans!$D:$D,"Déchets diffus spéc. Ménagers",E_Suivi_Eans!$J:$J,"Abandon",E_Suivi_Eans!$K:$K,"&gt;31/12/2021",E_Suivi_Eans!K:K,"&lt;01/06/2022")</f>
        <v>0</v>
      </c>
      <c r="F60" s="21">
        <f>COUNTIFS(E_Suivi_Eans!$C:$C,"05/2022",E_Suivi_Eans!$D:$D,"Déchets diffus spéc. Ménagers")</f>
        <v>0</v>
      </c>
      <c r="G60" s="21">
        <f>F60-E60</f>
        <v>0</v>
      </c>
      <c r="J60" s="20" t="s">
        <v>5318</v>
      </c>
      <c r="K60" s="20" t="s">
        <v>5318</v>
      </c>
      <c r="L60" s="28">
        <f>IF($G60=0,0,C60/$G60)</f>
        <v>0</v>
      </c>
      <c r="M60" s="28">
        <f t="shared" ref="M60:M66" si="24">O60-L60-N60</f>
        <v>1</v>
      </c>
      <c r="N60" s="28">
        <f t="shared" ref="N60" si="25">IF($G60=0,0,E60/$G60)</f>
        <v>0</v>
      </c>
      <c r="O60" s="28">
        <v>1</v>
      </c>
      <c r="P60" s="28">
        <f t="shared" ref="P60:P66" si="26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COUNTIFS(E_Suivi_Eans!$C:$C,"05/2022",E_Suivi_Eans!$D:$D,"Déchets diffus spéc. Ménagers",E_Suivi_Eans!$J:$J,"Retour OK",E_Suivi_Eans!$K:$K,"&gt;31/12/2021",E_Suivi_Eans!K:K,"&lt;01/07/2022")</f>
        <v>0</v>
      </c>
      <c r="D61" s="21">
        <f t="shared" ref="D61:D66" si="27">F61-C61-E61</f>
        <v>0</v>
      </c>
      <c r="E61" s="21">
        <f>COUNTIFS(E_Suivi_Eans!$C:$C,"05/2022",E_Suivi_Eans!$D:$D,"Déchets diffus spéc. Ménagers",E_Suivi_Eans!$J:$J,"Abandon",E_Suivi_Eans!$K:$K,"&gt;31/12/2021",E_Suivi_Eans!K:K,"&lt;01/07/2022")</f>
        <v>0</v>
      </c>
      <c r="F61" s="21">
        <f>COUNTIFS(E_Suivi_Eans!$C:$C,"05/2022",E_Suivi_Eans!$D:$D,"Déchets diffus spéc. Ménagers")</f>
        <v>0</v>
      </c>
      <c r="G61" s="21">
        <f t="shared" ref="G61:G62" si="28">F61-E61</f>
        <v>0</v>
      </c>
      <c r="J61" s="20" t="s">
        <v>5318</v>
      </c>
      <c r="K61" s="20" t="s">
        <v>5319</v>
      </c>
      <c r="L61" s="28">
        <f t="shared" ref="L61:L66" si="29">IF($G61=0,0,C61/$G61)</f>
        <v>0</v>
      </c>
      <c r="M61" s="28">
        <f t="shared" si="24"/>
        <v>1</v>
      </c>
      <c r="N61" s="28">
        <f t="shared" ref="N61:N66" si="30">IF($G61=0,0,E61/$G61)</f>
        <v>0</v>
      </c>
      <c r="O61" s="28">
        <v>1</v>
      </c>
      <c r="P61" s="28">
        <f t="shared" si="26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COUNTIFS(E_Suivi_Eans!$C:$C,"05/2022",E_Suivi_Eans!$D:$D,"Déchets diffus spéc. Ménagers",E_Suivi_Eans!$J:$J,"Retour OK",E_Suivi_Eans!$K:$K,"&gt;31/12/2021",E_Suivi_Eans!K:K,"&lt;01/08/2022")</f>
        <v>0</v>
      </c>
      <c r="D62" s="21">
        <f t="shared" si="27"/>
        <v>0</v>
      </c>
      <c r="E62" s="21">
        <f>COUNTIFS(E_Suivi_Eans!$C:$C,"05/2022",E_Suivi_Eans!$D:$D,"Déchets diffus spéc. Ménagers",E_Suivi_Eans!$J:$J,"Abandon",E_Suivi_Eans!$K:$K,"&gt;31/12/2021",E_Suivi_Eans!K:K,"&lt;01/08/2022")</f>
        <v>0</v>
      </c>
      <c r="F62" s="21">
        <f>COUNTIFS(E_Suivi_Eans!$C:$C,"05/2022",E_Suivi_Eans!$D:$D,"Déchets diffus spéc. Ménagers")</f>
        <v>0</v>
      </c>
      <c r="G62" s="21">
        <f t="shared" si="28"/>
        <v>0</v>
      </c>
      <c r="J62" s="20" t="s">
        <v>5318</v>
      </c>
      <c r="K62" s="20" t="s">
        <v>5320</v>
      </c>
      <c r="L62" s="28">
        <f t="shared" si="29"/>
        <v>0</v>
      </c>
      <c r="M62" s="28">
        <f t="shared" si="24"/>
        <v>1</v>
      </c>
      <c r="N62" s="28">
        <f t="shared" si="30"/>
        <v>0</v>
      </c>
      <c r="O62" s="28">
        <v>1</v>
      </c>
      <c r="P62" s="28">
        <f t="shared" si="26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COUNTIFS(E_Suivi_Eans!$C:$C,"05/2022",E_Suivi_Eans!$D:$D,"Déchets diffus spéc. Ménagers",E_Suivi_Eans!$J:$J,"Retour OK",E_Suivi_Eans!$K:$K,"&gt;31/12/2021",E_Suivi_Eans!K:K,"&lt;01/09/2022")</f>
        <v>0</v>
      </c>
      <c r="D63" s="21">
        <f t="shared" si="27"/>
        <v>0</v>
      </c>
      <c r="E63" s="21">
        <f>COUNTIFS(E_Suivi_Eans!$C:$C,"05/2022",E_Suivi_Eans!$D:$D,"Déchets diffus spéc. Ménagers",E_Suivi_Eans!$J:$J,"Abandon",E_Suivi_Eans!$K:$K,"&gt;31/12/2021",E_Suivi_Eans!K:K,"&lt;01/09/2022")</f>
        <v>0</v>
      </c>
      <c r="F63" s="21">
        <f>COUNTIFS(E_Suivi_Eans!$C:$C,"05/2022",E_Suivi_Eans!$D:$D,"Déchets diffus spéc. Ménagers")</f>
        <v>0</v>
      </c>
      <c r="G63" s="21">
        <f t="shared" ref="G63:G66" si="31">F63-E63</f>
        <v>0</v>
      </c>
      <c r="J63" s="20" t="s">
        <v>5318</v>
      </c>
      <c r="K63" s="20" t="s">
        <v>5321</v>
      </c>
      <c r="L63" s="28">
        <f t="shared" si="29"/>
        <v>0</v>
      </c>
      <c r="M63" s="28">
        <f t="shared" si="24"/>
        <v>1</v>
      </c>
      <c r="N63" s="28">
        <f t="shared" si="30"/>
        <v>0</v>
      </c>
      <c r="O63" s="28">
        <v>1</v>
      </c>
      <c r="P63" s="28">
        <f t="shared" si="26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COUNTIFS(E_Suivi_Eans!$C:$C,"05/2022",E_Suivi_Eans!$D:$D,"Déchets diffus spéc. Ménagers",E_Suivi_Eans!$J:$J,"Retour OK",E_Suivi_Eans!$K:$K,"&gt;31/12/2021",E_Suivi_Eans!K:K,"&lt;01/10/2022")</f>
        <v>0</v>
      </c>
      <c r="D64" s="21">
        <f t="shared" si="27"/>
        <v>0</v>
      </c>
      <c r="E64" s="21">
        <f>COUNTIFS(E_Suivi_Eans!$C:$C,"05/2022",E_Suivi_Eans!$D:$D,"Déchets diffus spéc. Ménagers",E_Suivi_Eans!$J:$J,"Abandon",E_Suivi_Eans!$K:$K,"&gt;31/12/2021",E_Suivi_Eans!K:K,"&lt;01/10/2022")</f>
        <v>0</v>
      </c>
      <c r="F64" s="21">
        <f>COUNTIFS(E_Suivi_Eans!$C:$C,"05/2022",E_Suivi_Eans!$D:$D,"Déchets diffus spéc. Ménagers")</f>
        <v>0</v>
      </c>
      <c r="G64" s="21">
        <f t="shared" si="31"/>
        <v>0</v>
      </c>
      <c r="J64" s="20" t="s">
        <v>5318</v>
      </c>
      <c r="K64" s="20" t="s">
        <v>5325</v>
      </c>
      <c r="L64" s="28">
        <f t="shared" si="29"/>
        <v>0</v>
      </c>
      <c r="M64" s="28">
        <f t="shared" si="24"/>
        <v>1</v>
      </c>
      <c r="N64" s="28">
        <f t="shared" si="30"/>
        <v>0</v>
      </c>
      <c r="O64" s="28">
        <v>1</v>
      </c>
      <c r="P64" s="28">
        <f t="shared" si="26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COUNTIFS(E_Suivi_Eans!$C:$C,"05/2022",E_Suivi_Eans!$D:$D,"Déchets diffus spéc. Ménagers",E_Suivi_Eans!$J:$J,"Retour OK",E_Suivi_Eans!$K:$K,"&gt;31/12/2021",E_Suivi_Eans!K:K,"&lt;01/11/2022")</f>
        <v>0</v>
      </c>
      <c r="D65" s="21">
        <f t="shared" si="27"/>
        <v>0</v>
      </c>
      <c r="E65" s="21">
        <f>COUNTIFS(E_Suivi_Eans!$C:$C,"05/2022",E_Suivi_Eans!$D:$D,"Déchets diffus spéc. Ménagers",E_Suivi_Eans!$J:$J,"Abandon",E_Suivi_Eans!$K:$K,"&gt;31/12/2021",E_Suivi_Eans!K:K,"&lt;01/11/2022")</f>
        <v>0</v>
      </c>
      <c r="F65" s="21">
        <f>COUNTIFS(E_Suivi_Eans!$C:$C,"05/2022",E_Suivi_Eans!$D:$D,"Déchets diffus spéc. Ménagers")</f>
        <v>0</v>
      </c>
      <c r="G65" s="21">
        <f t="shared" si="31"/>
        <v>0</v>
      </c>
      <c r="J65" s="20" t="s">
        <v>5318</v>
      </c>
      <c r="K65" s="20" t="s">
        <v>5326</v>
      </c>
      <c r="L65" s="28">
        <f t="shared" si="29"/>
        <v>0</v>
      </c>
      <c r="M65" s="28">
        <f t="shared" si="24"/>
        <v>1</v>
      </c>
      <c r="N65" s="28">
        <f t="shared" si="30"/>
        <v>0</v>
      </c>
      <c r="O65" s="28">
        <v>1</v>
      </c>
      <c r="P65" s="28">
        <f t="shared" si="26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COUNTIFS(E_Suivi_Eans!$C:$C,"05/2022",E_Suivi_Eans!$D:$D,"Déchets diffus spéc. Ménagers",E_Suivi_Eans!$J:$J,"Retour OK",E_Suivi_Eans!$K:$K,"&gt;31/12/2021",E_Suivi_Eans!K:K,"&lt;01/12/2022")</f>
        <v>0</v>
      </c>
      <c r="D66" s="21">
        <f t="shared" si="27"/>
        <v>0</v>
      </c>
      <c r="E66" s="21">
        <f>COUNTIFS(E_Suivi_Eans!$C:$C,"05/2022",E_Suivi_Eans!$D:$D,"Déchets diffus spéc. Ménagers",E_Suivi_Eans!$J:$J,"Abandon",E_Suivi_Eans!$K:$K,"&gt;31/12/2021",E_Suivi_Eans!K:K,"&lt;01/12/2022")</f>
        <v>0</v>
      </c>
      <c r="F66" s="21">
        <f>COUNTIFS(E_Suivi_Eans!$C:$C,"05/2022",E_Suivi_Eans!$D:$D,"Déchets diffus spéc. Ménagers")</f>
        <v>0</v>
      </c>
      <c r="G66" s="21">
        <f t="shared" si="31"/>
        <v>0</v>
      </c>
      <c r="J66" s="20" t="s">
        <v>5318</v>
      </c>
      <c r="K66" s="20" t="s">
        <v>5327</v>
      </c>
      <c r="L66" s="28">
        <f t="shared" si="29"/>
        <v>0</v>
      </c>
      <c r="M66" s="28">
        <f t="shared" si="24"/>
        <v>1</v>
      </c>
      <c r="N66" s="28">
        <f t="shared" si="30"/>
        <v>0</v>
      </c>
      <c r="O66" s="28">
        <v>1</v>
      </c>
      <c r="P66" s="28">
        <f t="shared" si="26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8"/>
      <c r="P67" s="28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5"/>
      <c r="E68" s="25"/>
      <c r="F68" s="25"/>
      <c r="G68" s="25"/>
      <c r="J68" s="22"/>
      <c r="K68" s="22"/>
      <c r="L68" s="23"/>
      <c r="M68" s="25"/>
      <c r="N68" s="25"/>
      <c r="O68" s="31"/>
      <c r="P68" s="31"/>
      <c r="S68" s="22"/>
      <c r="T68" s="22"/>
      <c r="U68" s="23"/>
      <c r="V68" s="25"/>
      <c r="W68" s="25"/>
      <c r="X68" s="25"/>
      <c r="Y68" s="25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8"/>
      <c r="P69" s="28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8"/>
      <c r="P70" s="28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8"/>
      <c r="P71" s="28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8"/>
      <c r="P72" s="28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8"/>
      <c r="P73" s="28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COUNTIFS(E_Suivi_Eans!$C:$C,"06/2022",E_Suivi_Eans!$D:$D,"Déchets diffus spéc. Ménagers",E_Suivi_Eans!$J:$J,"Retour OK",E_Suivi_Eans!$K:$K,"&gt;31/12/2021",E_Suivi_Eans!K:K,"&lt;01/07/2022")</f>
        <v>0</v>
      </c>
      <c r="D74" s="21">
        <f>F74-C74-E74</f>
        <v>30</v>
      </c>
      <c r="E74" s="21">
        <f>COUNTIFS(E_Suivi_Eans!$C:$C,"06/2022",E_Suivi_Eans!$D:$D,"Déchets diffus spéc. Ménagers",E_Suivi_Eans!$J:$J,"Abandon",E_Suivi_Eans!$K:$K,"&gt;31/12/2021",E_Suivi_Eans!K:K,"&lt;01/07/2022")</f>
        <v>0</v>
      </c>
      <c r="F74" s="21">
        <f>COUNTIFS(E_Suivi_Eans!$C:$C,"06/2022",E_Suivi_Eans!$D:$D,"Déchets diffus spéc. Ménagers")</f>
        <v>30</v>
      </c>
      <c r="G74" s="21">
        <f t="shared" ref="G74:G79" si="32">F74-E74</f>
        <v>30</v>
      </c>
      <c r="J74" s="20" t="s">
        <v>5319</v>
      </c>
      <c r="K74" s="20" t="s">
        <v>5319</v>
      </c>
      <c r="L74" s="28">
        <f t="shared" ref="L74:L79" si="33">IF($G74=0,0,C74/$G74)</f>
        <v>0</v>
      </c>
      <c r="M74" s="28">
        <f t="shared" ref="M74:M79" si="34">O74-L74-N74</f>
        <v>1</v>
      </c>
      <c r="N74" s="28">
        <f t="shared" ref="N74:N79" si="35">IF($G74=0,0,E74/$G74)</f>
        <v>0</v>
      </c>
      <c r="O74" s="28">
        <v>1</v>
      </c>
      <c r="P74" s="28">
        <f t="shared" ref="P74:P79" si="36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COUNTIFS(E_Suivi_Eans!$C:$C,"06/2022",E_Suivi_Eans!$D:$D,"Déchets diffus spéc. Ménagers",E_Suivi_Eans!$J:$J,"Retour OK",E_Suivi_Eans!$K:$K,"&gt;31/12/2021",E_Suivi_Eans!K:K,"&lt;01/08/2022")</f>
        <v>0</v>
      </c>
      <c r="D75" s="21">
        <f>F75-C75-E75</f>
        <v>30</v>
      </c>
      <c r="E75" s="21">
        <f>COUNTIFS(E_Suivi_Eans!$C:$C,"06/2022",E_Suivi_Eans!$D:$D,"Déchets diffus spéc. Ménagers",E_Suivi_Eans!$J:$J,"Abandon",E_Suivi_Eans!$K:$K,"&gt;31/12/2021",E_Suivi_Eans!K:K,"&lt;01/08/2022")</f>
        <v>0</v>
      </c>
      <c r="F75" s="21">
        <f>COUNTIFS(E_Suivi_Eans!$C:$C,"06/2022",E_Suivi_Eans!$D:$D,"Déchets diffus spéc. Ménagers")</f>
        <v>30</v>
      </c>
      <c r="G75" s="21">
        <f t="shared" si="32"/>
        <v>30</v>
      </c>
      <c r="J75" s="20" t="s">
        <v>5319</v>
      </c>
      <c r="K75" s="20" t="s">
        <v>5320</v>
      </c>
      <c r="L75" s="28">
        <f t="shared" si="33"/>
        <v>0</v>
      </c>
      <c r="M75" s="28">
        <f t="shared" si="34"/>
        <v>1</v>
      </c>
      <c r="N75" s="28">
        <f t="shared" si="35"/>
        <v>0</v>
      </c>
      <c r="O75" s="28">
        <v>1</v>
      </c>
      <c r="P75" s="28">
        <f t="shared" si="36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COUNTIFS(E_Suivi_Eans!$C:$C,"06/2022",E_Suivi_Eans!$D:$D,"Déchets diffus spéc. Ménagers",E_Suivi_Eans!$J:$J,"Retour OK",E_Suivi_Eans!$K:$K,"&gt;31/12/2021",E_Suivi_Eans!K:K,"&lt;01/09/2022")</f>
        <v>0</v>
      </c>
      <c r="D76" s="21">
        <f t="shared" ref="D76" si="37">F76-C76-E76</f>
        <v>30</v>
      </c>
      <c r="E76" s="21">
        <f>COUNTIFS(E_Suivi_Eans!$C:$C,"06/2022",E_Suivi_Eans!$D:$D,"Déchets diffus spéc. Ménagers",E_Suivi_Eans!$J:$J,"Abandon",E_Suivi_Eans!$K:$K,"&gt;31/12/2021",E_Suivi_Eans!K:K,"&lt;01/09/2022")</f>
        <v>0</v>
      </c>
      <c r="F76" s="21">
        <f>COUNTIFS(E_Suivi_Eans!$C:$C,"06/2022",E_Suivi_Eans!$D:$D,"Déchets diffus spéc. Ménagers")</f>
        <v>30</v>
      </c>
      <c r="G76" s="21">
        <f t="shared" si="32"/>
        <v>30</v>
      </c>
      <c r="J76" s="20" t="s">
        <v>5319</v>
      </c>
      <c r="K76" s="20" t="s">
        <v>5321</v>
      </c>
      <c r="L76" s="28">
        <f t="shared" si="33"/>
        <v>0</v>
      </c>
      <c r="M76" s="28">
        <f t="shared" si="34"/>
        <v>1</v>
      </c>
      <c r="N76" s="28">
        <f t="shared" si="35"/>
        <v>0</v>
      </c>
      <c r="O76" s="28">
        <v>1</v>
      </c>
      <c r="P76" s="28">
        <f t="shared" si="36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COUNTIFS(E_Suivi_Eans!$C:$C,"06/2022",E_Suivi_Eans!$D:$D,"Déchets diffus spéc. Ménagers",E_Suivi_Eans!$J:$J,"Retour OK",E_Suivi_Eans!$K:$K,"&gt;31/12/2021",E_Suivi_Eans!K:K,"&lt;01/10/2022")</f>
        <v>0</v>
      </c>
      <c r="D77" s="21">
        <f>F77-C77-E77</f>
        <v>20</v>
      </c>
      <c r="E77" s="21">
        <f>COUNTIFS(E_Suivi_Eans!$C:$C,"06/2022",E_Suivi_Eans!$D:$D,"Déchets diffus spéc. Ménagers",E_Suivi_Eans!$J:$J,"Abandon",E_Suivi_Eans!$K:$K,"&gt;31/12/2021",E_Suivi_Eans!K:K,"&lt;01/10/2022")</f>
        <v>10</v>
      </c>
      <c r="F77" s="21">
        <f>COUNTIFS(E_Suivi_Eans!$C:$C,"06/2022",E_Suivi_Eans!$D:$D,"Déchets diffus spéc. Ménagers")</f>
        <v>30</v>
      </c>
      <c r="G77" s="21">
        <f t="shared" si="32"/>
        <v>20</v>
      </c>
      <c r="J77" s="20" t="s">
        <v>5319</v>
      </c>
      <c r="K77" s="20" t="s">
        <v>5325</v>
      </c>
      <c r="L77" s="28">
        <f t="shared" si="33"/>
        <v>0</v>
      </c>
      <c r="M77" s="28">
        <f t="shared" si="34"/>
        <v>0.5</v>
      </c>
      <c r="N77" s="28">
        <f t="shared" si="35"/>
        <v>0.5</v>
      </c>
      <c r="O77" s="28">
        <v>1</v>
      </c>
      <c r="P77" s="28">
        <f t="shared" si="36"/>
        <v>0.5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COUNTIFS(E_Suivi_Eans!$C:$C,"06/2022",E_Suivi_Eans!$D:$D,"Déchets diffus spéc. Ménagers",E_Suivi_Eans!$J:$J,"Retour OK",E_Suivi_Eans!$K:$K,"&gt;31/12/2021",E_Suivi_Eans!K:K,"&lt;01/11/2022")</f>
        <v>2</v>
      </c>
      <c r="D78" s="21">
        <f>F78-C78-E78</f>
        <v>18</v>
      </c>
      <c r="E78" s="21">
        <f>COUNTIFS(E_Suivi_Eans!$C:$C,"06/2022",E_Suivi_Eans!$D:$D,"Déchets diffus spéc. Ménagers",E_Suivi_Eans!$J:$J,"Abandon",E_Suivi_Eans!$K:$K,"&gt;31/12/2021",E_Suivi_Eans!K:K,"&lt;01/11/2022")</f>
        <v>10</v>
      </c>
      <c r="F78" s="21">
        <f>COUNTIFS(E_Suivi_Eans!$C:$C,"06/2022",E_Suivi_Eans!$D:$D,"Déchets diffus spéc. Ménagers")</f>
        <v>30</v>
      </c>
      <c r="G78" s="21">
        <f t="shared" si="32"/>
        <v>20</v>
      </c>
      <c r="J78" s="20" t="s">
        <v>5319</v>
      </c>
      <c r="K78" s="20" t="s">
        <v>5326</v>
      </c>
      <c r="L78" s="28">
        <f t="shared" si="33"/>
        <v>0.1</v>
      </c>
      <c r="M78" s="28">
        <f t="shared" si="34"/>
        <v>0.4</v>
      </c>
      <c r="N78" s="28">
        <f t="shared" si="35"/>
        <v>0.5</v>
      </c>
      <c r="O78" s="28">
        <v>1</v>
      </c>
      <c r="P78" s="28">
        <f t="shared" si="36"/>
        <v>0.5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COUNTIFS(E_Suivi_Eans!$C:$C,"06/2022",E_Suivi_Eans!$D:$D,"Déchets diffus spéc. Ménagers",E_Suivi_Eans!$J:$J,"Retour OK",E_Suivi_Eans!$K:$K,"&gt;31/12/2021",E_Suivi_Eans!K:K,"&lt;01/12/2022")</f>
        <v>8</v>
      </c>
      <c r="D79" s="21">
        <f>F79-C79-E79</f>
        <v>11</v>
      </c>
      <c r="E79" s="21">
        <f>COUNTIFS(E_Suivi_Eans!$C:$C,"06/2022",E_Suivi_Eans!$D:$D,"Déchets diffus spéc. Ménagers",E_Suivi_Eans!$J:$J,"Abandon",E_Suivi_Eans!$K:$K,"&gt;31/12/2021",E_Suivi_Eans!K:K,"&lt;01/12/2022")</f>
        <v>11</v>
      </c>
      <c r="F79" s="21">
        <f>COUNTIFS(E_Suivi_Eans!$C:$C,"06/2022",E_Suivi_Eans!$D:$D,"Déchets diffus spéc. Ménagers")</f>
        <v>30</v>
      </c>
      <c r="G79" s="21">
        <f t="shared" si="32"/>
        <v>19</v>
      </c>
      <c r="J79" s="20" t="s">
        <v>5319</v>
      </c>
      <c r="K79" s="20" t="s">
        <v>5327</v>
      </c>
      <c r="L79" s="28">
        <f t="shared" si="33"/>
        <v>0.42105263157894735</v>
      </c>
      <c r="M79" s="28">
        <f t="shared" si="34"/>
        <v>0</v>
      </c>
      <c r="N79" s="28">
        <f t="shared" si="35"/>
        <v>0.57894736842105265</v>
      </c>
      <c r="O79" s="28">
        <v>1</v>
      </c>
      <c r="P79" s="28">
        <f t="shared" si="36"/>
        <v>0.42105263157894735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8"/>
      <c r="P80" s="28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5"/>
      <c r="E81" s="25"/>
      <c r="F81" s="25"/>
      <c r="G81" s="25"/>
      <c r="J81" s="22"/>
      <c r="K81" s="22"/>
      <c r="L81" s="23"/>
      <c r="M81" s="25"/>
      <c r="N81" s="25"/>
      <c r="O81" s="31"/>
      <c r="P81" s="31"/>
      <c r="S81" s="22"/>
      <c r="T81" s="22"/>
      <c r="U81" s="23"/>
      <c r="V81" s="25"/>
      <c r="W81" s="25"/>
      <c r="X81" s="25"/>
      <c r="Y81" s="25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8"/>
      <c r="P82" s="28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8"/>
      <c r="P83" s="28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8"/>
      <c r="P84" s="28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8"/>
      <c r="P85" s="28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8"/>
      <c r="P86" s="28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8"/>
      <c r="P87" s="28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COUNTIFS(E_Suivi_Eans!$C:$C,"07/2022",E_Suivi_Eans!$D:$D,"Déchets diffus spéc. Ménagers",E_Suivi_Eans!$J:$J,"Retour OK",E_Suivi_Eans!$K:$K,"&gt;31/12/2021",E_Suivi_Eans!K:K,"&lt;01/08/2022")</f>
        <v>0</v>
      </c>
      <c r="D88" s="21">
        <f>F88-C88-E88</f>
        <v>4</v>
      </c>
      <c r="E88" s="21">
        <f>COUNTIFS(E_Suivi_Eans!$C:$C,"07/2022",E_Suivi_Eans!$D:$D,"Déchets diffus spéc. Ménagers",E_Suivi_Eans!$J:$J,"Abandon",E_Suivi_Eans!$K:$K,"&gt;31/12/2021",E_Suivi_Eans!K:K,"&lt;01/08/2022")</f>
        <v>0</v>
      </c>
      <c r="F88" s="21">
        <f>COUNTIFS(E_Suivi_Eans!$C:$C,"07/2022",E_Suivi_Eans!$D:$D,"Déchets diffus spéc. Ménagers")</f>
        <v>4</v>
      </c>
      <c r="G88" s="21">
        <f>F88-E88</f>
        <v>4</v>
      </c>
      <c r="J88" s="20" t="s">
        <v>5320</v>
      </c>
      <c r="K88" s="20" t="s">
        <v>5320</v>
      </c>
      <c r="L88" s="28">
        <f t="shared" ref="L88:L92" si="38">IF($G88=0,0,C88/$G88)</f>
        <v>0</v>
      </c>
      <c r="M88" s="28">
        <f>O88-L88-N88</f>
        <v>1</v>
      </c>
      <c r="N88" s="28">
        <f t="shared" ref="N88:N92" si="39">IF($G88=0,0,E88/$G88)</f>
        <v>0</v>
      </c>
      <c r="O88" s="28">
        <v>1</v>
      </c>
      <c r="P88" s="28">
        <f t="shared" ref="P88:P92" si="4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COUNTIFS(E_Suivi_Eans!$C:$C,"07/2022",E_Suivi_Eans!$D:$D,"Déchets diffus spéc. Ménagers",E_Suivi_Eans!$J:$J,"Retour OK",E_Suivi_Eans!$K:$K,"&gt;31/12/2021",E_Suivi_Eans!K:K,"&lt;01/09/2022")</f>
        <v>0</v>
      </c>
      <c r="D89" s="21">
        <f t="shared" ref="D89" si="41">F89-C89-E89</f>
        <v>4</v>
      </c>
      <c r="E89" s="21">
        <f>COUNTIFS(E_Suivi_Eans!$C:$C,"07/2022",E_Suivi_Eans!$D:$D,"Déchets diffus spéc. Ménagers",E_Suivi_Eans!$J:$J,"Abandon",E_Suivi_Eans!$K:$K,"&gt;31/12/2021",E_Suivi_Eans!K:K,"&lt;01/09/2022")</f>
        <v>0</v>
      </c>
      <c r="F89" s="21">
        <f>COUNTIFS(E_Suivi_Eans!$C:$C,"07/2022",E_Suivi_Eans!$D:$D,"Déchets diffus spéc. Ménagers")</f>
        <v>4</v>
      </c>
      <c r="G89" s="21">
        <f t="shared" ref="G89:G92" si="42">F89-E89</f>
        <v>4</v>
      </c>
      <c r="J89" s="20" t="s">
        <v>5320</v>
      </c>
      <c r="K89" s="20" t="s">
        <v>5321</v>
      </c>
      <c r="L89" s="28">
        <f t="shared" si="38"/>
        <v>0</v>
      </c>
      <c r="M89" s="28">
        <f>O89-L89-N89</f>
        <v>1</v>
      </c>
      <c r="N89" s="28">
        <f t="shared" si="39"/>
        <v>0</v>
      </c>
      <c r="O89" s="28">
        <v>1</v>
      </c>
      <c r="P89" s="28">
        <f t="shared" si="4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COUNTIFS(E_Suivi_Eans!$C:$C,"07/2022",E_Suivi_Eans!$D:$D,"Déchets diffus spéc. Ménagers",E_Suivi_Eans!$J:$J,"Retour OK",E_Suivi_Eans!$K:$K,"&gt;31/12/2021",E_Suivi_Eans!K:K,"&lt;01/10/2022")</f>
        <v>0</v>
      </c>
      <c r="D90" s="21">
        <f>F90-C90-E90</f>
        <v>4</v>
      </c>
      <c r="E90" s="21">
        <f>COUNTIFS(E_Suivi_Eans!$C:$C,"07/2022",E_Suivi_Eans!$D:$D,"Déchets diffus spéc. Ménagers",E_Suivi_Eans!$J:$J,"Abandon",E_Suivi_Eans!$K:$K,"&gt;31/12/2021",E_Suivi_Eans!K:K,"&lt;01/10/2022")</f>
        <v>0</v>
      </c>
      <c r="F90" s="21">
        <f>COUNTIFS(E_Suivi_Eans!$C:$C,"07/2022",E_Suivi_Eans!$D:$D,"Déchets diffus spéc. Ménagers")</f>
        <v>4</v>
      </c>
      <c r="G90" s="21">
        <f t="shared" si="42"/>
        <v>4</v>
      </c>
      <c r="J90" s="20" t="s">
        <v>5320</v>
      </c>
      <c r="K90" s="20" t="s">
        <v>5325</v>
      </c>
      <c r="L90" s="28">
        <f t="shared" si="38"/>
        <v>0</v>
      </c>
      <c r="M90" s="28">
        <f>O90-L90-N90</f>
        <v>1</v>
      </c>
      <c r="N90" s="28">
        <f t="shared" si="39"/>
        <v>0</v>
      </c>
      <c r="O90" s="28">
        <v>1</v>
      </c>
      <c r="P90" s="28">
        <f t="shared" si="4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COUNTIFS(E_Suivi_Eans!$C:$C,"07/2022",E_Suivi_Eans!$D:$D,"Déchets diffus spéc. Ménagers",E_Suivi_Eans!$J:$J,"Retour OK",E_Suivi_Eans!$K:$K,"&gt;31/12/2021",E_Suivi_Eans!K:K,"&lt;01/11/2022")</f>
        <v>0</v>
      </c>
      <c r="D91" s="21">
        <f>F91-C91-E91</f>
        <v>4</v>
      </c>
      <c r="E91" s="21">
        <f>COUNTIFS(E_Suivi_Eans!$C:$C,"07/2022",E_Suivi_Eans!$D:$D,"Déchets diffus spéc. Ménagers",E_Suivi_Eans!$J:$J,"Abandon",E_Suivi_Eans!$K:$K,"&gt;31/12/2021",E_Suivi_Eans!K:K,"&lt;01/11/2022")</f>
        <v>0</v>
      </c>
      <c r="F91" s="21">
        <f>COUNTIFS(E_Suivi_Eans!$C:$C,"07/2022",E_Suivi_Eans!$D:$D,"Déchets diffus spéc. Ménagers")</f>
        <v>4</v>
      </c>
      <c r="G91" s="21">
        <f t="shared" si="42"/>
        <v>4</v>
      </c>
      <c r="J91" s="20" t="s">
        <v>5320</v>
      </c>
      <c r="K91" s="20" t="s">
        <v>5326</v>
      </c>
      <c r="L91" s="28">
        <f t="shared" si="38"/>
        <v>0</v>
      </c>
      <c r="M91" s="28">
        <f>O91-L91-N91</f>
        <v>1</v>
      </c>
      <c r="N91" s="28">
        <f t="shared" si="39"/>
        <v>0</v>
      </c>
      <c r="O91" s="28">
        <v>1</v>
      </c>
      <c r="P91" s="28">
        <f t="shared" si="4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COUNTIFS(E_Suivi_Eans!$C:$C,"07/2022",E_Suivi_Eans!$D:$D,"Déchets diffus spéc. Ménagers",E_Suivi_Eans!$J:$J,"Retour OK",E_Suivi_Eans!$K:$K,"&gt;31/12/2021",E_Suivi_Eans!K:K,"&lt;01/12/2022")</f>
        <v>0</v>
      </c>
      <c r="D92" s="21">
        <f>F92-C92-E92</f>
        <v>4</v>
      </c>
      <c r="E92" s="21">
        <f>COUNTIFS(E_Suivi_Eans!$C:$C,"07/2022",E_Suivi_Eans!$D:$D,"Déchets diffus spéc. Ménagers",E_Suivi_Eans!$J:$J,"Abandon",E_Suivi_Eans!$K:$K,"&gt;31/12/2021",E_Suivi_Eans!K:K,"&lt;01/12/2022")</f>
        <v>0</v>
      </c>
      <c r="F92" s="21">
        <f>COUNTIFS(E_Suivi_Eans!$C:$C,"07/2022",E_Suivi_Eans!$D:$D,"Déchets diffus spéc. Ménagers")</f>
        <v>4</v>
      </c>
      <c r="G92" s="21">
        <f t="shared" si="42"/>
        <v>4</v>
      </c>
      <c r="J92" s="20" t="s">
        <v>5320</v>
      </c>
      <c r="K92" s="20" t="s">
        <v>5327</v>
      </c>
      <c r="L92" s="28">
        <f t="shared" si="38"/>
        <v>0</v>
      </c>
      <c r="M92" s="28">
        <f t="shared" ref="M92" si="43">O92-L92-N92</f>
        <v>1</v>
      </c>
      <c r="N92" s="28">
        <f t="shared" si="39"/>
        <v>0</v>
      </c>
      <c r="O92" s="28">
        <v>1</v>
      </c>
      <c r="P92" s="28">
        <f t="shared" si="4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8"/>
      <c r="P93" s="28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5"/>
      <c r="E94" s="25"/>
      <c r="F94" s="25"/>
      <c r="G94" s="25"/>
      <c r="J94" s="22"/>
      <c r="K94" s="22"/>
      <c r="L94" s="23"/>
      <c r="M94" s="25"/>
      <c r="N94" s="25"/>
      <c r="O94" s="31"/>
      <c r="P94" s="31"/>
      <c r="S94" s="22"/>
      <c r="T94" s="22"/>
      <c r="U94" s="23"/>
      <c r="V94" s="25"/>
      <c r="W94" s="25"/>
      <c r="X94" s="25"/>
      <c r="Y94" s="25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8"/>
      <c r="P95" s="28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8"/>
      <c r="P96" s="28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8"/>
      <c r="P97" s="28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8"/>
      <c r="P98" s="28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8"/>
      <c r="P99" s="28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8"/>
      <c r="P100" s="28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8"/>
      <c r="P101" s="28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COUNTIFS(E_Suivi_Eans!$C:$C,"08/2022",E_Suivi_Eans!$D:$D,"Déchets diffus spéc. Ménagers",E_Suivi_Eans!$J:$J,"Retour OK",E_Suivi_Eans!$K:$K,"&gt;31/12/2021",E_Suivi_Eans!K:K,"&lt;01/09/2022")</f>
        <v>0</v>
      </c>
      <c r="D102" s="21">
        <f>F102-C102-E102</f>
        <v>4</v>
      </c>
      <c r="E102" s="21">
        <f>COUNTIFS(E_Suivi_Eans!$C:$C,"08/2022",E_Suivi_Eans!$D:$D,"Déchets diffus spéc. Ménagers",E_Suivi_Eans!$J:$J,"Abandon",E_Suivi_Eans!$K:$K,"&gt;31/12/2021",E_Suivi_Eans!K:K,"&lt;01/09/2022")</f>
        <v>0</v>
      </c>
      <c r="F102" s="21">
        <f>COUNTIFS(E_Suivi_Eans!$C:$C,"08/2022",E_Suivi_Eans!$D:$D,"Déchets diffus spéc. Ménagers")</f>
        <v>4</v>
      </c>
      <c r="G102" s="21">
        <f>F102-E102</f>
        <v>4</v>
      </c>
      <c r="J102" s="20" t="s">
        <v>5321</v>
      </c>
      <c r="K102" s="20" t="s">
        <v>5321</v>
      </c>
      <c r="L102" s="28">
        <f t="shared" ref="L102:L105" si="44">IF($G102=0,0,C102/$G102)</f>
        <v>0</v>
      </c>
      <c r="M102" s="28">
        <f>O102-L102-N102</f>
        <v>1</v>
      </c>
      <c r="N102" s="28">
        <f t="shared" ref="N102:N105" si="45">IF($G102=0,0,E102/$G102)</f>
        <v>0</v>
      </c>
      <c r="O102" s="28">
        <v>1</v>
      </c>
      <c r="P102" s="28">
        <f t="shared" ref="P102:P105" si="46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COUNTIFS(E_Suivi_Eans!$C:$C,"08/2022",E_Suivi_Eans!$D:$D,"Déchets diffus spéc. Ménagers",E_Suivi_Eans!$J:$J,"Retour OK",E_Suivi_Eans!$K:$K,"&gt;31/12/2021",E_Suivi_Eans!K:K,"&lt;01/10/2022")</f>
        <v>0</v>
      </c>
      <c r="D103" s="21">
        <f t="shared" ref="D103" si="47">F103-C103-E103</f>
        <v>4</v>
      </c>
      <c r="E103" s="21">
        <f>COUNTIFS(E_Suivi_Eans!$C:$C,"08/2022",E_Suivi_Eans!$D:$D,"Déchets diffus spéc. Ménagers",E_Suivi_Eans!$J:$J,"Abandon",E_Suivi_Eans!$K:$K,"&gt;31/12/2021",E_Suivi_Eans!K:K,"&lt;01/10/2022")</f>
        <v>0</v>
      </c>
      <c r="F103" s="21">
        <f>COUNTIFS(E_Suivi_Eans!$C:$C,"08/2022",E_Suivi_Eans!$D:$D,"Déchets diffus spéc. Ménagers")</f>
        <v>4</v>
      </c>
      <c r="G103" s="21">
        <f t="shared" ref="G103:G105" si="48">F103-E103</f>
        <v>4</v>
      </c>
      <c r="J103" s="20" t="s">
        <v>5321</v>
      </c>
      <c r="K103" s="20" t="s">
        <v>5325</v>
      </c>
      <c r="L103" s="28">
        <f t="shared" si="44"/>
        <v>0</v>
      </c>
      <c r="M103" s="28">
        <f>O103-L103-N103</f>
        <v>1</v>
      </c>
      <c r="N103" s="28">
        <f t="shared" si="45"/>
        <v>0</v>
      </c>
      <c r="O103" s="28">
        <v>1</v>
      </c>
      <c r="P103" s="28">
        <f t="shared" si="46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COUNTIFS(E_Suivi_Eans!$C:$C,"08/2022",E_Suivi_Eans!$D:$D,"Déchets diffus spéc. Ménagers",E_Suivi_Eans!$J:$J,"Retour OK",E_Suivi_Eans!$K:$K,"&gt;31/12/2021",E_Suivi_Eans!K:K,"&lt;01/11/2022")</f>
        <v>3</v>
      </c>
      <c r="D104" s="21">
        <f>F104-C104-E104</f>
        <v>1</v>
      </c>
      <c r="E104" s="21">
        <f>COUNTIFS(E_Suivi_Eans!$C:$C,"08/2022",E_Suivi_Eans!$D:$D,"Déchets diffus spéc. Ménagers",E_Suivi_Eans!$J:$J,"Abandon",E_Suivi_Eans!$K:$K,"&gt;31/12/2021",E_Suivi_Eans!K:K,"&lt;01/11/2022")</f>
        <v>0</v>
      </c>
      <c r="F104" s="21">
        <f>COUNTIFS(E_Suivi_Eans!$C:$C,"08/2022",E_Suivi_Eans!$D:$D,"Déchets diffus spéc. Ménagers")</f>
        <v>4</v>
      </c>
      <c r="G104" s="21">
        <f t="shared" si="48"/>
        <v>4</v>
      </c>
      <c r="J104" s="20" t="s">
        <v>5321</v>
      </c>
      <c r="K104" s="20" t="s">
        <v>5326</v>
      </c>
      <c r="L104" s="28">
        <f t="shared" si="44"/>
        <v>0.75</v>
      </c>
      <c r="M104" s="28">
        <f>O104-L104-N104</f>
        <v>0.25</v>
      </c>
      <c r="N104" s="28">
        <f t="shared" si="45"/>
        <v>0</v>
      </c>
      <c r="O104" s="28">
        <v>1</v>
      </c>
      <c r="P104" s="28">
        <f t="shared" si="46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COUNTIFS(E_Suivi_Eans!$C:$C,"08/2022",E_Suivi_Eans!$D:$D,"Déchets diffus spéc. Ménagers",E_Suivi_Eans!$J:$J,"Retour OK",E_Suivi_Eans!$K:$K,"&gt;31/12/2021",E_Suivi_Eans!K:K,"&lt;01/12/2022")</f>
        <v>3</v>
      </c>
      <c r="D105" s="21">
        <f>F105-C105-E105</f>
        <v>1</v>
      </c>
      <c r="E105" s="21">
        <f>COUNTIFS(E_Suivi_Eans!$C:$C,"08/2022",E_Suivi_Eans!$D:$D,"Déchets diffus spéc. Ménagers",E_Suivi_Eans!$J:$J,"Abandon",E_Suivi_Eans!$K:$K,"&gt;31/12/2021",E_Suivi_Eans!K:K,"&lt;01/12/2022")</f>
        <v>0</v>
      </c>
      <c r="F105" s="21">
        <f>COUNTIFS(E_Suivi_Eans!$C:$C,"08/2022",E_Suivi_Eans!$D:$D,"Déchets diffus spéc. Ménagers")</f>
        <v>4</v>
      </c>
      <c r="G105" s="21">
        <f t="shared" si="48"/>
        <v>4</v>
      </c>
      <c r="J105" s="20" t="s">
        <v>5321</v>
      </c>
      <c r="K105" s="20" t="s">
        <v>5327</v>
      </c>
      <c r="L105" s="28">
        <f t="shared" si="44"/>
        <v>0.75</v>
      </c>
      <c r="M105" s="28">
        <f>O105-L105-N105</f>
        <v>0.25</v>
      </c>
      <c r="N105" s="28">
        <f t="shared" si="45"/>
        <v>0</v>
      </c>
      <c r="O105" s="28">
        <v>1</v>
      </c>
      <c r="P105" s="28">
        <f t="shared" si="46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8"/>
      <c r="P106" s="28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5"/>
      <c r="E107" s="25"/>
      <c r="F107" s="25"/>
      <c r="G107" s="25"/>
      <c r="J107" s="22"/>
      <c r="K107" s="22"/>
      <c r="L107" s="23"/>
      <c r="M107" s="25"/>
      <c r="N107" s="25"/>
      <c r="O107" s="31"/>
      <c r="P107" s="31"/>
      <c r="S107" s="22"/>
      <c r="T107" s="22"/>
      <c r="U107" s="23"/>
      <c r="V107" s="25"/>
      <c r="W107" s="25"/>
      <c r="X107" s="25"/>
      <c r="Y107" s="25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8"/>
      <c r="P108" s="28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8"/>
      <c r="P109" s="28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8"/>
      <c r="P110" s="28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8"/>
      <c r="P111" s="28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8"/>
      <c r="P112" s="28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8"/>
      <c r="P113" s="28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8"/>
      <c r="P114" s="28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8"/>
      <c r="P115" s="28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COUNTIFS(E_Suivi_Eans!$C:$C,"09/2022",E_Suivi_Eans!$D:$D,"Déchets diffus spéc. Ménagers",E_Suivi_Eans!$J:$J,"Retour OK",E_Suivi_Eans!$K:$K,"&gt;31/12/2021",E_Suivi_Eans!K:K,"&lt;01/10/2022")</f>
        <v>0</v>
      </c>
      <c r="D116" s="21">
        <f>F116-C116-E116</f>
        <v>12</v>
      </c>
      <c r="E116" s="21">
        <f>COUNTIFS(E_Suivi_Eans!$C:$C,"09/2022",E_Suivi_Eans!$D:$D,"Déchets diffus spéc. Ménagers",E_Suivi_Eans!$J:$J,"Abandon",E_Suivi_Eans!$K:$K,"&gt;31/12/2021",E_Suivi_Eans!K:K,"&lt;01/10/2022")</f>
        <v>0</v>
      </c>
      <c r="F116" s="21">
        <f>COUNTIFS(E_Suivi_Eans!$C:$C,"09/2022",E_Suivi_Eans!$D:$D,"Déchets diffus spéc. Ménagers")</f>
        <v>12</v>
      </c>
      <c r="G116" s="21">
        <f t="shared" ref="G116:G118" si="49">F116-E116</f>
        <v>12</v>
      </c>
      <c r="J116" s="20" t="s">
        <v>5325</v>
      </c>
      <c r="K116" s="20" t="s">
        <v>5325</v>
      </c>
      <c r="L116" s="28">
        <f t="shared" ref="L116:L118" si="50">IF($G116=0,0,C116/$G116)</f>
        <v>0</v>
      </c>
      <c r="M116" s="28">
        <f>O116-L116-N116</f>
        <v>1</v>
      </c>
      <c r="N116" s="28">
        <f t="shared" ref="N116:N118" si="51">IF($G116=0,0,E116/$G116)</f>
        <v>0</v>
      </c>
      <c r="O116" s="28">
        <v>1</v>
      </c>
      <c r="P116" s="28">
        <f t="shared" ref="P116:P118" si="52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COUNTIFS(E_Suivi_Eans!$C:$C,"09/2022",E_Suivi_Eans!$D:$D,"Déchets diffus spéc. Ménagers",E_Suivi_Eans!$J:$J,"Retour OK",E_Suivi_Eans!$K:$K,"&gt;31/12/2021",E_Suivi_Eans!K:K,"&lt;01/11/2022")</f>
        <v>1</v>
      </c>
      <c r="D117" s="21">
        <f>F117-C117-E117</f>
        <v>8</v>
      </c>
      <c r="E117" s="21">
        <f>COUNTIFS(E_Suivi_Eans!$C:$C,"09/2022",E_Suivi_Eans!$D:$D,"Déchets diffus spéc. Ménagers",E_Suivi_Eans!$J:$J,"Abandon",E_Suivi_Eans!$K:$K,"&gt;31/12/2021",E_Suivi_Eans!K:K,"&lt;01/11/2022")</f>
        <v>3</v>
      </c>
      <c r="F117" s="21">
        <f>COUNTIFS(E_Suivi_Eans!$C:$C,"09/2022",E_Suivi_Eans!$D:$D,"Déchets diffus spéc. Ménagers")</f>
        <v>12</v>
      </c>
      <c r="G117" s="21">
        <f t="shared" si="49"/>
        <v>9</v>
      </c>
      <c r="J117" s="20" t="s">
        <v>5325</v>
      </c>
      <c r="K117" s="20" t="s">
        <v>5326</v>
      </c>
      <c r="L117" s="28">
        <f t="shared" si="50"/>
        <v>0.1111111111111111</v>
      </c>
      <c r="M117" s="28">
        <f>O117-L117-N117</f>
        <v>0.55555555555555558</v>
      </c>
      <c r="N117" s="28">
        <f t="shared" si="51"/>
        <v>0.33333333333333331</v>
      </c>
      <c r="O117" s="28">
        <v>1</v>
      </c>
      <c r="P117" s="28">
        <f t="shared" si="52"/>
        <v>0.66666666666666674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COUNTIFS(E_Suivi_Eans!$C:$C,"09/2022",E_Suivi_Eans!$D:$D,"Déchets diffus spéc. Ménagers",E_Suivi_Eans!$J:$J,"Retour OK",E_Suivi_Eans!$K:$K,"&gt;31/12/2021",E_Suivi_Eans!K:K,"&lt;01/12/2022")</f>
        <v>1</v>
      </c>
      <c r="D118" s="21">
        <f>F118-C118-E118</f>
        <v>7</v>
      </c>
      <c r="E118" s="21">
        <f>COUNTIFS(E_Suivi_Eans!$C:$C,"09/2022",E_Suivi_Eans!$D:$D,"Déchets diffus spéc. Ménagers",E_Suivi_Eans!$J:$J,"Abandon",E_Suivi_Eans!$K:$K,"&gt;31/12/2021",E_Suivi_Eans!K:K,"&lt;01/12/2022")</f>
        <v>4</v>
      </c>
      <c r="F118" s="21">
        <f>COUNTIFS(E_Suivi_Eans!$C:$C,"09/2022",E_Suivi_Eans!$D:$D,"Déchets diffus spéc. Ménagers")</f>
        <v>12</v>
      </c>
      <c r="G118" s="21">
        <f t="shared" si="49"/>
        <v>8</v>
      </c>
      <c r="J118" s="20" t="s">
        <v>5325</v>
      </c>
      <c r="K118" s="20" t="s">
        <v>5327</v>
      </c>
      <c r="L118" s="28">
        <f t="shared" si="50"/>
        <v>0.125</v>
      </c>
      <c r="M118" s="28">
        <f>O118-L118-N118</f>
        <v>0.375</v>
      </c>
      <c r="N118" s="28">
        <f t="shared" si="51"/>
        <v>0.5</v>
      </c>
      <c r="O118" s="28">
        <v>1</v>
      </c>
      <c r="P118" s="28">
        <f t="shared" si="52"/>
        <v>0.5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8"/>
      <c r="P119" s="28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5"/>
      <c r="E120" s="25"/>
      <c r="F120" s="25"/>
      <c r="G120" s="25"/>
      <c r="J120" s="22"/>
      <c r="K120" s="22"/>
      <c r="L120" s="23"/>
      <c r="M120" s="25"/>
      <c r="N120" s="25"/>
      <c r="O120" s="31"/>
      <c r="P120" s="31"/>
      <c r="S120" s="22"/>
      <c r="T120" s="22"/>
      <c r="U120" s="23"/>
      <c r="V120" s="25"/>
      <c r="W120" s="25"/>
      <c r="X120" s="25"/>
      <c r="Y120" s="25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8"/>
      <c r="P121" s="28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8"/>
      <c r="P122" s="28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8"/>
      <c r="P123" s="28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8"/>
      <c r="P124" s="28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8"/>
      <c r="P125" s="28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8"/>
      <c r="P126" s="28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8"/>
      <c r="P127" s="28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8"/>
      <c r="P128" s="28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8"/>
      <c r="P129" s="28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COUNTIFS(E_Suivi_Eans!$C:$C,"10/2022",E_Suivi_Eans!$D:$D,"Déchets diffus spéc. Ménagers",E_Suivi_Eans!$J:$J,"Retour OK",E_Suivi_Eans!$K:$K,"&gt;31/12/2021",E_Suivi_Eans!K:K,"&lt;01/11/2022")</f>
        <v>0</v>
      </c>
      <c r="D130" s="21">
        <f>F130-C130-E130</f>
        <v>8</v>
      </c>
      <c r="E130" s="21">
        <f>COUNTIFS(E_Suivi_Eans!$C:$C,"10/2022",E_Suivi_Eans!$D:$D,"Déchets diffus spéc. Ménagers",E_Suivi_Eans!$J:$J,"Abandon",E_Suivi_Eans!$K:$K,"&gt;31/12/2021",E_Suivi_Eans!K:K,"&lt;01/11/2022")</f>
        <v>0</v>
      </c>
      <c r="F130" s="21">
        <f>COUNTIFS(E_Suivi_Eans!$C:$C,"10/2022",E_Suivi_Eans!$D:$D,"Déchets diffus spéc. Ménagers")</f>
        <v>8</v>
      </c>
      <c r="G130" s="21">
        <f>F130-E130</f>
        <v>8</v>
      </c>
      <c r="J130" s="20" t="s">
        <v>5326</v>
      </c>
      <c r="K130" s="20" t="s">
        <v>5326</v>
      </c>
      <c r="L130" s="28">
        <f t="shared" ref="L130:L131" si="53">IF($G130=0,0,C130/$G130)</f>
        <v>0</v>
      </c>
      <c r="M130" s="28">
        <f>O130-L130-N130</f>
        <v>1</v>
      </c>
      <c r="N130" s="28">
        <f t="shared" ref="N130:N131" si="54">IF($G130=0,0,E130/$G130)</f>
        <v>0</v>
      </c>
      <c r="O130" s="28">
        <v>1</v>
      </c>
      <c r="P130" s="28">
        <f t="shared" ref="P130:P131" si="55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COUNTIFS(E_Suivi_Eans!$C:$C,"10/2022",E_Suivi_Eans!$D:$D,"Déchets diffus spéc. Ménagers",E_Suivi_Eans!$J:$J,"Retour OK",E_Suivi_Eans!$K:$K,"&gt;31/12/2021",E_Suivi_Eans!K:K,"&lt;01/12/2022")</f>
        <v>2</v>
      </c>
      <c r="D131" s="21">
        <f>F131-C131-E131</f>
        <v>6</v>
      </c>
      <c r="E131" s="21">
        <f>COUNTIFS(E_Suivi_Eans!$C:$C,"10/2022",E_Suivi_Eans!$D:$D,"Déchets diffus spéc. Ménagers",E_Suivi_Eans!$J:$J,"Abandon",E_Suivi_Eans!$K:$K,"&gt;31/12/2021",E_Suivi_Eans!K:K,"&lt;01/12/2022")</f>
        <v>0</v>
      </c>
      <c r="F131" s="21">
        <f>COUNTIFS(E_Suivi_Eans!$C:$C,"10/2022",E_Suivi_Eans!$D:$D,"Déchets diffus spéc. Ménagers")</f>
        <v>8</v>
      </c>
      <c r="G131" s="21">
        <f t="shared" ref="G131" si="56">F131-E131</f>
        <v>8</v>
      </c>
      <c r="J131" s="20" t="s">
        <v>5326</v>
      </c>
      <c r="K131" s="20" t="s">
        <v>5327</v>
      </c>
      <c r="L131" s="28">
        <f t="shared" si="53"/>
        <v>0.25</v>
      </c>
      <c r="M131" s="28">
        <f>O131-L131-N131</f>
        <v>0.75</v>
      </c>
      <c r="N131" s="28">
        <f t="shared" si="54"/>
        <v>0</v>
      </c>
      <c r="O131" s="28">
        <v>1</v>
      </c>
      <c r="P131" s="28">
        <f t="shared" si="55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8"/>
      <c r="P132" s="28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5"/>
      <c r="E133" s="25"/>
      <c r="F133" s="25"/>
      <c r="G133" s="25"/>
      <c r="J133" s="22"/>
      <c r="K133" s="22"/>
      <c r="L133" s="23"/>
      <c r="M133" s="25"/>
      <c r="N133" s="25"/>
      <c r="O133" s="31"/>
      <c r="P133" s="31"/>
      <c r="S133" s="22"/>
      <c r="T133" s="22"/>
      <c r="U133" s="23"/>
      <c r="V133" s="25"/>
      <c r="W133" s="25"/>
      <c r="X133" s="25"/>
      <c r="Y133" s="25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8"/>
      <c r="P134" s="28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8"/>
      <c r="P135" s="28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8"/>
      <c r="P136" s="28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8"/>
      <c r="P137" s="28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8"/>
      <c r="P138" s="28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8"/>
      <c r="P139" s="28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8"/>
      <c r="P140" s="28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8"/>
      <c r="P141" s="28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8"/>
      <c r="P142" s="28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8"/>
      <c r="P143" s="28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COUNTIFS(E_Suivi_Eans!$C:$C,"11/2022",E_Suivi_Eans!$D:$D,"Déchets diffus spéc. Ménagers",E_Suivi_Eans!$J:$J,"Retour OK",E_Suivi_Eans!$K:$K,"&gt;31/12/2021",E_Suivi_Eans!K:K,"&lt;01/12/2022")</f>
        <v>0</v>
      </c>
      <c r="D144" s="21">
        <f>F144-C144-E144</f>
        <v>1</v>
      </c>
      <c r="E144" s="21">
        <f>COUNTIFS(E_Suivi_Eans!$C:$C,"11/2022",E_Suivi_Eans!$D:$D,"Déchets diffus spéc. Ménagers",E_Suivi_Eans!$J:$J,"Abandon",E_Suivi_Eans!$K:$K,"&gt;31/12/2021",E_Suivi_Eans!K:K,"&lt;01/12/2022")</f>
        <v>0</v>
      </c>
      <c r="F144" s="21">
        <f>COUNTIFS(E_Suivi_Eans!$C:$C,"11/2022",E_Suivi_Eans!$D:$D,"Déchets diffus spéc. Ménagers")</f>
        <v>1</v>
      </c>
      <c r="G144" s="21">
        <f>F144-E144</f>
        <v>1</v>
      </c>
      <c r="J144" s="20" t="s">
        <v>5327</v>
      </c>
      <c r="K144" s="20" t="s">
        <v>5327</v>
      </c>
      <c r="L144" s="28">
        <f>IF($G144=0,0,C144/$G144)</f>
        <v>0</v>
      </c>
      <c r="M144" s="28">
        <f>O144-L144-N144</f>
        <v>1</v>
      </c>
      <c r="N144" s="28">
        <f t="shared" ref="N144" si="57">IF($G144=0,0,E144/$G144)</f>
        <v>0</v>
      </c>
      <c r="O144" s="28">
        <v>1</v>
      </c>
      <c r="P144" s="28">
        <f t="shared" ref="P144" si="58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8"/>
      <c r="P145" s="28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5"/>
      <c r="E146" s="25"/>
      <c r="F146" s="25"/>
      <c r="G146" s="25"/>
      <c r="J146" s="22"/>
      <c r="K146" s="22"/>
      <c r="L146" s="23"/>
      <c r="M146" s="25"/>
      <c r="N146" s="25"/>
      <c r="O146" s="31"/>
      <c r="P146" s="31"/>
      <c r="S146" s="22"/>
      <c r="T146" s="22"/>
      <c r="U146" s="23"/>
      <c r="V146" s="25"/>
      <c r="W146" s="25"/>
      <c r="X146" s="25"/>
      <c r="Y146" s="25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8"/>
      <c r="M147" s="28"/>
      <c r="N147" s="28"/>
      <c r="O147" s="28"/>
      <c r="P147" s="28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8"/>
      <c r="P148" s="28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8"/>
      <c r="P149" s="28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8"/>
      <c r="P150" s="28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8"/>
      <c r="P151" s="28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8"/>
      <c r="P152" s="28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8"/>
      <c r="P153" s="28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8"/>
      <c r="P154" s="28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8"/>
      <c r="P155" s="28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8"/>
      <c r="P156" s="28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8"/>
      <c r="P157" s="28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8"/>
      <c r="P158" s="28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5"/>
      <c r="E159" s="25"/>
      <c r="F159" s="25"/>
      <c r="G159" s="25"/>
      <c r="J159" s="22"/>
      <c r="K159" s="22"/>
      <c r="L159" s="23"/>
      <c r="M159" s="25"/>
      <c r="N159" s="25"/>
      <c r="O159" s="31"/>
      <c r="P159" s="31"/>
      <c r="S159" s="22"/>
      <c r="T159" s="22"/>
      <c r="U159" s="23"/>
      <c r="V159" s="25"/>
      <c r="W159" s="25"/>
      <c r="X159" s="25"/>
      <c r="Y159" s="25"/>
    </row>
    <row r="160" spans="1:25">
      <c r="A160" s="27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D167" si="59">F160-C160-E160</f>
        <v>51</v>
      </c>
      <c r="E160" s="21">
        <f t="shared" ref="E160:F160" si="60">E4+E17+E30+E43+E56+E69+E82+E95+E108+E121+E134+E147</f>
        <v>0</v>
      </c>
      <c r="F160" s="21">
        <f t="shared" si="60"/>
        <v>51</v>
      </c>
      <c r="G160" s="21">
        <f t="shared" ref="G160:G170" si="61">F160-E160</f>
        <v>51</v>
      </c>
      <c r="J160" s="27" t="s">
        <v>5396</v>
      </c>
      <c r="K160" s="20" t="s">
        <v>5314</v>
      </c>
      <c r="L160" s="28">
        <f t="shared" ref="L160:L170" si="62">IF($G160=0,0,C160/$G160)</f>
        <v>0</v>
      </c>
      <c r="M160" s="28">
        <f t="shared" ref="M160:M170" si="63">O160-L160-N160</f>
        <v>1</v>
      </c>
      <c r="N160" s="28">
        <f t="shared" ref="N160:N170" si="64">IF($G160=0,0,E160/$G160)</f>
        <v>0</v>
      </c>
      <c r="O160" s="28">
        <v>1</v>
      </c>
      <c r="P160" s="28">
        <f t="shared" ref="P160:P170" si="65">O160-N160</f>
        <v>1</v>
      </c>
      <c r="S160" s="27" t="s">
        <v>5396</v>
      </c>
      <c r="T160" s="20" t="s">
        <v>5314</v>
      </c>
      <c r="U160" s="21"/>
      <c r="V160" s="21"/>
      <c r="W160" s="21"/>
      <c r="X160" s="21"/>
      <c r="Y160" s="21"/>
    </row>
    <row r="161" spans="1:25">
      <c r="A161" s="27" t="s">
        <v>5396</v>
      </c>
      <c r="B161" s="20" t="s">
        <v>5315</v>
      </c>
      <c r="C161" s="21">
        <f t="shared" ref="C161:F161" si="66">C5+C18+C31+C44+C57+C70+C83+C96+C109+C122+C135+C148</f>
        <v>44</v>
      </c>
      <c r="D161" s="21">
        <f t="shared" si="59"/>
        <v>64</v>
      </c>
      <c r="E161" s="21">
        <f t="shared" si="66"/>
        <v>0</v>
      </c>
      <c r="F161" s="21">
        <f t="shared" si="66"/>
        <v>108</v>
      </c>
      <c r="G161" s="21">
        <f t="shared" si="61"/>
        <v>108</v>
      </c>
      <c r="J161" s="27" t="s">
        <v>5396</v>
      </c>
      <c r="K161" s="20" t="s">
        <v>5315</v>
      </c>
      <c r="L161" s="28">
        <f t="shared" si="62"/>
        <v>0.40740740740740738</v>
      </c>
      <c r="M161" s="28">
        <f t="shared" si="63"/>
        <v>0.59259259259259256</v>
      </c>
      <c r="N161" s="28">
        <f t="shared" si="64"/>
        <v>0</v>
      </c>
      <c r="O161" s="28">
        <v>1</v>
      </c>
      <c r="P161" s="28">
        <f t="shared" si="65"/>
        <v>1</v>
      </c>
      <c r="S161" s="27" t="s">
        <v>5396</v>
      </c>
      <c r="T161" s="20" t="s">
        <v>5315</v>
      </c>
      <c r="U161" s="21"/>
      <c r="V161" s="21"/>
      <c r="W161" s="21"/>
      <c r="X161" s="21"/>
      <c r="Y161" s="21"/>
    </row>
    <row r="162" spans="1:25">
      <c r="A162" s="27" t="s">
        <v>5396</v>
      </c>
      <c r="B162" s="20" t="s">
        <v>5316</v>
      </c>
      <c r="C162" s="21">
        <f t="shared" ref="C162:F162" si="67">C6+C19+C32+C45+C58+C71+C84+C97+C110+C123+C136+C149</f>
        <v>93</v>
      </c>
      <c r="D162" s="21">
        <f t="shared" si="59"/>
        <v>16</v>
      </c>
      <c r="E162" s="21">
        <f t="shared" si="67"/>
        <v>0</v>
      </c>
      <c r="F162" s="21">
        <f t="shared" si="67"/>
        <v>109</v>
      </c>
      <c r="G162" s="21">
        <f t="shared" si="61"/>
        <v>109</v>
      </c>
      <c r="J162" s="27" t="s">
        <v>5396</v>
      </c>
      <c r="K162" s="20" t="s">
        <v>5316</v>
      </c>
      <c r="L162" s="28">
        <f>IF($G162=0,0,C162/$G162)</f>
        <v>0.85321100917431192</v>
      </c>
      <c r="M162" s="28">
        <f t="shared" si="63"/>
        <v>0.14678899082568808</v>
      </c>
      <c r="N162" s="28">
        <f t="shared" si="64"/>
        <v>0</v>
      </c>
      <c r="O162" s="28">
        <v>1</v>
      </c>
      <c r="P162" s="28">
        <f t="shared" si="65"/>
        <v>1</v>
      </c>
      <c r="S162" s="27" t="s">
        <v>5396</v>
      </c>
      <c r="T162" s="20" t="s">
        <v>5316</v>
      </c>
      <c r="U162" s="21"/>
      <c r="V162" s="21"/>
      <c r="W162" s="21"/>
      <c r="X162" s="21"/>
      <c r="Y162" s="21"/>
    </row>
    <row r="163" spans="1:25">
      <c r="A163" s="27" t="s">
        <v>5396</v>
      </c>
      <c r="B163" s="20" t="s">
        <v>5317</v>
      </c>
      <c r="C163" s="21">
        <f t="shared" ref="C163:F163" si="68">C7+C20+C33+C46+C59+C72+C85+C98+C111+C124+C137+C150</f>
        <v>103</v>
      </c>
      <c r="D163" s="21">
        <f t="shared" si="59"/>
        <v>163</v>
      </c>
      <c r="E163" s="21">
        <f t="shared" si="68"/>
        <v>0</v>
      </c>
      <c r="F163" s="21">
        <f t="shared" si="68"/>
        <v>266</v>
      </c>
      <c r="G163" s="21">
        <f t="shared" si="61"/>
        <v>266</v>
      </c>
      <c r="J163" s="27" t="s">
        <v>5396</v>
      </c>
      <c r="K163" s="20" t="s">
        <v>5317</v>
      </c>
      <c r="L163" s="28">
        <f t="shared" si="62"/>
        <v>0.38721804511278196</v>
      </c>
      <c r="M163" s="28">
        <f t="shared" si="63"/>
        <v>0.61278195488721798</v>
      </c>
      <c r="N163" s="28">
        <f t="shared" si="64"/>
        <v>0</v>
      </c>
      <c r="O163" s="28">
        <v>1</v>
      </c>
      <c r="P163" s="28">
        <f>O163-N163</f>
        <v>1</v>
      </c>
      <c r="S163" s="27" t="s">
        <v>5396</v>
      </c>
      <c r="T163" s="20" t="s">
        <v>5317</v>
      </c>
      <c r="U163" s="21"/>
      <c r="V163" s="21"/>
      <c r="W163" s="21"/>
      <c r="X163" s="21"/>
      <c r="Y163" s="21"/>
    </row>
    <row r="164" spans="1:25">
      <c r="A164" s="27" t="s">
        <v>5396</v>
      </c>
      <c r="B164" s="20" t="s">
        <v>5318</v>
      </c>
      <c r="C164" s="21">
        <f t="shared" ref="C164:F164" si="69">C8+C21+C34+C47+C60+C73+C86+C99+C112+C125+C138+C151</f>
        <v>115</v>
      </c>
      <c r="D164" s="21">
        <f t="shared" si="59"/>
        <v>145</v>
      </c>
      <c r="E164" s="21">
        <f t="shared" si="69"/>
        <v>6</v>
      </c>
      <c r="F164" s="21">
        <f t="shared" si="69"/>
        <v>266</v>
      </c>
      <c r="G164" s="21">
        <f t="shared" si="61"/>
        <v>260</v>
      </c>
      <c r="J164" s="27" t="s">
        <v>5396</v>
      </c>
      <c r="K164" s="20" t="s">
        <v>5318</v>
      </c>
      <c r="L164" s="28">
        <f t="shared" si="62"/>
        <v>0.44230769230769229</v>
      </c>
      <c r="M164" s="28">
        <f t="shared" si="63"/>
        <v>0.5346153846153846</v>
      </c>
      <c r="N164" s="28">
        <f t="shared" si="64"/>
        <v>2.3076923076923078E-2</v>
      </c>
      <c r="O164" s="28">
        <v>1</v>
      </c>
      <c r="P164" s="28">
        <f t="shared" si="65"/>
        <v>0.97692307692307689</v>
      </c>
      <c r="S164" s="27" t="s">
        <v>5396</v>
      </c>
      <c r="T164" s="20" t="s">
        <v>5318</v>
      </c>
      <c r="U164" s="21"/>
      <c r="V164" s="21"/>
      <c r="W164" s="21"/>
      <c r="X164" s="21"/>
      <c r="Y164" s="21"/>
    </row>
    <row r="165" spans="1:25">
      <c r="A165" s="27" t="s">
        <v>5396</v>
      </c>
      <c r="B165" s="20" t="s">
        <v>5319</v>
      </c>
      <c r="C165" s="21">
        <f t="shared" ref="C165:F165" si="70">C9+C22+C35+C48+C61+C74+C87+C100+C113+C126+C139+C152</f>
        <v>115</v>
      </c>
      <c r="D165" s="21">
        <f t="shared" si="59"/>
        <v>175</v>
      </c>
      <c r="E165" s="21">
        <f t="shared" si="70"/>
        <v>6</v>
      </c>
      <c r="F165" s="21">
        <f t="shared" si="70"/>
        <v>296</v>
      </c>
      <c r="G165" s="21">
        <f t="shared" si="61"/>
        <v>290</v>
      </c>
      <c r="I165" s="33"/>
      <c r="J165" s="27" t="s">
        <v>5396</v>
      </c>
      <c r="K165" s="20" t="s">
        <v>5319</v>
      </c>
      <c r="L165" s="28">
        <f t="shared" si="62"/>
        <v>0.39655172413793105</v>
      </c>
      <c r="M165" s="28">
        <f t="shared" si="63"/>
        <v>0.58275862068965512</v>
      </c>
      <c r="N165" s="28">
        <f t="shared" si="64"/>
        <v>2.0689655172413793E-2</v>
      </c>
      <c r="O165" s="28">
        <v>1</v>
      </c>
      <c r="P165" s="28">
        <f t="shared" si="65"/>
        <v>0.97931034482758617</v>
      </c>
      <c r="S165" s="27" t="s">
        <v>5396</v>
      </c>
      <c r="T165" s="20" t="s">
        <v>5319</v>
      </c>
      <c r="U165" s="21"/>
      <c r="V165" s="21"/>
      <c r="W165" s="21"/>
      <c r="X165" s="21"/>
      <c r="Y165" s="21"/>
    </row>
    <row r="166" spans="1:25">
      <c r="A166" s="27" t="s">
        <v>5396</v>
      </c>
      <c r="B166" s="20" t="s">
        <v>5320</v>
      </c>
      <c r="C166" s="21">
        <f t="shared" ref="C166:F166" si="71">C10+C23+C36+C49+C62+C75+C88+C101+C114+C127+C140+C153</f>
        <v>115</v>
      </c>
      <c r="D166" s="21">
        <f t="shared" si="59"/>
        <v>179</v>
      </c>
      <c r="E166" s="21">
        <f t="shared" si="71"/>
        <v>6</v>
      </c>
      <c r="F166" s="21">
        <f t="shared" si="71"/>
        <v>300</v>
      </c>
      <c r="G166" s="21">
        <f t="shared" si="61"/>
        <v>294</v>
      </c>
      <c r="J166" s="27" t="s">
        <v>5396</v>
      </c>
      <c r="K166" s="20" t="s">
        <v>5320</v>
      </c>
      <c r="L166" s="28">
        <f t="shared" si="62"/>
        <v>0.391156462585034</v>
      </c>
      <c r="M166" s="28">
        <f t="shared" si="63"/>
        <v>0.58843537414965985</v>
      </c>
      <c r="N166" s="28">
        <f t="shared" si="64"/>
        <v>2.0408163265306121E-2</v>
      </c>
      <c r="O166" s="28">
        <v>1</v>
      </c>
      <c r="P166" s="28">
        <f t="shared" si="65"/>
        <v>0.97959183673469385</v>
      </c>
      <c r="S166" s="27" t="s">
        <v>5396</v>
      </c>
      <c r="T166" s="20" t="s">
        <v>5320</v>
      </c>
      <c r="U166" s="21"/>
      <c r="V166" s="21"/>
      <c r="W166" s="21"/>
      <c r="X166" s="21"/>
      <c r="Y166" s="21"/>
    </row>
    <row r="167" spans="1:25">
      <c r="A167" s="27" t="s">
        <v>5396</v>
      </c>
      <c r="B167" s="20" t="s">
        <v>5321</v>
      </c>
      <c r="C167" s="21">
        <f t="shared" ref="C167:F167" si="72">C11+C24+C37+C50+C63+C76+C89+C102+C115+C128+C141+C154</f>
        <v>115</v>
      </c>
      <c r="D167" s="21">
        <f t="shared" si="59"/>
        <v>183</v>
      </c>
      <c r="E167" s="21">
        <f t="shared" si="72"/>
        <v>6</v>
      </c>
      <c r="F167" s="21">
        <f t="shared" si="72"/>
        <v>304</v>
      </c>
      <c r="G167" s="21">
        <f t="shared" si="61"/>
        <v>298</v>
      </c>
      <c r="J167" s="27" t="s">
        <v>5396</v>
      </c>
      <c r="K167" s="20" t="s">
        <v>5321</v>
      </c>
      <c r="L167" s="28">
        <f t="shared" si="62"/>
        <v>0.38590604026845637</v>
      </c>
      <c r="M167" s="28">
        <f t="shared" si="63"/>
        <v>0.59395973154362414</v>
      </c>
      <c r="N167" s="28">
        <f t="shared" si="64"/>
        <v>2.0134228187919462E-2</v>
      </c>
      <c r="O167" s="28">
        <v>1</v>
      </c>
      <c r="P167" s="28">
        <f t="shared" si="65"/>
        <v>0.97986577181208057</v>
      </c>
      <c r="S167" s="27" t="s">
        <v>5396</v>
      </c>
      <c r="T167" s="20" t="s">
        <v>5321</v>
      </c>
      <c r="U167" s="21"/>
      <c r="V167" s="21"/>
      <c r="W167" s="21"/>
      <c r="X167" s="21"/>
      <c r="Y167" s="21"/>
    </row>
    <row r="168" spans="1:25">
      <c r="A168" s="27" t="s">
        <v>5396</v>
      </c>
      <c r="B168" s="20" t="s">
        <v>5325</v>
      </c>
      <c r="C168" s="21">
        <f t="shared" ref="C168:F168" si="73">C12+C25+C38+C51+C64+C77+C90+C103+C116+C129+C142+C155</f>
        <v>115</v>
      </c>
      <c r="D168" s="21">
        <f t="shared" ref="D168:D170" si="74">F168-C168-E168</f>
        <v>185</v>
      </c>
      <c r="E168" s="21">
        <f>E12+E25+E38+E51+E64+E77+E90+E103+E116+E129+E142+E155</f>
        <v>16</v>
      </c>
      <c r="F168" s="21">
        <f t="shared" si="73"/>
        <v>316</v>
      </c>
      <c r="G168" s="21">
        <f t="shared" si="61"/>
        <v>300</v>
      </c>
      <c r="J168" s="27" t="s">
        <v>5396</v>
      </c>
      <c r="K168" s="20" t="s">
        <v>5325</v>
      </c>
      <c r="L168" s="28">
        <f t="shared" si="62"/>
        <v>0.38333333333333336</v>
      </c>
      <c r="M168" s="28">
        <f t="shared" si="63"/>
        <v>0.56333333333333335</v>
      </c>
      <c r="N168" s="28">
        <f t="shared" si="64"/>
        <v>5.3333333333333337E-2</v>
      </c>
      <c r="O168" s="28">
        <v>1</v>
      </c>
      <c r="P168" s="28">
        <f t="shared" si="65"/>
        <v>0.94666666666666666</v>
      </c>
      <c r="S168" s="27" t="s">
        <v>5396</v>
      </c>
      <c r="T168" s="20" t="s">
        <v>5325</v>
      </c>
      <c r="U168" s="21"/>
      <c r="V168" s="21"/>
      <c r="W168" s="21"/>
      <c r="X168" s="21"/>
      <c r="Y168" s="21"/>
    </row>
    <row r="169" spans="1:25">
      <c r="A169" s="27" t="s">
        <v>5396</v>
      </c>
      <c r="B169" s="20" t="s">
        <v>5326</v>
      </c>
      <c r="C169" s="21">
        <f t="shared" ref="C169:F169" si="75">C13+C26+C39+C52+C65+C78+C91+C104+C117+C130+C143+C156</f>
        <v>163</v>
      </c>
      <c r="D169" s="21">
        <f t="shared" si="74"/>
        <v>142</v>
      </c>
      <c r="E169" s="21">
        <f t="shared" si="75"/>
        <v>19</v>
      </c>
      <c r="F169" s="21">
        <f t="shared" si="75"/>
        <v>324</v>
      </c>
      <c r="G169" s="21">
        <f t="shared" si="61"/>
        <v>305</v>
      </c>
      <c r="J169" s="27" t="s">
        <v>5396</v>
      </c>
      <c r="K169" s="20" t="s">
        <v>5326</v>
      </c>
      <c r="L169" s="28">
        <f t="shared" si="62"/>
        <v>0.53442622950819674</v>
      </c>
      <c r="M169" s="28">
        <f t="shared" si="63"/>
        <v>0.40327868852459015</v>
      </c>
      <c r="N169" s="28">
        <f t="shared" si="64"/>
        <v>6.2295081967213117E-2</v>
      </c>
      <c r="O169" s="28">
        <v>1</v>
      </c>
      <c r="P169" s="28">
        <f t="shared" si="65"/>
        <v>0.93770491803278688</v>
      </c>
      <c r="S169" s="27" t="s">
        <v>5396</v>
      </c>
      <c r="T169" s="20" t="s">
        <v>5326</v>
      </c>
      <c r="U169" s="21"/>
      <c r="V169" s="21"/>
      <c r="W169" s="21"/>
      <c r="X169" s="21"/>
      <c r="Y169" s="21"/>
    </row>
    <row r="170" spans="1:25">
      <c r="A170" s="27" t="s">
        <v>5396</v>
      </c>
      <c r="B170" s="20" t="s">
        <v>5327</v>
      </c>
      <c r="C170" s="21">
        <f t="shared" ref="C170:F170" si="76">C14+C27+C40+C53+C66+C79+C92+C105+C118+C131+C144+C157</f>
        <v>200</v>
      </c>
      <c r="D170" s="21">
        <f t="shared" si="74"/>
        <v>104</v>
      </c>
      <c r="E170" s="21">
        <f t="shared" si="76"/>
        <v>21</v>
      </c>
      <c r="F170" s="21">
        <f t="shared" si="76"/>
        <v>325</v>
      </c>
      <c r="G170" s="21">
        <f t="shared" si="61"/>
        <v>304</v>
      </c>
      <c r="I170" s="33"/>
      <c r="J170" s="27" t="s">
        <v>5396</v>
      </c>
      <c r="K170" s="20" t="s">
        <v>5327</v>
      </c>
      <c r="L170" s="28">
        <f t="shared" si="62"/>
        <v>0.65789473684210531</v>
      </c>
      <c r="M170" s="28">
        <f t="shared" si="63"/>
        <v>0.27302631578947362</v>
      </c>
      <c r="N170" s="28">
        <f t="shared" si="64"/>
        <v>6.9078947368421059E-2</v>
      </c>
      <c r="O170" s="28">
        <v>1</v>
      </c>
      <c r="P170" s="28">
        <f t="shared" si="65"/>
        <v>0.93092105263157898</v>
      </c>
      <c r="S170" s="27" t="s">
        <v>5396</v>
      </c>
      <c r="T170" s="20" t="s">
        <v>5327</v>
      </c>
      <c r="U170" s="21"/>
      <c r="V170" s="21"/>
      <c r="W170" s="21"/>
      <c r="X170" s="21"/>
      <c r="Y170" s="21"/>
    </row>
    <row r="171" spans="1:25">
      <c r="A171" s="27" t="s">
        <v>5396</v>
      </c>
      <c r="B171" s="20" t="s">
        <v>5328</v>
      </c>
      <c r="C171" s="21"/>
      <c r="D171" s="21"/>
      <c r="E171" s="21"/>
      <c r="F171" s="21"/>
      <c r="G171" s="21"/>
      <c r="J171" s="27" t="s">
        <v>5396</v>
      </c>
      <c r="K171" s="20" t="s">
        <v>5328</v>
      </c>
      <c r="L171" s="21"/>
      <c r="M171" s="21"/>
      <c r="N171" s="21"/>
      <c r="O171" s="28"/>
      <c r="P171" s="28"/>
      <c r="S171" s="27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K1"/>
  <sheetViews>
    <sheetView zoomScale="130" zoomScaleNormal="130" workbookViewId="0"/>
  </sheetViews>
  <sheetFormatPr baseColWidth="10" defaultRowHeight="13"/>
  <sheetData>
    <row r="1" spans="11:11">
      <c r="K1" s="3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2695312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26953125" style="16" customWidth="1"/>
    <col min="13" max="13" width="10.54296875" style="16" customWidth="1"/>
    <col min="14" max="14" width="11" style="16" customWidth="1"/>
    <col min="15" max="16" width="7.81640625" style="29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5" customFormat="1" ht="27.65" customHeight="1">
      <c r="A1" s="34" t="s">
        <v>5399</v>
      </c>
      <c r="B1" s="34"/>
      <c r="J1" s="34" t="s">
        <v>5398</v>
      </c>
      <c r="K1" s="34"/>
      <c r="O1" s="36"/>
      <c r="P1" s="36"/>
      <c r="S1" s="34" t="s">
        <v>5397</v>
      </c>
      <c r="T1" s="34"/>
      <c r="W1" s="39"/>
    </row>
    <row r="2" spans="1:27">
      <c r="A2" s="26" t="s">
        <v>5400</v>
      </c>
      <c r="B2" s="17"/>
      <c r="J2" s="26" t="s">
        <v>5400</v>
      </c>
      <c r="K2" s="17"/>
      <c r="S2" s="26" t="s">
        <v>5400</v>
      </c>
      <c r="T2" s="1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30" t="s">
        <v>5324</v>
      </c>
      <c r="P3" s="30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COUNTIFS(E_Suivi_Eans!$C:$C,"01/2022",E_Suivi_Eans!$D:$D,"Eléments d ameublement",E_Suivi_Eans!$J:$J,"Retour OK",E_Suivi_Eans!$K:$K,"&gt;31/12/2021",E_Suivi_Eans!K:K,"&lt;01/02/2022")</f>
        <v>0</v>
      </c>
      <c r="D4" s="21">
        <f>F4-C4-E4</f>
        <v>0</v>
      </c>
      <c r="E4" s="21">
        <f>COUNTIFS(E_Suivi_Eans!$C:$C,"01/2022",E_Suivi_Eans!$D:$D,"Eléments d ameublement",E_Suivi_Eans!$J:$J,"Abandon",E_Suivi_Eans!$K:$K,"&gt;31/12/2021",E_Suivi_Eans!K:K,"&lt;01/02/2022")</f>
        <v>0</v>
      </c>
      <c r="F4" s="21">
        <f>COUNTIFS(E_Suivi_Eans!$C:$C,"01/2022",E_Suivi_Eans!$D:$D,"Eléments d ameublement")</f>
        <v>0</v>
      </c>
      <c r="G4" s="21">
        <f>F4-E4</f>
        <v>0</v>
      </c>
      <c r="J4" s="20" t="s">
        <v>5314</v>
      </c>
      <c r="K4" s="20" t="s">
        <v>5314</v>
      </c>
      <c r="L4" s="28">
        <f>IF($G4=0,0,C4/$G4)</f>
        <v>0</v>
      </c>
      <c r="M4" s="28">
        <f>O4-L4-N4</f>
        <v>1</v>
      </c>
      <c r="N4" s="28">
        <f>IF($G4=0,0,E4/$G4)</f>
        <v>0</v>
      </c>
      <c r="O4" s="28">
        <v>1</v>
      </c>
      <c r="P4" s="28">
        <f>O4-N4</f>
        <v>1</v>
      </c>
      <c r="S4" s="20" t="s">
        <v>5314</v>
      </c>
      <c r="T4" s="20" t="s">
        <v>5314</v>
      </c>
      <c r="U4" s="38"/>
      <c r="V4" s="21"/>
      <c r="W4" s="21"/>
      <c r="X4" s="38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COUNTIFS(E_Suivi_Eans!$C:$C,"01/2022",E_Suivi_Eans!$D:$D,"Eléments d ameublement",E_Suivi_Eans!$J:$J,"Retour OK",E_Suivi_Eans!$K:$K,"&gt;31/12/2021",E_Suivi_Eans!$K:$K,"&lt;01/03/2022")</f>
        <v>0</v>
      </c>
      <c r="D5" s="21">
        <f t="shared" ref="D5:D14" si="0">F5-C5-E5</f>
        <v>0</v>
      </c>
      <c r="E5" s="21">
        <f>COUNTIFS(E_Suivi_Eans!$C:$C,"01/2022",E_Suivi_Eans!$D:$D,"Eléments d ameublement",E_Suivi_Eans!$J:$J,"Abandon",E_Suivi_Eans!$K:$K,"&gt;31/12/2021",E_Suivi_Eans!K:K,"&lt;01/03/2022")</f>
        <v>0</v>
      </c>
      <c r="F5" s="21">
        <f>COUNTIFS(E_Suivi_Eans!$C:$C,"01/2022",E_Suivi_Eans!$D:$D,"Eléments d ameublement")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8">
        <f t="shared" ref="L5:L14" si="2">IF($G5=0,0,C5/$G5)</f>
        <v>0</v>
      </c>
      <c r="M5" s="28">
        <f t="shared" ref="M5:M14" si="3">O5-L5-N5</f>
        <v>1</v>
      </c>
      <c r="N5" s="28">
        <f t="shared" ref="N5:N14" si="4">IF($G5=0,0,E5/$G5)</f>
        <v>0</v>
      </c>
      <c r="O5" s="28">
        <v>1</v>
      </c>
      <c r="P5" s="28">
        <f t="shared" ref="P5:P14" si="5">O5-N5</f>
        <v>1</v>
      </c>
      <c r="S5" s="20" t="s">
        <v>5314</v>
      </c>
      <c r="T5" s="20" t="s">
        <v>5315</v>
      </c>
      <c r="U5" s="38"/>
      <c r="V5" s="21"/>
      <c r="W5" s="21"/>
      <c r="X5" s="38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COUNTIFS(E_Suivi_Eans!$C:$C,"01/2022",E_Suivi_Eans!$D:$D,"Eléments d ameublement",E_Suivi_Eans!$J:$J,"Retour OK",E_Suivi_Eans!$K:$K,"&gt;31/12/2021",E_Suivi_Eans!$K:$K,"&lt;01/04/2022")</f>
        <v>0</v>
      </c>
      <c r="D6" s="21">
        <f t="shared" si="0"/>
        <v>0</v>
      </c>
      <c r="E6" s="21">
        <f>COUNTIFS(E_Suivi_Eans!$C:$C,"01/2022",E_Suivi_Eans!$D:$D,"Eléments d ameublement",E_Suivi_Eans!$J:$J,"Abandon",E_Suivi_Eans!$K:$K,"&gt;31/12/2021",E_Suivi_Eans!K:K,"&lt;01/04/2022")</f>
        <v>0</v>
      </c>
      <c r="F6" s="21">
        <f>COUNTIFS(E_Suivi_Eans!$C:$C,"01/2022",E_Suivi_Eans!$D:$D,"Eléments d ameublement")</f>
        <v>0</v>
      </c>
      <c r="G6" s="21">
        <f t="shared" si="1"/>
        <v>0</v>
      </c>
      <c r="J6" s="20" t="s">
        <v>5314</v>
      </c>
      <c r="K6" s="20" t="s">
        <v>5316</v>
      </c>
      <c r="L6" s="28">
        <f t="shared" si="2"/>
        <v>0</v>
      </c>
      <c r="M6" s="28">
        <f t="shared" si="3"/>
        <v>1</v>
      </c>
      <c r="N6" s="28">
        <f t="shared" si="4"/>
        <v>0</v>
      </c>
      <c r="O6" s="28">
        <v>1</v>
      </c>
      <c r="P6" s="28">
        <f t="shared" si="5"/>
        <v>1</v>
      </c>
      <c r="S6" s="20" t="s">
        <v>5314</v>
      </c>
      <c r="T6" s="20" t="s">
        <v>5316</v>
      </c>
      <c r="U6" s="38"/>
      <c r="V6" s="21"/>
      <c r="W6" s="21"/>
      <c r="X6" s="38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COUNTIFS(E_Suivi_Eans!$C:$C,"01/2022",E_Suivi_Eans!$D:$D,"Eléments d ameublement",E_Suivi_Eans!$J:$J,"Retour OK",E_Suivi_Eans!$K:$K,"&gt;31/12/2021",E_Suivi_Eans!$K:$K,"&lt;01/05/2022")</f>
        <v>0</v>
      </c>
      <c r="D7" s="21">
        <f t="shared" si="0"/>
        <v>0</v>
      </c>
      <c r="E7" s="21">
        <f>COUNTIFS(E_Suivi_Eans!$C:$C,"01/2022",E_Suivi_Eans!$D:$D,"Eléments d ameublement",E_Suivi_Eans!$J:$J,"Abandon",E_Suivi_Eans!$K:$K,"&gt;31/12/2021",E_Suivi_Eans!K:K,"&lt;01/05/2022")</f>
        <v>0</v>
      </c>
      <c r="F7" s="21">
        <f>COUNTIFS(E_Suivi_Eans!$C:$C,"01/2022",E_Suivi_Eans!$D:$D,"Eléments d ameublement")</f>
        <v>0</v>
      </c>
      <c r="G7" s="21">
        <f t="shared" si="1"/>
        <v>0</v>
      </c>
      <c r="J7" s="20" t="s">
        <v>5314</v>
      </c>
      <c r="K7" s="20" t="s">
        <v>5317</v>
      </c>
      <c r="L7" s="28">
        <f t="shared" si="2"/>
        <v>0</v>
      </c>
      <c r="M7" s="28">
        <f t="shared" si="3"/>
        <v>1</v>
      </c>
      <c r="N7" s="28">
        <f t="shared" si="4"/>
        <v>0</v>
      </c>
      <c r="O7" s="28">
        <v>1</v>
      </c>
      <c r="P7" s="28">
        <f t="shared" si="5"/>
        <v>1</v>
      </c>
      <c r="S7" s="20" t="s">
        <v>5314</v>
      </c>
      <c r="T7" s="20" t="s">
        <v>5317</v>
      </c>
      <c r="U7" s="38"/>
      <c r="V7" s="21"/>
      <c r="W7" s="21"/>
      <c r="X7" s="38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COUNTIFS(E_Suivi_Eans!$C:$C,"01/2022",E_Suivi_Eans!$D:$D,"Eléments d ameublement",E_Suivi_Eans!$J:$J,"Retour OK",E_Suivi_Eans!$K:$K,"&gt;31/12/2021",E_Suivi_Eans!$K:$K,"&lt;01/06/2022")</f>
        <v>0</v>
      </c>
      <c r="D8" s="21">
        <f t="shared" si="0"/>
        <v>0</v>
      </c>
      <c r="E8" s="21">
        <f>COUNTIFS(E_Suivi_Eans!$C:$C,"01/2022",E_Suivi_Eans!$D:$D,"Eléments d ameublement",E_Suivi_Eans!$J:$J,"Abandon",E_Suivi_Eans!$K:$K,"&gt;31/12/2021",E_Suivi_Eans!K:K,"&lt;01/06/2022")</f>
        <v>0</v>
      </c>
      <c r="F8" s="21">
        <f>COUNTIFS(E_Suivi_Eans!$C:$C,"01/2022",E_Suivi_Eans!$D:$D,"Eléments d ameublement")</f>
        <v>0</v>
      </c>
      <c r="G8" s="21">
        <f t="shared" si="1"/>
        <v>0</v>
      </c>
      <c r="J8" s="20" t="s">
        <v>5314</v>
      </c>
      <c r="K8" s="20" t="s">
        <v>5318</v>
      </c>
      <c r="L8" s="28">
        <f t="shared" si="2"/>
        <v>0</v>
      </c>
      <c r="M8" s="28">
        <f t="shared" si="3"/>
        <v>1</v>
      </c>
      <c r="N8" s="28">
        <f t="shared" si="4"/>
        <v>0</v>
      </c>
      <c r="O8" s="28">
        <v>1</v>
      </c>
      <c r="P8" s="28">
        <f t="shared" si="5"/>
        <v>1</v>
      </c>
      <c r="S8" s="20" t="s">
        <v>5314</v>
      </c>
      <c r="T8" s="20" t="s">
        <v>5318</v>
      </c>
      <c r="U8" s="38"/>
      <c r="V8" s="21"/>
      <c r="W8" s="21"/>
      <c r="X8" s="38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COUNTIFS(E_Suivi_Eans!$C:$C,"01/2022",E_Suivi_Eans!$D:$D,"Eléments d ameublement",E_Suivi_Eans!$J:$J,"Retour OK",E_Suivi_Eans!$K:$K,"&gt;31/12/2021",E_Suivi_Eans!$K:$K,"&lt;01/07/2022")</f>
        <v>0</v>
      </c>
      <c r="D9" s="21">
        <f t="shared" si="0"/>
        <v>0</v>
      </c>
      <c r="E9" s="21">
        <f>COUNTIFS(E_Suivi_Eans!$C:$C,"01/2022",E_Suivi_Eans!$D:$D,"Eléments d ameublement",E_Suivi_Eans!$J:$J,"Abandon",E_Suivi_Eans!$K:$K,"&gt;31/12/2021",E_Suivi_Eans!K:K,"&lt;01/07/2022")</f>
        <v>0</v>
      </c>
      <c r="F9" s="21">
        <f>COUNTIFS(E_Suivi_Eans!$C:$C,"01/2022",E_Suivi_Eans!$D:$D,"Eléments d ameublement")</f>
        <v>0</v>
      </c>
      <c r="G9" s="21">
        <f t="shared" si="1"/>
        <v>0</v>
      </c>
      <c r="J9" s="20" t="s">
        <v>5314</v>
      </c>
      <c r="K9" s="20" t="s">
        <v>5319</v>
      </c>
      <c r="L9" s="28">
        <f t="shared" si="2"/>
        <v>0</v>
      </c>
      <c r="M9" s="28">
        <f t="shared" si="3"/>
        <v>1</v>
      </c>
      <c r="N9" s="28">
        <f t="shared" si="4"/>
        <v>0</v>
      </c>
      <c r="O9" s="28">
        <v>1</v>
      </c>
      <c r="P9" s="28">
        <f t="shared" si="5"/>
        <v>1</v>
      </c>
      <c r="S9" s="20" t="s">
        <v>5314</v>
      </c>
      <c r="T9" s="20" t="s">
        <v>5319</v>
      </c>
      <c r="U9" s="38"/>
      <c r="V9" s="21"/>
      <c r="W9" s="21"/>
      <c r="X9" s="38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COUNTIFS(E_Suivi_Eans!$C:$C,"01/2022",E_Suivi_Eans!$D:$D,"Eléments d ameublement",E_Suivi_Eans!$J:$J,"Retour OK",E_Suivi_Eans!$K:$K,"&gt;31/12/2021",E_Suivi_Eans!$K:$K,"&lt;01/08/2022")</f>
        <v>0</v>
      </c>
      <c r="D10" s="21">
        <f t="shared" si="0"/>
        <v>0</v>
      </c>
      <c r="E10" s="21">
        <f>COUNTIFS(E_Suivi_Eans!$C:$C,"01/2022",E_Suivi_Eans!$D:$D,"Eléments d ameublement",E_Suivi_Eans!$J:$J,"Abandon",E_Suivi_Eans!$K:$K,"&gt;31/12/2021",E_Suivi_Eans!K:K,"&lt;01/08/2022")</f>
        <v>0</v>
      </c>
      <c r="F10" s="21">
        <f>COUNTIFS(E_Suivi_Eans!$C:$C,"01/2022",E_Suivi_Eans!$D:$D,"Eléments d ameublement")</f>
        <v>0</v>
      </c>
      <c r="G10" s="21">
        <f t="shared" si="1"/>
        <v>0</v>
      </c>
      <c r="J10" s="20" t="s">
        <v>5314</v>
      </c>
      <c r="K10" s="20" t="s">
        <v>5320</v>
      </c>
      <c r="L10" s="28">
        <f t="shared" si="2"/>
        <v>0</v>
      </c>
      <c r="M10" s="28">
        <f t="shared" si="3"/>
        <v>1</v>
      </c>
      <c r="N10" s="28">
        <f t="shared" si="4"/>
        <v>0</v>
      </c>
      <c r="O10" s="28">
        <v>1</v>
      </c>
      <c r="P10" s="28">
        <f t="shared" si="5"/>
        <v>1</v>
      </c>
      <c r="S10" s="20" t="s">
        <v>5314</v>
      </c>
      <c r="T10" s="20" t="s">
        <v>5320</v>
      </c>
      <c r="U10" s="38"/>
      <c r="V10" s="21"/>
      <c r="W10" s="21"/>
      <c r="X10" s="38"/>
      <c r="Y10" s="21"/>
      <c r="AA10" s="37"/>
    </row>
    <row r="11" spans="1:27">
      <c r="A11" s="20" t="s">
        <v>5314</v>
      </c>
      <c r="B11" s="20" t="s">
        <v>5321</v>
      </c>
      <c r="C11" s="21">
        <f>COUNTIFS(E_Suivi_Eans!$C:$C,"01/2022",E_Suivi_Eans!$D:$D,"Eléments d ameublement",E_Suivi_Eans!$J:$J,"Retour OK",E_Suivi_Eans!$K:$K,"&gt;31/12/2021",E_Suivi_Eans!$K:$K,"&lt;01/09/2022")</f>
        <v>0</v>
      </c>
      <c r="D11" s="21">
        <f t="shared" si="0"/>
        <v>0</v>
      </c>
      <c r="E11" s="21">
        <f>COUNTIFS(E_Suivi_Eans!$C:$C,"01/2022",E_Suivi_Eans!$D:$D,"Eléments d ameublement",E_Suivi_Eans!$J:$J,"Abandon",E_Suivi_Eans!$K:$K,"&gt;31/12/2021",E_Suivi_Eans!K:K,"&lt;01/09/2022")</f>
        <v>0</v>
      </c>
      <c r="F11" s="21">
        <f>COUNTIFS(E_Suivi_Eans!$C:$C,"01/2022",E_Suivi_Eans!$D:$D,"Eléments d ameublement")</f>
        <v>0</v>
      </c>
      <c r="G11" s="21">
        <f t="shared" si="1"/>
        <v>0</v>
      </c>
      <c r="J11" s="20" t="s">
        <v>5314</v>
      </c>
      <c r="K11" s="20" t="s">
        <v>5321</v>
      </c>
      <c r="L11" s="28">
        <f t="shared" si="2"/>
        <v>0</v>
      </c>
      <c r="M11" s="28">
        <f t="shared" si="3"/>
        <v>1</v>
      </c>
      <c r="N11" s="28">
        <f t="shared" si="4"/>
        <v>0</v>
      </c>
      <c r="O11" s="28">
        <v>1</v>
      </c>
      <c r="P11" s="28">
        <f t="shared" si="5"/>
        <v>1</v>
      </c>
      <c r="S11" s="20" t="s">
        <v>5314</v>
      </c>
      <c r="T11" s="20" t="s">
        <v>5321</v>
      </c>
      <c r="U11" s="38"/>
      <c r="V11" s="21"/>
      <c r="W11" s="21"/>
      <c r="X11" s="38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COUNTIFS(E_Suivi_Eans!$C:$C,"01/2022",E_Suivi_Eans!$D:$D,"Eléments d ameublement",E_Suivi_Eans!$J:$J,"Retour OK",E_Suivi_Eans!$K:$K,"&gt;31/12/2021",E_Suivi_Eans!$K:$K,"&lt;01/10/2022")</f>
        <v>0</v>
      </c>
      <c r="D12" s="21">
        <f t="shared" si="0"/>
        <v>0</v>
      </c>
      <c r="E12" s="21">
        <f>COUNTIFS(E_Suivi_Eans!$C:$C,"01/2022",E_Suivi_Eans!$D:$D,"Eléments d ameublement",E_Suivi_Eans!$J:$J,"Abandon",E_Suivi_Eans!$K:$K,"&gt;31/12/2021",E_Suivi_Eans!K:K,"&lt;01/10/2022")</f>
        <v>0</v>
      </c>
      <c r="F12" s="21">
        <f>COUNTIFS(E_Suivi_Eans!$C:$C,"01/2022",E_Suivi_Eans!$D:$D,"Eléments d ameublement")</f>
        <v>0</v>
      </c>
      <c r="G12" s="21">
        <f t="shared" si="1"/>
        <v>0</v>
      </c>
      <c r="J12" s="20" t="s">
        <v>5314</v>
      </c>
      <c r="K12" s="20" t="s">
        <v>5325</v>
      </c>
      <c r="L12" s="28">
        <f t="shared" si="2"/>
        <v>0</v>
      </c>
      <c r="M12" s="28">
        <f t="shared" si="3"/>
        <v>1</v>
      </c>
      <c r="N12" s="28">
        <f t="shared" si="4"/>
        <v>0</v>
      </c>
      <c r="O12" s="28">
        <v>1</v>
      </c>
      <c r="P12" s="28">
        <f t="shared" si="5"/>
        <v>1</v>
      </c>
      <c r="S12" s="20" t="s">
        <v>5314</v>
      </c>
      <c r="T12" s="20" t="s">
        <v>5325</v>
      </c>
      <c r="U12" s="38"/>
      <c r="V12" s="21"/>
      <c r="W12" s="21"/>
      <c r="X12" s="38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COUNTIFS(E_Suivi_Eans!$C:$C,"01/2022",E_Suivi_Eans!$D:$D,"Eléments d ameublement",E_Suivi_Eans!$J:$J,"Retour OK",E_Suivi_Eans!$K:$K,"&gt;31/12/2021",E_Suivi_Eans!$K:$K,"&lt;01/11/2022")</f>
        <v>0</v>
      </c>
      <c r="D13" s="21">
        <f t="shared" si="0"/>
        <v>0</v>
      </c>
      <c r="E13" s="21">
        <f>COUNTIFS(E_Suivi_Eans!$C:$C,"01/2022",E_Suivi_Eans!$D:$D,"Eléments d ameublement",E_Suivi_Eans!$J:$J,"Abandon",E_Suivi_Eans!$K:$K,"&gt;31/12/2021",E_Suivi_Eans!K:K,"&lt;01/11/2022")</f>
        <v>0</v>
      </c>
      <c r="F13" s="21">
        <f>COUNTIFS(E_Suivi_Eans!$C:$C,"01/2022",E_Suivi_Eans!$D:$D,"Eléments d ameublement")</f>
        <v>0</v>
      </c>
      <c r="G13" s="21">
        <f t="shared" si="1"/>
        <v>0</v>
      </c>
      <c r="J13" s="20" t="s">
        <v>5314</v>
      </c>
      <c r="K13" s="20" t="s">
        <v>5326</v>
      </c>
      <c r="L13" s="28">
        <f t="shared" si="2"/>
        <v>0</v>
      </c>
      <c r="M13" s="28">
        <f t="shared" si="3"/>
        <v>1</v>
      </c>
      <c r="N13" s="28">
        <f t="shared" si="4"/>
        <v>0</v>
      </c>
      <c r="O13" s="28">
        <v>1</v>
      </c>
      <c r="P13" s="28">
        <f t="shared" si="5"/>
        <v>1</v>
      </c>
      <c r="S13" s="20" t="s">
        <v>5314</v>
      </c>
      <c r="T13" s="20" t="s">
        <v>5326</v>
      </c>
      <c r="U13" s="38"/>
      <c r="V13" s="21"/>
      <c r="W13" s="21"/>
      <c r="X13" s="38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COUNTIFS(E_Suivi_Eans!$C:$C,"01/2022",E_Suivi_Eans!$D:$D,"Eléments d ameublement",E_Suivi_Eans!$J:$J,"Retour OK",E_Suivi_Eans!$K:$K,"&gt;31/12/2021",E_Suivi_Eans!$K:$K,"&lt;01/12/2022")</f>
        <v>0</v>
      </c>
      <c r="D14" s="21">
        <f t="shared" si="0"/>
        <v>0</v>
      </c>
      <c r="E14" s="21">
        <f>COUNTIFS(E_Suivi_Eans!$C:$C,"01/2022",E_Suivi_Eans!$D:$D,"Eléments d ameublement",E_Suivi_Eans!$J:$J,"Abandon",E_Suivi_Eans!$K:$K,"&gt;31/12/2021",E_Suivi_Eans!K:K,"&lt;01/12/2022")</f>
        <v>0</v>
      </c>
      <c r="F14" s="21">
        <f>COUNTIFS(E_Suivi_Eans!$C:$C,"01/2022",E_Suivi_Eans!$D:$D,"Eléments d ameublement")</f>
        <v>0</v>
      </c>
      <c r="G14" s="21">
        <f t="shared" si="1"/>
        <v>0</v>
      </c>
      <c r="J14" s="20" t="s">
        <v>5314</v>
      </c>
      <c r="K14" s="20" t="s">
        <v>5327</v>
      </c>
      <c r="L14" s="28">
        <f t="shared" si="2"/>
        <v>0</v>
      </c>
      <c r="M14" s="28">
        <f t="shared" si="3"/>
        <v>1</v>
      </c>
      <c r="N14" s="28">
        <f t="shared" si="4"/>
        <v>0</v>
      </c>
      <c r="O14" s="28">
        <v>1</v>
      </c>
      <c r="P14" s="28">
        <f t="shared" si="5"/>
        <v>1</v>
      </c>
      <c r="S14" s="20" t="s">
        <v>5314</v>
      </c>
      <c r="T14" s="20" t="s">
        <v>5327</v>
      </c>
      <c r="U14" s="38"/>
      <c r="V14" s="21"/>
      <c r="W14" s="21"/>
      <c r="X14" s="38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8"/>
      <c r="P15" s="28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5"/>
      <c r="F16" s="25"/>
      <c r="G16" s="25"/>
      <c r="J16" s="22"/>
      <c r="K16" s="22"/>
      <c r="L16" s="23"/>
      <c r="M16" s="24"/>
      <c r="N16" s="25"/>
      <c r="O16" s="31"/>
      <c r="P16" s="31"/>
      <c r="S16" s="22"/>
      <c r="T16" s="22"/>
      <c r="U16" s="23"/>
      <c r="V16" s="24"/>
      <c r="W16" s="25"/>
      <c r="X16" s="25"/>
      <c r="Y16" s="25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8"/>
      <c r="P17" s="28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COUNTIFS(E_Suivi_Eans!$C:$C,"02/2022",E_Suivi_Eans!$D:$D,"Eléments d ameublement",E_Suivi_Eans!$J:$J,"Retour OK",E_Suivi_Eans!$K:$K,"&gt;31/12/2021",E_Suivi_Eans!K:K,"&lt;01/03/2022")</f>
        <v>0</v>
      </c>
      <c r="D18" s="21">
        <f>F18-C18-E18</f>
        <v>0</v>
      </c>
      <c r="E18" s="21">
        <f>COUNTIFS(E_Suivi_Eans!$C:$C,"02/2022",E_Suivi_Eans!$D:$D,"Eléments d ameublement",E_Suivi_Eans!$J:$J,"Abandon",E_Suivi_Eans!$K:$K,"&gt;31/12/2021",E_Suivi_Eans!K:K,"&lt;01/03/2022")</f>
        <v>0</v>
      </c>
      <c r="F18" s="21">
        <f>COUNTIFS(E_Suivi_Eans!$C:$C,"02/2022",E_Suivi_Eans!$D:$D,"Eléments d ameublement")</f>
        <v>0</v>
      </c>
      <c r="G18" s="21">
        <f t="shared" ref="G18:G27" si="6">F18-E18</f>
        <v>0</v>
      </c>
      <c r="J18" s="20" t="s">
        <v>5315</v>
      </c>
      <c r="K18" s="20" t="s">
        <v>5315</v>
      </c>
      <c r="L18" s="28">
        <f>IF($G18=0,0,C18/$G18)</f>
        <v>0</v>
      </c>
      <c r="M18" s="28">
        <f t="shared" ref="M18:M27" si="7">O18-L18-N18</f>
        <v>1</v>
      </c>
      <c r="N18" s="28">
        <f t="shared" ref="N18:N27" si="8">IF($G18=0,0,E18/$G18)</f>
        <v>0</v>
      </c>
      <c r="O18" s="28">
        <v>1</v>
      </c>
      <c r="P18" s="28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COUNTIFS(E_Suivi_Eans!$C:$C,"02/2022",E_Suivi_Eans!$D:$D,"Eléments d ameublement",E_Suivi_Eans!$J:$J,"Retour OK",E_Suivi_Eans!$K:$K,"&gt;31/12/2021",E_Suivi_Eans!K:K,"&lt;01/04/2022")</f>
        <v>0</v>
      </c>
      <c r="D19" s="21">
        <f t="shared" ref="D19:D27" si="9">F19-C19-E19</f>
        <v>0</v>
      </c>
      <c r="E19" s="21">
        <f>COUNTIFS(E_Suivi_Eans!$C:$C,"02/2022",E_Suivi_Eans!$D:$D,"Eléments d ameublement",E_Suivi_Eans!$J:$J,"Abandon",E_Suivi_Eans!$K:$K,"&gt;31/12/2021",E_Suivi_Eans!K:K,"&lt;01/04/2022")</f>
        <v>0</v>
      </c>
      <c r="F19" s="21">
        <f>COUNTIFS(E_Suivi_Eans!$C:$C,"02/2022",E_Suivi_Eans!$D:$D,"Eléments d ameublement")</f>
        <v>0</v>
      </c>
      <c r="G19" s="21">
        <f t="shared" si="6"/>
        <v>0</v>
      </c>
      <c r="J19" s="20" t="s">
        <v>5315</v>
      </c>
      <c r="K19" s="20" t="s">
        <v>5316</v>
      </c>
      <c r="L19" s="28">
        <f t="shared" ref="L19:L27" si="10">IF($G19=0,0,C19/$G19)</f>
        <v>0</v>
      </c>
      <c r="M19" s="28">
        <f t="shared" si="7"/>
        <v>1</v>
      </c>
      <c r="N19" s="28">
        <f t="shared" si="8"/>
        <v>0</v>
      </c>
      <c r="O19" s="28">
        <v>1</v>
      </c>
      <c r="P19" s="28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COUNTIFS(E_Suivi_Eans!$C:$C,"02/2022",E_Suivi_Eans!$D:$D,"Eléments d ameublement",E_Suivi_Eans!$J:$J,"Retour OK",E_Suivi_Eans!$K:$K,"&gt;31/12/2021",E_Suivi_Eans!K:K,"&lt;01/05/2022")</f>
        <v>0</v>
      </c>
      <c r="D20" s="21">
        <f t="shared" si="9"/>
        <v>0</v>
      </c>
      <c r="E20" s="21">
        <f>COUNTIFS(E_Suivi_Eans!$C:$C,"02/2022",E_Suivi_Eans!$D:$D,"Eléments d ameublement",E_Suivi_Eans!$J:$J,"Abandon",E_Suivi_Eans!$K:$K,"&gt;31/12/2021",E_Suivi_Eans!K:K,"&lt;01/05/2022")</f>
        <v>0</v>
      </c>
      <c r="F20" s="21">
        <f>COUNTIFS(E_Suivi_Eans!$C:$C,"02/2022",E_Suivi_Eans!$D:$D,"Eléments d ameublement")</f>
        <v>0</v>
      </c>
      <c r="G20" s="21">
        <f t="shared" si="6"/>
        <v>0</v>
      </c>
      <c r="J20" s="20" t="s">
        <v>5315</v>
      </c>
      <c r="K20" s="20" t="s">
        <v>5317</v>
      </c>
      <c r="L20" s="28">
        <f t="shared" si="10"/>
        <v>0</v>
      </c>
      <c r="M20" s="28">
        <f t="shared" si="7"/>
        <v>1</v>
      </c>
      <c r="N20" s="28">
        <f t="shared" si="8"/>
        <v>0</v>
      </c>
      <c r="O20" s="28">
        <v>1</v>
      </c>
      <c r="P20" s="28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COUNTIFS(E_Suivi_Eans!$C:$C,"02/2022",E_Suivi_Eans!$D:$D,"Eléments d ameublement",E_Suivi_Eans!$J:$J,"Retour OK",E_Suivi_Eans!$K:$K,"&gt;31/12/2021",E_Suivi_Eans!K:K,"&lt;01/06/2022")</f>
        <v>0</v>
      </c>
      <c r="D21" s="21">
        <f t="shared" si="9"/>
        <v>0</v>
      </c>
      <c r="E21" s="21">
        <f>COUNTIFS(E_Suivi_Eans!$C:$C,"02/2022",E_Suivi_Eans!$D:$D,"Eléments d ameublement",E_Suivi_Eans!$J:$J,"Abandon",E_Suivi_Eans!$K:$K,"&gt;31/12/2021",E_Suivi_Eans!K:K,"&lt;01/06/2022")</f>
        <v>0</v>
      </c>
      <c r="F21" s="21">
        <f>COUNTIFS(E_Suivi_Eans!$C:$C,"02/2022",E_Suivi_Eans!$D:$D,"Eléments d ameublement")</f>
        <v>0</v>
      </c>
      <c r="G21" s="21">
        <f t="shared" si="6"/>
        <v>0</v>
      </c>
      <c r="J21" s="20" t="s">
        <v>5315</v>
      </c>
      <c r="K21" s="20" t="s">
        <v>5318</v>
      </c>
      <c r="L21" s="28">
        <f t="shared" si="10"/>
        <v>0</v>
      </c>
      <c r="M21" s="28">
        <f t="shared" si="7"/>
        <v>1</v>
      </c>
      <c r="N21" s="28">
        <f t="shared" si="8"/>
        <v>0</v>
      </c>
      <c r="O21" s="28">
        <v>1</v>
      </c>
      <c r="P21" s="28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COUNTIFS(E_Suivi_Eans!$C:$C,"02/2022",E_Suivi_Eans!$D:$D,"Eléments d ameublement",E_Suivi_Eans!$J:$J,"Retour OK",E_Suivi_Eans!$K:$K,"&gt;31/12/2021",E_Suivi_Eans!K:K,"&lt;01/07/2022")</f>
        <v>0</v>
      </c>
      <c r="D22" s="21">
        <f t="shared" si="9"/>
        <v>0</v>
      </c>
      <c r="E22" s="21">
        <f>COUNTIFS(E_Suivi_Eans!$C:$C,"02/2022",E_Suivi_Eans!$D:$D,"Eléments d ameublement",E_Suivi_Eans!$J:$J,"Abandon",E_Suivi_Eans!$K:$K,"&gt;31/12/2021",E_Suivi_Eans!K:K,"&lt;01/07/2022")</f>
        <v>0</v>
      </c>
      <c r="F22" s="21">
        <f>COUNTIFS(E_Suivi_Eans!$C:$C,"02/2022",E_Suivi_Eans!$D:$D,"Eléments d ameublement")</f>
        <v>0</v>
      </c>
      <c r="G22" s="21">
        <f t="shared" si="6"/>
        <v>0</v>
      </c>
      <c r="J22" s="20" t="s">
        <v>5315</v>
      </c>
      <c r="K22" s="20" t="s">
        <v>5319</v>
      </c>
      <c r="L22" s="28">
        <f t="shared" si="10"/>
        <v>0</v>
      </c>
      <c r="M22" s="28">
        <f t="shared" si="7"/>
        <v>1</v>
      </c>
      <c r="N22" s="28">
        <f t="shared" si="8"/>
        <v>0</v>
      </c>
      <c r="O22" s="28">
        <v>1</v>
      </c>
      <c r="P22" s="28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COUNTIFS(E_Suivi_Eans!$C:$C,"02/2022",E_Suivi_Eans!$D:$D,"Eléments d ameublement",E_Suivi_Eans!$J:$J,"Retour OK",E_Suivi_Eans!$K:$K,"&gt;31/12/2021",E_Suivi_Eans!K:K,"&lt;01/08/2022")</f>
        <v>0</v>
      </c>
      <c r="D23" s="21">
        <f t="shared" si="9"/>
        <v>0</v>
      </c>
      <c r="E23" s="21">
        <f>COUNTIFS(E_Suivi_Eans!$C:$C,"02/2022",E_Suivi_Eans!$D:$D,"Eléments d ameublement",E_Suivi_Eans!$J:$J,"Abandon",E_Suivi_Eans!$K:$K,"&gt;31/12/2021",E_Suivi_Eans!K:K,"&lt;01/08/2022")</f>
        <v>0</v>
      </c>
      <c r="F23" s="21">
        <f>COUNTIFS(E_Suivi_Eans!$C:$C,"02/2022",E_Suivi_Eans!$D:$D,"Eléments d ameublement")</f>
        <v>0</v>
      </c>
      <c r="G23" s="21">
        <f t="shared" si="6"/>
        <v>0</v>
      </c>
      <c r="J23" s="20" t="s">
        <v>5315</v>
      </c>
      <c r="K23" s="20" t="s">
        <v>5320</v>
      </c>
      <c r="L23" s="28">
        <f t="shared" si="10"/>
        <v>0</v>
      </c>
      <c r="M23" s="28">
        <f t="shared" si="7"/>
        <v>1</v>
      </c>
      <c r="N23" s="28">
        <f t="shared" si="8"/>
        <v>0</v>
      </c>
      <c r="O23" s="28">
        <v>1</v>
      </c>
      <c r="P23" s="28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7"/>
    </row>
    <row r="24" spans="1:27">
      <c r="A24" s="20" t="s">
        <v>5315</v>
      </c>
      <c r="B24" s="20" t="s">
        <v>5321</v>
      </c>
      <c r="C24" s="21">
        <f>COUNTIFS(E_Suivi_Eans!$C:$C,"02/2022",E_Suivi_Eans!$D:$D,"Eléments d ameublement",E_Suivi_Eans!$J:$J,"Retour OK",E_Suivi_Eans!$K:$K,"&gt;31/12/2021",E_Suivi_Eans!K:K,"&lt;01/09/2022")</f>
        <v>0</v>
      </c>
      <c r="D24" s="21">
        <f t="shared" si="9"/>
        <v>0</v>
      </c>
      <c r="E24" s="21">
        <f>COUNTIFS(E_Suivi_Eans!$C:$C,"02/2022",E_Suivi_Eans!$D:$D,"Eléments d ameublement",E_Suivi_Eans!$J:$J,"Abandon",E_Suivi_Eans!$K:$K,"&gt;31/12/2021",E_Suivi_Eans!K:K,"&lt;01/09/2022")</f>
        <v>0</v>
      </c>
      <c r="F24" s="21">
        <f>COUNTIFS(E_Suivi_Eans!$C:$C,"02/2022",E_Suivi_Eans!$D:$D,"Eléments d ameublement")</f>
        <v>0</v>
      </c>
      <c r="G24" s="21">
        <f t="shared" si="6"/>
        <v>0</v>
      </c>
      <c r="J24" s="20" t="s">
        <v>5315</v>
      </c>
      <c r="K24" s="20" t="s">
        <v>5321</v>
      </c>
      <c r="L24" s="28">
        <f t="shared" si="10"/>
        <v>0</v>
      </c>
      <c r="M24" s="28">
        <f t="shared" si="7"/>
        <v>1</v>
      </c>
      <c r="N24" s="28">
        <f t="shared" si="8"/>
        <v>0</v>
      </c>
      <c r="O24" s="28">
        <v>1</v>
      </c>
      <c r="P24" s="28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COUNTIFS(E_Suivi_Eans!$C:$C,"02/2022",E_Suivi_Eans!$D:$D,"Eléments d ameublement",E_Suivi_Eans!$J:$J,"Retour OK",E_Suivi_Eans!$K:$K,"&gt;31/12/2021",E_Suivi_Eans!K:K,"&lt;01/10/2022")</f>
        <v>0</v>
      </c>
      <c r="D25" s="21">
        <f t="shared" si="9"/>
        <v>0</v>
      </c>
      <c r="E25" s="21">
        <f>COUNTIFS(E_Suivi_Eans!$C:$C,"02/2022",E_Suivi_Eans!$D:$D,"Eléments d ameublement",E_Suivi_Eans!$J:$J,"Abandon",E_Suivi_Eans!$K:$K,"&gt;31/12/2021",E_Suivi_Eans!K:K,"&lt;01/10/2022")</f>
        <v>0</v>
      </c>
      <c r="F25" s="21">
        <f>COUNTIFS(E_Suivi_Eans!$C:$C,"02/2022",E_Suivi_Eans!$D:$D,"Eléments d ameublement")</f>
        <v>0</v>
      </c>
      <c r="G25" s="21">
        <f t="shared" si="6"/>
        <v>0</v>
      </c>
      <c r="J25" s="20" t="s">
        <v>5315</v>
      </c>
      <c r="K25" s="20" t="s">
        <v>5325</v>
      </c>
      <c r="L25" s="28">
        <f t="shared" si="10"/>
        <v>0</v>
      </c>
      <c r="M25" s="28">
        <f t="shared" si="7"/>
        <v>1</v>
      </c>
      <c r="N25" s="28">
        <f t="shared" si="8"/>
        <v>0</v>
      </c>
      <c r="O25" s="28">
        <v>1</v>
      </c>
      <c r="P25" s="28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COUNTIFS(E_Suivi_Eans!$C:$C,"02/2022",E_Suivi_Eans!$D:$D,"Eléments d ameublement",E_Suivi_Eans!$J:$J,"Retour OK",E_Suivi_Eans!$K:$K,"&gt;31/12/2021",E_Suivi_Eans!K:K,"&lt;01/11/2022")</f>
        <v>0</v>
      </c>
      <c r="D26" s="21">
        <f t="shared" si="9"/>
        <v>0</v>
      </c>
      <c r="E26" s="21">
        <f>COUNTIFS(E_Suivi_Eans!$C:$C,"02/2022",E_Suivi_Eans!$D:$D,"Eléments d ameublement",E_Suivi_Eans!$J:$J,"Abandon",E_Suivi_Eans!$K:$K,"&gt;31/12/2021",E_Suivi_Eans!K:K,"&lt;01/11/2022")</f>
        <v>0</v>
      </c>
      <c r="F26" s="21">
        <f>COUNTIFS(E_Suivi_Eans!$C:$C,"02/2022",E_Suivi_Eans!$D:$D,"Eléments d ameublement")</f>
        <v>0</v>
      </c>
      <c r="G26" s="21">
        <f t="shared" si="6"/>
        <v>0</v>
      </c>
      <c r="J26" s="20" t="s">
        <v>5315</v>
      </c>
      <c r="K26" s="20" t="s">
        <v>5326</v>
      </c>
      <c r="L26" s="28">
        <f t="shared" si="10"/>
        <v>0</v>
      </c>
      <c r="M26" s="28">
        <f t="shared" si="7"/>
        <v>1</v>
      </c>
      <c r="N26" s="28">
        <f t="shared" si="8"/>
        <v>0</v>
      </c>
      <c r="O26" s="28">
        <v>1</v>
      </c>
      <c r="P26" s="28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COUNTIFS(E_Suivi_Eans!$C:$C,"02/2022",E_Suivi_Eans!$D:$D,"Eléments d ameublement",E_Suivi_Eans!$J:$J,"Retour OK",E_Suivi_Eans!$K:$K,"&gt;31/12/2021",E_Suivi_Eans!K:K,"&lt;01/12/2022")</f>
        <v>0</v>
      </c>
      <c r="D27" s="21">
        <f t="shared" si="9"/>
        <v>0</v>
      </c>
      <c r="E27" s="21">
        <f>COUNTIFS(E_Suivi_Eans!$C:$C,"02/2022",E_Suivi_Eans!$D:$D,"Eléments d ameublement",E_Suivi_Eans!$J:$J,"Abandon",E_Suivi_Eans!$K:$K,"&gt;31/12/2021",E_Suivi_Eans!K:K,"&lt;01/12/2022")</f>
        <v>0</v>
      </c>
      <c r="F27" s="21">
        <f>COUNTIFS(E_Suivi_Eans!$C:$C,"02/2022",E_Suivi_Eans!$D:$D,"Eléments d ameublement")</f>
        <v>0</v>
      </c>
      <c r="G27" s="21">
        <f t="shared" si="6"/>
        <v>0</v>
      </c>
      <c r="J27" s="20" t="s">
        <v>5315</v>
      </c>
      <c r="K27" s="20" t="s">
        <v>5327</v>
      </c>
      <c r="L27" s="28">
        <f t="shared" si="10"/>
        <v>0</v>
      </c>
      <c r="M27" s="28">
        <f t="shared" si="7"/>
        <v>1</v>
      </c>
      <c r="N27" s="28">
        <f t="shared" si="8"/>
        <v>0</v>
      </c>
      <c r="O27" s="28">
        <v>1</v>
      </c>
      <c r="P27" s="28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8"/>
      <c r="P28" s="28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5"/>
      <c r="F29" s="25"/>
      <c r="G29" s="25"/>
      <c r="J29" s="22"/>
      <c r="K29" s="22"/>
      <c r="L29" s="23"/>
      <c r="M29" s="24"/>
      <c r="N29" s="25"/>
      <c r="O29" s="31"/>
      <c r="P29" s="31"/>
      <c r="S29" s="22"/>
      <c r="T29" s="22"/>
      <c r="U29" s="23"/>
      <c r="V29" s="24"/>
      <c r="W29" s="25"/>
      <c r="X29" s="25"/>
      <c r="Y29" s="25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8"/>
      <c r="P30" s="28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8"/>
      <c r="P31" s="28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COUNTIFS(E_Suivi_Eans!$C:$C,"03/2022",E_Suivi_Eans!$D:$D,"Eléments d ameublement",E_Suivi_Eans!$J:$J,"Retour OK",E_Suivi_Eans!$K:$K,"&gt;31/12/2021",E_Suivi_Eans!K:K,"&lt;01/04/2022")</f>
        <v>0</v>
      </c>
      <c r="D32" s="21">
        <f>F32-C32-E32</f>
        <v>0</v>
      </c>
      <c r="E32" s="21">
        <f>COUNTIFS(E_Suivi_Eans!$C:$C,"03/2022",E_Suivi_Eans!$D:$D,"Eléments d ameublement",E_Suivi_Eans!$J:$J,"Abandon",E_Suivi_Eans!$K:$K,"&gt;31/12/2021",E_Suivi_Eans!K:K,"&lt;01/04/2022")</f>
        <v>0</v>
      </c>
      <c r="F32" s="21">
        <f>COUNTIFS(E_Suivi_Eans!$C:$C,"03/2022",E_Suivi_Eans!$D:$D,"Eléments d ameublement")</f>
        <v>0</v>
      </c>
      <c r="G32" s="21">
        <f t="shared" ref="G32:G40" si="11">F32-E32</f>
        <v>0</v>
      </c>
      <c r="J32" s="20" t="s">
        <v>5316</v>
      </c>
      <c r="K32" s="20" t="s">
        <v>5316</v>
      </c>
      <c r="L32" s="28">
        <f>IF($G32=0,0,C32/$G32)</f>
        <v>0</v>
      </c>
      <c r="M32" s="28">
        <f t="shared" ref="M32:M40" si="12">O32-L32-N32</f>
        <v>1</v>
      </c>
      <c r="N32" s="28">
        <f t="shared" ref="N32:N40" si="13">IF($G32=0,0,E32/$G32)</f>
        <v>0</v>
      </c>
      <c r="O32" s="28">
        <v>1</v>
      </c>
      <c r="P32" s="28">
        <f t="shared" ref="P32:P40" si="14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COUNTIFS(E_Suivi_Eans!$C:$C,"03/2022",E_Suivi_Eans!$D:$D,"Eléments d ameublement",E_Suivi_Eans!$J:$J,"Retour OK",E_Suivi_Eans!$K:$K,"&gt;31/12/2021",E_Suivi_Eans!K:K,"&lt;01/05/2022")</f>
        <v>0</v>
      </c>
      <c r="D33" s="21">
        <f t="shared" ref="D33:D40" si="15">F33-C33-E33</f>
        <v>0</v>
      </c>
      <c r="E33" s="21">
        <f>COUNTIFS(E_Suivi_Eans!$C:$C,"03/2022",E_Suivi_Eans!$D:$D,"Eléments d ameublement",E_Suivi_Eans!$J:$J,"Abandon",E_Suivi_Eans!$K:$K,"&gt;31/12/2021",E_Suivi_Eans!K:K,"&lt;01/05/2022")</f>
        <v>0</v>
      </c>
      <c r="F33" s="21">
        <f>COUNTIFS(E_Suivi_Eans!$C:$C,"03/2022",E_Suivi_Eans!$D:$D,"Eléments d ameublement")</f>
        <v>0</v>
      </c>
      <c r="G33" s="21">
        <f t="shared" si="11"/>
        <v>0</v>
      </c>
      <c r="J33" s="20" t="s">
        <v>5316</v>
      </c>
      <c r="K33" s="20" t="s">
        <v>5317</v>
      </c>
      <c r="L33" s="28">
        <f t="shared" ref="L33:L40" si="16">IF($G33=0,0,C33/$G33)</f>
        <v>0</v>
      </c>
      <c r="M33" s="28">
        <f t="shared" si="12"/>
        <v>1</v>
      </c>
      <c r="N33" s="28">
        <f t="shared" si="13"/>
        <v>0</v>
      </c>
      <c r="O33" s="28">
        <v>1</v>
      </c>
      <c r="P33" s="28">
        <f t="shared" si="14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COUNTIFS(E_Suivi_Eans!$C:$C,"03/2022",E_Suivi_Eans!$D:$D,"Eléments d ameublement",E_Suivi_Eans!$J:$J,"Retour OK",E_Suivi_Eans!$K:$K,"&gt;31/12/2021",E_Suivi_Eans!K:K,"&lt;01/06/2022")</f>
        <v>0</v>
      </c>
      <c r="D34" s="21">
        <f t="shared" si="15"/>
        <v>0</v>
      </c>
      <c r="E34" s="21">
        <f>COUNTIFS(E_Suivi_Eans!$C:$C,"03/2022",E_Suivi_Eans!$D:$D,"Eléments d ameublement",E_Suivi_Eans!$J:$J,"Abandon",E_Suivi_Eans!$K:$K,"&gt;31/12/2021",E_Suivi_Eans!K:K,"&lt;01/06/2022")</f>
        <v>0</v>
      </c>
      <c r="F34" s="21">
        <f>COUNTIFS(E_Suivi_Eans!$C:$C,"03/2022",E_Suivi_Eans!$D:$D,"Eléments d ameublement")</f>
        <v>0</v>
      </c>
      <c r="G34" s="21">
        <f t="shared" si="11"/>
        <v>0</v>
      </c>
      <c r="J34" s="20" t="s">
        <v>5316</v>
      </c>
      <c r="K34" s="20" t="s">
        <v>5318</v>
      </c>
      <c r="L34" s="28">
        <f t="shared" si="16"/>
        <v>0</v>
      </c>
      <c r="M34" s="28">
        <f t="shared" si="12"/>
        <v>1</v>
      </c>
      <c r="N34" s="28">
        <f t="shared" si="13"/>
        <v>0</v>
      </c>
      <c r="O34" s="28">
        <v>1</v>
      </c>
      <c r="P34" s="28">
        <f t="shared" si="14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COUNTIFS(E_Suivi_Eans!$C:$C,"03/2022",E_Suivi_Eans!$D:$D,"Eléments d ameublement",E_Suivi_Eans!$J:$J,"Retour OK",E_Suivi_Eans!$K:$K,"&gt;31/12/2021",E_Suivi_Eans!K:K,"&lt;01/07/2022")</f>
        <v>0</v>
      </c>
      <c r="D35" s="21">
        <f t="shared" si="15"/>
        <v>0</v>
      </c>
      <c r="E35" s="21">
        <f>COUNTIFS(E_Suivi_Eans!$C:$C,"03/2022",E_Suivi_Eans!$D:$D,"Eléments d ameublement",E_Suivi_Eans!$J:$J,"Abandon",E_Suivi_Eans!$K:$K,"&gt;31/12/2021",E_Suivi_Eans!K:K,"&lt;01/07/2022")</f>
        <v>0</v>
      </c>
      <c r="F35" s="21">
        <f>COUNTIFS(E_Suivi_Eans!$C:$C,"03/2022",E_Suivi_Eans!$D:$D,"Eléments d ameublement")</f>
        <v>0</v>
      </c>
      <c r="G35" s="21">
        <f t="shared" si="11"/>
        <v>0</v>
      </c>
      <c r="J35" s="20" t="s">
        <v>5316</v>
      </c>
      <c r="K35" s="20" t="s">
        <v>5319</v>
      </c>
      <c r="L35" s="28">
        <f t="shared" si="16"/>
        <v>0</v>
      </c>
      <c r="M35" s="28">
        <f t="shared" si="12"/>
        <v>1</v>
      </c>
      <c r="N35" s="28">
        <f t="shared" si="13"/>
        <v>0</v>
      </c>
      <c r="O35" s="28">
        <v>1</v>
      </c>
      <c r="P35" s="28">
        <f t="shared" si="14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COUNTIFS(E_Suivi_Eans!$C:$C,"03/2022",E_Suivi_Eans!$D:$D,"Eléments d ameublement",E_Suivi_Eans!$J:$J,"Retour OK",E_Suivi_Eans!$K:$K,"&gt;31/12/2021",E_Suivi_Eans!K:K,"&lt;01/08/2022")</f>
        <v>0</v>
      </c>
      <c r="D36" s="21">
        <f t="shared" si="15"/>
        <v>0</v>
      </c>
      <c r="E36" s="21">
        <f>COUNTIFS(E_Suivi_Eans!$C:$C,"03/2022",E_Suivi_Eans!$D:$D,"Eléments d ameublement",E_Suivi_Eans!$J:$J,"Abandon",E_Suivi_Eans!$K:$K,"&gt;31/12/2021",E_Suivi_Eans!K:K,"&lt;01/08/2022")</f>
        <v>0</v>
      </c>
      <c r="F36" s="21">
        <f>COUNTIFS(E_Suivi_Eans!$C:$C,"03/2022",E_Suivi_Eans!$D:$D,"Eléments d ameublement")</f>
        <v>0</v>
      </c>
      <c r="G36" s="21">
        <f t="shared" si="11"/>
        <v>0</v>
      </c>
      <c r="J36" s="20" t="s">
        <v>5316</v>
      </c>
      <c r="K36" s="20" t="s">
        <v>5320</v>
      </c>
      <c r="L36" s="28">
        <f t="shared" si="16"/>
        <v>0</v>
      </c>
      <c r="M36" s="28">
        <f t="shared" si="12"/>
        <v>1</v>
      </c>
      <c r="N36" s="28">
        <f t="shared" si="13"/>
        <v>0</v>
      </c>
      <c r="O36" s="28">
        <v>1</v>
      </c>
      <c r="P36" s="28">
        <f t="shared" si="14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COUNTIFS(E_Suivi_Eans!$C:$C,"03/2022",E_Suivi_Eans!$D:$D,"Eléments d ameublement",E_Suivi_Eans!$J:$J,"Retour OK",E_Suivi_Eans!$K:$K,"&gt;31/12/2021",E_Suivi_Eans!K:K,"&lt;01/09/2022")</f>
        <v>0</v>
      </c>
      <c r="D37" s="21">
        <f t="shared" si="15"/>
        <v>0</v>
      </c>
      <c r="E37" s="21">
        <f>COUNTIFS(E_Suivi_Eans!$C:$C,"03/2022",E_Suivi_Eans!$D:$D,"Eléments d ameublement",E_Suivi_Eans!$J:$J,"Abandon",E_Suivi_Eans!$K:$K,"&gt;31/12/2021",E_Suivi_Eans!K:K,"&lt;01/09/2022")</f>
        <v>0</v>
      </c>
      <c r="F37" s="21">
        <f>COUNTIFS(E_Suivi_Eans!$C:$C,"03/2022",E_Suivi_Eans!$D:$D,"Eléments d ameublement")</f>
        <v>0</v>
      </c>
      <c r="G37" s="21">
        <f t="shared" si="11"/>
        <v>0</v>
      </c>
      <c r="J37" s="20" t="s">
        <v>5316</v>
      </c>
      <c r="K37" s="20" t="s">
        <v>5321</v>
      </c>
      <c r="L37" s="28">
        <f t="shared" si="16"/>
        <v>0</v>
      </c>
      <c r="M37" s="28">
        <f t="shared" si="12"/>
        <v>1</v>
      </c>
      <c r="N37" s="28">
        <f t="shared" si="13"/>
        <v>0</v>
      </c>
      <c r="O37" s="28">
        <v>1</v>
      </c>
      <c r="P37" s="28">
        <f t="shared" si="14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COUNTIFS(E_Suivi_Eans!$C:$C,"03/2022",E_Suivi_Eans!$D:$D,"Eléments d ameublement",E_Suivi_Eans!$J:$J,"Retour OK",E_Suivi_Eans!$K:$K,"&gt;31/12/2021",E_Suivi_Eans!K:K,"&lt;01/10/2022")</f>
        <v>0</v>
      </c>
      <c r="D38" s="21">
        <f t="shared" si="15"/>
        <v>0</v>
      </c>
      <c r="E38" s="21">
        <f>COUNTIFS(E_Suivi_Eans!$C:$C,"03/2022",E_Suivi_Eans!$D:$D,"Eléments d ameublement",E_Suivi_Eans!$J:$J,"Abandon",E_Suivi_Eans!$K:$K,"&gt;31/12/2021",E_Suivi_Eans!K:K,"&lt;01/10/2022")</f>
        <v>0</v>
      </c>
      <c r="F38" s="21">
        <f>COUNTIFS(E_Suivi_Eans!$C:$C,"03/2022",E_Suivi_Eans!$D:$D,"Eléments d ameublement")</f>
        <v>0</v>
      </c>
      <c r="G38" s="21">
        <f t="shared" si="11"/>
        <v>0</v>
      </c>
      <c r="J38" s="20" t="s">
        <v>5316</v>
      </c>
      <c r="K38" s="20" t="s">
        <v>5325</v>
      </c>
      <c r="L38" s="28">
        <f t="shared" si="16"/>
        <v>0</v>
      </c>
      <c r="M38" s="28">
        <f t="shared" si="12"/>
        <v>1</v>
      </c>
      <c r="N38" s="28">
        <f t="shared" si="13"/>
        <v>0</v>
      </c>
      <c r="O38" s="28">
        <v>1</v>
      </c>
      <c r="P38" s="28">
        <f t="shared" si="14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COUNTIFS(E_Suivi_Eans!$C:$C,"03/2022",E_Suivi_Eans!$D:$D,"Eléments d ameublement",E_Suivi_Eans!$J:$J,"Retour OK",E_Suivi_Eans!$K:$K,"&gt;31/12/2021",E_Suivi_Eans!K:K,"&lt;01/11/2022")</f>
        <v>0</v>
      </c>
      <c r="D39" s="21">
        <f t="shared" si="15"/>
        <v>0</v>
      </c>
      <c r="E39" s="21">
        <f>COUNTIFS(E_Suivi_Eans!$C:$C,"03/2022",E_Suivi_Eans!$D:$D,"Eléments d ameublement",E_Suivi_Eans!$J:$J,"Abandon",E_Suivi_Eans!$K:$K,"&gt;31/12/2021",E_Suivi_Eans!K:K,"&lt;01/11/2022")</f>
        <v>0</v>
      </c>
      <c r="F39" s="21">
        <f>COUNTIFS(E_Suivi_Eans!$C:$C,"03/2022",E_Suivi_Eans!$D:$D,"Eléments d ameublement")</f>
        <v>0</v>
      </c>
      <c r="G39" s="21">
        <f t="shared" si="11"/>
        <v>0</v>
      </c>
      <c r="J39" s="20" t="s">
        <v>5316</v>
      </c>
      <c r="K39" s="20" t="s">
        <v>5326</v>
      </c>
      <c r="L39" s="28">
        <f t="shared" si="16"/>
        <v>0</v>
      </c>
      <c r="M39" s="28">
        <f t="shared" si="12"/>
        <v>1</v>
      </c>
      <c r="N39" s="28">
        <f t="shared" si="13"/>
        <v>0</v>
      </c>
      <c r="O39" s="28">
        <v>1</v>
      </c>
      <c r="P39" s="28">
        <f t="shared" si="14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COUNTIFS(E_Suivi_Eans!$C:$C,"03/2022",E_Suivi_Eans!$D:$D,"Eléments d ameublement",E_Suivi_Eans!$J:$J,"Retour OK",E_Suivi_Eans!$K:$K,"&gt;31/12/2021",E_Suivi_Eans!K:K,"&lt;01/12/2022")</f>
        <v>0</v>
      </c>
      <c r="D40" s="21">
        <f t="shared" si="15"/>
        <v>0</v>
      </c>
      <c r="E40" s="21">
        <f>COUNTIFS(E_Suivi_Eans!$C:$C,"03/2022",E_Suivi_Eans!$D:$D,"Eléments d ameublement",E_Suivi_Eans!$J:$J,"Abandon",E_Suivi_Eans!$K:$K,"&gt;31/12/2021",E_Suivi_Eans!K:K,"&lt;01/12/2022")</f>
        <v>0</v>
      </c>
      <c r="F40" s="21">
        <f>COUNTIFS(E_Suivi_Eans!$C:$C,"03/2022",E_Suivi_Eans!$D:$D,"Eléments d ameublement")</f>
        <v>0</v>
      </c>
      <c r="G40" s="21">
        <f t="shared" si="11"/>
        <v>0</v>
      </c>
      <c r="J40" s="20" t="s">
        <v>5316</v>
      </c>
      <c r="K40" s="20" t="s">
        <v>5327</v>
      </c>
      <c r="L40" s="28">
        <f t="shared" si="16"/>
        <v>0</v>
      </c>
      <c r="M40" s="28">
        <f t="shared" si="12"/>
        <v>1</v>
      </c>
      <c r="N40" s="28">
        <f t="shared" si="13"/>
        <v>0</v>
      </c>
      <c r="O40" s="28">
        <v>1</v>
      </c>
      <c r="P40" s="28">
        <f t="shared" si="14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8"/>
      <c r="P41" s="28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5"/>
      <c r="E42" s="25"/>
      <c r="F42" s="25"/>
      <c r="G42" s="25"/>
      <c r="J42" s="22"/>
      <c r="K42" s="22"/>
      <c r="L42" s="23"/>
      <c r="M42" s="25"/>
      <c r="N42" s="25"/>
      <c r="O42" s="31"/>
      <c r="P42" s="31"/>
      <c r="S42" s="22"/>
      <c r="T42" s="22"/>
      <c r="U42" s="23"/>
      <c r="V42" s="25"/>
      <c r="W42" s="25"/>
      <c r="X42" s="25"/>
      <c r="Y42" s="25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8"/>
      <c r="P43" s="28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8"/>
      <c r="P44" s="28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8"/>
      <c r="P45" s="28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COUNTIFS(E_Suivi_Eans!$C:$C,"04/2022",E_Suivi_Eans!$D:$D,"Eléments d ameublement",E_Suivi_Eans!$J:$J,"Retour OK",E_Suivi_Eans!$K:$K,"&gt;31/12/2021",E_Suivi_Eans!K:K,"&lt;01/05/2022")</f>
        <v>23</v>
      </c>
      <c r="D46" s="21">
        <f>F46-C46-E46</f>
        <v>133</v>
      </c>
      <c r="E46" s="21">
        <f>COUNTIFS(E_Suivi_Eans!$C:$C,"04/2022",E_Suivi_Eans!$D:$D,"Eléments d ameublement",E_Suivi_Eans!$J:$J,"Abandon",E_Suivi_Eans!$K:$K,"&gt;31/12/2021",E_Suivi_Eans!K:K,"&lt;01/05/2022")</f>
        <v>0</v>
      </c>
      <c r="F46" s="21">
        <f>COUNTIFS(E_Suivi_Eans!$C:$C,"04/2022",E_Suivi_Eans!$D:$D,"Eléments d ameublement")</f>
        <v>156</v>
      </c>
      <c r="G46" s="21">
        <f t="shared" ref="G46:G53" si="17">F46-E46</f>
        <v>156</v>
      </c>
      <c r="J46" s="20" t="s">
        <v>5317</v>
      </c>
      <c r="K46" s="20" t="s">
        <v>5317</v>
      </c>
      <c r="L46" s="28">
        <f>IF($G46=0,0,C46/$G46)</f>
        <v>0.14743589743589744</v>
      </c>
      <c r="M46" s="28">
        <f t="shared" ref="M46:M53" si="18">O46-L46-N46</f>
        <v>0.85256410256410253</v>
      </c>
      <c r="N46" s="28">
        <f t="shared" ref="N46:N53" si="19">IF($G46=0,0,E46/$G46)</f>
        <v>0</v>
      </c>
      <c r="O46" s="28">
        <v>1</v>
      </c>
      <c r="P46" s="28">
        <f t="shared" ref="P46:P53" si="20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COUNTIFS(E_Suivi_Eans!$C:$C,"04/2022",E_Suivi_Eans!$D:$D,"Eléments d ameublement",E_Suivi_Eans!$J:$J,"Retour OK",E_Suivi_Eans!$K:$K,"&gt;31/12/2021",E_Suivi_Eans!K:K,"&lt;01/06/2022")</f>
        <v>51</v>
      </c>
      <c r="D47" s="21">
        <f t="shared" ref="D47:D53" si="21">F47-C47-E47</f>
        <v>103</v>
      </c>
      <c r="E47" s="21">
        <f>COUNTIFS(E_Suivi_Eans!$C:$C,"04/2022",E_Suivi_Eans!$D:$D,"Eléments d ameublement",E_Suivi_Eans!$J:$J,"Abandon",E_Suivi_Eans!$K:$K,"&gt;31/12/2021",E_Suivi_Eans!K:K,"&lt;01/06/2022")</f>
        <v>2</v>
      </c>
      <c r="F47" s="21">
        <f>COUNTIFS(E_Suivi_Eans!$C:$C,"04/2022",E_Suivi_Eans!$D:$D,"Eléments d ameublement")</f>
        <v>156</v>
      </c>
      <c r="G47" s="21">
        <f t="shared" si="17"/>
        <v>154</v>
      </c>
      <c r="J47" s="20" t="s">
        <v>5317</v>
      </c>
      <c r="K47" s="20" t="s">
        <v>5318</v>
      </c>
      <c r="L47" s="28">
        <f t="shared" ref="L47:L53" si="22">IF($G47=0,0,C47/$G47)</f>
        <v>0.33116883116883117</v>
      </c>
      <c r="M47" s="28">
        <f t="shared" si="18"/>
        <v>0.65584415584415579</v>
      </c>
      <c r="N47" s="28">
        <f t="shared" si="19"/>
        <v>1.2987012987012988E-2</v>
      </c>
      <c r="O47" s="28">
        <v>1</v>
      </c>
      <c r="P47" s="28">
        <f t="shared" si="20"/>
        <v>0.98701298701298701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COUNTIFS(E_Suivi_Eans!$C:$C,"04/2022",E_Suivi_Eans!$D:$D,"Eléments d ameublement",E_Suivi_Eans!$J:$J,"Retour OK",E_Suivi_Eans!$K:$K,"&gt;31/12/2021",E_Suivi_Eans!K:K,"&lt;01/07/2022")</f>
        <v>51</v>
      </c>
      <c r="D48" s="21">
        <f t="shared" si="21"/>
        <v>102</v>
      </c>
      <c r="E48" s="21">
        <f>COUNTIFS(E_Suivi_Eans!$C:$C,"04/2022",E_Suivi_Eans!$D:$D,"Eléments d ameublement",E_Suivi_Eans!$J:$J,"Abandon",E_Suivi_Eans!$K:$K,"&gt;31/12/2021",E_Suivi_Eans!K:K,"&lt;01/07/2022")</f>
        <v>3</v>
      </c>
      <c r="F48" s="21">
        <f>COUNTIFS(E_Suivi_Eans!$C:$C,"04/2022",E_Suivi_Eans!$D:$D,"Eléments d ameublement")</f>
        <v>156</v>
      </c>
      <c r="G48" s="21">
        <f t="shared" si="17"/>
        <v>153</v>
      </c>
      <c r="J48" s="20" t="s">
        <v>5317</v>
      </c>
      <c r="K48" s="20" t="s">
        <v>5319</v>
      </c>
      <c r="L48" s="28">
        <f t="shared" si="22"/>
        <v>0.33333333333333331</v>
      </c>
      <c r="M48" s="28">
        <f t="shared" si="18"/>
        <v>0.6470588235294118</v>
      </c>
      <c r="N48" s="28">
        <f t="shared" si="19"/>
        <v>1.9607843137254902E-2</v>
      </c>
      <c r="O48" s="28">
        <v>1</v>
      </c>
      <c r="P48" s="28">
        <f t="shared" si="20"/>
        <v>0.98039215686274506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COUNTIFS(E_Suivi_Eans!$C:$C,"04/2022",E_Suivi_Eans!$D:$D,"Eléments d ameublement",E_Suivi_Eans!$J:$J,"Retour OK",E_Suivi_Eans!$K:$K,"&gt;31/12/2021",E_Suivi_Eans!K:K,"&lt;01/08/2022")</f>
        <v>51</v>
      </c>
      <c r="D49" s="21">
        <f t="shared" si="21"/>
        <v>63</v>
      </c>
      <c r="E49" s="21">
        <f>COUNTIFS(E_Suivi_Eans!$C:$C,"04/2022",E_Suivi_Eans!$D:$D,"Eléments d ameublement",E_Suivi_Eans!$J:$J,"Abandon",E_Suivi_Eans!$K:$K,"&gt;31/12/2021",E_Suivi_Eans!K:K,"&lt;01/08/2022")</f>
        <v>42</v>
      </c>
      <c r="F49" s="21">
        <f>COUNTIFS(E_Suivi_Eans!$C:$C,"04/2022",E_Suivi_Eans!$D:$D,"Eléments d ameublement")</f>
        <v>156</v>
      </c>
      <c r="G49" s="21">
        <f t="shared" si="17"/>
        <v>114</v>
      </c>
      <c r="J49" s="20" t="s">
        <v>5317</v>
      </c>
      <c r="K49" s="20" t="s">
        <v>5320</v>
      </c>
      <c r="L49" s="28">
        <f t="shared" si="22"/>
        <v>0.44736842105263158</v>
      </c>
      <c r="M49" s="28">
        <f t="shared" si="18"/>
        <v>0.18421052631578944</v>
      </c>
      <c r="N49" s="28">
        <f t="shared" si="19"/>
        <v>0.36842105263157893</v>
      </c>
      <c r="O49" s="28">
        <v>1</v>
      </c>
      <c r="P49" s="28">
        <f t="shared" si="20"/>
        <v>0.63157894736842102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COUNTIFS(E_Suivi_Eans!$C:$C,"04/2022",E_Suivi_Eans!$D:$D,"Eléments d ameublement",E_Suivi_Eans!$J:$J,"Retour OK",E_Suivi_Eans!$K:$K,"&gt;31/12/2021",E_Suivi_Eans!K:K,"&lt;01/09/2022")</f>
        <v>51</v>
      </c>
      <c r="D50" s="21">
        <f t="shared" si="21"/>
        <v>63</v>
      </c>
      <c r="E50" s="21">
        <f>COUNTIFS(E_Suivi_Eans!$C:$C,"04/2022",E_Suivi_Eans!$D:$D,"Eléments d ameublement",E_Suivi_Eans!$J:$J,"Abandon",E_Suivi_Eans!$K:$K,"&gt;31/12/2021",E_Suivi_Eans!K:K,"&lt;01/09/2022")</f>
        <v>42</v>
      </c>
      <c r="F50" s="21">
        <f>COUNTIFS(E_Suivi_Eans!$C:$C,"04/2022",E_Suivi_Eans!$D:$D,"Eléments d ameublement")</f>
        <v>156</v>
      </c>
      <c r="G50" s="21">
        <f t="shared" si="17"/>
        <v>114</v>
      </c>
      <c r="J50" s="20" t="s">
        <v>5317</v>
      </c>
      <c r="K50" s="20" t="s">
        <v>5321</v>
      </c>
      <c r="L50" s="28">
        <f t="shared" si="22"/>
        <v>0.44736842105263158</v>
      </c>
      <c r="M50" s="28">
        <f t="shared" si="18"/>
        <v>0.18421052631578944</v>
      </c>
      <c r="N50" s="28">
        <f t="shared" si="19"/>
        <v>0.36842105263157893</v>
      </c>
      <c r="O50" s="28">
        <v>1</v>
      </c>
      <c r="P50" s="28">
        <f t="shared" si="20"/>
        <v>0.63157894736842102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COUNTIFS(E_Suivi_Eans!$C:$C,"04/2022",E_Suivi_Eans!$D:$D,"Eléments d ameublement",E_Suivi_Eans!$J:$J,"Retour OK",E_Suivi_Eans!$K:$K,"&gt;31/12/2021",E_Suivi_Eans!K:K,"&lt;01/10/2022")</f>
        <v>60</v>
      </c>
      <c r="D51" s="21">
        <f t="shared" si="21"/>
        <v>54</v>
      </c>
      <c r="E51" s="21">
        <f>COUNTIFS(E_Suivi_Eans!$C:$C,"04/2022",E_Suivi_Eans!$D:$D,"Eléments d ameublement",E_Suivi_Eans!$J:$J,"Abandon",E_Suivi_Eans!$K:$K,"&gt;31/12/2021",E_Suivi_Eans!K:K,"&lt;01/10/2022")</f>
        <v>42</v>
      </c>
      <c r="F51" s="21">
        <f>COUNTIFS(E_Suivi_Eans!$C:$C,"04/2022",E_Suivi_Eans!$D:$D,"Eléments d ameublement")</f>
        <v>156</v>
      </c>
      <c r="G51" s="21">
        <f t="shared" si="17"/>
        <v>114</v>
      </c>
      <c r="J51" s="20" t="s">
        <v>5317</v>
      </c>
      <c r="K51" s="20" t="s">
        <v>5325</v>
      </c>
      <c r="L51" s="28">
        <f t="shared" si="22"/>
        <v>0.52631578947368418</v>
      </c>
      <c r="M51" s="28">
        <f t="shared" si="18"/>
        <v>0.10526315789473689</v>
      </c>
      <c r="N51" s="28">
        <f t="shared" si="19"/>
        <v>0.36842105263157893</v>
      </c>
      <c r="O51" s="28">
        <v>1</v>
      </c>
      <c r="P51" s="28">
        <f t="shared" si="20"/>
        <v>0.63157894736842102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COUNTIFS(E_Suivi_Eans!$C:$C,"04/2022",E_Suivi_Eans!$D:$D,"Eléments d ameublement",E_Suivi_Eans!$J:$J,"Retour OK",E_Suivi_Eans!$K:$K,"&gt;31/12/2021",E_Suivi_Eans!K:K,"&lt;01/11/2022")</f>
        <v>60</v>
      </c>
      <c r="D52" s="21">
        <f t="shared" si="21"/>
        <v>54</v>
      </c>
      <c r="E52" s="21">
        <f>COUNTIFS(E_Suivi_Eans!$C:$C,"04/2022",E_Suivi_Eans!$D:$D,"Eléments d ameublement",E_Suivi_Eans!$J:$J,"Abandon",E_Suivi_Eans!$K:$K,"&gt;31/12/2021",E_Suivi_Eans!K:K,"&lt;01/11/2022")</f>
        <v>42</v>
      </c>
      <c r="F52" s="21">
        <f>COUNTIFS(E_Suivi_Eans!$C:$C,"04/2022",E_Suivi_Eans!$D:$D,"Eléments d ameublement")</f>
        <v>156</v>
      </c>
      <c r="G52" s="21">
        <f t="shared" si="17"/>
        <v>114</v>
      </c>
      <c r="J52" s="20" t="s">
        <v>5317</v>
      </c>
      <c r="K52" s="20" t="s">
        <v>5326</v>
      </c>
      <c r="L52" s="28">
        <f t="shared" si="22"/>
        <v>0.52631578947368418</v>
      </c>
      <c r="M52" s="28">
        <f t="shared" si="18"/>
        <v>0.10526315789473689</v>
      </c>
      <c r="N52" s="28">
        <f t="shared" si="19"/>
        <v>0.36842105263157893</v>
      </c>
      <c r="O52" s="28">
        <v>1</v>
      </c>
      <c r="P52" s="28">
        <f t="shared" si="20"/>
        <v>0.63157894736842102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COUNTIFS(E_Suivi_Eans!$C:$C,"04/2022",E_Suivi_Eans!$D:$D,"Eléments d ameublement",E_Suivi_Eans!$J:$J,"Retour OK",E_Suivi_Eans!$K:$K,"&gt;31/12/2021",E_Suivi_Eans!K:K,"&lt;01/12/2022")</f>
        <v>62</v>
      </c>
      <c r="D53" s="21">
        <f t="shared" si="21"/>
        <v>52</v>
      </c>
      <c r="E53" s="21">
        <f>COUNTIFS(E_Suivi_Eans!$C:$C,"04/2022",E_Suivi_Eans!$D:$D,"Eléments d ameublement",E_Suivi_Eans!$J:$J,"Abandon",E_Suivi_Eans!$K:$K,"&gt;31/12/2021",E_Suivi_Eans!K:K,"&lt;01/12/2022")</f>
        <v>42</v>
      </c>
      <c r="F53" s="21">
        <f>COUNTIFS(E_Suivi_Eans!$C:$C,"04/2022",E_Suivi_Eans!$D:$D,"Eléments d ameublement")</f>
        <v>156</v>
      </c>
      <c r="G53" s="21">
        <f t="shared" si="17"/>
        <v>114</v>
      </c>
      <c r="J53" s="20" t="s">
        <v>5317</v>
      </c>
      <c r="K53" s="20" t="s">
        <v>5327</v>
      </c>
      <c r="L53" s="28">
        <f t="shared" si="22"/>
        <v>0.54385964912280704</v>
      </c>
      <c r="M53" s="28">
        <f t="shared" si="18"/>
        <v>8.771929824561403E-2</v>
      </c>
      <c r="N53" s="28">
        <f t="shared" si="19"/>
        <v>0.36842105263157893</v>
      </c>
      <c r="O53" s="28">
        <v>1</v>
      </c>
      <c r="P53" s="28">
        <f t="shared" si="20"/>
        <v>0.63157894736842102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8"/>
      <c r="P54" s="28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5"/>
      <c r="E55" s="25"/>
      <c r="F55" s="25"/>
      <c r="G55" s="25"/>
      <c r="J55" s="22"/>
      <c r="K55" s="22"/>
      <c r="L55" s="23"/>
      <c r="M55" s="25"/>
      <c r="N55" s="25"/>
      <c r="O55" s="31"/>
      <c r="P55" s="31"/>
      <c r="S55" s="22"/>
      <c r="T55" s="22"/>
      <c r="U55" s="23"/>
      <c r="V55" s="25"/>
      <c r="W55" s="25"/>
      <c r="X55" s="25"/>
      <c r="Y55" s="25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8"/>
      <c r="P56" s="28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8"/>
      <c r="P57" s="28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8"/>
      <c r="P58" s="28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3"/>
      <c r="J59" s="20" t="s">
        <v>5318</v>
      </c>
      <c r="K59" s="20" t="s">
        <v>5317</v>
      </c>
      <c r="L59" s="21"/>
      <c r="M59" s="21"/>
      <c r="N59" s="21"/>
      <c r="O59" s="28"/>
      <c r="P59" s="28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COUNTIFS(E_Suivi_Eans!$C:$C,"05/2022",E_Suivi_Eans!$D:$D,"Eléments d ameublement",E_Suivi_Eans!$J:$J,"Retour OK",E_Suivi_Eans!$K:$K,"&gt;31/12/2021",E_Suivi_Eans!K:K,"&lt;01/06/2022")</f>
        <v>0</v>
      </c>
      <c r="D60" s="21">
        <f t="shared" ref="D60:D66" si="23">F60-C60-E60</f>
        <v>1</v>
      </c>
      <c r="E60" s="21">
        <f>COUNTIFS(E_Suivi_Eans!$C:$C,"05/2022",E_Suivi_Eans!$D:$D,"Eléments d ameublement",E_Suivi_Eans!$J:$J,"Abandon",E_Suivi_Eans!$K:$K,"&gt;31/12/2021",E_Suivi_Eans!K:K,"&lt;01/06/2022")</f>
        <v>155</v>
      </c>
      <c r="F60" s="21">
        <f>COUNTIFS(E_Suivi_Eans!$C:$C,"05/2022",E_Suivi_Eans!$D:$D,"Eléments d ameublement")</f>
        <v>156</v>
      </c>
      <c r="G60" s="21">
        <f t="shared" ref="G60:G66" si="24">F60-E60</f>
        <v>1</v>
      </c>
      <c r="J60" s="20" t="s">
        <v>5318</v>
      </c>
      <c r="K60" s="20" t="s">
        <v>5318</v>
      </c>
      <c r="L60" s="28">
        <f>IF($G60=0,0,C60/$G60)</f>
        <v>0</v>
      </c>
      <c r="M60" s="42">
        <f t="shared" ref="M60:M66" si="25">O60-L60-N60</f>
        <v>-154</v>
      </c>
      <c r="N60" s="42">
        <f t="shared" ref="N60:N66" si="26">IF($G60=0,0,E60/$G60)</f>
        <v>155</v>
      </c>
      <c r="O60" s="42">
        <v>1</v>
      </c>
      <c r="P60" s="42">
        <f t="shared" ref="P60:P66" si="27">O60-N60</f>
        <v>-154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COUNTIFS(E_Suivi_Eans!$C:$C,"05/2022",E_Suivi_Eans!$D:$D,"Eléments d ameublement",E_Suivi_Eans!$J:$J,"Retour OK",E_Suivi_Eans!$K:$K,"&gt;31/12/2021",E_Suivi_Eans!K:K,"&lt;01/07/2022")</f>
        <v>0</v>
      </c>
      <c r="D61" s="21">
        <f t="shared" si="23"/>
        <v>0</v>
      </c>
      <c r="E61" s="21">
        <f>COUNTIFS(E_Suivi_Eans!$C:$C,"05/2022",E_Suivi_Eans!$D:$D,"Eléments d ameublement",E_Suivi_Eans!$J:$J,"Abandon",E_Suivi_Eans!$K:$K,"&gt;31/12/2021",E_Suivi_Eans!K:K,"&lt;01/07/2022")</f>
        <v>156</v>
      </c>
      <c r="F61" s="21">
        <f>COUNTIFS(E_Suivi_Eans!$C:$C,"05/2022",E_Suivi_Eans!$D:$D,"Eléments d ameublement")</f>
        <v>156</v>
      </c>
      <c r="G61" s="21">
        <f t="shared" si="24"/>
        <v>0</v>
      </c>
      <c r="J61" s="20" t="s">
        <v>5318</v>
      </c>
      <c r="K61" s="20" t="s">
        <v>5319</v>
      </c>
      <c r="L61" s="28">
        <f t="shared" ref="L61:L66" si="28">IF($G61=0,0,C61/$G61)</f>
        <v>0</v>
      </c>
      <c r="M61" s="28">
        <f t="shared" si="25"/>
        <v>1</v>
      </c>
      <c r="N61" s="28">
        <f t="shared" si="26"/>
        <v>0</v>
      </c>
      <c r="O61" s="28">
        <v>1</v>
      </c>
      <c r="P61" s="28">
        <f t="shared" si="27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COUNTIFS(E_Suivi_Eans!$C:$C,"05/2022",E_Suivi_Eans!$D:$D,"Eléments d ameublement",E_Suivi_Eans!$J:$J,"Retour OK",E_Suivi_Eans!$K:$K,"&gt;31/12/2021",E_Suivi_Eans!K:K,"&lt;01/08/2022")</f>
        <v>0</v>
      </c>
      <c r="D62" s="21">
        <f t="shared" si="23"/>
        <v>0</v>
      </c>
      <c r="E62" s="21">
        <f>COUNTIFS(E_Suivi_Eans!$C:$C,"05/2022",E_Suivi_Eans!$D:$D,"Eléments d ameublement",E_Suivi_Eans!$J:$J,"Abandon",E_Suivi_Eans!$K:$K,"&gt;31/12/2021",E_Suivi_Eans!K:K,"&lt;01/08/2022")</f>
        <v>156</v>
      </c>
      <c r="F62" s="21">
        <f>COUNTIFS(E_Suivi_Eans!$C:$C,"05/2022",E_Suivi_Eans!$D:$D,"Eléments d ameublement")</f>
        <v>156</v>
      </c>
      <c r="G62" s="21">
        <f t="shared" si="24"/>
        <v>0</v>
      </c>
      <c r="J62" s="20" t="s">
        <v>5318</v>
      </c>
      <c r="K62" s="20" t="s">
        <v>5320</v>
      </c>
      <c r="L62" s="28">
        <f t="shared" si="28"/>
        <v>0</v>
      </c>
      <c r="M62" s="28">
        <f t="shared" si="25"/>
        <v>1</v>
      </c>
      <c r="N62" s="28">
        <f t="shared" si="26"/>
        <v>0</v>
      </c>
      <c r="O62" s="28">
        <v>1</v>
      </c>
      <c r="P62" s="28">
        <f t="shared" si="27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COUNTIFS(E_Suivi_Eans!$C:$C,"05/2022",E_Suivi_Eans!$D:$D,"Eléments d ameublement",E_Suivi_Eans!$J:$J,"Retour OK",E_Suivi_Eans!$K:$K,"&gt;31/12/2021",E_Suivi_Eans!K:K,"&lt;01/09/2022")</f>
        <v>0</v>
      </c>
      <c r="D63" s="21">
        <f>F63-C63-E63</f>
        <v>0</v>
      </c>
      <c r="E63" s="21">
        <f>COUNTIFS(E_Suivi_Eans!$C:$C,"05/2022",E_Suivi_Eans!$D:$D,"Eléments d ameublement",E_Suivi_Eans!$J:$J,"Abandon",E_Suivi_Eans!$K:$K,"&gt;31/12/2021",E_Suivi_Eans!K:K,"&lt;01/09/2022")</f>
        <v>156</v>
      </c>
      <c r="F63" s="21">
        <f>COUNTIFS(E_Suivi_Eans!$C:$C,"05/2022",E_Suivi_Eans!$D:$D,"Eléments d ameublement")</f>
        <v>156</v>
      </c>
      <c r="G63" s="21">
        <f t="shared" si="24"/>
        <v>0</v>
      </c>
      <c r="J63" s="20" t="s">
        <v>5318</v>
      </c>
      <c r="K63" s="20" t="s">
        <v>5321</v>
      </c>
      <c r="L63" s="28">
        <f t="shared" si="28"/>
        <v>0</v>
      </c>
      <c r="M63" s="28">
        <f t="shared" si="25"/>
        <v>1</v>
      </c>
      <c r="N63" s="28">
        <f t="shared" si="26"/>
        <v>0</v>
      </c>
      <c r="O63" s="28">
        <v>1</v>
      </c>
      <c r="P63" s="28">
        <f t="shared" si="27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COUNTIFS(E_Suivi_Eans!$C:$C,"05/2022",E_Suivi_Eans!$D:$D,"Eléments d ameublement",E_Suivi_Eans!$J:$J,"Retour OK",E_Suivi_Eans!$K:$K,"&gt;31/12/2021",E_Suivi_Eans!K:K,"&lt;01/10/2022")</f>
        <v>0</v>
      </c>
      <c r="D64" s="21">
        <f>F64-C64-E64</f>
        <v>0</v>
      </c>
      <c r="E64" s="21">
        <f>COUNTIFS(E_Suivi_Eans!$C:$C,"05/2022",E_Suivi_Eans!$D:$D,"Eléments d ameublement",E_Suivi_Eans!$J:$J,"Abandon",E_Suivi_Eans!$K:$K,"&gt;31/12/2021",E_Suivi_Eans!K:K,"&lt;01/10/2022")</f>
        <v>156</v>
      </c>
      <c r="F64" s="21">
        <f>COUNTIFS(E_Suivi_Eans!$C:$C,"05/2022",E_Suivi_Eans!$D:$D,"Eléments d ameublement")</f>
        <v>156</v>
      </c>
      <c r="G64" s="21">
        <f t="shared" si="24"/>
        <v>0</v>
      </c>
      <c r="J64" s="20" t="s">
        <v>5318</v>
      </c>
      <c r="K64" s="20" t="s">
        <v>5325</v>
      </c>
      <c r="L64" s="28">
        <f t="shared" si="28"/>
        <v>0</v>
      </c>
      <c r="M64" s="28">
        <f t="shared" si="25"/>
        <v>1</v>
      </c>
      <c r="N64" s="28">
        <f t="shared" si="26"/>
        <v>0</v>
      </c>
      <c r="O64" s="28">
        <v>1</v>
      </c>
      <c r="P64" s="28">
        <f t="shared" si="27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COUNTIFS(E_Suivi_Eans!$C:$C,"05/2022",E_Suivi_Eans!$D:$D,"Eléments d ameublement",E_Suivi_Eans!$J:$J,"Retour OK",E_Suivi_Eans!$K:$K,"&gt;31/12/2021",E_Suivi_Eans!K:K,"&lt;01/11/2022")</f>
        <v>0</v>
      </c>
      <c r="D65" s="21">
        <f t="shared" si="23"/>
        <v>0</v>
      </c>
      <c r="E65" s="21">
        <f>COUNTIFS(E_Suivi_Eans!$C:$C,"05/2022",E_Suivi_Eans!$D:$D,"Eléments d ameublement",E_Suivi_Eans!$J:$J,"Abandon",E_Suivi_Eans!$K:$K,"&gt;31/12/2021",E_Suivi_Eans!K:K,"&lt;01/11/2022")</f>
        <v>156</v>
      </c>
      <c r="F65" s="21">
        <f>COUNTIFS(E_Suivi_Eans!$C:$C,"05/2022",E_Suivi_Eans!$D:$D,"Eléments d ameublement")</f>
        <v>156</v>
      </c>
      <c r="G65" s="21">
        <f t="shared" si="24"/>
        <v>0</v>
      </c>
      <c r="J65" s="20" t="s">
        <v>5318</v>
      </c>
      <c r="K65" s="20" t="s">
        <v>5326</v>
      </c>
      <c r="L65" s="28">
        <f t="shared" si="28"/>
        <v>0</v>
      </c>
      <c r="M65" s="28">
        <f t="shared" si="25"/>
        <v>1</v>
      </c>
      <c r="N65" s="28">
        <f t="shared" si="26"/>
        <v>0</v>
      </c>
      <c r="O65" s="28">
        <v>1</v>
      </c>
      <c r="P65" s="28">
        <f t="shared" si="27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COUNTIFS(E_Suivi_Eans!$C:$C,"05/2022",E_Suivi_Eans!$D:$D,"Eléments d ameublement",E_Suivi_Eans!$J:$J,"Retour OK",E_Suivi_Eans!$K:$K,"&gt;31/12/2021",E_Suivi_Eans!K:K,"&lt;01/12/2022")</f>
        <v>0</v>
      </c>
      <c r="D66" s="21">
        <f t="shared" si="23"/>
        <v>0</v>
      </c>
      <c r="E66" s="21">
        <f>COUNTIFS(E_Suivi_Eans!$C:$C,"05/2022",E_Suivi_Eans!$D:$D,"Eléments d ameublement",E_Suivi_Eans!$J:$J,"Abandon",E_Suivi_Eans!$K:$K,"&gt;31/12/2021",E_Suivi_Eans!K:K,"&lt;01/12/2022")</f>
        <v>156</v>
      </c>
      <c r="F66" s="21">
        <f>COUNTIFS(E_Suivi_Eans!$C:$C,"05/2022",E_Suivi_Eans!$D:$D,"Eléments d ameublement")</f>
        <v>156</v>
      </c>
      <c r="G66" s="21">
        <f t="shared" si="24"/>
        <v>0</v>
      </c>
      <c r="J66" s="20" t="s">
        <v>5318</v>
      </c>
      <c r="K66" s="20" t="s">
        <v>5327</v>
      </c>
      <c r="L66" s="28">
        <f t="shared" si="28"/>
        <v>0</v>
      </c>
      <c r="M66" s="28">
        <f t="shared" si="25"/>
        <v>1</v>
      </c>
      <c r="N66" s="28">
        <f t="shared" si="26"/>
        <v>0</v>
      </c>
      <c r="O66" s="28">
        <v>1</v>
      </c>
      <c r="P66" s="28">
        <f t="shared" si="27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8"/>
      <c r="P67" s="28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5"/>
      <c r="E68" s="25"/>
      <c r="F68" s="25"/>
      <c r="G68" s="25"/>
      <c r="J68" s="22"/>
      <c r="K68" s="22"/>
      <c r="L68" s="23"/>
      <c r="M68" s="25"/>
      <c r="N68" s="25"/>
      <c r="O68" s="31"/>
      <c r="P68" s="31"/>
      <c r="S68" s="22"/>
      <c r="T68" s="22"/>
      <c r="U68" s="23"/>
      <c r="V68" s="25"/>
      <c r="W68" s="25"/>
      <c r="X68" s="25"/>
      <c r="Y68" s="25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8"/>
      <c r="P69" s="28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8"/>
      <c r="P70" s="28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8"/>
      <c r="P71" s="28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8"/>
      <c r="P72" s="28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8"/>
      <c r="P73" s="28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COUNTIFS(E_Suivi_Eans!$C:$C,"06/2022",E_Suivi_Eans!$D:$D,"Eléments d ameublement",E_Suivi_Eans!$J:$J,"Retour OK",E_Suivi_Eans!$K:$K,"&gt;31/12/2021",E_Suivi_Eans!K:K,"&lt;01/07/2022")</f>
        <v>0</v>
      </c>
      <c r="D74" s="21">
        <f t="shared" ref="D74:D79" si="29">F74-C74-E74</f>
        <v>1952</v>
      </c>
      <c r="E74" s="21">
        <f>COUNTIFS(E_Suivi_Eans!$C:$C,"06/2022",E_Suivi_Eans!$D:$D,"Eléments d ameublement",E_Suivi_Eans!$J:$J,"Abandon",E_Suivi_Eans!$K:$K,"&gt;31/12/2021",E_Suivi_Eans!K:K,"&lt;01/07/2022")</f>
        <v>0</v>
      </c>
      <c r="F74" s="21">
        <f>COUNTIFS(E_Suivi_Eans!$C:$C,"06/2022",E_Suivi_Eans!$D:$D,"Eléments d ameublement")</f>
        <v>1952</v>
      </c>
      <c r="G74" s="21">
        <f t="shared" ref="G74:G79" si="30">F74-E74</f>
        <v>1952</v>
      </c>
      <c r="J74" s="20" t="s">
        <v>5319</v>
      </c>
      <c r="K74" s="20" t="s">
        <v>5319</v>
      </c>
      <c r="L74" s="28">
        <f t="shared" ref="L74:N79" si="31">IF($G74=0,0,C74/$G74)</f>
        <v>0</v>
      </c>
      <c r="M74" s="28">
        <f t="shared" ref="M74:M79" si="32">O74-L74-N74</f>
        <v>1</v>
      </c>
      <c r="N74" s="28">
        <f t="shared" si="31"/>
        <v>0</v>
      </c>
      <c r="O74" s="28">
        <v>1</v>
      </c>
      <c r="P74" s="28">
        <f t="shared" ref="P74:P79" si="33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COUNTIFS(E_Suivi_Eans!$C:$C,"06/2022",E_Suivi_Eans!$D:$D,"Eléments d ameublement",E_Suivi_Eans!$J:$J,"Retour OK",E_Suivi_Eans!$K:$K,"&gt;31/12/2021",E_Suivi_Eans!K:K,"&lt;01/08/2022")</f>
        <v>6</v>
      </c>
      <c r="D75" s="21">
        <f t="shared" si="29"/>
        <v>1944</v>
      </c>
      <c r="E75" s="21">
        <f>COUNTIFS(E_Suivi_Eans!$C:$C,"06/2022",E_Suivi_Eans!$D:$D,"Eléments d ameublement",E_Suivi_Eans!$J:$J,"Abandon",E_Suivi_Eans!$K:$K,"&gt;31/12/2021",E_Suivi_Eans!K:K,"&lt;01/08/2022")</f>
        <v>2</v>
      </c>
      <c r="F75" s="21">
        <f>COUNTIFS(E_Suivi_Eans!$C:$C,"06/2022",E_Suivi_Eans!$D:$D,"Eléments d ameublement")</f>
        <v>1952</v>
      </c>
      <c r="G75" s="21">
        <f t="shared" si="30"/>
        <v>1950</v>
      </c>
      <c r="J75" s="20" t="s">
        <v>5319</v>
      </c>
      <c r="K75" s="20" t="s">
        <v>5320</v>
      </c>
      <c r="L75" s="28">
        <f t="shared" si="31"/>
        <v>3.0769230769230769E-3</v>
      </c>
      <c r="M75" s="28">
        <f t="shared" si="32"/>
        <v>0.99589743589743585</v>
      </c>
      <c r="N75" s="28">
        <f t="shared" si="31"/>
        <v>1.0256410256410256E-3</v>
      </c>
      <c r="O75" s="28">
        <v>1</v>
      </c>
      <c r="P75" s="28">
        <f t="shared" si="33"/>
        <v>0.99897435897435893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COUNTIFS(E_Suivi_Eans!$C:$C,"06/2022",E_Suivi_Eans!$D:$D,"Eléments d ameublement",E_Suivi_Eans!$J:$J,"Retour OK",E_Suivi_Eans!$K:$K,"&gt;31/12/2021",E_Suivi_Eans!K:K,"&lt;01/09/2022")</f>
        <v>130</v>
      </c>
      <c r="D76" s="21">
        <f t="shared" si="29"/>
        <v>1810</v>
      </c>
      <c r="E76" s="21">
        <f>COUNTIFS(E_Suivi_Eans!$C:$C,"06/2022",E_Suivi_Eans!$D:$D,"Eléments d ameublement",E_Suivi_Eans!$J:$J,"Abandon",E_Suivi_Eans!$K:$K,"&gt;31/12/2021",E_Suivi_Eans!K:K,"&lt;01/09/2022")</f>
        <v>12</v>
      </c>
      <c r="F76" s="21">
        <f>COUNTIFS(E_Suivi_Eans!$C:$C,"06/2022",E_Suivi_Eans!$D:$D,"Eléments d ameublement")</f>
        <v>1952</v>
      </c>
      <c r="G76" s="21">
        <f t="shared" si="30"/>
        <v>1940</v>
      </c>
      <c r="J76" s="20" t="s">
        <v>5319</v>
      </c>
      <c r="K76" s="20" t="s">
        <v>5321</v>
      </c>
      <c r="L76" s="28">
        <f t="shared" si="31"/>
        <v>6.7010309278350513E-2</v>
      </c>
      <c r="M76" s="28">
        <f t="shared" si="32"/>
        <v>0.92680412371134024</v>
      </c>
      <c r="N76" s="28">
        <f t="shared" si="31"/>
        <v>6.1855670103092781E-3</v>
      </c>
      <c r="O76" s="28">
        <v>1</v>
      </c>
      <c r="P76" s="28">
        <f t="shared" si="33"/>
        <v>0.99381443298969074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COUNTIFS(E_Suivi_Eans!$C:$C,"06/2022",E_Suivi_Eans!$D:$D,"Eléments d ameublement",E_Suivi_Eans!$J:$J,"Retour OK",E_Suivi_Eans!$K:$K,"&gt;31/12/2021",E_Suivi_Eans!K:K,"&lt;01/10/2022")</f>
        <v>130</v>
      </c>
      <c r="D77" s="21">
        <f t="shared" si="29"/>
        <v>1191</v>
      </c>
      <c r="E77" s="21">
        <f>COUNTIFS(E_Suivi_Eans!$C:$C,"06/2022",E_Suivi_Eans!$D:$D,"Eléments d ameublement",E_Suivi_Eans!$J:$J,"Abandon",E_Suivi_Eans!$K:$K,"&gt;31/12/2021",E_Suivi_Eans!K:K,"&lt;01/10/2022")</f>
        <v>631</v>
      </c>
      <c r="F77" s="21">
        <f>COUNTIFS(E_Suivi_Eans!$C:$C,"06/2022",E_Suivi_Eans!$D:$D,"Eléments d ameublement")</f>
        <v>1952</v>
      </c>
      <c r="G77" s="21">
        <f t="shared" si="30"/>
        <v>1321</v>
      </c>
      <c r="J77" s="20" t="s">
        <v>5319</v>
      </c>
      <c r="K77" s="20" t="s">
        <v>5325</v>
      </c>
      <c r="L77" s="28">
        <f t="shared" si="31"/>
        <v>9.8410295230885694E-2</v>
      </c>
      <c r="M77" s="28">
        <f t="shared" si="32"/>
        <v>0.42392127176381522</v>
      </c>
      <c r="N77" s="28">
        <f t="shared" si="31"/>
        <v>0.47766843300529904</v>
      </c>
      <c r="O77" s="28">
        <v>1</v>
      </c>
      <c r="P77" s="28">
        <f t="shared" si="33"/>
        <v>0.52233156699470096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COUNTIFS(E_Suivi_Eans!$C:$C,"06/2022",E_Suivi_Eans!$D:$D,"Eléments d ameublement",E_Suivi_Eans!$J:$J,"Retour OK",E_Suivi_Eans!$K:$K,"&gt;31/12/2021",E_Suivi_Eans!K:K,"&lt;01/11/2022")</f>
        <v>555</v>
      </c>
      <c r="D78" s="21">
        <f t="shared" si="29"/>
        <v>735</v>
      </c>
      <c r="E78" s="21">
        <f>COUNTIFS(E_Suivi_Eans!$C:$C,"06/2022",E_Suivi_Eans!$D:$D,"Eléments d ameublement",E_Suivi_Eans!$J:$J,"Abandon",E_Suivi_Eans!$K:$K,"&gt;31/12/2021",E_Suivi_Eans!K:K,"&lt;01/11/2022")</f>
        <v>662</v>
      </c>
      <c r="F78" s="21">
        <f>COUNTIFS(E_Suivi_Eans!$C:$C,"06/2022",E_Suivi_Eans!$D:$D,"Eléments d ameublement")</f>
        <v>1952</v>
      </c>
      <c r="G78" s="21">
        <f t="shared" si="30"/>
        <v>1290</v>
      </c>
      <c r="J78" s="20" t="s">
        <v>5319</v>
      </c>
      <c r="K78" s="20" t="s">
        <v>5326</v>
      </c>
      <c r="L78" s="28">
        <f t="shared" si="31"/>
        <v>0.43023255813953487</v>
      </c>
      <c r="M78" s="28">
        <f t="shared" si="32"/>
        <v>5.6589147286821739E-2</v>
      </c>
      <c r="N78" s="28">
        <f t="shared" si="31"/>
        <v>0.51317829457364339</v>
      </c>
      <c r="O78" s="28">
        <v>1</v>
      </c>
      <c r="P78" s="28">
        <f t="shared" si="33"/>
        <v>0.48682170542635661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COUNTIFS(E_Suivi_Eans!$C:$C,"06/2022",E_Suivi_Eans!$D:$D,"Eléments d ameublement",E_Suivi_Eans!$J:$J,"Retour OK",E_Suivi_Eans!$K:$K,"&gt;31/12/2021",E_Suivi_Eans!K:K,"&lt;01/12/2022")</f>
        <v>638</v>
      </c>
      <c r="D79" s="21">
        <f t="shared" si="29"/>
        <v>652</v>
      </c>
      <c r="E79" s="21">
        <f>COUNTIFS(E_Suivi_Eans!$C:$C,"06/2022",E_Suivi_Eans!$D:$D,"Eléments d ameublement",E_Suivi_Eans!$J:$J,"Abandon",E_Suivi_Eans!$K:$K,"&gt;31/12/2021",E_Suivi_Eans!K:K,"&lt;01/12/2022")</f>
        <v>662</v>
      </c>
      <c r="F79" s="21">
        <f>COUNTIFS(E_Suivi_Eans!$C:$C,"06/2022",E_Suivi_Eans!$D:$D,"Eléments d ameublement")</f>
        <v>1952</v>
      </c>
      <c r="G79" s="21">
        <f t="shared" si="30"/>
        <v>1290</v>
      </c>
      <c r="J79" s="20" t="s">
        <v>5319</v>
      </c>
      <c r="K79" s="20" t="s">
        <v>5327</v>
      </c>
      <c r="L79" s="28">
        <f t="shared" si="31"/>
        <v>0.49457364341085269</v>
      </c>
      <c r="M79" s="28">
        <f t="shared" si="32"/>
        <v>-7.7519379844961378E-3</v>
      </c>
      <c r="N79" s="28">
        <f t="shared" si="31"/>
        <v>0.51317829457364339</v>
      </c>
      <c r="O79" s="28">
        <v>1</v>
      </c>
      <c r="P79" s="28">
        <f t="shared" si="33"/>
        <v>0.48682170542635661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8"/>
      <c r="P80" s="28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5"/>
      <c r="E81" s="25"/>
      <c r="F81" s="25"/>
      <c r="G81" s="25"/>
      <c r="J81" s="22"/>
      <c r="K81" s="22"/>
      <c r="L81" s="23"/>
      <c r="M81" s="25"/>
      <c r="N81" s="25"/>
      <c r="O81" s="31"/>
      <c r="P81" s="31"/>
      <c r="S81" s="22"/>
      <c r="T81" s="22"/>
      <c r="U81" s="23"/>
      <c r="V81" s="25"/>
      <c r="W81" s="25"/>
      <c r="X81" s="25"/>
      <c r="Y81" s="25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8"/>
      <c r="P82" s="28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8"/>
      <c r="P83" s="28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8"/>
      <c r="P84" s="28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8"/>
      <c r="P85" s="28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8"/>
      <c r="P86" s="28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8"/>
      <c r="P87" s="28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COUNTIFS(E_Suivi_Eans!$C:$C,"07/2022",E_Suivi_Eans!$D:$D,"Eléments d ameublement",E_Suivi_Eans!$J:$J,"Retour OK",E_Suivi_Eans!$K:$K,"&gt;31/12/2021",E_Suivi_Eans!K:K,"&lt;01/08/2022")</f>
        <v>4</v>
      </c>
      <c r="D88" s="21">
        <f t="shared" ref="D88:D92" si="34">F88-C88-E88</f>
        <v>20</v>
      </c>
      <c r="E88" s="21">
        <f>COUNTIFS(E_Suivi_Eans!$C:$C,"07/2022",E_Suivi_Eans!$D:$D,"Eléments d ameublement",E_Suivi_Eans!$J:$J,"Abandon",E_Suivi_Eans!$K:$K,"&gt;31/12/2021",E_Suivi_Eans!K:K,"&lt;01/08/2022")</f>
        <v>0</v>
      </c>
      <c r="F88" s="21">
        <f>COUNTIFS(E_Suivi_Eans!$C:$C,"07/2022",E_Suivi_Eans!$D:$D,"Eléments d ameublement")</f>
        <v>24</v>
      </c>
      <c r="G88" s="21">
        <f>F88-E88</f>
        <v>24</v>
      </c>
      <c r="J88" s="20" t="s">
        <v>5320</v>
      </c>
      <c r="K88" s="20" t="s">
        <v>5320</v>
      </c>
      <c r="L88" s="28">
        <f t="shared" ref="L88:N92" si="35">IF($G88=0,0,C88/$G88)</f>
        <v>0.16666666666666666</v>
      </c>
      <c r="M88" s="28">
        <f t="shared" ref="M88:M92" si="36">O88-L88-N88</f>
        <v>0.83333333333333337</v>
      </c>
      <c r="N88" s="28">
        <f t="shared" si="35"/>
        <v>0</v>
      </c>
      <c r="O88" s="28">
        <v>1</v>
      </c>
      <c r="P88" s="28">
        <f t="shared" ref="P88:P92" si="37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COUNTIFS(E_Suivi_Eans!$C:$C,"07/2022",E_Suivi_Eans!$D:$D,"Eléments d ameublement",E_Suivi_Eans!$J:$J,"Retour OK",E_Suivi_Eans!$K:$K,"&gt;31/12/2021",E_Suivi_Eans!K:K,"&lt;01/09/2022")</f>
        <v>5</v>
      </c>
      <c r="D89" s="21">
        <f t="shared" si="34"/>
        <v>19</v>
      </c>
      <c r="E89" s="21">
        <f>COUNTIFS(E_Suivi_Eans!$C:$C,"07/2022",E_Suivi_Eans!$D:$D,"Eléments d ameublement",E_Suivi_Eans!$J:$J,"Abandon",E_Suivi_Eans!$K:$K,"&gt;31/12/2021",E_Suivi_Eans!K:K,"&lt;01/09/2022")</f>
        <v>0</v>
      </c>
      <c r="F89" s="21">
        <f>COUNTIFS(E_Suivi_Eans!$C:$C,"07/2022",E_Suivi_Eans!$D:$D,"Eléments d ameublement")</f>
        <v>24</v>
      </c>
      <c r="G89" s="21">
        <f t="shared" ref="G89:G92" si="38">F89-E89</f>
        <v>24</v>
      </c>
      <c r="J89" s="20" t="s">
        <v>5320</v>
      </c>
      <c r="K89" s="20" t="s">
        <v>5321</v>
      </c>
      <c r="L89" s="28">
        <f t="shared" si="35"/>
        <v>0.20833333333333334</v>
      </c>
      <c r="M89" s="28">
        <f t="shared" si="36"/>
        <v>0.79166666666666663</v>
      </c>
      <c r="N89" s="28">
        <f t="shared" si="35"/>
        <v>0</v>
      </c>
      <c r="O89" s="28">
        <v>1</v>
      </c>
      <c r="P89" s="28">
        <f t="shared" si="37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COUNTIFS(E_Suivi_Eans!$C:$C,"07/2022",E_Suivi_Eans!$D:$D,"Eléments d ameublement",E_Suivi_Eans!$J:$J,"Retour OK",E_Suivi_Eans!$K:$K,"&gt;31/12/2021",E_Suivi_Eans!K:K,"&lt;01/10/2022")</f>
        <v>5</v>
      </c>
      <c r="D90" s="21">
        <f t="shared" si="34"/>
        <v>19</v>
      </c>
      <c r="E90" s="21">
        <f>COUNTIFS(E_Suivi_Eans!$C:$C,"07/2022",E_Suivi_Eans!$D:$D,"Eléments d ameublement",E_Suivi_Eans!$J:$J,"Abandon",E_Suivi_Eans!$K:$K,"&gt;31/12/2021",E_Suivi_Eans!K:K,"&lt;01/10/2022")</f>
        <v>0</v>
      </c>
      <c r="F90" s="21">
        <f>COUNTIFS(E_Suivi_Eans!$C:$C,"07/2022",E_Suivi_Eans!$D:$D,"Eléments d ameublement")</f>
        <v>24</v>
      </c>
      <c r="G90" s="21">
        <f t="shared" si="38"/>
        <v>24</v>
      </c>
      <c r="J90" s="20" t="s">
        <v>5320</v>
      </c>
      <c r="K90" s="20" t="s">
        <v>5325</v>
      </c>
      <c r="L90" s="28">
        <f t="shared" si="35"/>
        <v>0.20833333333333334</v>
      </c>
      <c r="M90" s="28">
        <f t="shared" si="36"/>
        <v>0.79166666666666663</v>
      </c>
      <c r="N90" s="28">
        <f t="shared" si="35"/>
        <v>0</v>
      </c>
      <c r="O90" s="28">
        <v>1</v>
      </c>
      <c r="P90" s="28">
        <f t="shared" si="37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COUNTIFS(E_Suivi_Eans!$C:$C,"07/2022",E_Suivi_Eans!$D:$D,"Eléments d ameublement",E_Suivi_Eans!$J:$J,"Retour OK",E_Suivi_Eans!$K:$K,"&gt;31/12/2021",E_Suivi_Eans!K:K,"&lt;01/11/2022")</f>
        <v>5</v>
      </c>
      <c r="D91" s="21">
        <f t="shared" si="34"/>
        <v>18</v>
      </c>
      <c r="E91" s="21">
        <f>COUNTIFS(E_Suivi_Eans!$C:$C,"07/2022",E_Suivi_Eans!$D:$D,"Eléments d ameublement",E_Suivi_Eans!$J:$J,"Abandon",E_Suivi_Eans!$K:$K,"&gt;31/12/2021",E_Suivi_Eans!K:K,"&lt;01/11/2022")</f>
        <v>1</v>
      </c>
      <c r="F91" s="21">
        <f>COUNTIFS(E_Suivi_Eans!$C:$C,"07/2022",E_Suivi_Eans!$D:$D,"Eléments d ameublement")</f>
        <v>24</v>
      </c>
      <c r="G91" s="21">
        <f t="shared" si="38"/>
        <v>23</v>
      </c>
      <c r="J91" s="20" t="s">
        <v>5320</v>
      </c>
      <c r="K91" s="20" t="s">
        <v>5326</v>
      </c>
      <c r="L91" s="28">
        <f t="shared" si="35"/>
        <v>0.21739130434782608</v>
      </c>
      <c r="M91" s="28">
        <f t="shared" si="36"/>
        <v>0.73913043478260876</v>
      </c>
      <c r="N91" s="28">
        <f t="shared" si="35"/>
        <v>4.3478260869565216E-2</v>
      </c>
      <c r="O91" s="28">
        <v>1</v>
      </c>
      <c r="P91" s="28">
        <f t="shared" si="37"/>
        <v>0.95652173913043481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COUNTIFS(E_Suivi_Eans!$C:$C,"07/2022",E_Suivi_Eans!$D:$D,"Eléments d ameublement",E_Suivi_Eans!$J:$J,"Retour OK",E_Suivi_Eans!$K:$K,"&gt;31/12/2021",E_Suivi_Eans!K:K,"&lt;01/12/2022")</f>
        <v>5</v>
      </c>
      <c r="D92" s="21">
        <f t="shared" si="34"/>
        <v>18</v>
      </c>
      <c r="E92" s="21">
        <f>COUNTIFS(E_Suivi_Eans!$C:$C,"07/2022",E_Suivi_Eans!$D:$D,"Eléments d ameublement",E_Suivi_Eans!$J:$J,"Abandon",E_Suivi_Eans!$K:$K,"&gt;31/12/2021",E_Suivi_Eans!K:K,"&lt;01/12/2022")</f>
        <v>1</v>
      </c>
      <c r="F92" s="21">
        <f>COUNTIFS(E_Suivi_Eans!$C:$C,"07/2022",E_Suivi_Eans!$D:$D,"Eléments d ameublement")</f>
        <v>24</v>
      </c>
      <c r="G92" s="21">
        <f t="shared" si="38"/>
        <v>23</v>
      </c>
      <c r="J92" s="20" t="s">
        <v>5320</v>
      </c>
      <c r="K92" s="20" t="s">
        <v>5327</v>
      </c>
      <c r="L92" s="28">
        <f t="shared" si="35"/>
        <v>0.21739130434782608</v>
      </c>
      <c r="M92" s="28">
        <f t="shared" si="36"/>
        <v>0.73913043478260876</v>
      </c>
      <c r="N92" s="28">
        <f t="shared" si="35"/>
        <v>4.3478260869565216E-2</v>
      </c>
      <c r="O92" s="28">
        <v>1</v>
      </c>
      <c r="P92" s="28">
        <f t="shared" si="37"/>
        <v>0.95652173913043481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8"/>
      <c r="P93" s="28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5"/>
      <c r="E94" s="25"/>
      <c r="F94" s="25"/>
      <c r="G94" s="25"/>
      <c r="J94" s="22"/>
      <c r="K94" s="22"/>
      <c r="L94" s="23"/>
      <c r="M94" s="25"/>
      <c r="N94" s="25"/>
      <c r="O94" s="31"/>
      <c r="P94" s="31"/>
      <c r="S94" s="22"/>
      <c r="T94" s="22"/>
      <c r="U94" s="23"/>
      <c r="V94" s="25"/>
      <c r="W94" s="25"/>
      <c r="X94" s="25"/>
      <c r="Y94" s="25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8"/>
      <c r="P95" s="28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8"/>
      <c r="P96" s="28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8"/>
      <c r="P97" s="28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8"/>
      <c r="P98" s="28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8"/>
      <c r="P99" s="28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8"/>
      <c r="P100" s="28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8"/>
      <c r="P101" s="28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COUNTIFS(E_Suivi_Eans!$C:$C,"08/2022",E_Suivi_Eans!$D:$D,"Eléments d ameublement",E_Suivi_Eans!$J:$J,"Retour OK",E_Suivi_Eans!$K:$K,"&gt;31/12/2021",E_Suivi_Eans!K:K,"&lt;01/09/2022")</f>
        <v>0</v>
      </c>
      <c r="D102" s="21">
        <f t="shared" ref="D102:D105" si="39">F102-C102-E102</f>
        <v>36</v>
      </c>
      <c r="E102" s="21">
        <f>COUNTIFS(E_Suivi_Eans!$C:$C,"08/2022",E_Suivi_Eans!$D:$D,"Eléments d ameublement",E_Suivi_Eans!$J:$J,"Abandon",E_Suivi_Eans!$K:$K,"&gt;31/12/2021",E_Suivi_Eans!K:K,"&lt;01/09/2022")</f>
        <v>0</v>
      </c>
      <c r="F102" s="21">
        <f>COUNTIFS(E_Suivi_Eans!$C:$C,"08/2022",E_Suivi_Eans!$D:$D,"Eléments d ameublement")</f>
        <v>36</v>
      </c>
      <c r="G102" s="21">
        <f>F102-E102</f>
        <v>36</v>
      </c>
      <c r="J102" s="20" t="s">
        <v>5321</v>
      </c>
      <c r="K102" s="20" t="s">
        <v>5321</v>
      </c>
      <c r="L102" s="28">
        <f t="shared" ref="L102:N105" si="40">IF($G102=0,0,C102/$G102)</f>
        <v>0</v>
      </c>
      <c r="M102" s="28">
        <f t="shared" ref="M102:M105" si="41">O102-L102-N102</f>
        <v>1</v>
      </c>
      <c r="N102" s="28">
        <f t="shared" si="40"/>
        <v>0</v>
      </c>
      <c r="O102" s="28">
        <v>1</v>
      </c>
      <c r="P102" s="28">
        <f t="shared" ref="P102:P105" si="42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COUNTIFS(E_Suivi_Eans!$C:$C,"08/2022",E_Suivi_Eans!$D:$D,"Eléments d ameublement",E_Suivi_Eans!$J:$J,"Retour OK",E_Suivi_Eans!$K:$K,"&gt;31/12/2021",E_Suivi_Eans!K:K,"&lt;01/10/2022")</f>
        <v>0</v>
      </c>
      <c r="D103" s="21">
        <f t="shared" si="39"/>
        <v>36</v>
      </c>
      <c r="E103" s="21">
        <f>COUNTIFS(E_Suivi_Eans!$C:$C,"08/2022",E_Suivi_Eans!$D:$D,"Eléments d ameublement",E_Suivi_Eans!$J:$J,"Abandon",E_Suivi_Eans!$K:$K,"&gt;31/12/2021",E_Suivi_Eans!K:K,"&lt;01/10/2022")</f>
        <v>0</v>
      </c>
      <c r="F103" s="21">
        <f>COUNTIFS(E_Suivi_Eans!$C:$C,"08/2022",E_Suivi_Eans!$D:$D,"Eléments d ameublement")</f>
        <v>36</v>
      </c>
      <c r="G103" s="21">
        <f t="shared" ref="G103:G105" si="43">F103-E103</f>
        <v>36</v>
      </c>
      <c r="J103" s="20" t="s">
        <v>5321</v>
      </c>
      <c r="K103" s="20" t="s">
        <v>5325</v>
      </c>
      <c r="L103" s="28">
        <f t="shared" si="40"/>
        <v>0</v>
      </c>
      <c r="M103" s="28">
        <f t="shared" si="41"/>
        <v>1</v>
      </c>
      <c r="N103" s="28">
        <f t="shared" si="40"/>
        <v>0</v>
      </c>
      <c r="O103" s="28">
        <v>1</v>
      </c>
      <c r="P103" s="28">
        <f t="shared" si="42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COUNTIFS(E_Suivi_Eans!$C:$C,"08/2022",E_Suivi_Eans!$D:$D,"Eléments d ameublement",E_Suivi_Eans!$J:$J,"Retour OK",E_Suivi_Eans!$K:$K,"&gt;31/12/2021",E_Suivi_Eans!K:K,"&lt;01/11/2022")</f>
        <v>1</v>
      </c>
      <c r="D104" s="21">
        <f t="shared" si="39"/>
        <v>35</v>
      </c>
      <c r="E104" s="21">
        <f>COUNTIFS(E_Suivi_Eans!$C:$C,"08/2022",E_Suivi_Eans!$D:$D,"Eléments d ameublement",E_Suivi_Eans!$J:$J,"Abandon",E_Suivi_Eans!$K:$K,"&gt;31/12/2021",E_Suivi_Eans!K:K,"&lt;01/11/2022")</f>
        <v>0</v>
      </c>
      <c r="F104" s="21">
        <f>COUNTIFS(E_Suivi_Eans!$C:$C,"08/2022",E_Suivi_Eans!$D:$D,"Eléments d ameublement")</f>
        <v>36</v>
      </c>
      <c r="G104" s="21">
        <f t="shared" si="43"/>
        <v>36</v>
      </c>
      <c r="J104" s="20" t="s">
        <v>5321</v>
      </c>
      <c r="K104" s="20" t="s">
        <v>5326</v>
      </c>
      <c r="L104" s="28">
        <f t="shared" si="40"/>
        <v>2.7777777777777776E-2</v>
      </c>
      <c r="M104" s="28">
        <f t="shared" si="41"/>
        <v>0.97222222222222221</v>
      </c>
      <c r="N104" s="28">
        <f t="shared" si="40"/>
        <v>0</v>
      </c>
      <c r="O104" s="28">
        <v>1</v>
      </c>
      <c r="P104" s="28">
        <f t="shared" si="42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COUNTIFS(E_Suivi_Eans!$C:$C,"08/2022",E_Suivi_Eans!$D:$D,"Eléments d ameublement",E_Suivi_Eans!$J:$J,"Retour OK",E_Suivi_Eans!$K:$K,"&gt;31/12/2021",E_Suivi_Eans!K:K,"&lt;01/12/2022")</f>
        <v>21</v>
      </c>
      <c r="D105" s="21">
        <f t="shared" si="39"/>
        <v>15</v>
      </c>
      <c r="E105" s="21">
        <f>COUNTIFS(E_Suivi_Eans!$C:$C,"08/2022",E_Suivi_Eans!$D:$D,"Eléments d ameublement",E_Suivi_Eans!$J:$J,"Abandon",E_Suivi_Eans!$K:$K,"&gt;31/12/2021",E_Suivi_Eans!K:K,"&lt;01/12/2022")</f>
        <v>0</v>
      </c>
      <c r="F105" s="21">
        <f>COUNTIFS(E_Suivi_Eans!$C:$C,"08/2022",E_Suivi_Eans!$D:$D,"Eléments d ameublement")</f>
        <v>36</v>
      </c>
      <c r="G105" s="21">
        <f t="shared" si="43"/>
        <v>36</v>
      </c>
      <c r="J105" s="20" t="s">
        <v>5321</v>
      </c>
      <c r="K105" s="20" t="s">
        <v>5327</v>
      </c>
      <c r="L105" s="28">
        <f t="shared" si="40"/>
        <v>0.58333333333333337</v>
      </c>
      <c r="M105" s="28">
        <f t="shared" si="41"/>
        <v>0.41666666666666663</v>
      </c>
      <c r="N105" s="28">
        <f t="shared" si="40"/>
        <v>0</v>
      </c>
      <c r="O105" s="28">
        <v>1</v>
      </c>
      <c r="P105" s="28">
        <f t="shared" si="42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8"/>
      <c r="P106" s="28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5"/>
      <c r="E107" s="25"/>
      <c r="F107" s="25"/>
      <c r="G107" s="25"/>
      <c r="J107" s="22"/>
      <c r="K107" s="22"/>
      <c r="L107" s="23"/>
      <c r="M107" s="25"/>
      <c r="N107" s="25"/>
      <c r="O107" s="31"/>
      <c r="P107" s="31"/>
      <c r="S107" s="22"/>
      <c r="T107" s="22"/>
      <c r="U107" s="23"/>
      <c r="V107" s="25"/>
      <c r="W107" s="25"/>
      <c r="X107" s="25"/>
      <c r="Y107" s="25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8"/>
      <c r="P108" s="28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8"/>
      <c r="P109" s="28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8"/>
      <c r="P110" s="28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8"/>
      <c r="P111" s="28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8"/>
      <c r="P112" s="28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8"/>
      <c r="P113" s="28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8"/>
      <c r="P114" s="28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8"/>
      <c r="P115" s="28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COUNTIFS(E_Suivi_Eans!$C:$C,"09/2022",E_Suivi_Eans!$D:$D,"Eléments d ameublement",E_Suivi_Eans!$J:$J,"Retour OK",E_Suivi_Eans!$K:$K,"&gt;31/12/2021",E_Suivi_Eans!K:K,"&lt;01/10/2022")</f>
        <v>0</v>
      </c>
      <c r="D116" s="21">
        <f t="shared" ref="D116:D118" si="44">F116-C116-E116</f>
        <v>22</v>
      </c>
      <c r="E116" s="21">
        <f>COUNTIFS(E_Suivi_Eans!$C:$C,"09/2022",E_Suivi_Eans!$D:$D,"Eléments d ameublement",E_Suivi_Eans!$J:$J,"Abandon",E_Suivi_Eans!$K:$K,"&gt;31/12/2021",E_Suivi_Eans!K:K,"&lt;01/10/2022")</f>
        <v>0</v>
      </c>
      <c r="F116" s="21">
        <f>COUNTIFS(E_Suivi_Eans!$C:$C,"09/2022",E_Suivi_Eans!$D:$D,"Eléments d ameublement")</f>
        <v>22</v>
      </c>
      <c r="G116" s="21">
        <f t="shared" ref="G116:G118" si="45">F116-E116</f>
        <v>22</v>
      </c>
      <c r="J116" s="20" t="s">
        <v>5325</v>
      </c>
      <c r="K116" s="20" t="s">
        <v>5325</v>
      </c>
      <c r="L116" s="28">
        <f t="shared" ref="L116:N118" si="46">IF($G116=0,0,C116/$G116)</f>
        <v>0</v>
      </c>
      <c r="M116" s="28">
        <f t="shared" ref="M116:M118" si="47">O116-L116-N116</f>
        <v>1</v>
      </c>
      <c r="N116" s="28">
        <f t="shared" si="46"/>
        <v>0</v>
      </c>
      <c r="O116" s="28">
        <v>1</v>
      </c>
      <c r="P116" s="28">
        <f t="shared" ref="P116:P118" si="48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COUNTIFS(E_Suivi_Eans!$C:$C,"09/2022",E_Suivi_Eans!$D:$D,"Eléments d ameublement",E_Suivi_Eans!$J:$J,"Retour OK",E_Suivi_Eans!$K:$K,"&gt;31/12/2021",E_Suivi_Eans!K:K,"&lt;01/11/2022")</f>
        <v>4</v>
      </c>
      <c r="D117" s="21">
        <f t="shared" si="44"/>
        <v>18</v>
      </c>
      <c r="E117" s="21">
        <f>COUNTIFS(E_Suivi_Eans!$C:$C,"09/2022",E_Suivi_Eans!$D:$D,"Eléments d ameublement",E_Suivi_Eans!$J:$J,"Abandon",E_Suivi_Eans!$K:$K,"&gt;31/12/2021",E_Suivi_Eans!K:K,"&lt;01/11/2022")</f>
        <v>0</v>
      </c>
      <c r="F117" s="21">
        <f>COUNTIFS(E_Suivi_Eans!$C:$C,"09/2022",E_Suivi_Eans!$D:$D,"Eléments d ameublement")</f>
        <v>22</v>
      </c>
      <c r="G117" s="21">
        <f t="shared" si="45"/>
        <v>22</v>
      </c>
      <c r="J117" s="20" t="s">
        <v>5325</v>
      </c>
      <c r="K117" s="20" t="s">
        <v>5326</v>
      </c>
      <c r="L117" s="28">
        <f t="shared" si="46"/>
        <v>0.18181818181818182</v>
      </c>
      <c r="M117" s="28">
        <f t="shared" si="47"/>
        <v>0.81818181818181812</v>
      </c>
      <c r="N117" s="28">
        <f t="shared" si="46"/>
        <v>0</v>
      </c>
      <c r="O117" s="28">
        <v>1</v>
      </c>
      <c r="P117" s="28">
        <f t="shared" si="48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COUNTIFS(E_Suivi_Eans!$C:$C,"09/2022",E_Suivi_Eans!$D:$D,"Eléments d ameublement",E_Suivi_Eans!$J:$J,"Retour OK",E_Suivi_Eans!$K:$K,"&gt;31/12/2021",E_Suivi_Eans!K:K,"&lt;01/12/2022")</f>
        <v>4</v>
      </c>
      <c r="D118" s="21">
        <f t="shared" si="44"/>
        <v>18</v>
      </c>
      <c r="E118" s="21">
        <f>COUNTIFS(E_Suivi_Eans!$C:$C,"09/2022",E_Suivi_Eans!$D:$D,"Eléments d ameublement",E_Suivi_Eans!$J:$J,"Abandon",E_Suivi_Eans!$K:$K,"&gt;31/12/2021",E_Suivi_Eans!K:K,"&lt;01/12/2022")</f>
        <v>0</v>
      </c>
      <c r="F118" s="21">
        <f>COUNTIFS(E_Suivi_Eans!$C:$C,"09/2022",E_Suivi_Eans!$D:$D,"Eléments d ameublement")</f>
        <v>22</v>
      </c>
      <c r="G118" s="21">
        <f t="shared" si="45"/>
        <v>22</v>
      </c>
      <c r="J118" s="20" t="s">
        <v>5325</v>
      </c>
      <c r="K118" s="20" t="s">
        <v>5327</v>
      </c>
      <c r="L118" s="28">
        <f t="shared" si="46"/>
        <v>0.18181818181818182</v>
      </c>
      <c r="M118" s="28">
        <f t="shared" si="47"/>
        <v>0.81818181818181812</v>
      </c>
      <c r="N118" s="28">
        <f t="shared" si="46"/>
        <v>0</v>
      </c>
      <c r="O118" s="28">
        <v>1</v>
      </c>
      <c r="P118" s="28">
        <f t="shared" si="48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8"/>
      <c r="P119" s="28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5"/>
      <c r="E120" s="25"/>
      <c r="F120" s="25"/>
      <c r="G120" s="25"/>
      <c r="J120" s="22"/>
      <c r="K120" s="22"/>
      <c r="L120" s="23"/>
      <c r="M120" s="25"/>
      <c r="N120" s="25"/>
      <c r="O120" s="31"/>
      <c r="P120" s="31"/>
      <c r="S120" s="22"/>
      <c r="T120" s="22"/>
      <c r="U120" s="23"/>
      <c r="V120" s="25"/>
      <c r="W120" s="25"/>
      <c r="X120" s="25"/>
      <c r="Y120" s="25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8"/>
      <c r="P121" s="28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8"/>
      <c r="P122" s="28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8"/>
      <c r="P123" s="28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8"/>
      <c r="P124" s="28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8"/>
      <c r="P125" s="28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8"/>
      <c r="P126" s="28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8"/>
      <c r="P127" s="28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8"/>
      <c r="P128" s="28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8"/>
      <c r="P129" s="28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COUNTIFS(E_Suivi_Eans!$C:$C,"10/2022",E_Suivi_Eans!$D:$D,"Eléments d ameublement",E_Suivi_Eans!$J:$J,"Retour OK",E_Suivi_Eans!$K:$K,"&gt;31/12/2021",E_Suivi_Eans!K:K,"&lt;01/11/2022")</f>
        <v>0</v>
      </c>
      <c r="D130" s="21">
        <f>F130-C130-E130</f>
        <v>0</v>
      </c>
      <c r="E130" s="21">
        <f>COUNTIFS(E_Suivi_Eans!$C:$C,"10/2022",E_Suivi_Eans!$D:$D,"Eléments d ameublement",E_Suivi_Eans!$J:$J,"Abandon",E_Suivi_Eans!$K:$K,"&gt;31/12/2021",E_Suivi_Eans!K:K,"&lt;01/11/2022")</f>
        <v>0</v>
      </c>
      <c r="F130" s="21">
        <f>COUNTIFS(E_Suivi_Eans!$C:$C,"10/2022",E_Suivi_Eans!$D:$D,"Eléments d ameublement")</f>
        <v>0</v>
      </c>
      <c r="G130" s="21">
        <f>F130-E130</f>
        <v>0</v>
      </c>
      <c r="J130" s="20" t="s">
        <v>5326</v>
      </c>
      <c r="K130" s="20" t="s">
        <v>5326</v>
      </c>
      <c r="L130" s="28">
        <f t="shared" ref="L130:N131" si="49">IF($G130=0,0,C130/$G130)</f>
        <v>0</v>
      </c>
      <c r="M130" s="28">
        <f t="shared" ref="M130:M131" si="50">O130-L130-N130</f>
        <v>1</v>
      </c>
      <c r="N130" s="28">
        <f t="shared" si="49"/>
        <v>0</v>
      </c>
      <c r="O130" s="28">
        <v>1</v>
      </c>
      <c r="P130" s="28">
        <f t="shared" ref="P130:P131" si="51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COUNTIFS(E_Suivi_Eans!$C:$C,"10/2022",E_Suivi_Eans!$D:$D,"Eléments d ameublement",E_Suivi_Eans!$J:$J,"Retour OK",E_Suivi_Eans!$K:$K,"&gt;31/12/2021",E_Suivi_Eans!K:K,"&lt;01/12/2022")</f>
        <v>0</v>
      </c>
      <c r="D131" s="21">
        <f>F131-C131-E131</f>
        <v>0</v>
      </c>
      <c r="E131" s="21">
        <f>COUNTIFS(E_Suivi_Eans!$C:$C,"10/2022",E_Suivi_Eans!$D:$D,"Eléments d ameublement",E_Suivi_Eans!$J:$J,"Abandon",E_Suivi_Eans!$K:$K,"&gt;31/12/2021",E_Suivi_Eans!K:K,"&lt;01/12/2022")</f>
        <v>0</v>
      </c>
      <c r="F131" s="21">
        <f>COUNTIFS(E_Suivi_Eans!$C:$C,"10/2022",E_Suivi_Eans!$D:$D,"Eléments d ameublement")</f>
        <v>0</v>
      </c>
      <c r="G131" s="21">
        <f t="shared" ref="G131" si="52">F131-E131</f>
        <v>0</v>
      </c>
      <c r="J131" s="20" t="s">
        <v>5326</v>
      </c>
      <c r="K131" s="20" t="s">
        <v>5327</v>
      </c>
      <c r="L131" s="28">
        <f t="shared" si="49"/>
        <v>0</v>
      </c>
      <c r="M131" s="28">
        <f t="shared" si="50"/>
        <v>1</v>
      </c>
      <c r="N131" s="28">
        <f t="shared" si="49"/>
        <v>0</v>
      </c>
      <c r="O131" s="28">
        <v>1</v>
      </c>
      <c r="P131" s="28">
        <f t="shared" si="51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8"/>
      <c r="P132" s="28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5"/>
      <c r="E133" s="25"/>
      <c r="F133" s="25"/>
      <c r="G133" s="25"/>
      <c r="J133" s="22"/>
      <c r="K133" s="22"/>
      <c r="L133" s="23"/>
      <c r="M133" s="25"/>
      <c r="N133" s="25"/>
      <c r="O133" s="31"/>
      <c r="P133" s="31"/>
      <c r="S133" s="22"/>
      <c r="T133" s="22"/>
      <c r="U133" s="23"/>
      <c r="V133" s="25"/>
      <c r="W133" s="25"/>
      <c r="X133" s="25"/>
      <c r="Y133" s="25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8"/>
      <c r="P134" s="28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8"/>
      <c r="P135" s="28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8"/>
      <c r="P136" s="28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8"/>
      <c r="P137" s="28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8"/>
      <c r="P138" s="28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8"/>
      <c r="P139" s="28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8"/>
      <c r="P140" s="28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8"/>
      <c r="P141" s="28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8"/>
      <c r="P142" s="28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8"/>
      <c r="P143" s="28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COUNTIFS(E_Suivi_Eans!$C:$C,"11/2022",E_Suivi_Eans!$D:$D,"Eléments d ameublement",E_Suivi_Eans!$J:$J,"Retour OK",E_Suivi_Eans!$K:$K,"&gt;31/12/2021",E_Suivi_Eans!K:K,"&lt;01/12/2022")</f>
        <v>0</v>
      </c>
      <c r="D144" s="21">
        <f>F144-C144-E144</f>
        <v>3</v>
      </c>
      <c r="E144" s="21">
        <f>COUNTIFS(E_Suivi_Eans!$C:$C,"11/2022",E_Suivi_Eans!$D:$D,"Eléments d ameublement",E_Suivi_Eans!$J:$J,"Abandon",E_Suivi_Eans!$K:$K,"&gt;31/12/2021",E_Suivi_Eans!K:K,"&lt;01/12/2022")</f>
        <v>0</v>
      </c>
      <c r="F144" s="21">
        <f>COUNTIFS(E_Suivi_Eans!$C:$C,"11/2022",E_Suivi_Eans!$D:$D,"Eléments d ameublement")</f>
        <v>3</v>
      </c>
      <c r="G144" s="21">
        <f>F144-E144</f>
        <v>3</v>
      </c>
      <c r="J144" s="20" t="s">
        <v>5327</v>
      </c>
      <c r="K144" s="20" t="s">
        <v>5327</v>
      </c>
      <c r="L144" s="28">
        <f>IF($G144=0,0,C144/$G144)</f>
        <v>0</v>
      </c>
      <c r="M144" s="28">
        <f t="shared" ref="M144" si="53">O144-L144-N144</f>
        <v>1</v>
      </c>
      <c r="N144" s="28">
        <f t="shared" ref="N144" si="54">IF($G144=0,0,E144/$G144)</f>
        <v>0</v>
      </c>
      <c r="O144" s="28">
        <v>1</v>
      </c>
      <c r="P144" s="28">
        <f t="shared" ref="P144" si="55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8"/>
      <c r="P145" s="28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5"/>
      <c r="E146" s="25"/>
      <c r="F146" s="25"/>
      <c r="G146" s="25"/>
      <c r="J146" s="22"/>
      <c r="K146" s="22"/>
      <c r="L146" s="23"/>
      <c r="M146" s="25"/>
      <c r="N146" s="25"/>
      <c r="O146" s="31"/>
      <c r="P146" s="31"/>
      <c r="S146" s="22"/>
      <c r="T146" s="22"/>
      <c r="U146" s="23"/>
      <c r="V146" s="25"/>
      <c r="W146" s="25"/>
      <c r="X146" s="25"/>
      <c r="Y146" s="25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8"/>
      <c r="M147" s="28"/>
      <c r="N147" s="28"/>
      <c r="O147" s="28"/>
      <c r="P147" s="28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8"/>
      <c r="P148" s="28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8"/>
      <c r="P149" s="28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8"/>
      <c r="P150" s="28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8"/>
      <c r="P151" s="28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8"/>
      <c r="P152" s="28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8"/>
      <c r="P153" s="28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8"/>
      <c r="P154" s="28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8"/>
      <c r="P155" s="28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8"/>
      <c r="P156" s="28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8"/>
      <c r="P157" s="28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8"/>
      <c r="P158" s="28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5"/>
      <c r="E159" s="25"/>
      <c r="F159" s="25"/>
      <c r="G159" s="25"/>
      <c r="J159" s="22"/>
      <c r="K159" s="22"/>
      <c r="L159" s="23"/>
      <c r="M159" s="25"/>
      <c r="N159" s="25"/>
      <c r="O159" s="31"/>
      <c r="P159" s="31"/>
      <c r="S159" s="22"/>
      <c r="T159" s="22"/>
      <c r="U159" s="23"/>
      <c r="V159" s="25"/>
      <c r="W159" s="25"/>
      <c r="X159" s="25"/>
      <c r="Y159" s="25"/>
    </row>
    <row r="160" spans="1:25">
      <c r="A160" s="27" t="s">
        <v>5396</v>
      </c>
      <c r="B160" s="20" t="s">
        <v>5314</v>
      </c>
      <c r="C160" s="21">
        <f>C4+C17+C30+C43+C56+C69+C82+C95+C108+C121+C134+C147</f>
        <v>0</v>
      </c>
      <c r="D160" s="21">
        <f>F160-C160-E160</f>
        <v>0</v>
      </c>
      <c r="E160" s="21">
        <f t="shared" ref="E160:F160" si="56">E4+E17+E30+E43+E56+E69+E82+E95+E108+E121+E134+E147</f>
        <v>0</v>
      </c>
      <c r="F160" s="21">
        <f t="shared" si="56"/>
        <v>0</v>
      </c>
      <c r="G160" s="21">
        <f t="shared" ref="G160:G170" si="57">F160-E160</f>
        <v>0</v>
      </c>
      <c r="J160" s="27" t="s">
        <v>5396</v>
      </c>
      <c r="K160" s="20" t="s">
        <v>5314</v>
      </c>
      <c r="L160" s="28">
        <f t="shared" ref="L160:N170" si="58">IF($G160=0,0,C160/$G160)</f>
        <v>0</v>
      </c>
      <c r="M160" s="28">
        <f t="shared" ref="M160:M170" si="59">O160-L160-N160</f>
        <v>1</v>
      </c>
      <c r="N160" s="28">
        <f t="shared" si="58"/>
        <v>0</v>
      </c>
      <c r="O160" s="28">
        <v>1</v>
      </c>
      <c r="P160" s="28">
        <f t="shared" ref="P160:P170" si="60">O160-N160</f>
        <v>1</v>
      </c>
      <c r="S160" s="27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7" t="s">
        <v>5396</v>
      </c>
      <c r="B161" s="20" t="s">
        <v>5315</v>
      </c>
      <c r="C161" s="21">
        <f t="shared" ref="C161:F170" si="61">C5+C18+C31+C44+C57+C70+C83+C96+C109+C122+C135+C148</f>
        <v>0</v>
      </c>
      <c r="D161" s="21">
        <f t="shared" ref="D161:D170" si="62">F161-C161-E161</f>
        <v>0</v>
      </c>
      <c r="E161" s="21">
        <f t="shared" si="61"/>
        <v>0</v>
      </c>
      <c r="F161" s="21">
        <f t="shared" si="61"/>
        <v>0</v>
      </c>
      <c r="G161" s="21">
        <f t="shared" si="57"/>
        <v>0</v>
      </c>
      <c r="J161" s="27" t="s">
        <v>5396</v>
      </c>
      <c r="K161" s="20" t="s">
        <v>5315</v>
      </c>
      <c r="L161" s="28">
        <f t="shared" si="58"/>
        <v>0</v>
      </c>
      <c r="M161" s="28">
        <f t="shared" si="59"/>
        <v>1</v>
      </c>
      <c r="N161" s="28">
        <f t="shared" si="58"/>
        <v>0</v>
      </c>
      <c r="O161" s="28">
        <v>1</v>
      </c>
      <c r="P161" s="28">
        <f t="shared" si="60"/>
        <v>1</v>
      </c>
      <c r="S161" s="27" t="s">
        <v>5396</v>
      </c>
      <c r="T161" s="20" t="s">
        <v>5315</v>
      </c>
      <c r="U161" s="21">
        <f t="shared" ref="U161:X170" si="63">U5+U18+U31+U44+U57+U70+U83+U96+U109+U122+U135+U148</f>
        <v>0</v>
      </c>
      <c r="V161" s="21">
        <f t="shared" si="63"/>
        <v>0</v>
      </c>
      <c r="W161" s="21">
        <f t="shared" si="63"/>
        <v>0</v>
      </c>
      <c r="X161" s="21">
        <f t="shared" si="63"/>
        <v>0</v>
      </c>
      <c r="Y161" s="21">
        <f t="shared" ref="Y161:Y170" si="64">X161-W161</f>
        <v>0</v>
      </c>
    </row>
    <row r="162" spans="1:25">
      <c r="A162" s="27" t="s">
        <v>5396</v>
      </c>
      <c r="B162" s="20" t="s">
        <v>5316</v>
      </c>
      <c r="C162" s="21">
        <f t="shared" si="61"/>
        <v>0</v>
      </c>
      <c r="D162" s="21">
        <f t="shared" si="62"/>
        <v>0</v>
      </c>
      <c r="E162" s="21">
        <f t="shared" si="61"/>
        <v>0</v>
      </c>
      <c r="F162" s="21">
        <f t="shared" si="61"/>
        <v>0</v>
      </c>
      <c r="G162" s="21">
        <f t="shared" si="57"/>
        <v>0</v>
      </c>
      <c r="J162" s="27" t="s">
        <v>5396</v>
      </c>
      <c r="K162" s="20" t="s">
        <v>5316</v>
      </c>
      <c r="L162" s="28">
        <f t="shared" si="58"/>
        <v>0</v>
      </c>
      <c r="M162" s="28">
        <f t="shared" si="59"/>
        <v>1</v>
      </c>
      <c r="N162" s="28">
        <f t="shared" si="58"/>
        <v>0</v>
      </c>
      <c r="O162" s="28">
        <v>1</v>
      </c>
      <c r="P162" s="28">
        <f t="shared" si="60"/>
        <v>1</v>
      </c>
      <c r="S162" s="27" t="s">
        <v>5396</v>
      </c>
      <c r="T162" s="20" t="s">
        <v>5316</v>
      </c>
      <c r="U162" s="21">
        <f t="shared" si="63"/>
        <v>0</v>
      </c>
      <c r="V162" s="21">
        <f t="shared" si="63"/>
        <v>0</v>
      </c>
      <c r="W162" s="21">
        <f t="shared" si="63"/>
        <v>0</v>
      </c>
      <c r="X162" s="21">
        <f t="shared" si="63"/>
        <v>0</v>
      </c>
      <c r="Y162" s="21">
        <f t="shared" si="64"/>
        <v>0</v>
      </c>
    </row>
    <row r="163" spans="1:25">
      <c r="A163" s="27" t="s">
        <v>5396</v>
      </c>
      <c r="B163" s="20" t="s">
        <v>5317</v>
      </c>
      <c r="C163" s="21">
        <f t="shared" si="61"/>
        <v>23</v>
      </c>
      <c r="D163" s="21">
        <f t="shared" si="62"/>
        <v>133</v>
      </c>
      <c r="E163" s="21">
        <f t="shared" si="61"/>
        <v>0</v>
      </c>
      <c r="F163" s="21">
        <f t="shared" si="61"/>
        <v>156</v>
      </c>
      <c r="G163" s="21">
        <f t="shared" si="57"/>
        <v>156</v>
      </c>
      <c r="J163" s="27" t="s">
        <v>5396</v>
      </c>
      <c r="K163" s="20" t="s">
        <v>5317</v>
      </c>
      <c r="L163" s="28">
        <f t="shared" si="58"/>
        <v>0.14743589743589744</v>
      </c>
      <c r="M163" s="28">
        <f t="shared" si="59"/>
        <v>0.85256410256410253</v>
      </c>
      <c r="N163" s="28">
        <f t="shared" si="58"/>
        <v>0</v>
      </c>
      <c r="O163" s="28">
        <v>1</v>
      </c>
      <c r="P163" s="28">
        <f>O163-N163</f>
        <v>1</v>
      </c>
      <c r="S163" s="27" t="s">
        <v>5396</v>
      </c>
      <c r="T163" s="20" t="s">
        <v>5317</v>
      </c>
      <c r="U163" s="21">
        <f t="shared" si="63"/>
        <v>0</v>
      </c>
      <c r="V163" s="21">
        <f t="shared" si="63"/>
        <v>0</v>
      </c>
      <c r="W163" s="21">
        <f t="shared" si="63"/>
        <v>0</v>
      </c>
      <c r="X163" s="21">
        <f t="shared" si="63"/>
        <v>0</v>
      </c>
      <c r="Y163" s="21">
        <f t="shared" si="64"/>
        <v>0</v>
      </c>
    </row>
    <row r="164" spans="1:25">
      <c r="A164" s="27" t="s">
        <v>5396</v>
      </c>
      <c r="B164" s="20" t="s">
        <v>5318</v>
      </c>
      <c r="C164" s="21">
        <f t="shared" si="61"/>
        <v>51</v>
      </c>
      <c r="D164" s="21">
        <f t="shared" si="62"/>
        <v>104</v>
      </c>
      <c r="E164" s="21">
        <f t="shared" si="61"/>
        <v>157</v>
      </c>
      <c r="F164" s="21">
        <f t="shared" si="61"/>
        <v>312</v>
      </c>
      <c r="G164" s="21">
        <f t="shared" si="57"/>
        <v>155</v>
      </c>
      <c r="J164" s="27" t="s">
        <v>5396</v>
      </c>
      <c r="K164" s="20" t="s">
        <v>5318</v>
      </c>
      <c r="L164" s="28">
        <f t="shared" si="58"/>
        <v>0.32903225806451614</v>
      </c>
      <c r="M164" s="42">
        <f t="shared" si="59"/>
        <v>-0.34193548387096784</v>
      </c>
      <c r="N164" s="42">
        <f t="shared" si="58"/>
        <v>1.0129032258064516</v>
      </c>
      <c r="O164" s="42">
        <v>1</v>
      </c>
      <c r="P164" s="42">
        <f t="shared" si="60"/>
        <v>-1.2903225806451646E-2</v>
      </c>
      <c r="S164" s="27" t="s">
        <v>5396</v>
      </c>
      <c r="T164" s="20" t="s">
        <v>5318</v>
      </c>
      <c r="U164" s="21">
        <f t="shared" si="63"/>
        <v>0</v>
      </c>
      <c r="V164" s="21">
        <f t="shared" si="63"/>
        <v>0</v>
      </c>
      <c r="W164" s="21">
        <f t="shared" si="63"/>
        <v>0</v>
      </c>
      <c r="X164" s="21">
        <f t="shared" si="63"/>
        <v>0</v>
      </c>
      <c r="Y164" s="21">
        <f t="shared" si="64"/>
        <v>0</v>
      </c>
    </row>
    <row r="165" spans="1:25">
      <c r="A165" s="27" t="s">
        <v>5396</v>
      </c>
      <c r="B165" s="20" t="s">
        <v>5319</v>
      </c>
      <c r="C165" s="21">
        <f t="shared" si="61"/>
        <v>51</v>
      </c>
      <c r="D165" s="21">
        <f t="shared" si="62"/>
        <v>2054</v>
      </c>
      <c r="E165" s="21">
        <f t="shared" si="61"/>
        <v>159</v>
      </c>
      <c r="F165" s="21">
        <f t="shared" si="61"/>
        <v>2264</v>
      </c>
      <c r="G165" s="21">
        <f t="shared" si="57"/>
        <v>2105</v>
      </c>
      <c r="I165" s="33"/>
      <c r="J165" s="27" t="s">
        <v>5396</v>
      </c>
      <c r="K165" s="20" t="s">
        <v>5319</v>
      </c>
      <c r="L165" s="28">
        <f t="shared" si="58"/>
        <v>2.4228028503562947E-2</v>
      </c>
      <c r="M165" s="28">
        <f t="shared" si="59"/>
        <v>0.9002375296912114</v>
      </c>
      <c r="N165" s="28">
        <f t="shared" si="58"/>
        <v>7.5534441805225658E-2</v>
      </c>
      <c r="O165" s="28">
        <v>1</v>
      </c>
      <c r="P165" s="28">
        <f t="shared" si="60"/>
        <v>0.92446555819477438</v>
      </c>
      <c r="S165" s="27" t="s">
        <v>5396</v>
      </c>
      <c r="T165" s="20" t="s">
        <v>5319</v>
      </c>
      <c r="U165" s="21">
        <f t="shared" si="63"/>
        <v>0</v>
      </c>
      <c r="V165" s="21">
        <f t="shared" si="63"/>
        <v>0</v>
      </c>
      <c r="W165" s="21">
        <f t="shared" si="63"/>
        <v>0</v>
      </c>
      <c r="X165" s="21">
        <f t="shared" si="63"/>
        <v>0</v>
      </c>
      <c r="Y165" s="21">
        <f t="shared" si="64"/>
        <v>0</v>
      </c>
    </row>
    <row r="166" spans="1:25">
      <c r="A166" s="27" t="s">
        <v>5396</v>
      </c>
      <c r="B166" s="20" t="s">
        <v>5320</v>
      </c>
      <c r="C166" s="21">
        <f t="shared" si="61"/>
        <v>61</v>
      </c>
      <c r="D166" s="21">
        <f t="shared" si="62"/>
        <v>2027</v>
      </c>
      <c r="E166" s="21">
        <f t="shared" si="61"/>
        <v>200</v>
      </c>
      <c r="F166" s="21">
        <f t="shared" si="61"/>
        <v>2288</v>
      </c>
      <c r="G166" s="21">
        <f t="shared" si="57"/>
        <v>2088</v>
      </c>
      <c r="J166" s="27" t="s">
        <v>5396</v>
      </c>
      <c r="K166" s="20" t="s">
        <v>5320</v>
      </c>
      <c r="L166" s="28">
        <f t="shared" si="58"/>
        <v>2.921455938697318E-2</v>
      </c>
      <c r="M166" s="28">
        <f t="shared" si="59"/>
        <v>0.875</v>
      </c>
      <c r="N166" s="28">
        <f t="shared" si="58"/>
        <v>9.5785440613026823E-2</v>
      </c>
      <c r="O166" s="28">
        <v>1</v>
      </c>
      <c r="P166" s="28">
        <f t="shared" si="60"/>
        <v>0.90421455938697315</v>
      </c>
      <c r="S166" s="27" t="s">
        <v>5396</v>
      </c>
      <c r="T166" s="20" t="s">
        <v>5320</v>
      </c>
      <c r="U166" s="21">
        <f t="shared" si="63"/>
        <v>0</v>
      </c>
      <c r="V166" s="21">
        <f t="shared" si="63"/>
        <v>0</v>
      </c>
      <c r="W166" s="21">
        <f t="shared" si="63"/>
        <v>0</v>
      </c>
      <c r="X166" s="21">
        <f t="shared" si="63"/>
        <v>0</v>
      </c>
      <c r="Y166" s="21">
        <f t="shared" si="64"/>
        <v>0</v>
      </c>
    </row>
    <row r="167" spans="1:25">
      <c r="A167" s="27" t="s">
        <v>5396</v>
      </c>
      <c r="B167" s="20" t="s">
        <v>5321</v>
      </c>
      <c r="C167" s="21">
        <f t="shared" si="61"/>
        <v>186</v>
      </c>
      <c r="D167" s="21">
        <f t="shared" si="62"/>
        <v>1928</v>
      </c>
      <c r="E167" s="21">
        <f t="shared" si="61"/>
        <v>210</v>
      </c>
      <c r="F167" s="21">
        <f t="shared" si="61"/>
        <v>2324</v>
      </c>
      <c r="G167" s="21">
        <f t="shared" si="57"/>
        <v>2114</v>
      </c>
      <c r="J167" s="27" t="s">
        <v>5396</v>
      </c>
      <c r="K167" s="20" t="s">
        <v>5321</v>
      </c>
      <c r="L167" s="28">
        <f t="shared" si="58"/>
        <v>8.7984862819299903E-2</v>
      </c>
      <c r="M167" s="28">
        <f t="shared" si="59"/>
        <v>0.81267738883632934</v>
      </c>
      <c r="N167" s="28">
        <f t="shared" si="58"/>
        <v>9.9337748344370855E-2</v>
      </c>
      <c r="O167" s="28">
        <v>1</v>
      </c>
      <c r="P167" s="28">
        <f t="shared" si="60"/>
        <v>0.90066225165562919</v>
      </c>
      <c r="S167" s="27" t="s">
        <v>5396</v>
      </c>
      <c r="T167" s="20" t="s">
        <v>5321</v>
      </c>
      <c r="U167" s="21">
        <f t="shared" si="63"/>
        <v>0</v>
      </c>
      <c r="V167" s="21">
        <f t="shared" si="63"/>
        <v>0</v>
      </c>
      <c r="W167" s="21">
        <f t="shared" si="63"/>
        <v>0</v>
      </c>
      <c r="X167" s="21">
        <f t="shared" si="63"/>
        <v>0</v>
      </c>
      <c r="Y167" s="21">
        <f t="shared" si="64"/>
        <v>0</v>
      </c>
    </row>
    <row r="168" spans="1:25">
      <c r="A168" s="27" t="s">
        <v>5396</v>
      </c>
      <c r="B168" s="20" t="s">
        <v>5325</v>
      </c>
      <c r="C168" s="21">
        <f t="shared" si="61"/>
        <v>195</v>
      </c>
      <c r="D168" s="21">
        <f t="shared" si="62"/>
        <v>1322</v>
      </c>
      <c r="E168" s="21">
        <f t="shared" si="61"/>
        <v>829</v>
      </c>
      <c r="F168" s="21">
        <f t="shared" si="61"/>
        <v>2346</v>
      </c>
      <c r="G168" s="21">
        <f t="shared" si="57"/>
        <v>1517</v>
      </c>
      <c r="J168" s="27" t="s">
        <v>5396</v>
      </c>
      <c r="K168" s="20" t="s">
        <v>5325</v>
      </c>
      <c r="L168" s="28">
        <f t="shared" si="58"/>
        <v>0.12854317732366513</v>
      </c>
      <c r="M168" s="28">
        <f t="shared" si="59"/>
        <v>0.32498352010547127</v>
      </c>
      <c r="N168" s="28">
        <f t="shared" si="58"/>
        <v>0.54647330257086357</v>
      </c>
      <c r="O168" s="28">
        <v>1</v>
      </c>
      <c r="P168" s="28">
        <f t="shared" si="60"/>
        <v>0.45352669742913643</v>
      </c>
      <c r="S168" s="27" t="s">
        <v>5396</v>
      </c>
      <c r="T168" s="20" t="s">
        <v>5325</v>
      </c>
      <c r="U168" s="21">
        <f t="shared" si="63"/>
        <v>0</v>
      </c>
      <c r="V168" s="21">
        <f t="shared" si="63"/>
        <v>0</v>
      </c>
      <c r="W168" s="21">
        <f t="shared" si="63"/>
        <v>0</v>
      </c>
      <c r="X168" s="21">
        <f t="shared" si="63"/>
        <v>0</v>
      </c>
      <c r="Y168" s="21">
        <f t="shared" si="64"/>
        <v>0</v>
      </c>
    </row>
    <row r="169" spans="1:25">
      <c r="A169" s="27" t="s">
        <v>5396</v>
      </c>
      <c r="B169" s="20" t="s">
        <v>5326</v>
      </c>
      <c r="C169" s="21">
        <f t="shared" si="61"/>
        <v>625</v>
      </c>
      <c r="D169" s="21">
        <f t="shared" si="62"/>
        <v>860</v>
      </c>
      <c r="E169" s="21">
        <f t="shared" si="61"/>
        <v>861</v>
      </c>
      <c r="F169" s="21">
        <f t="shared" si="61"/>
        <v>2346</v>
      </c>
      <c r="G169" s="21">
        <f t="shared" si="57"/>
        <v>1485</v>
      </c>
      <c r="J169" s="27" t="s">
        <v>5396</v>
      </c>
      <c r="K169" s="20" t="s">
        <v>5326</v>
      </c>
      <c r="L169" s="28">
        <f t="shared" si="58"/>
        <v>0.4208754208754209</v>
      </c>
      <c r="M169" s="42">
        <f t="shared" si="59"/>
        <v>-6.7340067340060372E-4</v>
      </c>
      <c r="N169" s="28">
        <f t="shared" si="58"/>
        <v>0.57979797979797976</v>
      </c>
      <c r="O169" s="28">
        <v>1</v>
      </c>
      <c r="P169" s="28">
        <f t="shared" si="60"/>
        <v>0.42020202020202024</v>
      </c>
      <c r="S169" s="27" t="s">
        <v>5396</v>
      </c>
      <c r="T169" s="20" t="s">
        <v>5326</v>
      </c>
      <c r="U169" s="21">
        <f t="shared" si="63"/>
        <v>0</v>
      </c>
      <c r="V169" s="21">
        <f t="shared" si="63"/>
        <v>0</v>
      </c>
      <c r="W169" s="21">
        <f t="shared" si="63"/>
        <v>0</v>
      </c>
      <c r="X169" s="21">
        <f t="shared" si="63"/>
        <v>0</v>
      </c>
      <c r="Y169" s="21">
        <f t="shared" si="64"/>
        <v>0</v>
      </c>
    </row>
    <row r="170" spans="1:25">
      <c r="A170" s="27" t="s">
        <v>5396</v>
      </c>
      <c r="B170" s="20" t="s">
        <v>5327</v>
      </c>
      <c r="C170" s="21">
        <f t="shared" si="61"/>
        <v>730</v>
      </c>
      <c r="D170" s="21">
        <f t="shared" si="62"/>
        <v>758</v>
      </c>
      <c r="E170" s="21">
        <f t="shared" si="61"/>
        <v>861</v>
      </c>
      <c r="F170" s="21">
        <f t="shared" si="61"/>
        <v>2349</v>
      </c>
      <c r="G170" s="21">
        <f t="shared" si="57"/>
        <v>1488</v>
      </c>
      <c r="I170" s="33"/>
      <c r="J170" s="27" t="s">
        <v>5396</v>
      </c>
      <c r="K170" s="20" t="s">
        <v>5327</v>
      </c>
      <c r="L170" s="28">
        <f t="shared" si="58"/>
        <v>0.49059139784946237</v>
      </c>
      <c r="M170" s="42">
        <f t="shared" si="59"/>
        <v>-6.9220430107526876E-2</v>
      </c>
      <c r="N170" s="28">
        <f t="shared" si="58"/>
        <v>0.5786290322580645</v>
      </c>
      <c r="O170" s="28">
        <v>1</v>
      </c>
      <c r="P170" s="28">
        <f t="shared" si="60"/>
        <v>0.4213709677419355</v>
      </c>
      <c r="S170" s="27" t="s">
        <v>5396</v>
      </c>
      <c r="T170" s="20" t="s">
        <v>5327</v>
      </c>
      <c r="U170" s="21">
        <f t="shared" si="63"/>
        <v>0</v>
      </c>
      <c r="V170" s="21">
        <f t="shared" si="63"/>
        <v>0</v>
      </c>
      <c r="W170" s="21">
        <f t="shared" si="63"/>
        <v>0</v>
      </c>
      <c r="X170" s="21">
        <f t="shared" si="63"/>
        <v>0</v>
      </c>
      <c r="Y170" s="21">
        <f t="shared" si="64"/>
        <v>0</v>
      </c>
    </row>
    <row r="171" spans="1:25">
      <c r="A171" s="27" t="s">
        <v>5396</v>
      </c>
      <c r="B171" s="20" t="s">
        <v>5328</v>
      </c>
      <c r="C171" s="21"/>
      <c r="D171" s="21"/>
      <c r="E171" s="21"/>
      <c r="F171" s="21"/>
      <c r="G171" s="21"/>
      <c r="J171" s="27" t="s">
        <v>5396</v>
      </c>
      <c r="K171" s="20" t="s">
        <v>5328</v>
      </c>
      <c r="L171" s="21"/>
      <c r="M171" s="21"/>
      <c r="N171" s="21"/>
      <c r="O171" s="28"/>
      <c r="P171" s="28"/>
      <c r="S171" s="27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K1:O58"/>
  <sheetViews>
    <sheetView zoomScale="115" zoomScaleNormal="115" workbookViewId="0"/>
  </sheetViews>
  <sheetFormatPr baseColWidth="10" defaultRowHeight="13"/>
  <sheetData>
    <row r="1" spans="11:15">
      <c r="K1" s="32"/>
      <c r="N1" s="40"/>
      <c r="O1" s="40"/>
    </row>
    <row r="51" spans="11:11">
      <c r="K51" s="40"/>
    </row>
    <row r="52" spans="11:11">
      <c r="K52" s="40"/>
    </row>
    <row r="53" spans="11:11">
      <c r="K53" s="40"/>
    </row>
    <row r="54" spans="11:11">
      <c r="K54" s="40"/>
    </row>
    <row r="55" spans="11:11">
      <c r="K55" s="40"/>
    </row>
    <row r="56" spans="11:11">
      <c r="K56" s="40"/>
    </row>
    <row r="57" spans="11:11">
      <c r="K57" s="40"/>
    </row>
    <row r="58" spans="11:11">
      <c r="K58" s="4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2695312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26953125" style="16" customWidth="1"/>
    <col min="13" max="13" width="10.54296875" style="16" customWidth="1"/>
    <col min="14" max="14" width="11" style="16" customWidth="1"/>
    <col min="15" max="16" width="7.81640625" style="29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5" customFormat="1" ht="27.65" customHeight="1">
      <c r="A1" s="34" t="s">
        <v>5399</v>
      </c>
      <c r="B1" s="34"/>
      <c r="J1" s="34" t="s">
        <v>5398</v>
      </c>
      <c r="K1" s="34"/>
      <c r="O1" s="36"/>
      <c r="P1" s="36"/>
      <c r="S1" s="34" t="s">
        <v>5397</v>
      </c>
      <c r="T1" s="34"/>
      <c r="W1" s="39"/>
    </row>
    <row r="2" spans="1:27">
      <c r="A2" s="55" t="s">
        <v>5401</v>
      </c>
      <c r="B2" s="55"/>
      <c r="C2" s="55"/>
      <c r="J2" s="55" t="s">
        <v>5401</v>
      </c>
      <c r="K2" s="55"/>
      <c r="L2" s="55"/>
      <c r="S2" s="55" t="s">
        <v>5401</v>
      </c>
      <c r="T2" s="55"/>
      <c r="U2" s="55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30" t="s">
        <v>5324</v>
      </c>
      <c r="P3" s="30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COUNTIFS(E_Suivi_Eans!$C:$C,"01/2022",E_Suivi_Eans!$D:$D,"Equipements élect. et électro.",E_Suivi_Eans!$J:$J,"Retour OK",E_Suivi_Eans!$K:$K,"&gt;31/12/2021",E_Suivi_Eans!K:K,"&lt;01/02/2022")</f>
        <v>0</v>
      </c>
      <c r="D4" s="21">
        <f>COUNTIFS(E_Suivi_Eans!$C:$C,"01/2022",E_Suivi_Eans!$D:$D,"Equipements élect. et électro.",E_Suivi_Eans!$J:$J,"Rejet 0",E_Suivi_Eans!$K:$K,"&gt;31/12/2021",E_Suivi_Eans!$K:$K,"&lt;01/02/2022")+ COUNTIFS(E_Suivi_Eans!$C:$C,"01/2022",E_Suivi_Eans!$D:$D,"Equipements élect. et électro.",E_Suivi_Eans!$J:$J,"Rejet 1",E_Suivi_Eans!$K:$K,"&gt;31/12/2021",E_Suivi_Eans!$K:$K,"&lt;01/02/2022")+COUNTIFS(E_Suivi_Eans!$C:$C,"01/2022",E_Suivi_Eans!$D:$D,"Equipements élect. et électro.",E_Suivi_Eans!$J:$J,"Rejet 2",E_Suivi_Eans!$K:$K,"&gt;31/12/2021",E_Suivi_Eans!$K:$K,"&lt;01/02/2022")+COUNTIFS(E_Suivi_Eans!$C:$C,"01/2022",E_Suivi_Eans!$D:$D,"Equipements élect. et électro.",E_Suivi_Eans!$J:$J,"Rejet 3",E_Suivi_Eans!$K:$K,"&gt;31/12/2021",E_Suivi_Eans!$K:$K,"&lt;01/02/2022")+ COUNTIFS(E_Suivi_Eans!$C:$C,"01/2022",E_Suivi_Eans!$D:$D,"Equipements élect. et électro.",E_Suivi_Eans!$J:$J,"Rejet 4",E_Suivi_Eans!$K:$K,"&gt;31/12/2021",E_Suivi_Eans!$K:$K,"&lt;01/02/2022")+COUNTIFS(E_Suivi_Eans!$C:$C,"01/2022",E_Suivi_Eans!$D:$D,"Equipements élect. et électro.",E_Suivi_Eans!$J:$J,"Relance 1",E_Suivi_Eans!$K:$K,"&gt;31/12/2021",E_Suivi_Eans!$K:$K,"&lt;01/02/2022")+COUNTIFS(E_Suivi_Eans!$C:$C,"01/2022",E_Suivi_Eans!$D:$D,"Equipements élect. et électro.",E_Suivi_Eans!$J:$J,"Relance 2",E_Suivi_Eans!$K:$K,"&gt;31/12/2021",E_Suivi_Eans!$K:$K,"&lt;01/02/2022")+COUNTIFS(E_Suivi_Eans!$C:$C,"01/2022",E_Suivi_Eans!$D:$D,"Equipements élect. et électro.",E_Suivi_Eans!$J:$J,"Relance 3",E_Suivi_Eans!$K:$K,"&gt;31/12/2021",E_Suivi_Eans!$K:$K,"&lt;01/02/2022")</f>
        <v>0</v>
      </c>
      <c r="E4" s="21">
        <f>COUNTIFS(E_Suivi_Eans!$C:$C,"01/2022",E_Suivi_Eans!$D:$D,"Equipements élect. et électro.",E_Suivi_Eans!$J:$J,"Abandon",E_Suivi_Eans!$K:$K,"&gt;31/12/2021",E_Suivi_Eans!K:K,"&lt;01/02/2022")</f>
        <v>0</v>
      </c>
      <c r="F4" s="21">
        <f>COUNTIFS(E_Suivi_Eans!$C:$C,"01/2022",E_Suivi_Eans!$D:$D,"Equipements élect. et électro.")</f>
        <v>0</v>
      </c>
      <c r="G4" s="21">
        <f>F4-E4</f>
        <v>0</v>
      </c>
      <c r="J4" s="20" t="s">
        <v>5314</v>
      </c>
      <c r="K4" s="20" t="s">
        <v>5314</v>
      </c>
      <c r="L4" s="28">
        <f>IF($G4=0,0,C4/$G4)</f>
        <v>0</v>
      </c>
      <c r="M4" s="28">
        <f>O4-L4-N4</f>
        <v>1</v>
      </c>
      <c r="N4" s="28">
        <f t="shared" ref="N4:N14" si="0">IF($G4=0,0,E4/$G4)</f>
        <v>0</v>
      </c>
      <c r="O4" s="28">
        <v>1</v>
      </c>
      <c r="P4" s="28">
        <f>O4-N4</f>
        <v>1</v>
      </c>
      <c r="S4" s="20" t="s">
        <v>5314</v>
      </c>
      <c r="T4" s="20" t="s">
        <v>5314</v>
      </c>
      <c r="U4" s="38"/>
      <c r="V4" s="21"/>
      <c r="W4" s="21"/>
      <c r="X4" s="38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COUNTIFS(E_Suivi_Eans!$C:$C,"01/2022",E_Suivi_Eans!$D:$D,"Equipements élect. et électro.",E_Suivi_Eans!$J:$J,"Retour OK",E_Suivi_Eans!$K:$K,"&gt;31/12/2021",E_Suivi_Eans!$K:$K,"&lt;01/03/2022")</f>
        <v>0</v>
      </c>
      <c r="D5" s="21">
        <f>COUNTIFS(E_Suivi_Eans!$C:$C,"01/2022",E_Suivi_Eans!$D:$D,"Equipements élect. et électro.",E_Suivi_Eans!$J:$J,"Rejet 0",E_Suivi_Eans!$K:$K,"&gt;31/12/2021",E_Suivi_Eans!$K:$K,"&lt;01/03/2022")+ COUNTIFS(E_Suivi_Eans!$C:$C,"01/2022",E_Suivi_Eans!$D:$D,"Equipements élect. et électro.",E_Suivi_Eans!$J:$J,"Rejet 1",E_Suivi_Eans!$K:$K,"&gt;31/12/2021",E_Suivi_Eans!$K:$K,"&lt;01/03/2022")+COUNTIFS(E_Suivi_Eans!$C:$C,"01/2022",E_Suivi_Eans!$D:$D,"Equipements élect. et électro.",E_Suivi_Eans!$J:$J,"Rejet 2",E_Suivi_Eans!$K:$K,"&gt;31/12/2021",E_Suivi_Eans!$K:$K,"&lt;01/03/2022")+COUNTIFS(E_Suivi_Eans!$C:$C,"01/2022",E_Suivi_Eans!$D:$D,"Equipements élect. et électro.",E_Suivi_Eans!$J:$J,"Rejet 3",E_Suivi_Eans!$K:$K,"&gt;31/12/2021",E_Suivi_Eans!$K:$K,"&lt;01/03/2022")+ COUNTIFS(E_Suivi_Eans!$C:$C,"01/2022",E_Suivi_Eans!$D:$D,"Equipements élect. et électro.",E_Suivi_Eans!$J:$J,"Rejet 4",E_Suivi_Eans!$K:$K,"&gt;31/12/2021",E_Suivi_Eans!$K:$K,"&lt;01/03/2022")+COUNTIFS(E_Suivi_Eans!$C:$C,"01/2022",E_Suivi_Eans!$D:$D,"Equipements élect. et électro.",E_Suivi_Eans!$J:$J,"Relance 1",E_Suivi_Eans!$K:$K,"&gt;31/12/2021",E_Suivi_Eans!$K:$K,"&lt;01/03/2022")+COUNTIFS(E_Suivi_Eans!$C:$C,"01/2022",E_Suivi_Eans!$D:$D,"Equipements élect. et électro.",E_Suivi_Eans!$J:$J,"Relance 2",E_Suivi_Eans!$K:$K,"&gt;31/12/2021",E_Suivi_Eans!$K:$K,"&lt;01/03/2022")+COUNTIFS(E_Suivi_Eans!$C:$C,"01/2022",E_Suivi_Eans!$D:$D,"Equipements élect. et électro.",E_Suivi_Eans!$J:$J,"Relance 3",E_Suivi_Eans!$K:$K,"&gt;31/12/2021",E_Suivi_Eans!$K:$K,"&lt;01/03/2022")</f>
        <v>0</v>
      </c>
      <c r="E5" s="21">
        <f>COUNTIFS(E_Suivi_Eans!$C:$C,"01/2022",E_Suivi_Eans!$D:$D,"Equipements élect. et électro.",E_Suivi_Eans!$J:$J,"Abandon",E_Suivi_Eans!$K:$K,"&gt;31/12/2021",E_Suivi_Eans!K:K,"&lt;01/03/2022")</f>
        <v>0</v>
      </c>
      <c r="F5" s="21">
        <f>COUNTIFS(E_Suivi_Eans!$C:$C,"01/2022",E_Suivi_Eans!$D:$D,"Equipements élect. et électro.")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8">
        <f t="shared" ref="L5:L14" si="2">IF($G5=0,0,C5/$G5)</f>
        <v>0</v>
      </c>
      <c r="M5" s="28">
        <f t="shared" ref="M5:M14" si="3">O5-L5-N5</f>
        <v>1</v>
      </c>
      <c r="N5" s="28">
        <f t="shared" si="0"/>
        <v>0</v>
      </c>
      <c r="O5" s="28">
        <v>1</v>
      </c>
      <c r="P5" s="28">
        <f t="shared" ref="P5:P14" si="4">O5-N5</f>
        <v>1</v>
      </c>
      <c r="S5" s="20" t="s">
        <v>5314</v>
      </c>
      <c r="T5" s="20" t="s">
        <v>5315</v>
      </c>
      <c r="U5" s="38"/>
      <c r="V5" s="21"/>
      <c r="W5" s="21"/>
      <c r="X5" s="38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COUNTIFS(E_Suivi_Eans!$C:$C,"01/2022",E_Suivi_Eans!$D:$D,"Equipements élect. et électro.",E_Suivi_Eans!$J:$J,"Retour OK",E_Suivi_Eans!$K:$K,"&gt;31/12/2021",E_Suivi_Eans!$K:$K,"&lt;01/04/2022")</f>
        <v>0</v>
      </c>
      <c r="D6" s="21">
        <f>COUNTIFS(E_Suivi_Eans!$C:$C,"01/2022",E_Suivi_Eans!$D:$D,"Equipements élect. et électro.",E_Suivi_Eans!$J:$J,"Rejet 0",E_Suivi_Eans!$K:$K,"&gt;31/12/2021",E_Suivi_Eans!$K:$K,"&lt;01/04/2022")+ COUNTIFS(E_Suivi_Eans!$C:$C,"01/2022",E_Suivi_Eans!$D:$D,"Equipements élect. et électro.",E_Suivi_Eans!$J:$J,"Rejet 1",E_Suivi_Eans!$K:$K,"&gt;31/12/2021",E_Suivi_Eans!$K:$K,"&lt;01/04/2022")+COUNTIFS(E_Suivi_Eans!$C:$C,"01/2022",E_Suivi_Eans!$D:$D,"Equipements élect. et électro.",E_Suivi_Eans!$J:$J,"Rejet 2",E_Suivi_Eans!$K:$K,"&gt;31/12/2021",E_Suivi_Eans!$K:$K,"&lt;01/04/2022")+COUNTIFS(E_Suivi_Eans!$C:$C,"01/2022",E_Suivi_Eans!$D:$D,"Equipements élect. et électro.",E_Suivi_Eans!$J:$J,"Rejet 3",E_Suivi_Eans!$K:$K,"&gt;31/12/2021",E_Suivi_Eans!$K:$K,"&lt;01/04/2022")+ COUNTIFS(E_Suivi_Eans!$C:$C,"01/2022",E_Suivi_Eans!$D:$D,"Equipements élect. et électro.",E_Suivi_Eans!$J:$J,"Rejet 4",E_Suivi_Eans!$K:$K,"&gt;31/12/2021",E_Suivi_Eans!$K:$K,"&lt;01/04/2022")+COUNTIFS(E_Suivi_Eans!$C:$C,"01/2022",E_Suivi_Eans!$D:$D,"Equipements élect. et électro.",E_Suivi_Eans!$J:$J,"Relance 1",E_Suivi_Eans!$K:$K,"&gt;31/12/2021",E_Suivi_Eans!$K:$K,"&lt;01/04/2022")+COUNTIFS(E_Suivi_Eans!$C:$C,"01/2022",E_Suivi_Eans!$D:$D,"Equipements élect. et électro.",E_Suivi_Eans!$J:$J,"Relance 2",E_Suivi_Eans!$K:$K,"&gt;31/12/2021",E_Suivi_Eans!$K:$K,"&lt;01/04/2022")+COUNTIFS(E_Suivi_Eans!$C:$C,"01/2022",E_Suivi_Eans!$D:$D,"Equipements élect. et électro.",E_Suivi_Eans!$J:$J,"Relance 3",E_Suivi_Eans!$K:$K,"&gt;31/12/2021",E_Suivi_Eans!$K:$K,"&lt;01/04/2022")</f>
        <v>0</v>
      </c>
      <c r="E6" s="21">
        <f>COUNTIFS(E_Suivi_Eans!$C:$C,"01/2022",E_Suivi_Eans!$D:$D,"Equipements élect. et électro.",E_Suivi_Eans!$J:$J,"Abandon",E_Suivi_Eans!$K:$K,"&gt;31/12/2021",E_Suivi_Eans!K:K,"&lt;01/04/2022")</f>
        <v>0</v>
      </c>
      <c r="F6" s="21">
        <f>COUNTIFS(E_Suivi_Eans!$C:$C,"01/2022",E_Suivi_Eans!$D:$D,"Equipements élect. et électro.")</f>
        <v>0</v>
      </c>
      <c r="G6" s="21">
        <f t="shared" si="1"/>
        <v>0</v>
      </c>
      <c r="J6" s="20" t="s">
        <v>5314</v>
      </c>
      <c r="K6" s="20" t="s">
        <v>5316</v>
      </c>
      <c r="L6" s="28">
        <f t="shared" si="2"/>
        <v>0</v>
      </c>
      <c r="M6" s="28">
        <f t="shared" si="3"/>
        <v>1</v>
      </c>
      <c r="N6" s="28">
        <f t="shared" si="0"/>
        <v>0</v>
      </c>
      <c r="O6" s="28">
        <v>1</v>
      </c>
      <c r="P6" s="28">
        <f t="shared" si="4"/>
        <v>1</v>
      </c>
      <c r="S6" s="20" t="s">
        <v>5314</v>
      </c>
      <c r="T6" s="20" t="s">
        <v>5316</v>
      </c>
      <c r="U6" s="38"/>
      <c r="V6" s="21"/>
      <c r="W6" s="21"/>
      <c r="X6" s="38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COUNTIFS(E_Suivi_Eans!$C:$C,"01/2022",E_Suivi_Eans!$D:$D,"Equipements élect. et électro.",E_Suivi_Eans!$J:$J,"Retour OK",E_Suivi_Eans!$K:$K,"&gt;31/12/2021",E_Suivi_Eans!$K:$K,"&lt;01/05/2022")</f>
        <v>0</v>
      </c>
      <c r="D7" s="21">
        <f>COUNTIFS(E_Suivi_Eans!$C:$C,"01/2022",E_Suivi_Eans!$D:$D,"Equipements élect. et électro.",E_Suivi_Eans!$J:$J,"Rejet 0",E_Suivi_Eans!$K:$K,"&gt;31/12/2021",E_Suivi_Eans!$K:$K,"&lt;01/05/2022")+ COUNTIFS(E_Suivi_Eans!$C:$C,"01/2022",E_Suivi_Eans!$D:$D,"Equipements élect. et électro.",E_Suivi_Eans!$J:$J,"Rejet 1",E_Suivi_Eans!$K:$K,"&gt;31/12/2021",E_Suivi_Eans!$K:$K,"&lt;01/05/2022")+COUNTIFS(E_Suivi_Eans!$C:$C,"01/2022",E_Suivi_Eans!$D:$D,"Equipements élect. et électro.",E_Suivi_Eans!$J:$J,"Rejet 2",E_Suivi_Eans!$K:$K,"&gt;31/12/2021",E_Suivi_Eans!$K:$K,"&lt;01/05/2022")+COUNTIFS(E_Suivi_Eans!$C:$C,"01/2022",E_Suivi_Eans!$D:$D,"Equipements élect. et électro.",E_Suivi_Eans!$J:$J,"Rejet 3",E_Suivi_Eans!$K:$K,"&gt;31/12/2021",E_Suivi_Eans!$K:$K,"&lt;01/05/2022")+ COUNTIFS(E_Suivi_Eans!$C:$C,"01/2022",E_Suivi_Eans!$D:$D,"Equipements élect. et électro.",E_Suivi_Eans!$J:$J,"Rejet 4",E_Suivi_Eans!$K:$K,"&gt;31/12/2021",E_Suivi_Eans!$K:$K,"&lt;01/05/2022")+COUNTIFS(E_Suivi_Eans!$C:$C,"01/2022",E_Suivi_Eans!$D:$D,"Equipements élect. et électro.",E_Suivi_Eans!$J:$J,"Relance 1",E_Suivi_Eans!$K:$K,"&gt;31/12/2021",E_Suivi_Eans!$K:$K,"&lt;01/05/2022")+COUNTIFS(E_Suivi_Eans!$C:$C,"01/2022",E_Suivi_Eans!$D:$D,"Equipements élect. et électro.",E_Suivi_Eans!$J:$J,"Relance 2",E_Suivi_Eans!$K:$K,"&gt;31/12/2021",E_Suivi_Eans!$K:$K,"&lt;01/05/2022")+COUNTIFS(E_Suivi_Eans!$C:$C,"01/2022",E_Suivi_Eans!$D:$D,"Equipements élect. et électro.",E_Suivi_Eans!$J:$J,"Relance 3",E_Suivi_Eans!$K:$K,"&gt;31/12/2021",E_Suivi_Eans!$K:$K,"&lt;01/05/2022")</f>
        <v>0</v>
      </c>
      <c r="E7" s="21">
        <f>COUNTIFS(E_Suivi_Eans!$C:$C,"01/2022",E_Suivi_Eans!$D:$D,"Equipements élect. et électro.",E_Suivi_Eans!$J:$J,"Abandon",E_Suivi_Eans!$K:$K,"&gt;31/12/2021",E_Suivi_Eans!K:K,"&lt;01/05/2022")</f>
        <v>0</v>
      </c>
      <c r="F7" s="21">
        <f>COUNTIFS(E_Suivi_Eans!$C:$C,"01/2022",E_Suivi_Eans!$D:$D,"Equipements élect. et électro.")</f>
        <v>0</v>
      </c>
      <c r="G7" s="21">
        <f t="shared" si="1"/>
        <v>0</v>
      </c>
      <c r="J7" s="20" t="s">
        <v>5314</v>
      </c>
      <c r="K7" s="20" t="s">
        <v>5317</v>
      </c>
      <c r="L7" s="28">
        <f t="shared" si="2"/>
        <v>0</v>
      </c>
      <c r="M7" s="28">
        <f t="shared" si="3"/>
        <v>1</v>
      </c>
      <c r="N7" s="28">
        <f t="shared" si="0"/>
        <v>0</v>
      </c>
      <c r="O7" s="28">
        <v>1</v>
      </c>
      <c r="P7" s="28">
        <f t="shared" si="4"/>
        <v>1</v>
      </c>
      <c r="S7" s="20" t="s">
        <v>5314</v>
      </c>
      <c r="T7" s="20" t="s">
        <v>5317</v>
      </c>
      <c r="U7" s="38"/>
      <c r="V7" s="21"/>
      <c r="W7" s="21"/>
      <c r="X7" s="38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COUNTIFS(E_Suivi_Eans!$C:$C,"01/2022",E_Suivi_Eans!$D:$D,"Equipements élect. et électro.",E_Suivi_Eans!$J:$J,"Retour OK",E_Suivi_Eans!$K:$K,"&gt;31/12/2021",E_Suivi_Eans!$K:$K,"&lt;01/06/2022")</f>
        <v>0</v>
      </c>
      <c r="D8" s="21">
        <f>COUNTIFS(E_Suivi_Eans!$C:$C,"01/2022",E_Suivi_Eans!$D:$D,"Equipements élect. et électro.",E_Suivi_Eans!$J:$J,"Rejet 0",E_Suivi_Eans!$K:$K,"&gt;31/12/2021",E_Suivi_Eans!$K:$K,"&lt;01/06/2022")+ COUNTIFS(E_Suivi_Eans!$C:$C,"01/2022",E_Suivi_Eans!$D:$D,"Equipements élect. et électro.",E_Suivi_Eans!$J:$J,"Rejet 1",E_Suivi_Eans!$K:$K,"&gt;31/12/2021",E_Suivi_Eans!$K:$K,"&lt;01/06/2022")+COUNTIFS(E_Suivi_Eans!$C:$C,"01/2022",E_Suivi_Eans!$D:$D,"Equipements élect. et électro.",E_Suivi_Eans!$J:$J,"Rejet 2",E_Suivi_Eans!$K:$K,"&gt;31/12/2021",E_Suivi_Eans!$K:$K,"&lt;01/06/2022")+COUNTIFS(E_Suivi_Eans!$C:$C,"01/2022",E_Suivi_Eans!$D:$D,"Equipements élect. et électro.",E_Suivi_Eans!$J:$J,"Rejet 3",E_Suivi_Eans!$K:$K,"&gt;31/12/2021",E_Suivi_Eans!$K:$K,"&lt;01/06/2022")+ COUNTIFS(E_Suivi_Eans!$C:$C,"01/2022",E_Suivi_Eans!$D:$D,"Equipements élect. et électro.",E_Suivi_Eans!$J:$J,"Rejet 4",E_Suivi_Eans!$K:$K,"&gt;31/12/2021",E_Suivi_Eans!$K:$K,"&lt;01/06/2022")+COUNTIFS(E_Suivi_Eans!$C:$C,"01/2022",E_Suivi_Eans!$D:$D,"Equipements élect. et électro.",E_Suivi_Eans!$J:$J,"Relance 1",E_Suivi_Eans!$K:$K,"&gt;31/12/2021",E_Suivi_Eans!$K:$K,"&lt;01/06/2022")+COUNTIFS(E_Suivi_Eans!$C:$C,"01/2022",E_Suivi_Eans!$D:$D,"Equipements élect. et électro.",E_Suivi_Eans!$J:$J,"Relance 2",E_Suivi_Eans!$K:$K,"&gt;31/12/2021",E_Suivi_Eans!$K:$K,"&lt;01/06/2022")+COUNTIFS(E_Suivi_Eans!$C:$C,"01/2022",E_Suivi_Eans!$D:$D,"Equipements élect. et électro.",E_Suivi_Eans!$J:$J,"Relance 3",E_Suivi_Eans!$K:$K,"&gt;31/12/2021",E_Suivi_Eans!$K:$K,"&lt;01/06/2022")</f>
        <v>0</v>
      </c>
      <c r="E8" s="21">
        <f>COUNTIFS(E_Suivi_Eans!$C:$C,"01/2022",E_Suivi_Eans!$D:$D,"Equipements élect. et électro.",E_Suivi_Eans!$J:$J,"Abandon",E_Suivi_Eans!$K:$K,"&gt;31/12/2021",E_Suivi_Eans!K:K,"&lt;01/06/2022")</f>
        <v>0</v>
      </c>
      <c r="F8" s="21">
        <f>COUNTIFS(E_Suivi_Eans!$C:$C,"01/2022",E_Suivi_Eans!$D:$D,"Equipements élect. et électro.")</f>
        <v>0</v>
      </c>
      <c r="G8" s="21">
        <f t="shared" si="1"/>
        <v>0</v>
      </c>
      <c r="J8" s="20" t="s">
        <v>5314</v>
      </c>
      <c r="K8" s="20" t="s">
        <v>5318</v>
      </c>
      <c r="L8" s="28">
        <f t="shared" si="2"/>
        <v>0</v>
      </c>
      <c r="M8" s="28">
        <f t="shared" si="3"/>
        <v>1</v>
      </c>
      <c r="N8" s="28">
        <f t="shared" si="0"/>
        <v>0</v>
      </c>
      <c r="O8" s="28">
        <v>1</v>
      </c>
      <c r="P8" s="28">
        <f t="shared" si="4"/>
        <v>1</v>
      </c>
      <c r="S8" s="20" t="s">
        <v>5314</v>
      </c>
      <c r="T8" s="20" t="s">
        <v>5318</v>
      </c>
      <c r="U8" s="38"/>
      <c r="V8" s="21"/>
      <c r="W8" s="21"/>
      <c r="X8" s="38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COUNTIFS(E_Suivi_Eans!$C:$C,"01/2022",E_Suivi_Eans!$D:$D,"Equipements élect. et électro.",E_Suivi_Eans!$J:$J,"Retour OK",E_Suivi_Eans!$K:$K,"&gt;31/12/2021",E_Suivi_Eans!$K:$K,"&lt;01/07/2022")</f>
        <v>0</v>
      </c>
      <c r="D9" s="21">
        <f>COUNTIFS(E_Suivi_Eans!$C:$C,"01/2022",E_Suivi_Eans!$D:$D,"Equipements élect. et électro.",E_Suivi_Eans!$J:$J,"Rejet 0",E_Suivi_Eans!$K:$K,"&gt;31/12/2021",E_Suivi_Eans!$K:$K,"&lt;01/07/2022")+ COUNTIFS(E_Suivi_Eans!$C:$C,"01/2022",E_Suivi_Eans!$D:$D,"Equipements élect. et électro.",E_Suivi_Eans!$J:$J,"Rejet 1",E_Suivi_Eans!$K:$K,"&gt;31/12/2021",E_Suivi_Eans!$K:$K,"&lt;01/07/2022")+COUNTIFS(E_Suivi_Eans!$C:$C,"01/2022",E_Suivi_Eans!$D:$D,"Equipements élect. et électro.",E_Suivi_Eans!$J:$J,"Rejet 2",E_Suivi_Eans!$K:$K,"&gt;31/12/2021",E_Suivi_Eans!$K:$K,"&lt;01/07/2022")+COUNTIFS(E_Suivi_Eans!$C:$C,"01/2022",E_Suivi_Eans!$D:$D,"Equipements élect. et électro.",E_Suivi_Eans!$J:$J,"Rejet 3",E_Suivi_Eans!$K:$K,"&gt;31/12/2021",E_Suivi_Eans!$K:$K,"&lt;01/07/2022")+ COUNTIFS(E_Suivi_Eans!$C:$C,"01/2022",E_Suivi_Eans!$D:$D,"Equipements élect. et électro.",E_Suivi_Eans!$J:$J,"Rejet 4",E_Suivi_Eans!$K:$K,"&gt;31/12/2021",E_Suivi_Eans!$K:$K,"&lt;01/07/2022")+COUNTIFS(E_Suivi_Eans!$C:$C,"01/2022",E_Suivi_Eans!$D:$D,"Equipements élect. et électro.",E_Suivi_Eans!$J:$J,"Relance 1",E_Suivi_Eans!$K:$K,"&gt;31/12/2021",E_Suivi_Eans!$K:$K,"&lt;01/07/2022")+COUNTIFS(E_Suivi_Eans!$C:$C,"01/2022",E_Suivi_Eans!$D:$D,"Equipements élect. et électro.",E_Suivi_Eans!$J:$J,"Relance 2",E_Suivi_Eans!$K:$K,"&gt;31/12/2021",E_Suivi_Eans!$K:$K,"&lt;01/07/2022")+COUNTIFS(E_Suivi_Eans!$C:$C,"01/2022",E_Suivi_Eans!$D:$D,"Equipements élect. et électro.",E_Suivi_Eans!$J:$J,"Relance 3",E_Suivi_Eans!$K:$K,"&gt;31/12/2021",E_Suivi_Eans!$K:$K,"&lt;01/07/2022")</f>
        <v>0</v>
      </c>
      <c r="E9" s="21">
        <f>COUNTIFS(E_Suivi_Eans!$C:$C,"01/2022",E_Suivi_Eans!$D:$D,"Equipements élect. et électro.",E_Suivi_Eans!$J:$J,"Abandon",E_Suivi_Eans!$K:$K,"&gt;31/12/2021",E_Suivi_Eans!K:K,"&lt;01/07/2022")</f>
        <v>0</v>
      </c>
      <c r="F9" s="21">
        <f>COUNTIFS(E_Suivi_Eans!$C:$C,"01/2022",E_Suivi_Eans!$D:$D,"Equipements élect. et électro.")</f>
        <v>0</v>
      </c>
      <c r="G9" s="21">
        <f t="shared" si="1"/>
        <v>0</v>
      </c>
      <c r="J9" s="20" t="s">
        <v>5314</v>
      </c>
      <c r="K9" s="20" t="s">
        <v>5319</v>
      </c>
      <c r="L9" s="28">
        <f t="shared" si="2"/>
        <v>0</v>
      </c>
      <c r="M9" s="28">
        <f t="shared" si="3"/>
        <v>1</v>
      </c>
      <c r="N9" s="28">
        <f t="shared" si="0"/>
        <v>0</v>
      </c>
      <c r="O9" s="28">
        <v>1</v>
      </c>
      <c r="P9" s="28">
        <f t="shared" si="4"/>
        <v>1</v>
      </c>
      <c r="S9" s="20" t="s">
        <v>5314</v>
      </c>
      <c r="T9" s="20" t="s">
        <v>5319</v>
      </c>
      <c r="U9" s="38"/>
      <c r="V9" s="21"/>
      <c r="W9" s="21"/>
      <c r="X9" s="38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COUNTIFS(E_Suivi_Eans!$C:$C,"01/2022",E_Suivi_Eans!$D:$D,"Equipements élect. et électro.",E_Suivi_Eans!$J:$J,"Retour OK",E_Suivi_Eans!$K:$K,"&gt;31/12/2021",E_Suivi_Eans!$K:$K,"&lt;01/08/2022")</f>
        <v>0</v>
      </c>
      <c r="D10" s="21">
        <f>COUNTIFS(E_Suivi_Eans!$C:$C,"01/2022",E_Suivi_Eans!$D:$D,"Equipements élect. et électro.",E_Suivi_Eans!$J:$J,"Rejet 0",E_Suivi_Eans!$K:$K,"&gt;31/12/2021",E_Suivi_Eans!$K:$K,"&lt;01/08/2022")+ COUNTIFS(E_Suivi_Eans!$C:$C,"01/2022",E_Suivi_Eans!$D:$D,"Equipements élect. et électro.",E_Suivi_Eans!$J:$J,"Rejet 1",E_Suivi_Eans!$K:$K,"&gt;31/12/2021",E_Suivi_Eans!$K:$K,"&lt;01/08/2022")+COUNTIFS(E_Suivi_Eans!$C:$C,"01/2022",E_Suivi_Eans!$D:$D,"Equipements élect. et électro.",E_Suivi_Eans!$J:$J,"Rejet 2",E_Suivi_Eans!$K:$K,"&gt;31/12/2021",E_Suivi_Eans!$K:$K,"&lt;01/08/2022")+COUNTIFS(E_Suivi_Eans!$C:$C,"01/2022",E_Suivi_Eans!$D:$D,"Equipements élect. et électro.",E_Suivi_Eans!$J:$J,"Rejet 3",E_Suivi_Eans!$K:$K,"&gt;31/12/2021",E_Suivi_Eans!$K:$K,"&lt;01/08/2022")+ COUNTIFS(E_Suivi_Eans!$C:$C,"01/2022",E_Suivi_Eans!$D:$D,"Equipements élect. et électro.",E_Suivi_Eans!$J:$J,"Rejet 4",E_Suivi_Eans!$K:$K,"&gt;31/12/2021",E_Suivi_Eans!$K:$K,"&lt;01/08/2022")+COUNTIFS(E_Suivi_Eans!$C:$C,"01/2022",E_Suivi_Eans!$D:$D,"Equipements élect. et électro.",E_Suivi_Eans!$J:$J,"Relance 1",E_Suivi_Eans!$K:$K,"&gt;31/12/2021",E_Suivi_Eans!$K:$K,"&lt;01/08/2022")+COUNTIFS(E_Suivi_Eans!$C:$C,"01/2022",E_Suivi_Eans!$D:$D,"Equipements élect. et électro.",E_Suivi_Eans!$J:$J,"Relance 2",E_Suivi_Eans!$K:$K,"&gt;31/12/2021",E_Suivi_Eans!$K:$K,"&lt;01/08/2022")+COUNTIFS(E_Suivi_Eans!$C:$C,"01/2022",E_Suivi_Eans!$D:$D,"Equipements élect. et électro.",E_Suivi_Eans!$J:$J,"Relance 3",E_Suivi_Eans!$K:$K,"&gt;31/12/2021",E_Suivi_Eans!$K:$K,"&lt;01/08/2022")</f>
        <v>0</v>
      </c>
      <c r="E10" s="21">
        <f>COUNTIFS(E_Suivi_Eans!$C:$C,"01/2022",E_Suivi_Eans!$D:$D,"Equipements élect. et électro.",E_Suivi_Eans!$J:$J,"Abandon",E_Suivi_Eans!$K:$K,"&gt;31/12/2021",E_Suivi_Eans!K:K,"&lt;01/08/2022")</f>
        <v>0</v>
      </c>
      <c r="F10" s="21">
        <f>COUNTIFS(E_Suivi_Eans!$C:$C,"01/2022",E_Suivi_Eans!$D:$D,"Equipements élect. et électro.")</f>
        <v>0</v>
      </c>
      <c r="G10" s="21">
        <f t="shared" si="1"/>
        <v>0</v>
      </c>
      <c r="J10" s="20" t="s">
        <v>5314</v>
      </c>
      <c r="K10" s="20" t="s">
        <v>5320</v>
      </c>
      <c r="L10" s="28">
        <f t="shared" si="2"/>
        <v>0</v>
      </c>
      <c r="M10" s="28">
        <f t="shared" si="3"/>
        <v>1</v>
      </c>
      <c r="N10" s="28">
        <f t="shared" si="0"/>
        <v>0</v>
      </c>
      <c r="O10" s="28">
        <v>1</v>
      </c>
      <c r="P10" s="28">
        <f t="shared" si="4"/>
        <v>1</v>
      </c>
      <c r="S10" s="20" t="s">
        <v>5314</v>
      </c>
      <c r="T10" s="20" t="s">
        <v>5320</v>
      </c>
      <c r="U10" s="38"/>
      <c r="V10" s="21"/>
      <c r="W10" s="21"/>
      <c r="X10" s="38"/>
      <c r="Y10" s="21"/>
      <c r="AA10" s="37"/>
    </row>
    <row r="11" spans="1:27">
      <c r="A11" s="20" t="s">
        <v>5314</v>
      </c>
      <c r="B11" s="20" t="s">
        <v>5321</v>
      </c>
      <c r="C11" s="21">
        <f>COUNTIFS(E_Suivi_Eans!$C:$C,"01/2022",E_Suivi_Eans!$D:$D,"Equipements élect. et électro.",E_Suivi_Eans!$J:$J,"Retour OK",E_Suivi_Eans!$K:$K,"&gt;31/12/2021",E_Suivi_Eans!$K:$K,"&lt;01/09/2022")</f>
        <v>0</v>
      </c>
      <c r="D11" s="21">
        <f>COUNTIFS(E_Suivi_Eans!$C:$C,"01/2022",E_Suivi_Eans!$D:$D,"Equipements élect. et électro.",E_Suivi_Eans!$J:$J,"Rejet 0",E_Suivi_Eans!$K:$K,"&gt;31/12/2021",E_Suivi_Eans!$K:$K,"&lt;01/09/2022")+ COUNTIFS(E_Suivi_Eans!$C:$C,"01/2022",E_Suivi_Eans!$D:$D,"Equipements élect. et électro.",E_Suivi_Eans!$J:$J,"Rejet 1",E_Suivi_Eans!$K:$K,"&gt;31/12/2021",E_Suivi_Eans!$K:$K,"&lt;01/09/2022")+COUNTIFS(E_Suivi_Eans!$C:$C,"01/2022",E_Suivi_Eans!$D:$D,"Equipements élect. et électro.",E_Suivi_Eans!$J:$J,"Rejet 2",E_Suivi_Eans!$K:$K,"&gt;31/12/2021",E_Suivi_Eans!$K:$K,"&lt;01/09/2022")+COUNTIFS(E_Suivi_Eans!$C:$C,"01/2022",E_Suivi_Eans!$D:$D,"Equipements élect. et électro.",E_Suivi_Eans!$J:$J,"Rejet 3",E_Suivi_Eans!$K:$K,"&gt;31/12/2021",E_Suivi_Eans!$K:$K,"&lt;01/09/2022")+ COUNTIFS(E_Suivi_Eans!$C:$C,"01/2022",E_Suivi_Eans!$D:$D,"Equipements élect. et électro.",E_Suivi_Eans!$J:$J,"Rejet 4",E_Suivi_Eans!$K:$K,"&gt;31/12/2021",E_Suivi_Eans!$K:$K,"&lt;01/09/2022")+COUNTIFS(E_Suivi_Eans!$C:$C,"01/2022",E_Suivi_Eans!$D:$D,"Equipements élect. et électro.",E_Suivi_Eans!$J:$J,"Relance 1",E_Suivi_Eans!$K:$K,"&gt;31/12/2021",E_Suivi_Eans!$K:$K,"&lt;01/09/2022")+COUNTIFS(E_Suivi_Eans!$C:$C,"01/2022",E_Suivi_Eans!$D:$D,"Equipements élect. et électro.",E_Suivi_Eans!$J:$J,"Relance 2",E_Suivi_Eans!$K:$K,"&gt;31/12/2021",E_Suivi_Eans!$K:$K,"&lt;01/09/2022")+COUNTIFS(E_Suivi_Eans!$C:$C,"01/2022",E_Suivi_Eans!$D:$D,"Equipements élect. et électro.",E_Suivi_Eans!$J:$J,"Relance 3",E_Suivi_Eans!$K:$K,"&gt;31/12/2021",E_Suivi_Eans!$K:$K,"&lt;01/09/2022")</f>
        <v>0</v>
      </c>
      <c r="E11" s="21">
        <f>COUNTIFS(E_Suivi_Eans!$C:$C,"01/2022",E_Suivi_Eans!$D:$D,"Equipements élect. et électro.",E_Suivi_Eans!$J:$J,"Abandon",E_Suivi_Eans!$K:$K,"&gt;31/12/2021",E_Suivi_Eans!K:K,"&lt;01/09/2022")</f>
        <v>0</v>
      </c>
      <c r="F11" s="21">
        <f>COUNTIFS(E_Suivi_Eans!$C:$C,"01/2022",E_Suivi_Eans!$D:$D,"Equipements élect. et électro.")</f>
        <v>0</v>
      </c>
      <c r="G11" s="21">
        <f t="shared" si="1"/>
        <v>0</v>
      </c>
      <c r="J11" s="20" t="s">
        <v>5314</v>
      </c>
      <c r="K11" s="20" t="s">
        <v>5321</v>
      </c>
      <c r="L11" s="28">
        <f t="shared" si="2"/>
        <v>0</v>
      </c>
      <c r="M11" s="28">
        <f t="shared" si="3"/>
        <v>1</v>
      </c>
      <c r="N11" s="28">
        <f t="shared" si="0"/>
        <v>0</v>
      </c>
      <c r="O11" s="28">
        <v>1</v>
      </c>
      <c r="P11" s="28">
        <f t="shared" si="4"/>
        <v>1</v>
      </c>
      <c r="S11" s="20" t="s">
        <v>5314</v>
      </c>
      <c r="T11" s="20" t="s">
        <v>5321</v>
      </c>
      <c r="U11" s="38"/>
      <c r="V11" s="21"/>
      <c r="W11" s="21"/>
      <c r="X11" s="38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COUNTIFS(E_Suivi_Eans!$C:$C,"01/2022",E_Suivi_Eans!$D:$D,"Equipements élect. et électro.",E_Suivi_Eans!$J:$J,"Retour OK",E_Suivi_Eans!$K:$K,"&gt;31/12/2021",E_Suivi_Eans!$K:$K,"&lt;01/10/2022")</f>
        <v>0</v>
      </c>
      <c r="D12" s="21">
        <f>COUNTIFS(E_Suivi_Eans!$C:$C,"01/2022",E_Suivi_Eans!$D:$D,"Equipements élect. et électro.",E_Suivi_Eans!$J:$J,"Rejet 0",E_Suivi_Eans!$K:$K,"&gt;31/12/2021",E_Suivi_Eans!$K:$K,"&lt;01/10/2022")+ COUNTIFS(E_Suivi_Eans!$C:$C,"01/2022",E_Suivi_Eans!$D:$D,"Equipements élect. et électro.",E_Suivi_Eans!$J:$J,"Rejet 1",E_Suivi_Eans!$K:$K,"&gt;31/12/2021",E_Suivi_Eans!$K:$K,"&lt;01/10/2022")+COUNTIFS(E_Suivi_Eans!$C:$C,"01/2022",E_Suivi_Eans!$D:$D,"Equipements élect. et électro.",E_Suivi_Eans!$J:$J,"Rejet 2",E_Suivi_Eans!$K:$K,"&gt;31/12/2021",E_Suivi_Eans!$K:$K,"&lt;01/10/2022")+COUNTIFS(E_Suivi_Eans!$C:$C,"01/2022",E_Suivi_Eans!$D:$D,"Equipements élect. et électro.",E_Suivi_Eans!$J:$J,"Rejet 3",E_Suivi_Eans!$K:$K,"&gt;31/12/2021",E_Suivi_Eans!$K:$K,"&lt;01/10/2022")+ COUNTIFS(E_Suivi_Eans!$C:$C,"01/2022",E_Suivi_Eans!$D:$D,"Equipements élect. et électro.",E_Suivi_Eans!$J:$J,"Rejet 4",E_Suivi_Eans!$K:$K,"&gt;31/12/2021",E_Suivi_Eans!$K:$K,"&lt;01/10/2022")+COUNTIFS(E_Suivi_Eans!$C:$C,"01/2022",E_Suivi_Eans!$D:$D,"Equipements élect. et électro.",E_Suivi_Eans!$J:$J,"Relance 1",E_Suivi_Eans!$K:$K,"&gt;31/12/2021",E_Suivi_Eans!$K:$K,"&lt;01/10/2022")+COUNTIFS(E_Suivi_Eans!$C:$C,"01/2022",E_Suivi_Eans!$D:$D,"Equipements élect. et électro.",E_Suivi_Eans!$J:$J,"Relance 2",E_Suivi_Eans!$K:$K,"&gt;31/12/2021",E_Suivi_Eans!$K:$K,"&lt;01/10/2022")+COUNTIFS(E_Suivi_Eans!$C:$C,"01/2022",E_Suivi_Eans!$D:$D,"Equipements élect. et électro.",E_Suivi_Eans!$J:$J,"Relance 3",E_Suivi_Eans!$K:$K,"&gt;31/12/2021",E_Suivi_Eans!$K:$K,"&lt;01/10/2022")</f>
        <v>0</v>
      </c>
      <c r="E12" s="21">
        <f>COUNTIFS(E_Suivi_Eans!$C:$C,"01/2022",E_Suivi_Eans!$D:$D,"Equipements élect. et électro.",E_Suivi_Eans!$J:$J,"Abandon",E_Suivi_Eans!$K:$K,"&gt;31/12/2021",E_Suivi_Eans!K:K,"&lt;01/10/2022")</f>
        <v>0</v>
      </c>
      <c r="F12" s="21">
        <f>COUNTIFS(E_Suivi_Eans!$C:$C,"01/2022",E_Suivi_Eans!$D:$D,"Equipements élect. et électro.")</f>
        <v>0</v>
      </c>
      <c r="G12" s="21">
        <f t="shared" si="1"/>
        <v>0</v>
      </c>
      <c r="J12" s="20" t="s">
        <v>5314</v>
      </c>
      <c r="K12" s="20" t="s">
        <v>5325</v>
      </c>
      <c r="L12" s="28">
        <f t="shared" si="2"/>
        <v>0</v>
      </c>
      <c r="M12" s="28">
        <f t="shared" si="3"/>
        <v>1</v>
      </c>
      <c r="N12" s="28">
        <f t="shared" si="0"/>
        <v>0</v>
      </c>
      <c r="O12" s="28">
        <v>1</v>
      </c>
      <c r="P12" s="28">
        <f t="shared" si="4"/>
        <v>1</v>
      </c>
      <c r="S12" s="20" t="s">
        <v>5314</v>
      </c>
      <c r="T12" s="20" t="s">
        <v>5325</v>
      </c>
      <c r="U12" s="38"/>
      <c r="V12" s="21"/>
      <c r="W12" s="21"/>
      <c r="X12" s="38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COUNTIFS(E_Suivi_Eans!$C:$C,"01/2022",E_Suivi_Eans!$D:$D,"Equipements élect. et électro.",E_Suivi_Eans!$J:$J,"Retour OK",E_Suivi_Eans!$K:$K,"&gt;31/12/2021",E_Suivi_Eans!$K:$K,"&lt;01/11/2022")</f>
        <v>0</v>
      </c>
      <c r="D13" s="21">
        <f>COUNTIFS(E_Suivi_Eans!$C:$C,"01/2022",E_Suivi_Eans!$D:$D,"Equipements élect. et électro.",E_Suivi_Eans!$J:$J,"Rejet 0",E_Suivi_Eans!$K:$K,"&gt;31/12/2021",E_Suivi_Eans!$K:$K,"&lt;01/11/2022")+ COUNTIFS(E_Suivi_Eans!$C:$C,"01/2022",E_Suivi_Eans!$D:$D,"Equipements élect. et électro.",E_Suivi_Eans!$J:$J,"Rejet 1",E_Suivi_Eans!$K:$K,"&gt;31/12/2021",E_Suivi_Eans!$K:$K,"&lt;01/11/2022")+COUNTIFS(E_Suivi_Eans!$C:$C,"01/2022",E_Suivi_Eans!$D:$D,"Equipements élect. et électro.",E_Suivi_Eans!$J:$J,"Rejet 2",E_Suivi_Eans!$K:$K,"&gt;31/12/2021",E_Suivi_Eans!$K:$K,"&lt;01/11/2022")+COUNTIFS(E_Suivi_Eans!$C:$C,"01/2022",E_Suivi_Eans!$D:$D,"Equipements élect. et électro.",E_Suivi_Eans!$J:$J,"Rejet 3",E_Suivi_Eans!$K:$K,"&gt;31/12/2021",E_Suivi_Eans!$K:$K,"&lt;01/11/2022")+ COUNTIFS(E_Suivi_Eans!$C:$C,"01/2022",E_Suivi_Eans!$D:$D,"Equipements élect. et électro.",E_Suivi_Eans!$J:$J,"Rejet 4",E_Suivi_Eans!$K:$K,"&gt;31/12/2021",E_Suivi_Eans!$K:$K,"&lt;01/11/2022")+COUNTIFS(E_Suivi_Eans!$C:$C,"01/2022",E_Suivi_Eans!$D:$D,"Equipements élect. et électro.",E_Suivi_Eans!$J:$J,"Relance 1",E_Suivi_Eans!$K:$K,"&gt;31/12/2021",E_Suivi_Eans!$K:$K,"&lt;01/11/2022")+COUNTIFS(E_Suivi_Eans!$C:$C,"01/2022",E_Suivi_Eans!$D:$D,"Equipements élect. et électro.",E_Suivi_Eans!$J:$J,"Relance 2",E_Suivi_Eans!$K:$K,"&gt;31/12/2021",E_Suivi_Eans!$K:$K,"&lt;01/11/2022")+COUNTIFS(E_Suivi_Eans!$C:$C,"01/2022",E_Suivi_Eans!$D:$D,"Equipements élect. et électro.",E_Suivi_Eans!$J:$J,"Relance 3",E_Suivi_Eans!$K:$K,"&gt;31/12/2021",E_Suivi_Eans!$K:$K,"&lt;01/11/2022")</f>
        <v>0</v>
      </c>
      <c r="E13" s="21">
        <f>COUNTIFS(E_Suivi_Eans!$C:$C,"01/2022",E_Suivi_Eans!$D:$D,"Equipements élect. et électro.",E_Suivi_Eans!$J:$J,"Abandon",E_Suivi_Eans!$K:$K,"&gt;31/12/2021",E_Suivi_Eans!K:K,"&lt;01/11/2022")</f>
        <v>0</v>
      </c>
      <c r="F13" s="21">
        <f>COUNTIFS(E_Suivi_Eans!$C:$C,"01/2022",E_Suivi_Eans!$D:$D,"Equipements élect. et électro.")</f>
        <v>0</v>
      </c>
      <c r="G13" s="21">
        <f t="shared" si="1"/>
        <v>0</v>
      </c>
      <c r="J13" s="20" t="s">
        <v>5314</v>
      </c>
      <c r="K13" s="20" t="s">
        <v>5326</v>
      </c>
      <c r="L13" s="28">
        <f t="shared" si="2"/>
        <v>0</v>
      </c>
      <c r="M13" s="28">
        <f t="shared" si="3"/>
        <v>1</v>
      </c>
      <c r="N13" s="28">
        <f t="shared" si="0"/>
        <v>0</v>
      </c>
      <c r="O13" s="28">
        <v>1</v>
      </c>
      <c r="P13" s="28">
        <f t="shared" si="4"/>
        <v>1</v>
      </c>
      <c r="S13" s="20" t="s">
        <v>5314</v>
      </c>
      <c r="T13" s="20" t="s">
        <v>5326</v>
      </c>
      <c r="U13" s="38"/>
      <c r="V13" s="21"/>
      <c r="W13" s="21"/>
      <c r="X13" s="38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COUNTIFS(E_Suivi_Eans!$C:$C,"01/2022",E_Suivi_Eans!$D:$D,"Equipements élect. et électro.",E_Suivi_Eans!$J:$J,"Retour OK",E_Suivi_Eans!$K:$K,"&gt;31/12/2021",E_Suivi_Eans!$K:$K,"&lt;01/12/2022")</f>
        <v>0</v>
      </c>
      <c r="D14" s="21">
        <f>COUNTIFS(E_Suivi_Eans!$C:$C,"01/2022",E_Suivi_Eans!$D:$D,"Equipements élect. et électro.",E_Suivi_Eans!$J:$J,"Rejet 0",E_Suivi_Eans!$K:$K,"&gt;31/12/2021",E_Suivi_Eans!$K:$K,"&lt;01/12/2022")+ COUNTIFS(E_Suivi_Eans!$C:$C,"01/2022",E_Suivi_Eans!$D:$D,"Equipements élect. et électro.",E_Suivi_Eans!$J:$J,"Rejet 1",E_Suivi_Eans!$K:$K,"&gt;31/12/2021",E_Suivi_Eans!$K:$K,"&lt;01/12/2022")+COUNTIFS(E_Suivi_Eans!$C:$C,"01/2022",E_Suivi_Eans!$D:$D,"Equipements élect. et électro.",E_Suivi_Eans!$J:$J,"Rejet 2",E_Suivi_Eans!$K:$K,"&gt;31/12/2021",E_Suivi_Eans!$K:$K,"&lt;01/12/2022")+COUNTIFS(E_Suivi_Eans!$C:$C,"01/2022",E_Suivi_Eans!$D:$D,"Equipements élect. et électro.",E_Suivi_Eans!$J:$J,"Rejet 3",E_Suivi_Eans!$K:$K,"&gt;31/12/2021",E_Suivi_Eans!$K:$K,"&lt;01/12/2022")+ COUNTIFS(E_Suivi_Eans!$C:$C,"01/2022",E_Suivi_Eans!$D:$D,"Equipements élect. et électro.",E_Suivi_Eans!$J:$J,"Rejet 4",E_Suivi_Eans!$K:$K,"&gt;31/12/2021",E_Suivi_Eans!$K:$K,"&lt;01/12/2022")+COUNTIFS(E_Suivi_Eans!$C:$C,"01/2022",E_Suivi_Eans!$D:$D,"Equipements élect. et électro.",E_Suivi_Eans!$J:$J,"Relance 1",E_Suivi_Eans!$K:$K,"&gt;31/12/2021",E_Suivi_Eans!$K:$K,"&lt;01/12/2022")+COUNTIFS(E_Suivi_Eans!$C:$C,"01/2022",E_Suivi_Eans!$D:$D,"Equipements élect. et électro.",E_Suivi_Eans!$J:$J,"Relance 2",E_Suivi_Eans!$K:$K,"&gt;31/12/2021",E_Suivi_Eans!$K:$K,"&lt;01/12/2022")+COUNTIFS(E_Suivi_Eans!$C:$C,"01/2022",E_Suivi_Eans!$D:$D,"Equipements élect. et électro.",E_Suivi_Eans!$J:$J,"Relance 3",E_Suivi_Eans!$K:$K,"&gt;31/12/2021",E_Suivi_Eans!$K:$K,"&lt;01/12/2022")</f>
        <v>0</v>
      </c>
      <c r="E14" s="21">
        <f>COUNTIFS(E_Suivi_Eans!$C:$C,"01/2022",E_Suivi_Eans!$D:$D,"Equipements élect. et électro.",E_Suivi_Eans!$J:$J,"Abandon",E_Suivi_Eans!$K:$K,"&gt;31/12/2021",E_Suivi_Eans!K:K,"&lt;01/12/2022")</f>
        <v>0</v>
      </c>
      <c r="F14" s="21">
        <f>COUNTIFS(E_Suivi_Eans!$C:$C,"01/2022",E_Suivi_Eans!$D:$D,"Equipements élect. et électro.")</f>
        <v>0</v>
      </c>
      <c r="G14" s="21">
        <f t="shared" si="1"/>
        <v>0</v>
      </c>
      <c r="J14" s="20" t="s">
        <v>5314</v>
      </c>
      <c r="K14" s="20" t="s">
        <v>5327</v>
      </c>
      <c r="L14" s="28">
        <f t="shared" si="2"/>
        <v>0</v>
      </c>
      <c r="M14" s="28">
        <f t="shared" si="3"/>
        <v>1</v>
      </c>
      <c r="N14" s="28">
        <f t="shared" si="0"/>
        <v>0</v>
      </c>
      <c r="O14" s="28">
        <v>1</v>
      </c>
      <c r="P14" s="28">
        <f t="shared" si="4"/>
        <v>1</v>
      </c>
      <c r="S14" s="20" t="s">
        <v>5314</v>
      </c>
      <c r="T14" s="20" t="s">
        <v>5327</v>
      </c>
      <c r="U14" s="38"/>
      <c r="V14" s="21"/>
      <c r="W14" s="21"/>
      <c r="X14" s="38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8"/>
      <c r="P15" s="28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5"/>
      <c r="F16" s="25"/>
      <c r="G16" s="25"/>
      <c r="J16" s="22"/>
      <c r="K16" s="22"/>
      <c r="L16" s="23"/>
      <c r="M16" s="24"/>
      <c r="N16" s="25"/>
      <c r="O16" s="31"/>
      <c r="P16" s="31"/>
      <c r="S16" s="22"/>
      <c r="T16" s="22"/>
      <c r="U16" s="23"/>
      <c r="V16" s="24"/>
      <c r="W16" s="25"/>
      <c r="X16" s="25"/>
      <c r="Y16" s="25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8"/>
      <c r="P17" s="28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COUNTIFS(E_Suivi_Eans!$C:$C,"02/2022",E_Suivi_Eans!$D:$D,"Equipements élect. et électro.",E_Suivi_Eans!$J:$J,"Retour OK",E_Suivi_Eans!$K:$K,"&gt;31/12/2021",E_Suivi_Eans!K:K,"&lt;01/03/2022")</f>
        <v>0</v>
      </c>
      <c r="D18" s="21">
        <f>COUNTIFS(E_Suivi_Eans!$C:$C,"02/2022",E_Suivi_Eans!$D:$D,"Equipements élect. et électro.",E_Suivi_Eans!$J:$J,"Rejet 0",E_Suivi_Eans!$K:$K,"&gt;31/12/2021",E_Suivi_Eans!$K:$K,"&lt;01/03/2022")+ COUNTIFS(E_Suivi_Eans!$C:$C,"02/2022",E_Suivi_Eans!$D:$D,"Equipements élect. et électro.",E_Suivi_Eans!$J:$J,"Rejet 1",E_Suivi_Eans!$K:$K,"&gt;31/12/2021",E_Suivi_Eans!$K:$K,"&lt;01/03/2022")+COUNTIFS(E_Suivi_Eans!$C:$C,"02/2022",E_Suivi_Eans!$D:$D,"Equipements élect. et électro.",E_Suivi_Eans!$J:$J,"Rejet 2",E_Suivi_Eans!$K:$K,"&gt;31/12/2021",E_Suivi_Eans!$K:$K,"&lt;01/03/2022")+COUNTIFS(E_Suivi_Eans!$C:$C,"02/2022",E_Suivi_Eans!$D:$D,"Equipements élect. et électro.",E_Suivi_Eans!$J:$J,"Rejet 3",E_Suivi_Eans!$K:$K,"&gt;31/12/2021",E_Suivi_Eans!$K:$K,"&lt;01/03/2022")+ COUNTIFS(E_Suivi_Eans!$C:$C,"02/2022",E_Suivi_Eans!$D:$D,"Equipements élect. et électro.",E_Suivi_Eans!$J:$J,"Rejet 4",E_Suivi_Eans!$K:$K,"&gt;31/12/2021",E_Suivi_Eans!$K:$K,"&lt;01/03/2022")+COUNTIFS(E_Suivi_Eans!$C:$C,"02/2022",E_Suivi_Eans!$D:$D,"Equipements élect. et électro.",E_Suivi_Eans!$J:$J,"Relance 1",E_Suivi_Eans!$K:$K,"&gt;31/12/2021",E_Suivi_Eans!$K:$K,"&lt;01/03/2022")+COUNTIFS(E_Suivi_Eans!$C:$C,"02/2022",E_Suivi_Eans!$D:$D,"Equipements élect. et électro.",E_Suivi_Eans!$J:$J,"Relance 2",E_Suivi_Eans!$K:$K,"&gt;31/12/2021",E_Suivi_Eans!$K:$K,"&lt;01/03/2022")+COUNTIFS(E_Suivi_Eans!$C:$C,"02/2022",E_Suivi_Eans!$D:$D,"Equipements élect. et électro.",E_Suivi_Eans!$J:$J,"Relance 3",E_Suivi_Eans!$K:$K,"&gt;31/12/2021",E_Suivi_Eans!$K:$K,"&lt;01/03/2022")</f>
        <v>0</v>
      </c>
      <c r="E18" s="21">
        <f>COUNTIFS(E_Suivi_Eans!$C:$C,"02/2022",E_Suivi_Eans!$D:$D,"Equipements élect. et électro.",E_Suivi_Eans!$J:$J,"Abandon",E_Suivi_Eans!$K:$K,"&gt;31/12/2021",E_Suivi_Eans!K:K,"&lt;01/03/2022")</f>
        <v>0</v>
      </c>
      <c r="F18" s="21">
        <f>COUNTIFS(E_Suivi_Eans!$C:$C,"02/2022",E_Suivi_Eans!$D:$D,"Equipements élect. et électro.")</f>
        <v>0</v>
      </c>
      <c r="G18" s="21">
        <f t="shared" ref="G18:G27" si="5">F18-E18</f>
        <v>0</v>
      </c>
      <c r="J18" s="20" t="s">
        <v>5315</v>
      </c>
      <c r="K18" s="20" t="s">
        <v>5315</v>
      </c>
      <c r="L18" s="28">
        <f>IF($G18=0,0,C18/$G18)</f>
        <v>0</v>
      </c>
      <c r="M18" s="28">
        <f t="shared" ref="M18:M27" si="6">O18-L18-N18</f>
        <v>1</v>
      </c>
      <c r="N18" s="28">
        <f t="shared" ref="N18:N27" si="7">IF($G18=0,0,E18/$G18)</f>
        <v>0</v>
      </c>
      <c r="O18" s="28">
        <v>1</v>
      </c>
      <c r="P18" s="28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COUNTIFS(E_Suivi_Eans!$C:$C,"02/2022",E_Suivi_Eans!$D:$D,"Equipements élect. et électro.",E_Suivi_Eans!$J:$J,"Retour OK",E_Suivi_Eans!$K:$K,"&gt;31/12/2021",E_Suivi_Eans!K:K,"&lt;01/04/2022")</f>
        <v>0</v>
      </c>
      <c r="D19" s="21">
        <f>COUNTIFS(E_Suivi_Eans!$C:$C,"02/2022",E_Suivi_Eans!$D:$D,"Equipements élect. et électro.",E_Suivi_Eans!$J:$J,"Rejet 0",E_Suivi_Eans!$K:$K,"&gt;31/12/2021",E_Suivi_Eans!$K:$K,"&lt;01/04/2022")+ COUNTIFS(E_Suivi_Eans!$C:$C,"02/2022",E_Suivi_Eans!$D:$D,"Equipements élect. et électro.",E_Suivi_Eans!$J:$J,"Rejet 1",E_Suivi_Eans!$K:$K,"&gt;31/12/2021",E_Suivi_Eans!$K:$K,"&lt;01/04/2022")+COUNTIFS(E_Suivi_Eans!$C:$C,"02/2022",E_Suivi_Eans!$D:$D,"Equipements élect. et électro.",E_Suivi_Eans!$J:$J,"Rejet 2",E_Suivi_Eans!$K:$K,"&gt;31/12/2021",E_Suivi_Eans!$K:$K,"&lt;01/04/2022")+COUNTIFS(E_Suivi_Eans!$C:$C,"02/2022",E_Suivi_Eans!$D:$D,"Equipements élect. et électro.",E_Suivi_Eans!$J:$J,"Rejet 3",E_Suivi_Eans!$K:$K,"&gt;31/12/2021",E_Suivi_Eans!$K:$K,"&lt;01/04/2022")+ COUNTIFS(E_Suivi_Eans!$C:$C,"02/2022",E_Suivi_Eans!$D:$D,"Equipements élect. et électro.",E_Suivi_Eans!$J:$J,"Rejet 4",E_Suivi_Eans!$K:$K,"&gt;31/12/2021",E_Suivi_Eans!$K:$K,"&lt;01/04/2022")+COUNTIFS(E_Suivi_Eans!$C:$C,"02/2022",E_Suivi_Eans!$D:$D,"Equipements élect. et électro.",E_Suivi_Eans!$J:$J,"Relance 1",E_Suivi_Eans!$K:$K,"&gt;31/12/2021",E_Suivi_Eans!$K:$K,"&lt;01/04/2022")+COUNTIFS(E_Suivi_Eans!$C:$C,"02/2022",E_Suivi_Eans!$D:$D,"Equipements élect. et électro.",E_Suivi_Eans!$J:$J,"Relance 2",E_Suivi_Eans!$K:$K,"&gt;31/12/2021",E_Suivi_Eans!$K:$K,"&lt;01/04/2022")+COUNTIFS(E_Suivi_Eans!$C:$C,"02/2022",E_Suivi_Eans!$D:$D,"Equipements élect. et électro.",E_Suivi_Eans!$J:$J,"Relance 3",E_Suivi_Eans!$K:$K,"&gt;31/12/2021",E_Suivi_Eans!$K:$K,"&lt;01/04/2022")</f>
        <v>0</v>
      </c>
      <c r="E19" s="21">
        <f>COUNTIFS(E_Suivi_Eans!$C:$C,"02/2022",E_Suivi_Eans!$D:$D,"Equipements élect. et électro.",E_Suivi_Eans!$J:$J,"Abandon",E_Suivi_Eans!$K:$K,"&gt;31/12/2021",E_Suivi_Eans!K:K,"&lt;01/04/2022")</f>
        <v>0</v>
      </c>
      <c r="F19" s="21">
        <f>COUNTIFS(E_Suivi_Eans!$C:$C,"02/2022",E_Suivi_Eans!$D:$D,"Equipements élect. et électro.")</f>
        <v>0</v>
      </c>
      <c r="G19" s="21">
        <f t="shared" si="5"/>
        <v>0</v>
      </c>
      <c r="J19" s="20" t="s">
        <v>5315</v>
      </c>
      <c r="K19" s="20" t="s">
        <v>5316</v>
      </c>
      <c r="L19" s="28">
        <f t="shared" ref="L19:L27" si="8">IF($G19=0,0,C19/$G19)</f>
        <v>0</v>
      </c>
      <c r="M19" s="28">
        <f t="shared" si="6"/>
        <v>1</v>
      </c>
      <c r="N19" s="28">
        <f t="shared" si="7"/>
        <v>0</v>
      </c>
      <c r="O19" s="28">
        <v>1</v>
      </c>
      <c r="P19" s="28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COUNTIFS(E_Suivi_Eans!$C:$C,"02/2022",E_Suivi_Eans!$D:$D,"Equipements élect. et électro.",E_Suivi_Eans!$J:$J,"Retour OK",E_Suivi_Eans!$K:$K,"&gt;31/12/2021",E_Suivi_Eans!K:K,"&lt;01/05/2022")</f>
        <v>0</v>
      </c>
      <c r="D20" s="21">
        <f>COUNTIFS(E_Suivi_Eans!$C:$C,"02/2022",E_Suivi_Eans!$D:$D,"Equipements élect. et électro.",E_Suivi_Eans!$J:$J,"Rejet 0",E_Suivi_Eans!$K:$K,"&gt;31/12/2021",E_Suivi_Eans!$K:$K,"&lt;01/05/2022")+ COUNTIFS(E_Suivi_Eans!$C:$C,"02/2022",E_Suivi_Eans!$D:$D,"Equipements élect. et électro.",E_Suivi_Eans!$J:$J,"Rejet 1",E_Suivi_Eans!$K:$K,"&gt;31/12/2021",E_Suivi_Eans!$K:$K,"&lt;01/05/2022")+COUNTIFS(E_Suivi_Eans!$C:$C,"02/2022",E_Suivi_Eans!$D:$D,"Equipements élect. et électro.",E_Suivi_Eans!$J:$J,"Rejet 2",E_Suivi_Eans!$K:$K,"&gt;31/12/2021",E_Suivi_Eans!$K:$K,"&lt;01/05/2022")+COUNTIFS(E_Suivi_Eans!$C:$C,"02/2022",E_Suivi_Eans!$D:$D,"Equipements élect. et électro.",E_Suivi_Eans!$J:$J,"Rejet 3",E_Suivi_Eans!$K:$K,"&gt;31/12/2021",E_Suivi_Eans!$K:$K,"&lt;01/05/2022")+ COUNTIFS(E_Suivi_Eans!$C:$C,"02/2022",E_Suivi_Eans!$D:$D,"Equipements élect. et électro.",E_Suivi_Eans!$J:$J,"Rejet 4",E_Suivi_Eans!$K:$K,"&gt;31/12/2021",E_Suivi_Eans!$K:$K,"&lt;01/05/2022")+COUNTIFS(E_Suivi_Eans!$C:$C,"02/2022",E_Suivi_Eans!$D:$D,"Equipements élect. et électro.",E_Suivi_Eans!$J:$J,"Relance 1",E_Suivi_Eans!$K:$K,"&gt;31/12/2021",E_Suivi_Eans!$K:$K,"&lt;01/05/2022")+COUNTIFS(E_Suivi_Eans!$C:$C,"02/2022",E_Suivi_Eans!$D:$D,"Equipements élect. et électro.",E_Suivi_Eans!$J:$J,"Relance 2",E_Suivi_Eans!$K:$K,"&gt;31/12/2021",E_Suivi_Eans!$K:$K,"&lt;01/05/2022")+COUNTIFS(E_Suivi_Eans!$C:$C,"02/2022",E_Suivi_Eans!$D:$D,"Equipements élect. et électro.",E_Suivi_Eans!$J:$J,"Relance 3",E_Suivi_Eans!$K:$K,"&gt;31/12/2021",E_Suivi_Eans!$K:$K,"&lt;01/05/2022")</f>
        <v>0</v>
      </c>
      <c r="E20" s="21">
        <f>COUNTIFS(E_Suivi_Eans!$C:$C,"02/2022",E_Suivi_Eans!$D:$D,"Equipements élect. et électro.",E_Suivi_Eans!$J:$J,"Abandon",E_Suivi_Eans!$K:$K,"&gt;31/12/2021",E_Suivi_Eans!K:K,"&lt;01/05/2022")</f>
        <v>0</v>
      </c>
      <c r="F20" s="21">
        <f>COUNTIFS(E_Suivi_Eans!$C:$C,"02/2022",E_Suivi_Eans!$D:$D,"Equipements élect. et électro.")</f>
        <v>0</v>
      </c>
      <c r="G20" s="21">
        <f t="shared" si="5"/>
        <v>0</v>
      </c>
      <c r="J20" s="20" t="s">
        <v>5315</v>
      </c>
      <c r="K20" s="20" t="s">
        <v>5317</v>
      </c>
      <c r="L20" s="28">
        <f t="shared" si="8"/>
        <v>0</v>
      </c>
      <c r="M20" s="28">
        <f t="shared" si="6"/>
        <v>1</v>
      </c>
      <c r="N20" s="28">
        <f t="shared" si="7"/>
        <v>0</v>
      </c>
      <c r="O20" s="28">
        <v>1</v>
      </c>
      <c r="P20" s="28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COUNTIFS(E_Suivi_Eans!$C:$C,"02/2022",E_Suivi_Eans!$D:$D,"Equipements élect. et électro.",E_Suivi_Eans!$J:$J,"Retour OK",E_Suivi_Eans!$K:$K,"&gt;31/12/2021",E_Suivi_Eans!K:K,"&lt;01/06/2022")</f>
        <v>0</v>
      </c>
      <c r="D21" s="21">
        <f>COUNTIFS(E_Suivi_Eans!$C:$C,"02/2022",E_Suivi_Eans!$D:$D,"Equipements élect. et électro.",E_Suivi_Eans!$J:$J,"Rejet 0",E_Suivi_Eans!$K:$K,"&gt;31/12/2021",E_Suivi_Eans!$K:$K,"&lt;01/06/2022")+ COUNTIFS(E_Suivi_Eans!$C:$C,"02/2022",E_Suivi_Eans!$D:$D,"Equipements élect. et électro.",E_Suivi_Eans!$J:$J,"Rejet 1",E_Suivi_Eans!$K:$K,"&gt;31/12/2021",E_Suivi_Eans!$K:$K,"&lt;01/06/2022")+COUNTIFS(E_Suivi_Eans!$C:$C,"02/2022",E_Suivi_Eans!$D:$D,"Equipements élect. et électro.",E_Suivi_Eans!$J:$J,"Rejet 2",E_Suivi_Eans!$K:$K,"&gt;31/12/2021",E_Suivi_Eans!$K:$K,"&lt;01/06/2022")+COUNTIFS(E_Suivi_Eans!$C:$C,"02/2022",E_Suivi_Eans!$D:$D,"Equipements élect. et électro.",E_Suivi_Eans!$J:$J,"Rejet 3",E_Suivi_Eans!$K:$K,"&gt;31/12/2021",E_Suivi_Eans!$K:$K,"&lt;01/06/2022")+ COUNTIFS(E_Suivi_Eans!$C:$C,"02/2022",E_Suivi_Eans!$D:$D,"Equipements élect. et électro.",E_Suivi_Eans!$J:$J,"Rejet 4",E_Suivi_Eans!$K:$K,"&gt;31/12/2021",E_Suivi_Eans!$K:$K,"&lt;01/06/2022")+COUNTIFS(E_Suivi_Eans!$C:$C,"02/2022",E_Suivi_Eans!$D:$D,"Equipements élect. et électro.",E_Suivi_Eans!$J:$J,"Relance 1",E_Suivi_Eans!$K:$K,"&gt;31/12/2021",E_Suivi_Eans!$K:$K,"&lt;01/06/2022")+COUNTIFS(E_Suivi_Eans!$C:$C,"02/2022",E_Suivi_Eans!$D:$D,"Equipements élect. et électro.",E_Suivi_Eans!$J:$J,"Relance 2",E_Suivi_Eans!$K:$K,"&gt;31/12/2021",E_Suivi_Eans!$K:$K,"&lt;01/06/2022")+COUNTIFS(E_Suivi_Eans!$C:$C,"02/2022",E_Suivi_Eans!$D:$D,"Equipements élect. et électro.",E_Suivi_Eans!$J:$J,"Relance 3",E_Suivi_Eans!$K:$K,"&gt;31/12/2021",E_Suivi_Eans!$K:$K,"&lt;01/06/2022")</f>
        <v>0</v>
      </c>
      <c r="E21" s="21">
        <f>COUNTIFS(E_Suivi_Eans!$C:$C,"02/2022",E_Suivi_Eans!$D:$D,"Equipements élect. et électro.",E_Suivi_Eans!$J:$J,"Abandon",E_Suivi_Eans!$K:$K,"&gt;31/12/2021",E_Suivi_Eans!K:K,"&lt;01/06/2022")</f>
        <v>0</v>
      </c>
      <c r="F21" s="21">
        <f>COUNTIFS(E_Suivi_Eans!$C:$C,"02/2022",E_Suivi_Eans!$D:$D,"Equipements élect. et électro.")</f>
        <v>0</v>
      </c>
      <c r="G21" s="21">
        <f t="shared" si="5"/>
        <v>0</v>
      </c>
      <c r="J21" s="20" t="s">
        <v>5315</v>
      </c>
      <c r="K21" s="20" t="s">
        <v>5318</v>
      </c>
      <c r="L21" s="28">
        <f t="shared" si="8"/>
        <v>0</v>
      </c>
      <c r="M21" s="28">
        <f t="shared" si="6"/>
        <v>1</v>
      </c>
      <c r="N21" s="28">
        <f t="shared" si="7"/>
        <v>0</v>
      </c>
      <c r="O21" s="28">
        <v>1</v>
      </c>
      <c r="P21" s="28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COUNTIFS(E_Suivi_Eans!$C:$C,"02/2022",E_Suivi_Eans!$D:$D,"Equipements élect. et électro.",E_Suivi_Eans!$J:$J,"Retour OK",E_Suivi_Eans!$K:$K,"&gt;31/12/2021",E_Suivi_Eans!K:K,"&lt;01/07/2022")</f>
        <v>0</v>
      </c>
      <c r="D22" s="21">
        <f>COUNTIFS(E_Suivi_Eans!$C:$C,"02/2022",E_Suivi_Eans!$D:$D,"Equipements élect. et électro.",E_Suivi_Eans!$J:$J,"Rejet 0",E_Suivi_Eans!$K:$K,"&gt;31/12/2021",E_Suivi_Eans!$K:$K,"&lt;01/07/2022")+ COUNTIFS(E_Suivi_Eans!$C:$C,"02/2022",E_Suivi_Eans!$D:$D,"Equipements élect. et électro.",E_Suivi_Eans!$J:$J,"Rejet 1",E_Suivi_Eans!$K:$K,"&gt;31/12/2021",E_Suivi_Eans!$K:$K,"&lt;01/07/2022")+COUNTIFS(E_Suivi_Eans!$C:$C,"02/2022",E_Suivi_Eans!$D:$D,"Equipements élect. et électro.",E_Suivi_Eans!$J:$J,"Rejet 2",E_Suivi_Eans!$K:$K,"&gt;31/12/2021",E_Suivi_Eans!$K:$K,"&lt;01/07/2022")+COUNTIFS(E_Suivi_Eans!$C:$C,"02/2022",E_Suivi_Eans!$D:$D,"Equipements élect. et électro.",E_Suivi_Eans!$J:$J,"Rejet 3",E_Suivi_Eans!$K:$K,"&gt;31/12/2021",E_Suivi_Eans!$K:$K,"&lt;01/07/2022")+ COUNTIFS(E_Suivi_Eans!$C:$C,"02/2022",E_Suivi_Eans!$D:$D,"Equipements élect. et électro.",E_Suivi_Eans!$J:$J,"Rejet 4",E_Suivi_Eans!$K:$K,"&gt;31/12/2021",E_Suivi_Eans!$K:$K,"&lt;01/07/2022")+COUNTIFS(E_Suivi_Eans!$C:$C,"02/2022",E_Suivi_Eans!$D:$D,"Equipements élect. et électro.",E_Suivi_Eans!$J:$J,"Relance 1",E_Suivi_Eans!$K:$K,"&gt;31/12/2021",E_Suivi_Eans!$K:$K,"&lt;01/07/2022")+COUNTIFS(E_Suivi_Eans!$C:$C,"02/2022",E_Suivi_Eans!$D:$D,"Equipements élect. et électro.",E_Suivi_Eans!$J:$J,"Relance 2",E_Suivi_Eans!$K:$K,"&gt;31/12/2021",E_Suivi_Eans!$K:$K,"&lt;01/07/2022")+COUNTIFS(E_Suivi_Eans!$C:$C,"02/2022",E_Suivi_Eans!$D:$D,"Equipements élect. et électro.",E_Suivi_Eans!$J:$J,"Relance 3",E_Suivi_Eans!$K:$K,"&gt;31/12/2021",E_Suivi_Eans!$K:$K,"&lt;01/07/2022")</f>
        <v>0</v>
      </c>
      <c r="E22" s="21">
        <f>COUNTIFS(E_Suivi_Eans!$C:$C,"02/2022",E_Suivi_Eans!$D:$D,"Equipements élect. et électro.",E_Suivi_Eans!$J:$J,"Abandon",E_Suivi_Eans!$K:$K,"&gt;31/12/2021",E_Suivi_Eans!K:K,"&lt;01/07/2022")</f>
        <v>0</v>
      </c>
      <c r="F22" s="21">
        <f>COUNTIFS(E_Suivi_Eans!$C:$C,"02/2022",E_Suivi_Eans!$D:$D,"Equipements élect. et électro.")</f>
        <v>0</v>
      </c>
      <c r="G22" s="21">
        <f t="shared" si="5"/>
        <v>0</v>
      </c>
      <c r="J22" s="20" t="s">
        <v>5315</v>
      </c>
      <c r="K22" s="20" t="s">
        <v>5319</v>
      </c>
      <c r="L22" s="28">
        <f t="shared" si="8"/>
        <v>0</v>
      </c>
      <c r="M22" s="28">
        <f t="shared" si="6"/>
        <v>1</v>
      </c>
      <c r="N22" s="28">
        <f t="shared" si="7"/>
        <v>0</v>
      </c>
      <c r="O22" s="28">
        <v>1</v>
      </c>
      <c r="P22" s="28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COUNTIFS(E_Suivi_Eans!$C:$C,"02/2022",E_Suivi_Eans!$D:$D,"Equipements élect. et électro.",E_Suivi_Eans!$J:$J,"Retour OK",E_Suivi_Eans!$K:$K,"&gt;31/12/2021",E_Suivi_Eans!K:K,"&lt;01/08/2022")</f>
        <v>0</v>
      </c>
      <c r="D23" s="21">
        <f>COUNTIFS(E_Suivi_Eans!$C:$C,"02/2022",E_Suivi_Eans!$D:$D,"Equipements élect. et électro.",E_Suivi_Eans!$J:$J,"Rejet 0",E_Suivi_Eans!$K:$K,"&gt;31/12/2021",E_Suivi_Eans!$K:$K,"&lt;01/08/2022")+ COUNTIFS(E_Suivi_Eans!$C:$C,"02/2022",E_Suivi_Eans!$D:$D,"Equipements élect. et électro.",E_Suivi_Eans!$J:$J,"Rejet 1",E_Suivi_Eans!$K:$K,"&gt;31/12/2021",E_Suivi_Eans!$K:$K,"&lt;01/08/2022")+COUNTIFS(E_Suivi_Eans!$C:$C,"02/2022",E_Suivi_Eans!$D:$D,"Equipements élect. et électro.",E_Suivi_Eans!$J:$J,"Rejet 2",E_Suivi_Eans!$K:$K,"&gt;31/12/2021",E_Suivi_Eans!$K:$K,"&lt;01/08/2022")+COUNTIFS(E_Suivi_Eans!$C:$C,"02/2022",E_Suivi_Eans!$D:$D,"Equipements élect. et électro.",E_Suivi_Eans!$J:$J,"Rejet 3",E_Suivi_Eans!$K:$K,"&gt;31/12/2021",E_Suivi_Eans!$K:$K,"&lt;01/08/2022")+ COUNTIFS(E_Suivi_Eans!$C:$C,"02/2022",E_Suivi_Eans!$D:$D,"Equipements élect. et électro.",E_Suivi_Eans!$J:$J,"Rejet 4",E_Suivi_Eans!$K:$K,"&gt;31/12/2021",E_Suivi_Eans!$K:$K,"&lt;01/08/2022")+COUNTIFS(E_Suivi_Eans!$C:$C,"02/2022",E_Suivi_Eans!$D:$D,"Equipements élect. et électro.",E_Suivi_Eans!$J:$J,"Relance 1",E_Suivi_Eans!$K:$K,"&gt;31/12/2021",E_Suivi_Eans!$K:$K,"&lt;01/08/2022")+COUNTIFS(E_Suivi_Eans!$C:$C,"02/2022",E_Suivi_Eans!$D:$D,"Equipements élect. et électro.",E_Suivi_Eans!$J:$J,"Relance 2",E_Suivi_Eans!$K:$K,"&gt;31/12/2021",E_Suivi_Eans!$K:$K,"&lt;01/08/2022")+COUNTIFS(E_Suivi_Eans!$C:$C,"02/2022",E_Suivi_Eans!$D:$D,"Equipements élect. et électro.",E_Suivi_Eans!$J:$J,"Relance 3",E_Suivi_Eans!$K:$K,"&gt;31/12/2021",E_Suivi_Eans!$K:$K,"&lt;01/08/2022")</f>
        <v>0</v>
      </c>
      <c r="E23" s="21">
        <f>COUNTIFS(E_Suivi_Eans!$C:$C,"02/2022",E_Suivi_Eans!$D:$D,"Equipements élect. et électro.",E_Suivi_Eans!$J:$J,"Abandon",E_Suivi_Eans!$K:$K,"&gt;31/12/2021",E_Suivi_Eans!K:K,"&lt;01/08/2022")</f>
        <v>0</v>
      </c>
      <c r="F23" s="21">
        <f>COUNTIFS(E_Suivi_Eans!$C:$C,"02/2022",E_Suivi_Eans!$D:$D,"Equipements élect. et électro.")</f>
        <v>0</v>
      </c>
      <c r="G23" s="21">
        <f t="shared" si="5"/>
        <v>0</v>
      </c>
      <c r="J23" s="20" t="s">
        <v>5315</v>
      </c>
      <c r="K23" s="20" t="s">
        <v>5320</v>
      </c>
      <c r="L23" s="28">
        <f t="shared" si="8"/>
        <v>0</v>
      </c>
      <c r="M23" s="28">
        <f t="shared" si="6"/>
        <v>1</v>
      </c>
      <c r="N23" s="28">
        <f t="shared" si="7"/>
        <v>0</v>
      </c>
      <c r="O23" s="28">
        <v>1</v>
      </c>
      <c r="P23" s="28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7"/>
    </row>
    <row r="24" spans="1:27">
      <c r="A24" s="20" t="s">
        <v>5315</v>
      </c>
      <c r="B24" s="20" t="s">
        <v>5321</v>
      </c>
      <c r="C24" s="21">
        <f>COUNTIFS(E_Suivi_Eans!$C:$C,"02/2022",E_Suivi_Eans!$D:$D,"Equipements élect. et électro.",E_Suivi_Eans!$J:$J,"Retour OK",E_Suivi_Eans!$K:$K,"&gt;31/12/2021",E_Suivi_Eans!K:K,"&lt;01/09/2022")</f>
        <v>0</v>
      </c>
      <c r="D24" s="21">
        <f>COUNTIFS(E_Suivi_Eans!$C:$C,"02/2022",E_Suivi_Eans!$D:$D,"Equipements élect. et électro.",E_Suivi_Eans!$J:$J,"Rejet 0",E_Suivi_Eans!$K:$K,"&gt;31/12/2021",E_Suivi_Eans!$K:$K,"&lt;01/09/2022")+ COUNTIFS(E_Suivi_Eans!$C:$C,"02/2022",E_Suivi_Eans!$D:$D,"Equipements élect. et électro.",E_Suivi_Eans!$J:$J,"Rejet 1",E_Suivi_Eans!$K:$K,"&gt;31/12/2021",E_Suivi_Eans!$K:$K,"&lt;01/09/2022")+COUNTIFS(E_Suivi_Eans!$C:$C,"02/2022",E_Suivi_Eans!$D:$D,"Equipements élect. et électro.",E_Suivi_Eans!$J:$J,"Rejet 2",E_Suivi_Eans!$K:$K,"&gt;31/12/2021",E_Suivi_Eans!$K:$K,"&lt;01/09/2022")+COUNTIFS(E_Suivi_Eans!$C:$C,"02/2022",E_Suivi_Eans!$D:$D,"Equipements élect. et électro.",E_Suivi_Eans!$J:$J,"Rejet 3",E_Suivi_Eans!$K:$K,"&gt;31/12/2021",E_Suivi_Eans!$K:$K,"&lt;01/09/2022")+ COUNTIFS(E_Suivi_Eans!$C:$C,"02/2022",E_Suivi_Eans!$D:$D,"Equipements élect. et électro.",E_Suivi_Eans!$J:$J,"Rejet 4",E_Suivi_Eans!$K:$K,"&gt;31/12/2021",E_Suivi_Eans!$K:$K,"&lt;01/09/2022")+COUNTIFS(E_Suivi_Eans!$C:$C,"02/2022",E_Suivi_Eans!$D:$D,"Equipements élect. et électro.",E_Suivi_Eans!$J:$J,"Relance 1",E_Suivi_Eans!$K:$K,"&gt;31/12/2021",E_Suivi_Eans!$K:$K,"&lt;01/09/2022")+COUNTIFS(E_Suivi_Eans!$C:$C,"02/2022",E_Suivi_Eans!$D:$D,"Equipements élect. et électro.",E_Suivi_Eans!$J:$J,"Relance 2",E_Suivi_Eans!$K:$K,"&gt;31/12/2021",E_Suivi_Eans!$K:$K,"&lt;01/09/2022")+COUNTIFS(E_Suivi_Eans!$C:$C,"02/2022",E_Suivi_Eans!$D:$D,"Equipements élect. et électro.",E_Suivi_Eans!$J:$J,"Relance 3",E_Suivi_Eans!$K:$K,"&gt;31/12/2021",E_Suivi_Eans!$K:$K,"&lt;01/09/2022")</f>
        <v>0</v>
      </c>
      <c r="E24" s="21">
        <f>COUNTIFS(E_Suivi_Eans!$C:$C,"02/2022",E_Suivi_Eans!$D:$D,"Equipements élect. et électro.",E_Suivi_Eans!$J:$J,"Abandon",E_Suivi_Eans!$K:$K,"&gt;31/12/2021",E_Suivi_Eans!K:K,"&lt;01/09/2022")</f>
        <v>0</v>
      </c>
      <c r="F24" s="21">
        <f>COUNTIFS(E_Suivi_Eans!$C:$C,"02/2022",E_Suivi_Eans!$D:$D,"Equipements élect. et électro.")</f>
        <v>0</v>
      </c>
      <c r="G24" s="21">
        <f t="shared" si="5"/>
        <v>0</v>
      </c>
      <c r="J24" s="20" t="s">
        <v>5315</v>
      </c>
      <c r="K24" s="20" t="s">
        <v>5321</v>
      </c>
      <c r="L24" s="28">
        <f t="shared" si="8"/>
        <v>0</v>
      </c>
      <c r="M24" s="28">
        <f t="shared" si="6"/>
        <v>1</v>
      </c>
      <c r="N24" s="28">
        <f t="shared" si="7"/>
        <v>0</v>
      </c>
      <c r="O24" s="28">
        <v>1</v>
      </c>
      <c r="P24" s="28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COUNTIFS(E_Suivi_Eans!$C:$C,"02/2022",E_Suivi_Eans!$D:$D,"Equipements élect. et électro.",E_Suivi_Eans!$J:$J,"Retour OK",E_Suivi_Eans!$K:$K,"&gt;31/12/2021",E_Suivi_Eans!K:K,"&lt;01/10/2022")</f>
        <v>0</v>
      </c>
      <c r="D25" s="21">
        <f>COUNTIFS(E_Suivi_Eans!$C:$C,"02/2022",E_Suivi_Eans!$D:$D,"Equipements élect. et électro.",E_Suivi_Eans!$J:$J,"Rejet 0",E_Suivi_Eans!$K:$K,"&gt;31/12/2021",E_Suivi_Eans!$K:$K,"&lt;01/10/2022")+ COUNTIFS(E_Suivi_Eans!$C:$C,"02/2022",E_Suivi_Eans!$D:$D,"Equipements élect. et électro.",E_Suivi_Eans!$J:$J,"Rejet 1",E_Suivi_Eans!$K:$K,"&gt;31/12/2021",E_Suivi_Eans!$K:$K,"&lt;01/10/2022")+COUNTIFS(E_Suivi_Eans!$C:$C,"02/2022",E_Suivi_Eans!$D:$D,"Equipements élect. et électro.",E_Suivi_Eans!$J:$J,"Rejet 2",E_Suivi_Eans!$K:$K,"&gt;31/12/2021",E_Suivi_Eans!$K:$K,"&lt;01/10/2022")+COUNTIFS(E_Suivi_Eans!$C:$C,"02/2022",E_Suivi_Eans!$D:$D,"Equipements élect. et électro.",E_Suivi_Eans!$J:$J,"Rejet 3",E_Suivi_Eans!$K:$K,"&gt;31/12/2021",E_Suivi_Eans!$K:$K,"&lt;01/10/2022")+ COUNTIFS(E_Suivi_Eans!$C:$C,"02/2022",E_Suivi_Eans!$D:$D,"Equipements élect. et électro.",E_Suivi_Eans!$J:$J,"Rejet 4",E_Suivi_Eans!$K:$K,"&gt;31/12/2021",E_Suivi_Eans!$K:$K,"&lt;01/10/2022")+COUNTIFS(E_Suivi_Eans!$C:$C,"02/2022",E_Suivi_Eans!$D:$D,"Equipements élect. et électro.",E_Suivi_Eans!$J:$J,"Relance 1",E_Suivi_Eans!$K:$K,"&gt;31/12/2021",E_Suivi_Eans!$K:$K,"&lt;01/10/2022")+COUNTIFS(E_Suivi_Eans!$C:$C,"02/2022",E_Suivi_Eans!$D:$D,"Equipements élect. et électro.",E_Suivi_Eans!$J:$J,"Relance 2",E_Suivi_Eans!$K:$K,"&gt;31/12/2021",E_Suivi_Eans!$K:$K,"&lt;01/10/2022")+COUNTIFS(E_Suivi_Eans!$C:$C,"02/2022",E_Suivi_Eans!$D:$D,"Equipements élect. et électro.",E_Suivi_Eans!$J:$J,"Relance 3",E_Suivi_Eans!$K:$K,"&gt;31/12/2021",E_Suivi_Eans!$K:$K,"&lt;01/10/2022")</f>
        <v>0</v>
      </c>
      <c r="E25" s="21">
        <f>COUNTIFS(E_Suivi_Eans!$C:$C,"02/2022",E_Suivi_Eans!$D:$D,"Equipements élect. et électro.",E_Suivi_Eans!$J:$J,"Abandon",E_Suivi_Eans!$K:$K,"&gt;31/12/2021",E_Suivi_Eans!K:K,"&lt;01/10/2022")</f>
        <v>0</v>
      </c>
      <c r="F25" s="21">
        <f>COUNTIFS(E_Suivi_Eans!$C:$C,"02/2022",E_Suivi_Eans!$D:$D,"Equipements élect. et électro.")</f>
        <v>0</v>
      </c>
      <c r="G25" s="21">
        <f t="shared" si="5"/>
        <v>0</v>
      </c>
      <c r="J25" s="20" t="s">
        <v>5315</v>
      </c>
      <c r="K25" s="20" t="s">
        <v>5325</v>
      </c>
      <c r="L25" s="28">
        <f t="shared" si="8"/>
        <v>0</v>
      </c>
      <c r="M25" s="28">
        <f t="shared" si="6"/>
        <v>1</v>
      </c>
      <c r="N25" s="28">
        <f t="shared" si="7"/>
        <v>0</v>
      </c>
      <c r="O25" s="28">
        <v>1</v>
      </c>
      <c r="P25" s="28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COUNTIFS(E_Suivi_Eans!$C:$C,"02/2022",E_Suivi_Eans!$D:$D,"Equipements élect. et électro.",E_Suivi_Eans!$J:$J,"Retour OK",E_Suivi_Eans!$K:$K,"&gt;31/12/2021",E_Suivi_Eans!K:K,"&lt;01/11/2022")</f>
        <v>0</v>
      </c>
      <c r="D26" s="21">
        <f>COUNTIFS(E_Suivi_Eans!$C:$C,"02/2022",E_Suivi_Eans!$D:$D,"Equipements élect. et électro.",E_Suivi_Eans!$J:$J,"Rejet 0",E_Suivi_Eans!$K:$K,"&gt;31/12/2021",E_Suivi_Eans!$K:$K,"&lt;01/11/2022")+ COUNTIFS(E_Suivi_Eans!$C:$C,"02/2022",E_Suivi_Eans!$D:$D,"Equipements élect. et électro.",E_Suivi_Eans!$J:$J,"Rejet 1",E_Suivi_Eans!$K:$K,"&gt;31/12/2021",E_Suivi_Eans!$K:$K,"&lt;01/11/2022")+COUNTIFS(E_Suivi_Eans!$C:$C,"02/2022",E_Suivi_Eans!$D:$D,"Equipements élect. et électro.",E_Suivi_Eans!$J:$J,"Rejet 2",E_Suivi_Eans!$K:$K,"&gt;31/12/2021",E_Suivi_Eans!$K:$K,"&lt;01/11/2022")+COUNTIFS(E_Suivi_Eans!$C:$C,"02/2022",E_Suivi_Eans!$D:$D,"Equipements élect. et électro.",E_Suivi_Eans!$J:$J,"Rejet 3",E_Suivi_Eans!$K:$K,"&gt;31/12/2021",E_Suivi_Eans!$K:$K,"&lt;01/11/2022")+ COUNTIFS(E_Suivi_Eans!$C:$C,"02/2022",E_Suivi_Eans!$D:$D,"Equipements élect. et électro.",E_Suivi_Eans!$J:$J,"Rejet 4",E_Suivi_Eans!$K:$K,"&gt;31/12/2021",E_Suivi_Eans!$K:$K,"&lt;01/11/2022")+COUNTIFS(E_Suivi_Eans!$C:$C,"02/2022",E_Suivi_Eans!$D:$D,"Equipements élect. et électro.",E_Suivi_Eans!$J:$J,"Relance 1",E_Suivi_Eans!$K:$K,"&gt;31/12/2021",E_Suivi_Eans!$K:$K,"&lt;01/11/2022")+COUNTIFS(E_Suivi_Eans!$C:$C,"02/2022",E_Suivi_Eans!$D:$D,"Equipements élect. et électro.",E_Suivi_Eans!$J:$J,"Relance 2",E_Suivi_Eans!$K:$K,"&gt;31/12/2021",E_Suivi_Eans!$K:$K,"&lt;01/11/2022")+COUNTIFS(E_Suivi_Eans!$C:$C,"02/2022",E_Suivi_Eans!$D:$D,"Equipements élect. et électro.",E_Suivi_Eans!$J:$J,"Relance 3",E_Suivi_Eans!$K:$K,"&gt;31/12/2021",E_Suivi_Eans!$K:$K,"&lt;01/11/2022")</f>
        <v>0</v>
      </c>
      <c r="E26" s="21">
        <f>COUNTIFS(E_Suivi_Eans!$C:$C,"02/2022",E_Suivi_Eans!$D:$D,"Equipements élect. et électro.",E_Suivi_Eans!$J:$J,"Abandon",E_Suivi_Eans!$K:$K,"&gt;31/12/2021",E_Suivi_Eans!K:K,"&lt;01/11/2022")</f>
        <v>0</v>
      </c>
      <c r="F26" s="21">
        <f>COUNTIFS(E_Suivi_Eans!$C:$C,"02/2022",E_Suivi_Eans!$D:$D,"Equipements élect. et électro.")</f>
        <v>0</v>
      </c>
      <c r="G26" s="21">
        <f t="shared" si="5"/>
        <v>0</v>
      </c>
      <c r="J26" s="20" t="s">
        <v>5315</v>
      </c>
      <c r="K26" s="20" t="s">
        <v>5326</v>
      </c>
      <c r="L26" s="28">
        <f t="shared" si="8"/>
        <v>0</v>
      </c>
      <c r="M26" s="28">
        <f t="shared" si="6"/>
        <v>1</v>
      </c>
      <c r="N26" s="28">
        <f t="shared" si="7"/>
        <v>0</v>
      </c>
      <c r="O26" s="28">
        <v>1</v>
      </c>
      <c r="P26" s="28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COUNTIFS(E_Suivi_Eans!$C:$C,"02/2022",E_Suivi_Eans!$D:$D,"Equipements élect. et électro.",E_Suivi_Eans!$J:$J,"Retour OK",E_Suivi_Eans!$K:$K,"&gt;31/12/2021",E_Suivi_Eans!K:K,"&lt;01/12/2022")</f>
        <v>0</v>
      </c>
      <c r="D27" s="21">
        <f>COUNTIFS(E_Suivi_Eans!$C:$C,"02/2022",E_Suivi_Eans!$D:$D,"Equipements élect. et électro.",E_Suivi_Eans!$J:$J,"Rejet 0",E_Suivi_Eans!$K:$K,"&gt;31/12/2021",E_Suivi_Eans!$K:$K,"&lt;01/12/2022")+ COUNTIFS(E_Suivi_Eans!$C:$C,"02/2022",E_Suivi_Eans!$D:$D,"Equipements élect. et électro.",E_Suivi_Eans!$J:$J,"Rejet 1",E_Suivi_Eans!$K:$K,"&gt;31/12/2021",E_Suivi_Eans!$K:$K,"&lt;01/12/2022")+COUNTIFS(E_Suivi_Eans!$C:$C,"02/2022",E_Suivi_Eans!$D:$D,"Equipements élect. et électro.",E_Suivi_Eans!$J:$J,"Rejet 2",E_Suivi_Eans!$K:$K,"&gt;31/12/2021",E_Suivi_Eans!$K:$K,"&lt;01/12/2022")+COUNTIFS(E_Suivi_Eans!$C:$C,"02/2022",E_Suivi_Eans!$D:$D,"Equipements élect. et électro.",E_Suivi_Eans!$J:$J,"Rejet 3",E_Suivi_Eans!$K:$K,"&gt;31/12/2021",E_Suivi_Eans!$K:$K,"&lt;01/12/2022")+ COUNTIFS(E_Suivi_Eans!$C:$C,"02/2022",E_Suivi_Eans!$D:$D,"Equipements élect. et électro.",E_Suivi_Eans!$J:$J,"Rejet 4",E_Suivi_Eans!$K:$K,"&gt;31/12/2021",E_Suivi_Eans!$K:$K,"&lt;01/12/2022")+COUNTIFS(E_Suivi_Eans!$C:$C,"02/2022",E_Suivi_Eans!$D:$D,"Equipements élect. et électro.",E_Suivi_Eans!$J:$J,"Relance 1",E_Suivi_Eans!$K:$K,"&gt;31/12/2021",E_Suivi_Eans!$K:$K,"&lt;01/12/2022")+COUNTIFS(E_Suivi_Eans!$C:$C,"02/2022",E_Suivi_Eans!$D:$D,"Equipements élect. et électro.",E_Suivi_Eans!$J:$J,"Relance 2",E_Suivi_Eans!$K:$K,"&gt;31/12/2021",E_Suivi_Eans!$K:$K,"&lt;01/12/2022")+COUNTIFS(E_Suivi_Eans!$C:$C,"02/2022",E_Suivi_Eans!$D:$D,"Equipements élect. et électro.",E_Suivi_Eans!$J:$J,"Relance 3",E_Suivi_Eans!$K:$K,"&gt;31/12/2021",E_Suivi_Eans!$K:$K,"&lt;01/12/2022")</f>
        <v>0</v>
      </c>
      <c r="E27" s="21">
        <f>COUNTIFS(E_Suivi_Eans!$C:$C,"02/2022",E_Suivi_Eans!$D:$D,"Equipements élect. et électro.",E_Suivi_Eans!$J:$J,"Abandon",E_Suivi_Eans!$K:$K,"&gt;31/12/2021",E_Suivi_Eans!K:K,"&lt;01/12/2022")</f>
        <v>0</v>
      </c>
      <c r="F27" s="21">
        <f>COUNTIFS(E_Suivi_Eans!$C:$C,"02/2022",E_Suivi_Eans!$D:$D,"Equipements élect. et électro.")</f>
        <v>0</v>
      </c>
      <c r="G27" s="21">
        <f t="shared" si="5"/>
        <v>0</v>
      </c>
      <c r="J27" s="20" t="s">
        <v>5315</v>
      </c>
      <c r="K27" s="20" t="s">
        <v>5327</v>
      </c>
      <c r="L27" s="28">
        <f t="shared" si="8"/>
        <v>0</v>
      </c>
      <c r="M27" s="28">
        <f t="shared" si="6"/>
        <v>1</v>
      </c>
      <c r="N27" s="28">
        <f t="shared" si="7"/>
        <v>0</v>
      </c>
      <c r="O27" s="28">
        <v>1</v>
      </c>
      <c r="P27" s="28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8"/>
      <c r="P28" s="28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5"/>
      <c r="F29" s="25"/>
      <c r="G29" s="25"/>
      <c r="J29" s="22"/>
      <c r="K29" s="22"/>
      <c r="L29" s="23"/>
      <c r="M29" s="24"/>
      <c r="N29" s="25"/>
      <c r="O29" s="31"/>
      <c r="P29" s="31"/>
      <c r="S29" s="22"/>
      <c r="T29" s="22"/>
      <c r="U29" s="23"/>
      <c r="V29" s="24"/>
      <c r="W29" s="25"/>
      <c r="X29" s="25"/>
      <c r="Y29" s="25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8"/>
      <c r="P30" s="28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8"/>
      <c r="P31" s="28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COUNTIFS(E_Suivi_Eans!$C:$C,"03/2022",E_Suivi_Eans!$D:$D,"Equipements élect. et électro.",E_Suivi_Eans!$J:$J,"Retour OK",E_Suivi_Eans!$K:$K,"&gt;31/12/2021",E_Suivi_Eans!K:K,"&lt;01/04/2022")</f>
        <v>0</v>
      </c>
      <c r="D32" s="21">
        <f>COUNTIFS(E_Suivi_Eans!$C:$C,"03/2022",E_Suivi_Eans!$D:$D,"Equipements élect. et électro.",E_Suivi_Eans!$J:$J,"Rejet 0",E_Suivi_Eans!$K:$K,"&gt;31/12/2021",E_Suivi_Eans!$K:$K,"&lt;01/04/2022")+ COUNTIFS(E_Suivi_Eans!$C:$C,"03/2022",E_Suivi_Eans!$D:$D,"Equipements élect. et électro.",E_Suivi_Eans!$J:$J,"Rejet 1",E_Suivi_Eans!$K:$K,"&gt;31/12/2021",E_Suivi_Eans!$K:$K,"&lt;01/04/2022")+COUNTIFS(E_Suivi_Eans!$C:$C,"03/2022",E_Suivi_Eans!$D:$D,"Equipements élect. et électro.",E_Suivi_Eans!$J:$J,"Rejet 2",E_Suivi_Eans!$K:$K,"&gt;31/12/2021",E_Suivi_Eans!$K:$K,"&lt;01/04/2022")+COUNTIFS(E_Suivi_Eans!$C:$C,"03/2022",E_Suivi_Eans!$D:$D,"Equipements élect. et électro.",E_Suivi_Eans!$J:$J,"Rejet 3",E_Suivi_Eans!$K:$K,"&gt;31/12/2021",E_Suivi_Eans!$K:$K,"&lt;01/04/2022")+ COUNTIFS(E_Suivi_Eans!$C:$C,"03/2022",E_Suivi_Eans!$D:$D,"Equipements élect. et électro.",E_Suivi_Eans!$J:$J,"Rejet 4",E_Suivi_Eans!$K:$K,"&gt;31/12/2021",E_Suivi_Eans!$K:$K,"&lt;01/04/2022")+COUNTIFS(E_Suivi_Eans!$C:$C,"03/2022",E_Suivi_Eans!$D:$D,"Equipements élect. et électro.",E_Suivi_Eans!$J:$J,"Relance 1",E_Suivi_Eans!$K:$K,"&gt;31/12/2021",E_Suivi_Eans!$K:$K,"&lt;01/04/2022")+COUNTIFS(E_Suivi_Eans!$C:$C,"03/2022",E_Suivi_Eans!$D:$D,"Equipements élect. et électro.",E_Suivi_Eans!$J:$J,"Relance 2",E_Suivi_Eans!$K:$K,"&gt;31/12/2021",E_Suivi_Eans!$K:$K,"&lt;01/04/2022")+COUNTIFS(E_Suivi_Eans!$C:$C,"03/2022",E_Suivi_Eans!$D:$D,"Equipements élect. et électro.",E_Suivi_Eans!$J:$J,"Relance 3",E_Suivi_Eans!$K:$K,"&gt;31/12/2021",E_Suivi_Eans!$K:$K,"&lt;01/04/2022")</f>
        <v>0</v>
      </c>
      <c r="E32" s="21">
        <f>COUNTIFS(E_Suivi_Eans!$C:$C,"03/2022",E_Suivi_Eans!$D:$D,"Equipements élect. et électro.",E_Suivi_Eans!$J:$J,"Abandon",E_Suivi_Eans!$K:$K,"&gt;31/12/2021",E_Suivi_Eans!K:K,"&lt;01/04/2022")</f>
        <v>0</v>
      </c>
      <c r="F32" s="21">
        <f>COUNTIFS(E_Suivi_Eans!$C:$C,"03/2022",E_Suivi_Eans!$D:$D,"Equipements élect. et électro.")</f>
        <v>0</v>
      </c>
      <c r="G32" s="21">
        <f t="shared" ref="G32:G40" si="9">F32-E32</f>
        <v>0</v>
      </c>
      <c r="J32" s="20" t="s">
        <v>5316</v>
      </c>
      <c r="K32" s="20" t="s">
        <v>5316</v>
      </c>
      <c r="L32" s="28">
        <f>IF($G32=0,0,C32/$G32)</f>
        <v>0</v>
      </c>
      <c r="M32" s="28">
        <f t="shared" ref="M32:M40" si="10">O32-L32-N32</f>
        <v>1</v>
      </c>
      <c r="N32" s="28">
        <f t="shared" ref="N32:N40" si="11">IF($G32=0,0,E32/$G32)</f>
        <v>0</v>
      </c>
      <c r="O32" s="28">
        <v>1</v>
      </c>
      <c r="P32" s="28">
        <f t="shared" ref="P32:P40" si="12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COUNTIFS(E_Suivi_Eans!$C:$C,"03/2022",E_Suivi_Eans!$D:$D,"Equipements élect. et électro.",E_Suivi_Eans!$J:$J,"Retour OK",E_Suivi_Eans!$K:$K,"&gt;31/12/2021",E_Suivi_Eans!K:K,"&lt;01/05/2022")</f>
        <v>0</v>
      </c>
      <c r="D33" s="21">
        <f>COUNTIFS(E_Suivi_Eans!$C:$C,"03/2022",E_Suivi_Eans!$D:$D,"Equipements élect. et électro.",E_Suivi_Eans!$J:$J,"Rejet 0",E_Suivi_Eans!$K:$K,"&gt;31/12/2021",E_Suivi_Eans!$K:$K,"&lt;01/05/2022")+ COUNTIFS(E_Suivi_Eans!$C:$C,"03/2022",E_Suivi_Eans!$D:$D,"Equipements élect. et électro.",E_Suivi_Eans!$J:$J,"Rejet 1",E_Suivi_Eans!$K:$K,"&gt;31/12/2021",E_Suivi_Eans!$K:$K,"&lt;01/05/2022")+COUNTIFS(E_Suivi_Eans!$C:$C,"03/2022",E_Suivi_Eans!$D:$D,"Equipements élect. et électro.",E_Suivi_Eans!$J:$J,"Rejet 2",E_Suivi_Eans!$K:$K,"&gt;31/12/2021",E_Suivi_Eans!$K:$K,"&lt;01/05/2022")+COUNTIFS(E_Suivi_Eans!$C:$C,"03/2022",E_Suivi_Eans!$D:$D,"Equipements élect. et électro.",E_Suivi_Eans!$J:$J,"Rejet 3",E_Suivi_Eans!$K:$K,"&gt;31/12/2021",E_Suivi_Eans!$K:$K,"&lt;01/05/2022")+ COUNTIFS(E_Suivi_Eans!$C:$C,"03/2022",E_Suivi_Eans!$D:$D,"Equipements élect. et électro.",E_Suivi_Eans!$J:$J,"Rejet 4",E_Suivi_Eans!$K:$K,"&gt;31/12/2021",E_Suivi_Eans!$K:$K,"&lt;01/05/2022")+COUNTIFS(E_Suivi_Eans!$C:$C,"03/2022",E_Suivi_Eans!$D:$D,"Equipements élect. et électro.",E_Suivi_Eans!$J:$J,"Relance 1",E_Suivi_Eans!$K:$K,"&gt;31/12/2021",E_Suivi_Eans!$K:$K,"&lt;01/05/2022")+COUNTIFS(E_Suivi_Eans!$C:$C,"03/2022",E_Suivi_Eans!$D:$D,"Equipements élect. et électro.",E_Suivi_Eans!$J:$J,"Relance 2",E_Suivi_Eans!$K:$K,"&gt;31/12/2021",E_Suivi_Eans!$K:$K,"&lt;01/05/2022")+COUNTIFS(E_Suivi_Eans!$C:$C,"03/2022",E_Suivi_Eans!$D:$D,"Equipements élect. et électro.",E_Suivi_Eans!$J:$J,"Relance 3",E_Suivi_Eans!$K:$K,"&gt;31/12/2021",E_Suivi_Eans!$K:$K,"&lt;01/05/2022")</f>
        <v>0</v>
      </c>
      <c r="E33" s="21">
        <f>COUNTIFS(E_Suivi_Eans!$C:$C,"03/2022",E_Suivi_Eans!$D:$D,"Equipements élect. et électro.",E_Suivi_Eans!$J:$J,"Abandon",E_Suivi_Eans!$K:$K,"&gt;31/12/2021",E_Suivi_Eans!K:K,"&lt;01/05/2022")</f>
        <v>0</v>
      </c>
      <c r="F33" s="21">
        <f>COUNTIFS(E_Suivi_Eans!$C:$C,"03/2022",E_Suivi_Eans!$D:$D,"Equipements élect. et électro.")</f>
        <v>0</v>
      </c>
      <c r="G33" s="21">
        <f t="shared" si="9"/>
        <v>0</v>
      </c>
      <c r="J33" s="20" t="s">
        <v>5316</v>
      </c>
      <c r="K33" s="20" t="s">
        <v>5317</v>
      </c>
      <c r="L33" s="28">
        <f t="shared" ref="L33:L40" si="13">IF($G33=0,0,C33/$G33)</f>
        <v>0</v>
      </c>
      <c r="M33" s="28">
        <f t="shared" si="10"/>
        <v>1</v>
      </c>
      <c r="N33" s="28">
        <f t="shared" si="11"/>
        <v>0</v>
      </c>
      <c r="O33" s="28">
        <v>1</v>
      </c>
      <c r="P33" s="28">
        <f t="shared" si="12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COUNTIFS(E_Suivi_Eans!$C:$C,"03/2022",E_Suivi_Eans!$D:$D,"Equipements élect. et électro.",E_Suivi_Eans!$J:$J,"Retour OK",E_Suivi_Eans!$K:$K,"&gt;31/12/2021",E_Suivi_Eans!K:K,"&lt;01/06/2022")</f>
        <v>0</v>
      </c>
      <c r="D34" s="21">
        <f>COUNTIFS(E_Suivi_Eans!$C:$C,"03/2022",E_Suivi_Eans!$D:$D,"Equipements élect. et électro.",E_Suivi_Eans!$J:$J,"Rejet 0",E_Suivi_Eans!$K:$K,"&gt;31/12/2021",E_Suivi_Eans!$K:$K,"&lt;01/06/2022")+ COUNTIFS(E_Suivi_Eans!$C:$C,"03/2022",E_Suivi_Eans!$D:$D,"Equipements élect. et électro.",E_Suivi_Eans!$J:$J,"Rejet 1",E_Suivi_Eans!$K:$K,"&gt;31/12/2021",E_Suivi_Eans!$K:$K,"&lt;01/06/2022")+COUNTIFS(E_Suivi_Eans!$C:$C,"03/2022",E_Suivi_Eans!$D:$D,"Equipements élect. et électro.",E_Suivi_Eans!$J:$J,"Rejet 2",E_Suivi_Eans!$K:$K,"&gt;31/12/2021",E_Suivi_Eans!$K:$K,"&lt;01/06/2022")+COUNTIFS(E_Suivi_Eans!$C:$C,"03/2022",E_Suivi_Eans!$D:$D,"Equipements élect. et électro.",E_Suivi_Eans!$J:$J,"Rejet 3",E_Suivi_Eans!$K:$K,"&gt;31/12/2021",E_Suivi_Eans!$K:$K,"&lt;01/06/2022")+ COUNTIFS(E_Suivi_Eans!$C:$C,"03/2022",E_Suivi_Eans!$D:$D,"Equipements élect. et électro.",E_Suivi_Eans!$J:$J,"Rejet 4",E_Suivi_Eans!$K:$K,"&gt;31/12/2021",E_Suivi_Eans!$K:$K,"&lt;01/06/2022")+COUNTIFS(E_Suivi_Eans!$C:$C,"03/2022",E_Suivi_Eans!$D:$D,"Equipements élect. et électro.",E_Suivi_Eans!$J:$J,"Relance 1",E_Suivi_Eans!$K:$K,"&gt;31/12/2021",E_Suivi_Eans!$K:$K,"&lt;01/06/2022")+COUNTIFS(E_Suivi_Eans!$C:$C,"03/2022",E_Suivi_Eans!$D:$D,"Equipements élect. et électro.",E_Suivi_Eans!$J:$J,"Relance 2",E_Suivi_Eans!$K:$K,"&gt;31/12/2021",E_Suivi_Eans!$K:$K,"&lt;01/06/2022")+COUNTIFS(E_Suivi_Eans!$C:$C,"03/2022",E_Suivi_Eans!$D:$D,"Equipements élect. et électro.",E_Suivi_Eans!$J:$J,"Relance 3",E_Suivi_Eans!$K:$K,"&gt;31/12/2021",E_Suivi_Eans!$K:$K,"&lt;01/06/2022")</f>
        <v>0</v>
      </c>
      <c r="E34" s="21">
        <f>COUNTIFS(E_Suivi_Eans!$C:$C,"03/2022",E_Suivi_Eans!$D:$D,"Equipements élect. et électro.",E_Suivi_Eans!$J:$J,"Abandon",E_Suivi_Eans!$K:$K,"&gt;31/12/2021",E_Suivi_Eans!K:K,"&lt;01/06/2022")</f>
        <v>0</v>
      </c>
      <c r="F34" s="21">
        <f>COUNTIFS(E_Suivi_Eans!$C:$C,"03/2022",E_Suivi_Eans!$D:$D,"Equipements élect. et électro.")</f>
        <v>0</v>
      </c>
      <c r="G34" s="21">
        <f t="shared" si="9"/>
        <v>0</v>
      </c>
      <c r="J34" s="20" t="s">
        <v>5316</v>
      </c>
      <c r="K34" s="20" t="s">
        <v>5318</v>
      </c>
      <c r="L34" s="28">
        <f t="shared" si="13"/>
        <v>0</v>
      </c>
      <c r="M34" s="28">
        <f t="shared" si="10"/>
        <v>1</v>
      </c>
      <c r="N34" s="28">
        <f t="shared" si="11"/>
        <v>0</v>
      </c>
      <c r="O34" s="28">
        <v>1</v>
      </c>
      <c r="P34" s="28">
        <f t="shared" si="12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COUNTIFS(E_Suivi_Eans!$C:$C,"03/2022",E_Suivi_Eans!$D:$D,"Equipements élect. et électro.",E_Suivi_Eans!$J:$J,"Retour OK",E_Suivi_Eans!$K:$K,"&gt;31/12/2021",E_Suivi_Eans!K:K,"&lt;01/07/2022")</f>
        <v>0</v>
      </c>
      <c r="D35" s="21">
        <f>COUNTIFS(E_Suivi_Eans!$C:$C,"03/2022",E_Suivi_Eans!$D:$D,"Equipements élect. et électro.",E_Suivi_Eans!$J:$J,"Rejet 0",E_Suivi_Eans!$K:$K,"&gt;31/12/2021",E_Suivi_Eans!$K:$K,"&lt;01/07/2022")+ COUNTIFS(E_Suivi_Eans!$C:$C,"03/2022",E_Suivi_Eans!$D:$D,"Equipements élect. et électro.",E_Suivi_Eans!$J:$J,"Rejet 1",E_Suivi_Eans!$K:$K,"&gt;31/12/2021",E_Suivi_Eans!$K:$K,"&lt;01/07/2022")+COUNTIFS(E_Suivi_Eans!$C:$C,"03/2022",E_Suivi_Eans!$D:$D,"Equipements élect. et électro.",E_Suivi_Eans!$J:$J,"Rejet 2",E_Suivi_Eans!$K:$K,"&gt;31/12/2021",E_Suivi_Eans!$K:$K,"&lt;01/07/2022")+COUNTIFS(E_Suivi_Eans!$C:$C,"03/2022",E_Suivi_Eans!$D:$D,"Equipements élect. et électro.",E_Suivi_Eans!$J:$J,"Rejet 3",E_Suivi_Eans!$K:$K,"&gt;31/12/2021",E_Suivi_Eans!$K:$K,"&lt;01/07/2022")+ COUNTIFS(E_Suivi_Eans!$C:$C,"03/2022",E_Suivi_Eans!$D:$D,"Equipements élect. et électro.",E_Suivi_Eans!$J:$J,"Rejet 4",E_Suivi_Eans!$K:$K,"&gt;31/12/2021",E_Suivi_Eans!$K:$K,"&lt;01/07/2022")+COUNTIFS(E_Suivi_Eans!$C:$C,"03/2022",E_Suivi_Eans!$D:$D,"Equipements élect. et électro.",E_Suivi_Eans!$J:$J,"Relance 1",E_Suivi_Eans!$K:$K,"&gt;31/12/2021",E_Suivi_Eans!$K:$K,"&lt;01/07/2022")+COUNTIFS(E_Suivi_Eans!$C:$C,"03/2022",E_Suivi_Eans!$D:$D,"Equipements élect. et électro.",E_Suivi_Eans!$J:$J,"Relance 2",E_Suivi_Eans!$K:$K,"&gt;31/12/2021",E_Suivi_Eans!$K:$K,"&lt;01/07/2022")+COUNTIFS(E_Suivi_Eans!$C:$C,"03/2022",E_Suivi_Eans!$D:$D,"Equipements élect. et électro.",E_Suivi_Eans!$J:$J,"Relance 3",E_Suivi_Eans!$K:$K,"&gt;31/12/2021",E_Suivi_Eans!$K:$K,"&lt;01/07/2022")</f>
        <v>0</v>
      </c>
      <c r="E35" s="21">
        <f>COUNTIFS(E_Suivi_Eans!$C:$C,"03/2022",E_Suivi_Eans!$D:$D,"Equipements élect. et électro.",E_Suivi_Eans!$J:$J,"Abandon",E_Suivi_Eans!$K:$K,"&gt;31/12/2021",E_Suivi_Eans!K:K,"&lt;01/07/2022")</f>
        <v>0</v>
      </c>
      <c r="F35" s="21">
        <f>COUNTIFS(E_Suivi_Eans!$C:$C,"03/2022",E_Suivi_Eans!$D:$D,"Equipements élect. et électro.")</f>
        <v>0</v>
      </c>
      <c r="G35" s="21">
        <f t="shared" si="9"/>
        <v>0</v>
      </c>
      <c r="J35" s="20" t="s">
        <v>5316</v>
      </c>
      <c r="K35" s="20" t="s">
        <v>5319</v>
      </c>
      <c r="L35" s="28">
        <f t="shared" si="13"/>
        <v>0</v>
      </c>
      <c r="M35" s="28">
        <f t="shared" si="10"/>
        <v>1</v>
      </c>
      <c r="N35" s="28">
        <f t="shared" si="11"/>
        <v>0</v>
      </c>
      <c r="O35" s="28">
        <v>1</v>
      </c>
      <c r="P35" s="28">
        <f t="shared" si="12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COUNTIFS(E_Suivi_Eans!$C:$C,"03/2022",E_Suivi_Eans!$D:$D,"Equipements élect. et électro.",E_Suivi_Eans!$J:$J,"Retour OK",E_Suivi_Eans!$K:$K,"&gt;31/12/2021",E_Suivi_Eans!K:K,"&lt;01/08/2022")</f>
        <v>0</v>
      </c>
      <c r="D36" s="21">
        <f>COUNTIFS(E_Suivi_Eans!$C:$C,"03/2022",E_Suivi_Eans!$D:$D,"Equipements élect. et électro.",E_Suivi_Eans!$J:$J,"Rejet 0",E_Suivi_Eans!$K:$K,"&gt;31/12/2021",E_Suivi_Eans!$K:$K,"&lt;01/08/2022")+ COUNTIFS(E_Suivi_Eans!$C:$C,"03/2022",E_Suivi_Eans!$D:$D,"Equipements élect. et électro.",E_Suivi_Eans!$J:$J,"Rejet 1",E_Suivi_Eans!$K:$K,"&gt;31/12/2021",E_Suivi_Eans!$K:$K,"&lt;01/08/2022")+COUNTIFS(E_Suivi_Eans!$C:$C,"03/2022",E_Suivi_Eans!$D:$D,"Equipements élect. et électro.",E_Suivi_Eans!$J:$J,"Rejet 2",E_Suivi_Eans!$K:$K,"&gt;31/12/2021",E_Suivi_Eans!$K:$K,"&lt;01/08/2022")+COUNTIFS(E_Suivi_Eans!$C:$C,"03/2022",E_Suivi_Eans!$D:$D,"Equipements élect. et électro.",E_Suivi_Eans!$J:$J,"Rejet 3",E_Suivi_Eans!$K:$K,"&gt;31/12/2021",E_Suivi_Eans!$K:$K,"&lt;01/08/2022")+ COUNTIFS(E_Suivi_Eans!$C:$C,"03/2022",E_Suivi_Eans!$D:$D,"Equipements élect. et électro.",E_Suivi_Eans!$J:$J,"Rejet 4",E_Suivi_Eans!$K:$K,"&gt;31/12/2021",E_Suivi_Eans!$K:$K,"&lt;01/08/2022")+COUNTIFS(E_Suivi_Eans!$C:$C,"03/2022",E_Suivi_Eans!$D:$D,"Equipements élect. et électro.",E_Suivi_Eans!$J:$J,"Relance 1",E_Suivi_Eans!$K:$K,"&gt;31/12/2021",E_Suivi_Eans!$K:$K,"&lt;01/08/2022")+COUNTIFS(E_Suivi_Eans!$C:$C,"03/2022",E_Suivi_Eans!$D:$D,"Equipements élect. et électro.",E_Suivi_Eans!$J:$J,"Relance 2",E_Suivi_Eans!$K:$K,"&gt;31/12/2021",E_Suivi_Eans!$K:$K,"&lt;01/08/2022")+COUNTIFS(E_Suivi_Eans!$C:$C,"03/2022",E_Suivi_Eans!$D:$D,"Equipements élect. et électro.",E_Suivi_Eans!$J:$J,"Relance 3",E_Suivi_Eans!$K:$K,"&gt;31/12/2021",E_Suivi_Eans!$K:$K,"&lt;01/08/2022")</f>
        <v>0</v>
      </c>
      <c r="E36" s="21">
        <f>COUNTIFS(E_Suivi_Eans!$C:$C,"03/2022",E_Suivi_Eans!$D:$D,"Equipements élect. et électro.",E_Suivi_Eans!$J:$J,"Abandon",E_Suivi_Eans!$K:$K,"&gt;31/12/2021",E_Suivi_Eans!K:K,"&lt;01/08/2022")</f>
        <v>0</v>
      </c>
      <c r="F36" s="21">
        <f>COUNTIFS(E_Suivi_Eans!$C:$C,"03/2022",E_Suivi_Eans!$D:$D,"Equipements élect. et électro.")</f>
        <v>0</v>
      </c>
      <c r="G36" s="21">
        <f t="shared" si="9"/>
        <v>0</v>
      </c>
      <c r="J36" s="20" t="s">
        <v>5316</v>
      </c>
      <c r="K36" s="20" t="s">
        <v>5320</v>
      </c>
      <c r="L36" s="28">
        <f t="shared" si="13"/>
        <v>0</v>
      </c>
      <c r="M36" s="28">
        <f t="shared" si="10"/>
        <v>1</v>
      </c>
      <c r="N36" s="28">
        <f t="shared" si="11"/>
        <v>0</v>
      </c>
      <c r="O36" s="28">
        <v>1</v>
      </c>
      <c r="P36" s="28">
        <f t="shared" si="12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COUNTIFS(E_Suivi_Eans!$C:$C,"03/2022",E_Suivi_Eans!$D:$D,"Equipements élect. et électro.",E_Suivi_Eans!$J:$J,"Retour OK",E_Suivi_Eans!$K:$K,"&gt;31/12/2021",E_Suivi_Eans!K:K,"&lt;01/09/2022")</f>
        <v>0</v>
      </c>
      <c r="D37" s="21">
        <f>COUNTIFS(E_Suivi_Eans!$C:$C,"03/2022",E_Suivi_Eans!$D:$D,"Equipements élect. et électro.",E_Suivi_Eans!$J:$J,"Rejet 0",E_Suivi_Eans!$K:$K,"&gt;31/12/2021",E_Suivi_Eans!$K:$K,"&lt;01/09/2022")+ COUNTIFS(E_Suivi_Eans!$C:$C,"03/2022",E_Suivi_Eans!$D:$D,"Equipements élect. et électro.",E_Suivi_Eans!$J:$J,"Rejet 1",E_Suivi_Eans!$K:$K,"&gt;31/12/2021",E_Suivi_Eans!$K:$K,"&lt;01/09/2022")+COUNTIFS(E_Suivi_Eans!$C:$C,"03/2022",E_Suivi_Eans!$D:$D,"Equipements élect. et électro.",E_Suivi_Eans!$J:$J,"Rejet 2",E_Suivi_Eans!$K:$K,"&gt;31/12/2021",E_Suivi_Eans!$K:$K,"&lt;01/09/2022")+COUNTIFS(E_Suivi_Eans!$C:$C,"03/2022",E_Suivi_Eans!$D:$D,"Equipements élect. et électro.",E_Suivi_Eans!$J:$J,"Rejet 3",E_Suivi_Eans!$K:$K,"&gt;31/12/2021",E_Suivi_Eans!$K:$K,"&lt;01/09/2022")+ COUNTIFS(E_Suivi_Eans!$C:$C,"03/2022",E_Suivi_Eans!$D:$D,"Equipements élect. et électro.",E_Suivi_Eans!$J:$J,"Rejet 4",E_Suivi_Eans!$K:$K,"&gt;31/12/2021",E_Suivi_Eans!$K:$K,"&lt;01/09/2022")+COUNTIFS(E_Suivi_Eans!$C:$C,"03/2022",E_Suivi_Eans!$D:$D,"Equipements élect. et électro.",E_Suivi_Eans!$J:$J,"Relance 1",E_Suivi_Eans!$K:$K,"&gt;31/12/2021",E_Suivi_Eans!$K:$K,"&lt;01/09/2022")+COUNTIFS(E_Suivi_Eans!$C:$C,"03/2022",E_Suivi_Eans!$D:$D,"Equipements élect. et électro.",E_Suivi_Eans!$J:$J,"Relance 2",E_Suivi_Eans!$K:$K,"&gt;31/12/2021",E_Suivi_Eans!$K:$K,"&lt;01/09/2022")+COUNTIFS(E_Suivi_Eans!$C:$C,"03/2022",E_Suivi_Eans!$D:$D,"Equipements élect. et électro.",E_Suivi_Eans!$J:$J,"Relance 3",E_Suivi_Eans!$K:$K,"&gt;31/12/2021",E_Suivi_Eans!$K:$K,"&lt;01/09/2022")</f>
        <v>0</v>
      </c>
      <c r="E37" s="21">
        <f>COUNTIFS(E_Suivi_Eans!$C:$C,"03/2022",E_Suivi_Eans!$D:$D,"Equipements élect. et électro.",E_Suivi_Eans!$J:$J,"Abandon",E_Suivi_Eans!$K:$K,"&gt;31/12/2021",E_Suivi_Eans!K:K,"&lt;01/09/2022")</f>
        <v>0</v>
      </c>
      <c r="F37" s="21">
        <f>COUNTIFS(E_Suivi_Eans!$C:$C,"03/2022",E_Suivi_Eans!$D:$D,"Equipements élect. et électro.")</f>
        <v>0</v>
      </c>
      <c r="G37" s="21">
        <f t="shared" si="9"/>
        <v>0</v>
      </c>
      <c r="J37" s="20" t="s">
        <v>5316</v>
      </c>
      <c r="K37" s="20" t="s">
        <v>5321</v>
      </c>
      <c r="L37" s="28">
        <f t="shared" si="13"/>
        <v>0</v>
      </c>
      <c r="M37" s="28">
        <f t="shared" si="10"/>
        <v>1</v>
      </c>
      <c r="N37" s="28">
        <f t="shared" si="11"/>
        <v>0</v>
      </c>
      <c r="O37" s="28">
        <v>1</v>
      </c>
      <c r="P37" s="28">
        <f t="shared" si="12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COUNTIFS(E_Suivi_Eans!$C:$C,"03/2022",E_Suivi_Eans!$D:$D,"Equipements élect. et électro.",E_Suivi_Eans!$J:$J,"Retour OK",E_Suivi_Eans!$K:$K,"&gt;31/12/2021",E_Suivi_Eans!K:K,"&lt;01/10/2022")</f>
        <v>0</v>
      </c>
      <c r="D38" s="21">
        <f>COUNTIFS(E_Suivi_Eans!$C:$C,"03/2022",E_Suivi_Eans!$D:$D,"Equipements élect. et électro.",E_Suivi_Eans!$J:$J,"Rejet 0",E_Suivi_Eans!$K:$K,"&gt;31/12/2021",E_Suivi_Eans!$K:$K,"&lt;01/10/2022")+ COUNTIFS(E_Suivi_Eans!$C:$C,"03/2022",E_Suivi_Eans!$D:$D,"Equipements élect. et électro.",E_Suivi_Eans!$J:$J,"Rejet 1",E_Suivi_Eans!$K:$K,"&gt;31/12/2021",E_Suivi_Eans!$K:$K,"&lt;01/10/2022")+COUNTIFS(E_Suivi_Eans!$C:$C,"03/2022",E_Suivi_Eans!$D:$D,"Equipements élect. et électro.",E_Suivi_Eans!$J:$J,"Rejet 2",E_Suivi_Eans!$K:$K,"&gt;31/12/2021",E_Suivi_Eans!$K:$K,"&lt;01/10/2022")+COUNTIFS(E_Suivi_Eans!$C:$C,"03/2022",E_Suivi_Eans!$D:$D,"Equipements élect. et électro.",E_Suivi_Eans!$J:$J,"Rejet 3",E_Suivi_Eans!$K:$K,"&gt;31/12/2021",E_Suivi_Eans!$K:$K,"&lt;01/10/2022")+ COUNTIFS(E_Suivi_Eans!$C:$C,"03/2022",E_Suivi_Eans!$D:$D,"Equipements élect. et électro.",E_Suivi_Eans!$J:$J,"Rejet 4",E_Suivi_Eans!$K:$K,"&gt;31/12/2021",E_Suivi_Eans!$K:$K,"&lt;01/10/2022")+COUNTIFS(E_Suivi_Eans!$C:$C,"03/2022",E_Suivi_Eans!$D:$D,"Equipements élect. et électro.",E_Suivi_Eans!$J:$J,"Relance 1",E_Suivi_Eans!$K:$K,"&gt;31/12/2021",E_Suivi_Eans!$K:$K,"&lt;01/10/2022")+COUNTIFS(E_Suivi_Eans!$C:$C,"03/2022",E_Suivi_Eans!$D:$D,"Equipements élect. et électro.",E_Suivi_Eans!$J:$J,"Relance 2",E_Suivi_Eans!$K:$K,"&gt;31/12/2021",E_Suivi_Eans!$K:$K,"&lt;01/10/2022")+COUNTIFS(E_Suivi_Eans!$C:$C,"03/2022",E_Suivi_Eans!$D:$D,"Equipements élect. et électro.",E_Suivi_Eans!$J:$J,"Relance 3",E_Suivi_Eans!$K:$K,"&gt;31/12/2021",E_Suivi_Eans!$K:$K,"&lt;01/10/2022")</f>
        <v>0</v>
      </c>
      <c r="E38" s="21">
        <f>COUNTIFS(E_Suivi_Eans!$C:$C,"03/2022",E_Suivi_Eans!$D:$D,"Equipements élect. et électro.",E_Suivi_Eans!$J:$J,"Abandon",E_Suivi_Eans!$K:$K,"&gt;31/12/2021",E_Suivi_Eans!K:K,"&lt;01/10/2022")</f>
        <v>0</v>
      </c>
      <c r="F38" s="21">
        <f>COUNTIFS(E_Suivi_Eans!$C:$C,"03/2022",E_Suivi_Eans!$D:$D,"Equipements élect. et électro.")</f>
        <v>0</v>
      </c>
      <c r="G38" s="21">
        <f t="shared" si="9"/>
        <v>0</v>
      </c>
      <c r="J38" s="20" t="s">
        <v>5316</v>
      </c>
      <c r="K38" s="20" t="s">
        <v>5325</v>
      </c>
      <c r="L38" s="28">
        <f t="shared" si="13"/>
        <v>0</v>
      </c>
      <c r="M38" s="28">
        <f t="shared" si="10"/>
        <v>1</v>
      </c>
      <c r="N38" s="28">
        <f t="shared" si="11"/>
        <v>0</v>
      </c>
      <c r="O38" s="28">
        <v>1</v>
      </c>
      <c r="P38" s="28">
        <f t="shared" si="12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COUNTIFS(E_Suivi_Eans!$C:$C,"03/2022",E_Suivi_Eans!$D:$D,"Equipements élect. et électro.",E_Suivi_Eans!$J:$J,"Retour OK",E_Suivi_Eans!$K:$K,"&gt;31/12/2021",E_Suivi_Eans!K:K,"&lt;01/11/2022")</f>
        <v>0</v>
      </c>
      <c r="D39" s="21">
        <f>COUNTIFS(E_Suivi_Eans!$C:$C,"03/2022",E_Suivi_Eans!$D:$D,"Equipements élect. et électro.",E_Suivi_Eans!$J:$J,"Rejet 0",E_Suivi_Eans!$K:$K,"&gt;31/12/2021",E_Suivi_Eans!$K:$K,"&lt;01/11/2022")+ COUNTIFS(E_Suivi_Eans!$C:$C,"03/2022",E_Suivi_Eans!$D:$D,"Equipements élect. et électro.",E_Suivi_Eans!$J:$J,"Rejet 1",E_Suivi_Eans!$K:$K,"&gt;31/12/2021",E_Suivi_Eans!$K:$K,"&lt;01/11/2022")+COUNTIFS(E_Suivi_Eans!$C:$C,"03/2022",E_Suivi_Eans!$D:$D,"Equipements élect. et électro.",E_Suivi_Eans!$J:$J,"Rejet 2",E_Suivi_Eans!$K:$K,"&gt;31/12/2021",E_Suivi_Eans!$K:$K,"&lt;01/11/2022")+COUNTIFS(E_Suivi_Eans!$C:$C,"03/2022",E_Suivi_Eans!$D:$D,"Equipements élect. et électro.",E_Suivi_Eans!$J:$J,"Rejet 3",E_Suivi_Eans!$K:$K,"&gt;31/12/2021",E_Suivi_Eans!$K:$K,"&lt;01/11/2022")+ COUNTIFS(E_Suivi_Eans!$C:$C,"03/2022",E_Suivi_Eans!$D:$D,"Equipements élect. et électro.",E_Suivi_Eans!$J:$J,"Rejet 4",E_Suivi_Eans!$K:$K,"&gt;31/12/2021",E_Suivi_Eans!$K:$K,"&lt;01/11/2022")+COUNTIFS(E_Suivi_Eans!$C:$C,"03/2022",E_Suivi_Eans!$D:$D,"Equipements élect. et électro.",E_Suivi_Eans!$J:$J,"Relance 1",E_Suivi_Eans!$K:$K,"&gt;31/12/2021",E_Suivi_Eans!$K:$K,"&lt;01/11/2022")+COUNTIFS(E_Suivi_Eans!$C:$C,"03/2022",E_Suivi_Eans!$D:$D,"Equipements élect. et électro.",E_Suivi_Eans!$J:$J,"Relance 2",E_Suivi_Eans!$K:$K,"&gt;31/12/2021",E_Suivi_Eans!$K:$K,"&lt;01/11/2022")+COUNTIFS(E_Suivi_Eans!$C:$C,"03/2022",E_Suivi_Eans!$D:$D,"Equipements élect. et électro.",E_Suivi_Eans!$J:$J,"Relance 3",E_Suivi_Eans!$K:$K,"&gt;31/12/2021",E_Suivi_Eans!$K:$K,"&lt;01/11/2022")</f>
        <v>0</v>
      </c>
      <c r="E39" s="21">
        <f>COUNTIFS(E_Suivi_Eans!$C:$C,"03/2022",E_Suivi_Eans!$D:$D,"Equipements élect. et électro.",E_Suivi_Eans!$J:$J,"Abandon",E_Suivi_Eans!$K:$K,"&gt;31/12/2021",E_Suivi_Eans!K:K,"&lt;01/11/2022")</f>
        <v>0</v>
      </c>
      <c r="F39" s="21">
        <f>COUNTIFS(E_Suivi_Eans!$C:$C,"03/2022",E_Suivi_Eans!$D:$D,"Equipements élect. et électro.")</f>
        <v>0</v>
      </c>
      <c r="G39" s="21">
        <f t="shared" si="9"/>
        <v>0</v>
      </c>
      <c r="J39" s="20" t="s">
        <v>5316</v>
      </c>
      <c r="K39" s="20" t="s">
        <v>5326</v>
      </c>
      <c r="L39" s="28">
        <f t="shared" si="13"/>
        <v>0</v>
      </c>
      <c r="M39" s="28">
        <f t="shared" si="10"/>
        <v>1</v>
      </c>
      <c r="N39" s="28">
        <f t="shared" si="11"/>
        <v>0</v>
      </c>
      <c r="O39" s="28">
        <v>1</v>
      </c>
      <c r="P39" s="28">
        <f t="shared" si="12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COUNTIFS(E_Suivi_Eans!$C:$C,"03/2022",E_Suivi_Eans!$D:$D,"Equipements élect. et électro.",E_Suivi_Eans!$J:$J,"Retour OK",E_Suivi_Eans!$K:$K,"&gt;31/12/2021",E_Suivi_Eans!K:K,"&lt;01/12/2022")</f>
        <v>0</v>
      </c>
      <c r="D40" s="21">
        <f>COUNTIFS(E_Suivi_Eans!$C:$C,"03/2022",E_Suivi_Eans!$D:$D,"Equipements élect. et électro.",E_Suivi_Eans!$J:$J,"Rejet 0",E_Suivi_Eans!$K:$K,"&gt;31/12/2021",E_Suivi_Eans!$K:$K,"&lt;01/12/2022")+ COUNTIFS(E_Suivi_Eans!$C:$C,"03/2022",E_Suivi_Eans!$D:$D,"Equipements élect. et électro.",E_Suivi_Eans!$J:$J,"Rejet 1",E_Suivi_Eans!$K:$K,"&gt;31/12/2021",E_Suivi_Eans!$K:$K,"&lt;01/12/2022")+COUNTIFS(E_Suivi_Eans!$C:$C,"03/2022",E_Suivi_Eans!$D:$D,"Equipements élect. et électro.",E_Suivi_Eans!$J:$J,"Rejet 2",E_Suivi_Eans!$K:$K,"&gt;31/12/2021",E_Suivi_Eans!$K:$K,"&lt;01/12/2022")+COUNTIFS(E_Suivi_Eans!$C:$C,"03/2022",E_Suivi_Eans!$D:$D,"Equipements élect. et électro.",E_Suivi_Eans!$J:$J,"Rejet 3",E_Suivi_Eans!$K:$K,"&gt;31/12/2021",E_Suivi_Eans!$K:$K,"&lt;01/12/2022")+ COUNTIFS(E_Suivi_Eans!$C:$C,"03/2022",E_Suivi_Eans!$D:$D,"Equipements élect. et électro.",E_Suivi_Eans!$J:$J,"Rejet 4",E_Suivi_Eans!$K:$K,"&gt;31/12/2021",E_Suivi_Eans!$K:$K,"&lt;01/12/2022")+COUNTIFS(E_Suivi_Eans!$C:$C,"03/2022",E_Suivi_Eans!$D:$D,"Equipements élect. et électro.",E_Suivi_Eans!$J:$J,"Relance 1",E_Suivi_Eans!$K:$K,"&gt;31/12/2021",E_Suivi_Eans!$K:$K,"&lt;01/12/2022")+COUNTIFS(E_Suivi_Eans!$C:$C,"03/2022",E_Suivi_Eans!$D:$D,"Equipements élect. et électro.",E_Suivi_Eans!$J:$J,"Relance 2",E_Suivi_Eans!$K:$K,"&gt;31/12/2021",E_Suivi_Eans!$K:$K,"&lt;01/12/2022")+COUNTIFS(E_Suivi_Eans!$C:$C,"03/2022",E_Suivi_Eans!$D:$D,"Equipements élect. et électro.",E_Suivi_Eans!$J:$J,"Relance 3",E_Suivi_Eans!$K:$K,"&gt;31/12/2021",E_Suivi_Eans!$K:$K,"&lt;01/12/2022")</f>
        <v>0</v>
      </c>
      <c r="E40" s="21">
        <f>COUNTIFS(E_Suivi_Eans!$C:$C,"03/2022",E_Suivi_Eans!$D:$D,"Equipements élect. et électro.",E_Suivi_Eans!$J:$J,"Abandon",E_Suivi_Eans!$K:$K,"&gt;31/12/2021",E_Suivi_Eans!K:K,"&lt;01/12/2022")</f>
        <v>0</v>
      </c>
      <c r="F40" s="21">
        <f>COUNTIFS(E_Suivi_Eans!$C:$C,"03/2022",E_Suivi_Eans!$D:$D,"Equipements élect. et électro.")</f>
        <v>0</v>
      </c>
      <c r="G40" s="21">
        <f t="shared" si="9"/>
        <v>0</v>
      </c>
      <c r="J40" s="20" t="s">
        <v>5316</v>
      </c>
      <c r="K40" s="20" t="s">
        <v>5327</v>
      </c>
      <c r="L40" s="28">
        <f t="shared" si="13"/>
        <v>0</v>
      </c>
      <c r="M40" s="28">
        <f t="shared" si="10"/>
        <v>1</v>
      </c>
      <c r="N40" s="28">
        <f t="shared" si="11"/>
        <v>0</v>
      </c>
      <c r="O40" s="28">
        <v>1</v>
      </c>
      <c r="P40" s="28">
        <f t="shared" si="12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8"/>
      <c r="P41" s="28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5"/>
      <c r="E42" s="25"/>
      <c r="F42" s="25"/>
      <c r="G42" s="25"/>
      <c r="J42" s="22"/>
      <c r="K42" s="22"/>
      <c r="L42" s="23"/>
      <c r="M42" s="25"/>
      <c r="N42" s="25"/>
      <c r="O42" s="31"/>
      <c r="P42" s="31"/>
      <c r="S42" s="22"/>
      <c r="T42" s="22"/>
      <c r="U42" s="23"/>
      <c r="V42" s="25"/>
      <c r="W42" s="25"/>
      <c r="X42" s="25"/>
      <c r="Y42" s="25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8"/>
      <c r="P43" s="28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8"/>
      <c r="P44" s="28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8"/>
      <c r="P45" s="28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COUNTIFS(E_Suivi_Eans!$C:$C,"04/2022",E_Suivi_Eans!$D:$D,"Equipements élect. et électro.",E_Suivi_Eans!$J:$J,"Retour OK",E_Suivi_Eans!$K:$K,"&gt;31/12/2021",E_Suivi_Eans!K:K,"&lt;01/05/2022")</f>
        <v>65</v>
      </c>
      <c r="D46" s="21">
        <f>COUNTIFS(E_Suivi_Eans!$C:$C,"04/2022",E_Suivi_Eans!$D:$D,"Equipements élect. et électro.",E_Suivi_Eans!$J:$J,"Rejet 0",E_Suivi_Eans!$K:$K,"&gt;31/12/2021",E_Suivi_Eans!$K:$K,"&lt;01/05/2022")+ COUNTIFS(E_Suivi_Eans!$C:$C,"04/2022",E_Suivi_Eans!$D:$D,"Equipements élect. et électro.",E_Suivi_Eans!$J:$J,"Rejet 1",E_Suivi_Eans!$K:$K,"&gt;31/12/2021",E_Suivi_Eans!$K:$K,"&lt;01/05/2022")+COUNTIFS(E_Suivi_Eans!$C:$C,"04/2022",E_Suivi_Eans!$D:$D,"Equipements élect. et électro.",E_Suivi_Eans!$J:$J,"Rejet 2",E_Suivi_Eans!$K:$K,"&gt;31/12/2021",E_Suivi_Eans!$K:$K,"&lt;01/05/2022")+COUNTIFS(E_Suivi_Eans!$C:$C,"04/2022",E_Suivi_Eans!$D:$D,"Equipements élect. et électro.",E_Suivi_Eans!$J:$J,"Rejet 3",E_Suivi_Eans!$K:$K,"&gt;31/12/2021",E_Suivi_Eans!$K:$K,"&lt;01/05/2022")+ COUNTIFS(E_Suivi_Eans!$C:$C,"04/2022",E_Suivi_Eans!$D:$D,"Equipements élect. et électro.",E_Suivi_Eans!$J:$J,"Rejet 4",E_Suivi_Eans!$K:$K,"&gt;31/12/2021",E_Suivi_Eans!$K:$K,"&lt;01/05/2022")+COUNTIFS(E_Suivi_Eans!$C:$C,"04/2022",E_Suivi_Eans!$D:$D,"Equipements élect. et électro.",E_Suivi_Eans!$J:$J,"Relance 1",E_Suivi_Eans!$K:$K,"&gt;31/12/2021",E_Suivi_Eans!$K:$K,"&lt;01/05/2022")+COUNTIFS(E_Suivi_Eans!$C:$C,"04/2022",E_Suivi_Eans!$D:$D,"Equipements élect. et électro.",E_Suivi_Eans!$J:$J,"Relance 2",E_Suivi_Eans!$K:$K,"&gt;31/12/2021",E_Suivi_Eans!$K:$K,"&lt;01/05/2022")+COUNTIFS(E_Suivi_Eans!$C:$C,"04/2022",E_Suivi_Eans!$D:$D,"Equipements élect. et électro.",E_Suivi_Eans!$J:$J,"Relance 3",E_Suivi_Eans!$K:$K,"&gt;31/12/2021",E_Suivi_Eans!$K:$K,"&lt;01/05/2022")</f>
        <v>0</v>
      </c>
      <c r="E46" s="21">
        <f>COUNTIFS(E_Suivi_Eans!$C:$C,"04/2022",E_Suivi_Eans!$D:$D,"Equipements élect. et électro.",E_Suivi_Eans!$J:$J,"Abandon",E_Suivi_Eans!$K:$K,"&gt;31/12/2021",E_Suivi_Eans!K:K,"&lt;01/05/2022")</f>
        <v>0</v>
      </c>
      <c r="F46" s="21">
        <f>COUNTIFS(E_Suivi_Eans!$C:$C,"04/2022",E_Suivi_Eans!$D:$D,"Equipements élect. et électro.")</f>
        <v>137</v>
      </c>
      <c r="G46" s="21">
        <f t="shared" ref="G46:G53" si="14">F46-E46</f>
        <v>137</v>
      </c>
      <c r="J46" s="20" t="s">
        <v>5317</v>
      </c>
      <c r="K46" s="20" t="s">
        <v>5317</v>
      </c>
      <c r="L46" s="28">
        <f>IF($G46=0,0,C46/$G46)</f>
        <v>0.47445255474452552</v>
      </c>
      <c r="M46" s="28">
        <f t="shared" ref="M46:M53" si="15">O46-L46-N46</f>
        <v>0.52554744525547448</v>
      </c>
      <c r="N46" s="28">
        <f t="shared" ref="N46:N53" si="16">IF($G46=0,0,E46/$G46)</f>
        <v>0</v>
      </c>
      <c r="O46" s="28">
        <v>1</v>
      </c>
      <c r="P46" s="28">
        <f t="shared" ref="P46:P53" si="17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COUNTIFS(E_Suivi_Eans!$C:$C,"04/2022",E_Suivi_Eans!$D:$D,"Equipements élect. et électro.",E_Suivi_Eans!$J:$J,"Retour OK",E_Suivi_Eans!$K:$K,"&gt;31/12/2021",E_Suivi_Eans!K:K,"&lt;01/06/2022")</f>
        <v>82</v>
      </c>
      <c r="D47" s="21">
        <f>COUNTIFS(E_Suivi_Eans!$C:$C,"04/2022",E_Suivi_Eans!$D:$D,"Equipements élect. et électro.",E_Suivi_Eans!$J:$J,"Rejet 0",E_Suivi_Eans!$K:$K,"&gt;31/12/2021",E_Suivi_Eans!$K:$K,"&lt;01/06/2022")+ COUNTIFS(E_Suivi_Eans!$C:$C,"04/2022",E_Suivi_Eans!$D:$D,"Equipements élect. et électro.",E_Suivi_Eans!$J:$J,"Rejet 1",E_Suivi_Eans!$K:$K,"&gt;31/12/2021",E_Suivi_Eans!$K:$K,"&lt;01/06/2022")+COUNTIFS(E_Suivi_Eans!$C:$C,"04/2022",E_Suivi_Eans!$D:$D,"Equipements élect. et électro.",E_Suivi_Eans!$J:$J,"Rejet 2",E_Suivi_Eans!$K:$K,"&gt;31/12/2021",E_Suivi_Eans!$K:$K,"&lt;01/06/2022")+COUNTIFS(E_Suivi_Eans!$C:$C,"04/2022",E_Suivi_Eans!$D:$D,"Equipements élect. et électro.",E_Suivi_Eans!$J:$J,"Rejet 3",E_Suivi_Eans!$K:$K,"&gt;31/12/2021",E_Suivi_Eans!$K:$K,"&lt;01/06/2022")+ COUNTIFS(E_Suivi_Eans!$C:$C,"04/2022",E_Suivi_Eans!$D:$D,"Equipements élect. et électro.",E_Suivi_Eans!$J:$J,"Rejet 4",E_Suivi_Eans!$K:$K,"&gt;31/12/2021",E_Suivi_Eans!$K:$K,"&lt;01/06/2022")+COUNTIFS(E_Suivi_Eans!$C:$C,"04/2022",E_Suivi_Eans!$D:$D,"Equipements élect. et électro.",E_Suivi_Eans!$J:$J,"Relance 1",E_Suivi_Eans!$K:$K,"&gt;31/12/2021",E_Suivi_Eans!$K:$K,"&lt;01/06/2022")+COUNTIFS(E_Suivi_Eans!$C:$C,"04/2022",E_Suivi_Eans!$D:$D,"Equipements élect. et électro.",E_Suivi_Eans!$J:$J,"Relance 2",E_Suivi_Eans!$K:$K,"&gt;31/12/2021",E_Suivi_Eans!$K:$K,"&lt;01/06/2022")+COUNTIFS(E_Suivi_Eans!$C:$C,"04/2022",E_Suivi_Eans!$D:$D,"Equipements élect. et électro.",E_Suivi_Eans!$J:$J,"Relance 3",E_Suivi_Eans!$K:$K,"&gt;31/12/2021",E_Suivi_Eans!$K:$K,"&lt;01/06/2022")</f>
        <v>8</v>
      </c>
      <c r="E47" s="21">
        <f>COUNTIFS(E_Suivi_Eans!$C:$C,"04/2022",E_Suivi_Eans!$D:$D,"Equipements élect. et électro.",E_Suivi_Eans!$J:$J,"Abandon",E_Suivi_Eans!$K:$K,"&gt;31/12/2021",E_Suivi_Eans!K:K,"&lt;01/06/2022")</f>
        <v>0</v>
      </c>
      <c r="F47" s="21">
        <f>COUNTIFS(E_Suivi_Eans!$C:$C,"04/2022",E_Suivi_Eans!$D:$D,"Equipements élect. et électro.")</f>
        <v>137</v>
      </c>
      <c r="G47" s="21">
        <f t="shared" si="14"/>
        <v>137</v>
      </c>
      <c r="J47" s="20" t="s">
        <v>5317</v>
      </c>
      <c r="K47" s="20" t="s">
        <v>5318</v>
      </c>
      <c r="L47" s="28">
        <f t="shared" ref="L47:L53" si="18">IF($G47=0,0,C47/$G47)</f>
        <v>0.59854014598540151</v>
      </c>
      <c r="M47" s="28">
        <f t="shared" si="15"/>
        <v>0.40145985401459849</v>
      </c>
      <c r="N47" s="28">
        <f t="shared" si="16"/>
        <v>0</v>
      </c>
      <c r="O47" s="28">
        <v>1</v>
      </c>
      <c r="P47" s="28">
        <f t="shared" si="17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COUNTIFS(E_Suivi_Eans!$C:$C,"04/2022",E_Suivi_Eans!$D:$D,"Equipements élect. et électro.",E_Suivi_Eans!$J:$J,"Retour OK",E_Suivi_Eans!$K:$K,"&gt;31/12/2021",E_Suivi_Eans!K:K,"&lt;01/07/2022")</f>
        <v>82</v>
      </c>
      <c r="D48" s="21">
        <f>COUNTIFS(E_Suivi_Eans!$C:$C,"04/2022",E_Suivi_Eans!$D:$D,"Equipements élect. et électro.",E_Suivi_Eans!$J:$J,"Rejet 0",E_Suivi_Eans!$K:$K,"&gt;31/12/2021",E_Suivi_Eans!$K:$K,"&lt;01/07/2022")+ COUNTIFS(E_Suivi_Eans!$C:$C,"04/2022",E_Suivi_Eans!$D:$D,"Equipements élect. et électro.",E_Suivi_Eans!$J:$J,"Rejet 1",E_Suivi_Eans!$K:$K,"&gt;31/12/2021",E_Suivi_Eans!$K:$K,"&lt;01/07/2022")+COUNTIFS(E_Suivi_Eans!$C:$C,"04/2022",E_Suivi_Eans!$D:$D,"Equipements élect. et électro.",E_Suivi_Eans!$J:$J,"Rejet 2",E_Suivi_Eans!$K:$K,"&gt;31/12/2021",E_Suivi_Eans!$K:$K,"&lt;01/07/2022")+COUNTIFS(E_Suivi_Eans!$C:$C,"04/2022",E_Suivi_Eans!$D:$D,"Equipements élect. et électro.",E_Suivi_Eans!$J:$J,"Rejet 3",E_Suivi_Eans!$K:$K,"&gt;31/12/2021",E_Suivi_Eans!$K:$K,"&lt;01/07/2022")+ COUNTIFS(E_Suivi_Eans!$C:$C,"04/2022",E_Suivi_Eans!$D:$D,"Equipements élect. et électro.",E_Suivi_Eans!$J:$J,"Rejet 4",E_Suivi_Eans!$K:$K,"&gt;31/12/2021",E_Suivi_Eans!$K:$K,"&lt;01/07/2022")+COUNTIFS(E_Suivi_Eans!$C:$C,"04/2022",E_Suivi_Eans!$D:$D,"Equipements élect. et électro.",E_Suivi_Eans!$J:$J,"Relance 1",E_Suivi_Eans!$K:$K,"&gt;31/12/2021",E_Suivi_Eans!$K:$K,"&lt;01/07/2022")+COUNTIFS(E_Suivi_Eans!$C:$C,"04/2022",E_Suivi_Eans!$D:$D,"Equipements élect. et électro.",E_Suivi_Eans!$J:$J,"Relance 2",E_Suivi_Eans!$K:$K,"&gt;31/12/2021",E_Suivi_Eans!$K:$K,"&lt;01/07/2022")+COUNTIFS(E_Suivi_Eans!$C:$C,"04/2022",E_Suivi_Eans!$D:$D,"Equipements élect. et électro.",E_Suivi_Eans!$J:$J,"Relance 3",E_Suivi_Eans!$K:$K,"&gt;31/12/2021",E_Suivi_Eans!$K:$K,"&lt;01/07/2022")</f>
        <v>8</v>
      </c>
      <c r="E48" s="21">
        <f>COUNTIFS(E_Suivi_Eans!$C:$C,"04/2022",E_Suivi_Eans!$D:$D,"Equipements élect. et électro.",E_Suivi_Eans!$J:$J,"Abandon",E_Suivi_Eans!$K:$K,"&gt;31/12/2021",E_Suivi_Eans!K:K,"&lt;01/07/2022")</f>
        <v>21</v>
      </c>
      <c r="F48" s="21">
        <f>COUNTIFS(E_Suivi_Eans!$C:$C,"04/2022",E_Suivi_Eans!$D:$D,"Equipements élect. et électro.")</f>
        <v>137</v>
      </c>
      <c r="G48" s="21">
        <f t="shared" si="14"/>
        <v>116</v>
      </c>
      <c r="J48" s="20" t="s">
        <v>5317</v>
      </c>
      <c r="K48" s="20" t="s">
        <v>5319</v>
      </c>
      <c r="L48" s="28">
        <f t="shared" si="18"/>
        <v>0.7068965517241379</v>
      </c>
      <c r="M48" s="28">
        <f t="shared" si="15"/>
        <v>0.11206896551724141</v>
      </c>
      <c r="N48" s="28">
        <f t="shared" si="16"/>
        <v>0.18103448275862069</v>
      </c>
      <c r="O48" s="28">
        <v>1</v>
      </c>
      <c r="P48" s="28">
        <f t="shared" si="17"/>
        <v>0.81896551724137934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COUNTIFS(E_Suivi_Eans!$C:$C,"04/2022",E_Suivi_Eans!$D:$D,"Equipements élect. et électro.",E_Suivi_Eans!$J:$J,"Retour OK",E_Suivi_Eans!$K:$K,"&gt;31/12/2021",E_Suivi_Eans!K:K,"&lt;01/08/2022")</f>
        <v>85</v>
      </c>
      <c r="D49" s="21">
        <f>COUNTIFS(E_Suivi_Eans!$C:$C,"04/2022",E_Suivi_Eans!$D:$D,"Equipements élect. et électro.",E_Suivi_Eans!$J:$J,"Rejet 0",E_Suivi_Eans!$K:$K,"&gt;31/12/2021",E_Suivi_Eans!$K:$K,"&lt;01/08/2022")+ COUNTIFS(E_Suivi_Eans!$C:$C,"04/2022",E_Suivi_Eans!$D:$D,"Equipements élect. et électro.",E_Suivi_Eans!$J:$J,"Rejet 1",E_Suivi_Eans!$K:$K,"&gt;31/12/2021",E_Suivi_Eans!$K:$K,"&lt;01/08/2022")+COUNTIFS(E_Suivi_Eans!$C:$C,"04/2022",E_Suivi_Eans!$D:$D,"Equipements élect. et électro.",E_Suivi_Eans!$J:$J,"Rejet 2",E_Suivi_Eans!$K:$K,"&gt;31/12/2021",E_Suivi_Eans!$K:$K,"&lt;01/08/2022")+COUNTIFS(E_Suivi_Eans!$C:$C,"04/2022",E_Suivi_Eans!$D:$D,"Equipements élect. et électro.",E_Suivi_Eans!$J:$J,"Rejet 3",E_Suivi_Eans!$K:$K,"&gt;31/12/2021",E_Suivi_Eans!$K:$K,"&lt;01/08/2022")+ COUNTIFS(E_Suivi_Eans!$C:$C,"04/2022",E_Suivi_Eans!$D:$D,"Equipements élect. et électro.",E_Suivi_Eans!$J:$J,"Rejet 4",E_Suivi_Eans!$K:$K,"&gt;31/12/2021",E_Suivi_Eans!$K:$K,"&lt;01/08/2022")+COUNTIFS(E_Suivi_Eans!$C:$C,"04/2022",E_Suivi_Eans!$D:$D,"Equipements élect. et électro.",E_Suivi_Eans!$J:$J,"Relance 1",E_Suivi_Eans!$K:$K,"&gt;31/12/2021",E_Suivi_Eans!$K:$K,"&lt;01/08/2022")+COUNTIFS(E_Suivi_Eans!$C:$C,"04/2022",E_Suivi_Eans!$D:$D,"Equipements élect. et électro.",E_Suivi_Eans!$J:$J,"Relance 2",E_Suivi_Eans!$K:$K,"&gt;31/12/2021",E_Suivi_Eans!$K:$K,"&lt;01/08/2022")+COUNTIFS(E_Suivi_Eans!$C:$C,"04/2022",E_Suivi_Eans!$D:$D,"Equipements élect. et électro.",E_Suivi_Eans!$J:$J,"Relance 3",E_Suivi_Eans!$K:$K,"&gt;31/12/2021",E_Suivi_Eans!$K:$K,"&lt;01/08/2022")</f>
        <v>8</v>
      </c>
      <c r="E49" s="21">
        <f>COUNTIFS(E_Suivi_Eans!$C:$C,"04/2022",E_Suivi_Eans!$D:$D,"Equipements élect. et électro.",E_Suivi_Eans!$J:$J,"Abandon",E_Suivi_Eans!$K:$K,"&gt;31/12/2021",E_Suivi_Eans!K:K,"&lt;01/08/2022")</f>
        <v>21</v>
      </c>
      <c r="F49" s="21">
        <f>COUNTIFS(E_Suivi_Eans!$C:$C,"04/2022",E_Suivi_Eans!$D:$D,"Equipements élect. et électro.")</f>
        <v>137</v>
      </c>
      <c r="G49" s="21">
        <f t="shared" si="14"/>
        <v>116</v>
      </c>
      <c r="J49" s="20" t="s">
        <v>5317</v>
      </c>
      <c r="K49" s="20" t="s">
        <v>5320</v>
      </c>
      <c r="L49" s="28">
        <f t="shared" si="18"/>
        <v>0.73275862068965514</v>
      </c>
      <c r="M49" s="28">
        <f t="shared" si="15"/>
        <v>8.6206896551724171E-2</v>
      </c>
      <c r="N49" s="28">
        <f t="shared" si="16"/>
        <v>0.18103448275862069</v>
      </c>
      <c r="O49" s="28">
        <v>1</v>
      </c>
      <c r="P49" s="28">
        <f t="shared" si="17"/>
        <v>0.81896551724137934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COUNTIFS(E_Suivi_Eans!$C:$C,"04/2022",E_Suivi_Eans!$D:$D,"Equipements élect. et électro.",E_Suivi_Eans!$J:$J,"Retour OK",E_Suivi_Eans!$K:$K,"&gt;31/12/2021",E_Suivi_Eans!K:K,"&lt;01/09/2022")</f>
        <v>85</v>
      </c>
      <c r="D50" s="21">
        <f>COUNTIFS(E_Suivi_Eans!$C:$C,"04/2022",E_Suivi_Eans!$D:$D,"Equipements élect. et électro.",E_Suivi_Eans!$J:$J,"Rejet 0",E_Suivi_Eans!$K:$K,"&gt;31/12/2021",E_Suivi_Eans!$K:$K,"&lt;01/09/2022")+ COUNTIFS(E_Suivi_Eans!$C:$C,"04/2022",E_Suivi_Eans!$D:$D,"Equipements élect. et électro.",E_Suivi_Eans!$J:$J,"Rejet 1",E_Suivi_Eans!$K:$K,"&gt;31/12/2021",E_Suivi_Eans!$K:$K,"&lt;01/09/2022")+COUNTIFS(E_Suivi_Eans!$C:$C,"04/2022",E_Suivi_Eans!$D:$D,"Equipements élect. et électro.",E_Suivi_Eans!$J:$J,"Rejet 2",E_Suivi_Eans!$K:$K,"&gt;31/12/2021",E_Suivi_Eans!$K:$K,"&lt;01/09/2022")+COUNTIFS(E_Suivi_Eans!$C:$C,"04/2022",E_Suivi_Eans!$D:$D,"Equipements élect. et électro.",E_Suivi_Eans!$J:$J,"Rejet 3",E_Suivi_Eans!$K:$K,"&gt;31/12/2021",E_Suivi_Eans!$K:$K,"&lt;01/09/2022")+ COUNTIFS(E_Suivi_Eans!$C:$C,"04/2022",E_Suivi_Eans!$D:$D,"Equipements élect. et électro.",E_Suivi_Eans!$J:$J,"Rejet 4",E_Suivi_Eans!$K:$K,"&gt;31/12/2021",E_Suivi_Eans!$K:$K,"&lt;01/09/2022")+COUNTIFS(E_Suivi_Eans!$C:$C,"04/2022",E_Suivi_Eans!$D:$D,"Equipements élect. et électro.",E_Suivi_Eans!$J:$J,"Relance 1",E_Suivi_Eans!$K:$K,"&gt;31/12/2021",E_Suivi_Eans!$K:$K,"&lt;01/09/2022")+COUNTIFS(E_Suivi_Eans!$C:$C,"04/2022",E_Suivi_Eans!$D:$D,"Equipements élect. et électro.",E_Suivi_Eans!$J:$J,"Relance 2",E_Suivi_Eans!$K:$K,"&gt;31/12/2021",E_Suivi_Eans!$K:$K,"&lt;01/09/2022")+COUNTIFS(E_Suivi_Eans!$C:$C,"04/2022",E_Suivi_Eans!$D:$D,"Equipements élect. et électro.",E_Suivi_Eans!$J:$J,"Relance 3",E_Suivi_Eans!$K:$K,"&gt;31/12/2021",E_Suivi_Eans!$K:$K,"&lt;01/09/2022")</f>
        <v>8</v>
      </c>
      <c r="E50" s="21">
        <f>COUNTIFS(E_Suivi_Eans!$C:$C,"04/2022",E_Suivi_Eans!$D:$D,"Equipements élect. et électro.",E_Suivi_Eans!$J:$J,"Abandon",E_Suivi_Eans!$K:$K,"&gt;31/12/2021",E_Suivi_Eans!K:K,"&lt;01/09/2022")</f>
        <v>21</v>
      </c>
      <c r="F50" s="21">
        <f>COUNTIFS(E_Suivi_Eans!$C:$C,"04/2022",E_Suivi_Eans!$D:$D,"Equipements élect. et électro.")</f>
        <v>137</v>
      </c>
      <c r="G50" s="21">
        <f t="shared" si="14"/>
        <v>116</v>
      </c>
      <c r="J50" s="20" t="s">
        <v>5317</v>
      </c>
      <c r="K50" s="20" t="s">
        <v>5321</v>
      </c>
      <c r="L50" s="28">
        <f t="shared" si="18"/>
        <v>0.73275862068965514</v>
      </c>
      <c r="M50" s="28">
        <f t="shared" si="15"/>
        <v>8.6206896551724171E-2</v>
      </c>
      <c r="N50" s="28">
        <f t="shared" si="16"/>
        <v>0.18103448275862069</v>
      </c>
      <c r="O50" s="28">
        <v>1</v>
      </c>
      <c r="P50" s="28">
        <f t="shared" si="17"/>
        <v>0.81896551724137934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COUNTIFS(E_Suivi_Eans!$C:$C,"04/2022",E_Suivi_Eans!$D:$D,"Equipements élect. et électro.",E_Suivi_Eans!$J:$J,"Retour OK",E_Suivi_Eans!$K:$K,"&gt;31/12/2021",E_Suivi_Eans!K:K,"&lt;01/10/2022")</f>
        <v>85</v>
      </c>
      <c r="D51" s="21">
        <f>COUNTIFS(E_Suivi_Eans!$C:$C,"04/2022",E_Suivi_Eans!$D:$D,"Equipements élect. et électro.",E_Suivi_Eans!$J:$J,"Rejet 0",E_Suivi_Eans!$K:$K,"&gt;31/12/2021",E_Suivi_Eans!$K:$K,"&lt;01/10/2022")+ COUNTIFS(E_Suivi_Eans!$C:$C,"04/2022",E_Suivi_Eans!$D:$D,"Equipements élect. et électro.",E_Suivi_Eans!$J:$J,"Rejet 1",E_Suivi_Eans!$K:$K,"&gt;31/12/2021",E_Suivi_Eans!$K:$K,"&lt;01/10/2022")+COUNTIFS(E_Suivi_Eans!$C:$C,"04/2022",E_Suivi_Eans!$D:$D,"Equipements élect. et électro.",E_Suivi_Eans!$J:$J,"Rejet 2",E_Suivi_Eans!$K:$K,"&gt;31/12/2021",E_Suivi_Eans!$K:$K,"&lt;01/10/2022")+COUNTIFS(E_Suivi_Eans!$C:$C,"04/2022",E_Suivi_Eans!$D:$D,"Equipements élect. et électro.",E_Suivi_Eans!$J:$J,"Rejet 3",E_Suivi_Eans!$K:$K,"&gt;31/12/2021",E_Suivi_Eans!$K:$K,"&lt;01/10/2022")+ COUNTIFS(E_Suivi_Eans!$C:$C,"04/2022",E_Suivi_Eans!$D:$D,"Equipements élect. et électro.",E_Suivi_Eans!$J:$J,"Rejet 4",E_Suivi_Eans!$K:$K,"&gt;31/12/2021",E_Suivi_Eans!$K:$K,"&lt;01/10/2022")+COUNTIFS(E_Suivi_Eans!$C:$C,"04/2022",E_Suivi_Eans!$D:$D,"Equipements élect. et électro.",E_Suivi_Eans!$J:$J,"Relance 1",E_Suivi_Eans!$K:$K,"&gt;31/12/2021",E_Suivi_Eans!$K:$K,"&lt;01/10/2022")+COUNTIFS(E_Suivi_Eans!$C:$C,"04/2022",E_Suivi_Eans!$D:$D,"Equipements élect. et électro.",E_Suivi_Eans!$J:$J,"Relance 2",E_Suivi_Eans!$K:$K,"&gt;31/12/2021",E_Suivi_Eans!$K:$K,"&lt;01/10/2022")+COUNTIFS(E_Suivi_Eans!$C:$C,"04/2022",E_Suivi_Eans!$D:$D,"Equipements élect. et électro.",E_Suivi_Eans!$J:$J,"Relance 3",E_Suivi_Eans!$K:$K,"&gt;31/12/2021",E_Suivi_Eans!$K:$K,"&lt;01/10/2022")</f>
        <v>8</v>
      </c>
      <c r="E51" s="21">
        <f>COUNTIFS(E_Suivi_Eans!$C:$C,"04/2022",E_Suivi_Eans!$D:$D,"Equipements élect. et électro.",E_Suivi_Eans!$J:$J,"Abandon",E_Suivi_Eans!$K:$K,"&gt;31/12/2021",E_Suivi_Eans!K:K,"&lt;01/10/2022")</f>
        <v>21</v>
      </c>
      <c r="F51" s="21">
        <f>COUNTIFS(E_Suivi_Eans!$C:$C,"04/2022",E_Suivi_Eans!$D:$D,"Equipements élect. et électro.")</f>
        <v>137</v>
      </c>
      <c r="G51" s="21">
        <f t="shared" si="14"/>
        <v>116</v>
      </c>
      <c r="J51" s="20" t="s">
        <v>5317</v>
      </c>
      <c r="K51" s="20" t="s">
        <v>5325</v>
      </c>
      <c r="L51" s="28">
        <f t="shared" si="18"/>
        <v>0.73275862068965514</v>
      </c>
      <c r="M51" s="28">
        <f t="shared" si="15"/>
        <v>8.6206896551724171E-2</v>
      </c>
      <c r="N51" s="28">
        <f t="shared" si="16"/>
        <v>0.18103448275862069</v>
      </c>
      <c r="O51" s="28">
        <v>1</v>
      </c>
      <c r="P51" s="28">
        <f t="shared" si="17"/>
        <v>0.81896551724137934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COUNTIFS(E_Suivi_Eans!$C:$C,"04/2022",E_Suivi_Eans!$D:$D,"Equipements élect. et électro.",E_Suivi_Eans!$J:$J,"Retour OK",E_Suivi_Eans!$K:$K,"&gt;31/12/2021",E_Suivi_Eans!K:K,"&lt;01/11/2022")</f>
        <v>85</v>
      </c>
      <c r="D52" s="21">
        <f>COUNTIFS(E_Suivi_Eans!$C:$C,"04/2022",E_Suivi_Eans!$D:$D,"Equipements élect. et électro.",E_Suivi_Eans!$J:$J,"Rejet 0",E_Suivi_Eans!$K:$K,"&gt;31/12/2021",E_Suivi_Eans!$K:$K,"&lt;01/11/2022")+ COUNTIFS(E_Suivi_Eans!$C:$C,"04/2022",E_Suivi_Eans!$D:$D,"Equipements élect. et électro.",E_Suivi_Eans!$J:$J,"Rejet 1",E_Suivi_Eans!$K:$K,"&gt;31/12/2021",E_Suivi_Eans!$K:$K,"&lt;01/11/2022")+COUNTIFS(E_Suivi_Eans!$C:$C,"04/2022",E_Suivi_Eans!$D:$D,"Equipements élect. et électro.",E_Suivi_Eans!$J:$J,"Rejet 2",E_Suivi_Eans!$K:$K,"&gt;31/12/2021",E_Suivi_Eans!$K:$K,"&lt;01/11/2022")+COUNTIFS(E_Suivi_Eans!$C:$C,"04/2022",E_Suivi_Eans!$D:$D,"Equipements élect. et électro.",E_Suivi_Eans!$J:$J,"Rejet 3",E_Suivi_Eans!$K:$K,"&gt;31/12/2021",E_Suivi_Eans!$K:$K,"&lt;01/11/2022")+ COUNTIFS(E_Suivi_Eans!$C:$C,"04/2022",E_Suivi_Eans!$D:$D,"Equipements élect. et électro.",E_Suivi_Eans!$J:$J,"Rejet 4",E_Suivi_Eans!$K:$K,"&gt;31/12/2021",E_Suivi_Eans!$K:$K,"&lt;01/11/2022")+COUNTIFS(E_Suivi_Eans!$C:$C,"04/2022",E_Suivi_Eans!$D:$D,"Equipements élect. et électro.",E_Suivi_Eans!$J:$J,"Relance 1",E_Suivi_Eans!$K:$K,"&gt;31/12/2021",E_Suivi_Eans!$K:$K,"&lt;01/11/2022")+COUNTIFS(E_Suivi_Eans!$C:$C,"04/2022",E_Suivi_Eans!$D:$D,"Equipements élect. et électro.",E_Suivi_Eans!$J:$J,"Relance 2",E_Suivi_Eans!$K:$K,"&gt;31/12/2021",E_Suivi_Eans!$K:$K,"&lt;01/11/2022")+COUNTIFS(E_Suivi_Eans!$C:$C,"04/2022",E_Suivi_Eans!$D:$D,"Equipements élect. et électro.",E_Suivi_Eans!$J:$J,"Relance 3",E_Suivi_Eans!$K:$K,"&gt;31/12/2021",E_Suivi_Eans!$K:$K,"&lt;01/11/2022")</f>
        <v>8</v>
      </c>
      <c r="E52" s="21">
        <f>COUNTIFS(E_Suivi_Eans!$C:$C,"04/2022",E_Suivi_Eans!$D:$D,"Equipements élect. et électro.",E_Suivi_Eans!$J:$J,"Abandon",E_Suivi_Eans!$K:$K,"&gt;31/12/2021",E_Suivi_Eans!K:K,"&lt;01/11/2022")</f>
        <v>21</v>
      </c>
      <c r="F52" s="21">
        <f>COUNTIFS(E_Suivi_Eans!$C:$C,"04/2022",E_Suivi_Eans!$D:$D,"Equipements élect. et électro.")</f>
        <v>137</v>
      </c>
      <c r="G52" s="21">
        <f t="shared" si="14"/>
        <v>116</v>
      </c>
      <c r="J52" s="20" t="s">
        <v>5317</v>
      </c>
      <c r="K52" s="20" t="s">
        <v>5326</v>
      </c>
      <c r="L52" s="28">
        <f t="shared" si="18"/>
        <v>0.73275862068965514</v>
      </c>
      <c r="M52" s="28">
        <f t="shared" si="15"/>
        <v>8.6206896551724171E-2</v>
      </c>
      <c r="N52" s="28">
        <f t="shared" si="16"/>
        <v>0.18103448275862069</v>
      </c>
      <c r="O52" s="28">
        <v>1</v>
      </c>
      <c r="P52" s="28">
        <f t="shared" si="17"/>
        <v>0.81896551724137934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COUNTIFS(E_Suivi_Eans!$C:$C,"04/2022",E_Suivi_Eans!$D:$D,"Equipements élect. et électro.",E_Suivi_Eans!$J:$J,"Retour OK",E_Suivi_Eans!$K:$K,"&gt;31/12/2021",E_Suivi_Eans!K:K,"&lt;01/12/2022")</f>
        <v>108</v>
      </c>
      <c r="D53" s="21">
        <f>COUNTIFS(E_Suivi_Eans!$C:$C,"04/2022",E_Suivi_Eans!$D:$D,"Equipements élect. et électro.",E_Suivi_Eans!$J:$J,"Rejet 0",E_Suivi_Eans!$K:$K,"&gt;31/12/2021",E_Suivi_Eans!$K:$K,"&lt;01/12/2022")+ COUNTIFS(E_Suivi_Eans!$C:$C,"04/2022",E_Suivi_Eans!$D:$D,"Equipements élect. et électro.",E_Suivi_Eans!$J:$J,"Rejet 1",E_Suivi_Eans!$K:$K,"&gt;31/12/2021",E_Suivi_Eans!$K:$K,"&lt;01/12/2022")+COUNTIFS(E_Suivi_Eans!$C:$C,"04/2022",E_Suivi_Eans!$D:$D,"Equipements élect. et électro.",E_Suivi_Eans!$J:$J,"Rejet 2",E_Suivi_Eans!$K:$K,"&gt;31/12/2021",E_Suivi_Eans!$K:$K,"&lt;01/12/2022")+COUNTIFS(E_Suivi_Eans!$C:$C,"04/2022",E_Suivi_Eans!$D:$D,"Equipements élect. et électro.",E_Suivi_Eans!$J:$J,"Rejet 3",E_Suivi_Eans!$K:$K,"&gt;31/12/2021",E_Suivi_Eans!$K:$K,"&lt;01/12/2022")+ COUNTIFS(E_Suivi_Eans!$C:$C,"04/2022",E_Suivi_Eans!$D:$D,"Equipements élect. et électro.",E_Suivi_Eans!$J:$J,"Rejet 4",E_Suivi_Eans!$K:$K,"&gt;31/12/2021",E_Suivi_Eans!$K:$K,"&lt;01/12/2022")+COUNTIFS(E_Suivi_Eans!$C:$C,"04/2022",E_Suivi_Eans!$D:$D,"Equipements élect. et électro.",E_Suivi_Eans!$J:$J,"Relance 1",E_Suivi_Eans!$K:$K,"&gt;31/12/2021",E_Suivi_Eans!$K:$K,"&lt;01/12/2022")+COUNTIFS(E_Suivi_Eans!$C:$C,"04/2022",E_Suivi_Eans!$D:$D,"Equipements élect. et électro.",E_Suivi_Eans!$J:$J,"Relance 2",E_Suivi_Eans!$K:$K,"&gt;31/12/2021",E_Suivi_Eans!$K:$K,"&lt;01/12/2022")+COUNTIFS(E_Suivi_Eans!$C:$C,"04/2022",E_Suivi_Eans!$D:$D,"Equipements élect. et électro.",E_Suivi_Eans!$J:$J,"Relance 3",E_Suivi_Eans!$K:$K,"&gt;31/12/2021",E_Suivi_Eans!$K:$K,"&lt;01/12/2022")</f>
        <v>8</v>
      </c>
      <c r="E53" s="21">
        <f>COUNTIFS(E_Suivi_Eans!$C:$C,"04/2022",E_Suivi_Eans!$D:$D,"Equipements élect. et électro.",E_Suivi_Eans!$J:$J,"Abandon",E_Suivi_Eans!$K:$K,"&gt;31/12/2021",E_Suivi_Eans!K:K,"&lt;01/12/2022")</f>
        <v>21</v>
      </c>
      <c r="F53" s="21">
        <f>COUNTIFS(E_Suivi_Eans!$C:$C,"04/2022",E_Suivi_Eans!$D:$D,"Equipements élect. et électro.")</f>
        <v>137</v>
      </c>
      <c r="G53" s="21">
        <f t="shared" si="14"/>
        <v>116</v>
      </c>
      <c r="J53" s="20" t="s">
        <v>5317</v>
      </c>
      <c r="K53" s="20" t="s">
        <v>5327</v>
      </c>
      <c r="L53" s="28">
        <f t="shared" si="18"/>
        <v>0.93103448275862066</v>
      </c>
      <c r="M53" s="42">
        <f t="shared" si="15"/>
        <v>-0.11206896551724135</v>
      </c>
      <c r="N53" s="28">
        <f t="shared" si="16"/>
        <v>0.18103448275862069</v>
      </c>
      <c r="O53" s="28">
        <v>1</v>
      </c>
      <c r="P53" s="28">
        <f t="shared" si="17"/>
        <v>0.81896551724137934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8"/>
      <c r="P54" s="28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5"/>
      <c r="E55" s="25"/>
      <c r="F55" s="25"/>
      <c r="G55" s="25"/>
      <c r="J55" s="22"/>
      <c r="K55" s="22"/>
      <c r="L55" s="23"/>
      <c r="M55" s="25"/>
      <c r="N55" s="25"/>
      <c r="O55" s="31"/>
      <c r="P55" s="31"/>
      <c r="S55" s="22"/>
      <c r="T55" s="22"/>
      <c r="U55" s="23"/>
      <c r="V55" s="25"/>
      <c r="W55" s="25"/>
      <c r="X55" s="25"/>
      <c r="Y55" s="25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8"/>
      <c r="P56" s="28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8"/>
      <c r="P57" s="28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8"/>
      <c r="P58" s="28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3"/>
      <c r="J59" s="20" t="s">
        <v>5318</v>
      </c>
      <c r="K59" s="20" t="s">
        <v>5317</v>
      </c>
      <c r="L59" s="21"/>
      <c r="M59" s="21"/>
      <c r="N59" s="21"/>
      <c r="O59" s="28"/>
      <c r="P59" s="28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COUNTIFS(E_Suivi_Eans!$C:$C,"05/2022",E_Suivi_Eans!$D:$D,"Equipements élect. et électro.",E_Suivi_Eans!$J:$J,"Retour OK",E_Suivi_Eans!$K:$K,"&gt;31/12/2021",E_Suivi_Eans!K:K,"&lt;01/06/2022")</f>
        <v>0</v>
      </c>
      <c r="D60" s="21">
        <f>COUNTIFS(E_Suivi_Eans!$C:$C,"05/2022",E_Suivi_Eans!$D:$D,"Equipements élect. et électro.",E_Suivi_Eans!$J:$J,"Rejet 0",E_Suivi_Eans!$K:$K,"&gt;31/12/2021",E_Suivi_Eans!$K:$K,"&lt;01/06/2022")+ COUNTIFS(E_Suivi_Eans!$C:$C,"05/2022",E_Suivi_Eans!$D:$D,"Equipements élect. et électro.",E_Suivi_Eans!$J:$J,"Rejet 1",E_Suivi_Eans!$K:$K,"&gt;31/12/2021",E_Suivi_Eans!$K:$K,"&lt;01/06/2022")+COUNTIFS(E_Suivi_Eans!$C:$C,"05/2022",E_Suivi_Eans!$D:$D,"Equipements élect. et électro.",E_Suivi_Eans!$J:$J,"Rejet 2",E_Suivi_Eans!$K:$K,"&gt;31/12/2021",E_Suivi_Eans!$K:$K,"&lt;01/06/2022")+COUNTIFS(E_Suivi_Eans!$C:$C,"05/2022",E_Suivi_Eans!$D:$D,"Equipements élect. et électro.",E_Suivi_Eans!$J:$J,"Rejet 3",E_Suivi_Eans!$K:$K,"&gt;31/12/2021",E_Suivi_Eans!$K:$K,"&lt;01/06/2022")+ COUNTIFS(E_Suivi_Eans!$C:$C,"05/2022",E_Suivi_Eans!$D:$D,"Equipements élect. et électro.",E_Suivi_Eans!$J:$J,"Rejet 4",E_Suivi_Eans!$K:$K,"&gt;31/12/2021",E_Suivi_Eans!$K:$K,"&lt;01/06/2022")+COUNTIFS(E_Suivi_Eans!$C:$C,"05/2022",E_Suivi_Eans!$D:$D,"Equipements élect. et électro.",E_Suivi_Eans!$J:$J,"Relance 1",E_Suivi_Eans!$K:$K,"&gt;31/12/2021",E_Suivi_Eans!$K:$K,"&lt;01/06/2022")+COUNTIFS(E_Suivi_Eans!$C:$C,"05/2022",E_Suivi_Eans!$D:$D,"Equipements élect. et électro.",E_Suivi_Eans!$J:$J,"Relance 2",E_Suivi_Eans!$K:$K,"&gt;31/12/2021",E_Suivi_Eans!$K:$K,"&lt;01/06/2022")+COUNTIFS(E_Suivi_Eans!$C:$C,"05/2022",E_Suivi_Eans!$D:$D,"Equipements élect. et électro.",E_Suivi_Eans!$J:$J,"Relance 3",E_Suivi_Eans!$K:$K,"&gt;31/12/2021",E_Suivi_Eans!$K:$K,"&lt;01/06/2022")</f>
        <v>0</v>
      </c>
      <c r="E60" s="21">
        <f>COUNTIFS(E_Suivi_Eans!$C:$C,"05/2022",E_Suivi_Eans!$D:$D,"Equipements élect. et électro.",E_Suivi_Eans!$J:$J,"Abandon",E_Suivi_Eans!$K:$K,"&gt;31/12/2021",E_Suivi_Eans!K:K,"&lt;01/06/2022")</f>
        <v>0</v>
      </c>
      <c r="F60" s="21">
        <f>COUNTIFS(E_Suivi_Eans!$C:$C,"05/2022",E_Suivi_Eans!$D:$D,"Equipements élect. et électro.")</f>
        <v>0</v>
      </c>
      <c r="G60" s="21">
        <f t="shared" ref="G60:G66" si="19">F60-E60</f>
        <v>0</v>
      </c>
      <c r="J60" s="20" t="s">
        <v>5318</v>
      </c>
      <c r="K60" s="20" t="s">
        <v>5318</v>
      </c>
      <c r="L60" s="28">
        <f>IF($G60=0,0,C60/$G60)</f>
        <v>0</v>
      </c>
      <c r="M60" s="28">
        <f t="shared" ref="M60:M66" si="20">O60-L60-N60</f>
        <v>1</v>
      </c>
      <c r="N60" s="28">
        <f t="shared" ref="N60:N66" si="21">IF($G60=0,0,E60/$G60)</f>
        <v>0</v>
      </c>
      <c r="O60" s="28">
        <v>1</v>
      </c>
      <c r="P60" s="28">
        <f t="shared" ref="P60:P66" si="22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COUNTIFS(E_Suivi_Eans!$C:$C,"05/2022",E_Suivi_Eans!$D:$D,"Equipements élect. et électro.",E_Suivi_Eans!$J:$J,"Retour OK",E_Suivi_Eans!$K:$K,"&gt;31/12/2021",E_Suivi_Eans!K:K,"&lt;01/07/2022")</f>
        <v>0</v>
      </c>
      <c r="D61" s="21">
        <f>COUNTIFS(E_Suivi_Eans!$C:$C,"05/2022",E_Suivi_Eans!$D:$D,"Equipements élect. et électro.",E_Suivi_Eans!$J:$J,"Rejet 0",E_Suivi_Eans!$K:$K,"&gt;31/12/2021",E_Suivi_Eans!$K:$K,"&lt;01/07/2022")+ COUNTIFS(E_Suivi_Eans!$C:$C,"05/2022",E_Suivi_Eans!$D:$D,"Equipements élect. et électro.",E_Suivi_Eans!$J:$J,"Rejet 1",E_Suivi_Eans!$K:$K,"&gt;31/12/2021",E_Suivi_Eans!$K:$K,"&lt;01/07/2022")+COUNTIFS(E_Suivi_Eans!$C:$C,"05/2022",E_Suivi_Eans!$D:$D,"Equipements élect. et électro.",E_Suivi_Eans!$J:$J,"Rejet 2",E_Suivi_Eans!$K:$K,"&gt;31/12/2021",E_Suivi_Eans!$K:$K,"&lt;01/07/2022")+COUNTIFS(E_Suivi_Eans!$C:$C,"05/2022",E_Suivi_Eans!$D:$D,"Equipements élect. et électro.",E_Suivi_Eans!$J:$J,"Rejet 3",E_Suivi_Eans!$K:$K,"&gt;31/12/2021",E_Suivi_Eans!$K:$K,"&lt;01/07/2022")+ COUNTIFS(E_Suivi_Eans!$C:$C,"05/2022",E_Suivi_Eans!$D:$D,"Equipements élect. et électro.",E_Suivi_Eans!$J:$J,"Rejet 4",E_Suivi_Eans!$K:$K,"&gt;31/12/2021",E_Suivi_Eans!$K:$K,"&lt;01/07/2022")+COUNTIFS(E_Suivi_Eans!$C:$C,"05/2022",E_Suivi_Eans!$D:$D,"Equipements élect. et électro.",E_Suivi_Eans!$J:$J,"Relance 1",E_Suivi_Eans!$K:$K,"&gt;31/12/2021",E_Suivi_Eans!$K:$K,"&lt;01/07/2022")+COUNTIFS(E_Suivi_Eans!$C:$C,"05/2022",E_Suivi_Eans!$D:$D,"Equipements élect. et électro.",E_Suivi_Eans!$J:$J,"Relance 2",E_Suivi_Eans!$K:$K,"&gt;31/12/2021",E_Suivi_Eans!$K:$K,"&lt;01/07/2022")+COUNTIFS(E_Suivi_Eans!$C:$C,"05/2022",E_Suivi_Eans!$D:$D,"Equipements élect. et électro.",E_Suivi_Eans!$J:$J,"Relance 3",E_Suivi_Eans!$K:$K,"&gt;31/12/2021",E_Suivi_Eans!$K:$K,"&lt;01/07/2022")</f>
        <v>0</v>
      </c>
      <c r="E61" s="21">
        <f>COUNTIFS(E_Suivi_Eans!$C:$C,"05/2022",E_Suivi_Eans!$D:$D,"Equipements élect. et électro.",E_Suivi_Eans!$J:$J,"Abandon",E_Suivi_Eans!$K:$K,"&gt;31/12/2021",E_Suivi_Eans!K:K,"&lt;01/07/2022")</f>
        <v>0</v>
      </c>
      <c r="F61" s="21">
        <f>COUNTIFS(E_Suivi_Eans!$C:$C,"05/2022",E_Suivi_Eans!$D:$D,"Equipements élect. et électro.")</f>
        <v>0</v>
      </c>
      <c r="G61" s="21">
        <f t="shared" si="19"/>
        <v>0</v>
      </c>
      <c r="J61" s="20" t="s">
        <v>5318</v>
      </c>
      <c r="K61" s="20" t="s">
        <v>5319</v>
      </c>
      <c r="L61" s="28">
        <f t="shared" ref="L61:L66" si="23">IF($G61=0,0,C61/$G61)</f>
        <v>0</v>
      </c>
      <c r="M61" s="28">
        <f t="shared" si="20"/>
        <v>1</v>
      </c>
      <c r="N61" s="28">
        <f t="shared" si="21"/>
        <v>0</v>
      </c>
      <c r="O61" s="28">
        <v>1</v>
      </c>
      <c r="P61" s="28">
        <f t="shared" si="22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COUNTIFS(E_Suivi_Eans!$C:$C,"05/2022",E_Suivi_Eans!$D:$D,"Equipements élect. et électro.",E_Suivi_Eans!$J:$J,"Retour OK",E_Suivi_Eans!$K:$K,"&gt;31/12/2021",E_Suivi_Eans!K:K,"&lt;01/08/2022")</f>
        <v>0</v>
      </c>
      <c r="D62" s="21">
        <f>COUNTIFS(E_Suivi_Eans!$C:$C,"05/2022",E_Suivi_Eans!$D:$D,"Equipements élect. et électro.",E_Suivi_Eans!$J:$J,"Rejet 0",E_Suivi_Eans!$K:$K,"&gt;31/12/2021",E_Suivi_Eans!$K:$K,"&lt;01/08/2022")+ COUNTIFS(E_Suivi_Eans!$C:$C,"05/2022",E_Suivi_Eans!$D:$D,"Equipements élect. et électro.",E_Suivi_Eans!$J:$J,"Rejet 1",E_Suivi_Eans!$K:$K,"&gt;31/12/2021",E_Suivi_Eans!$K:$K,"&lt;01/08/2022")+COUNTIFS(E_Suivi_Eans!$C:$C,"05/2022",E_Suivi_Eans!$D:$D,"Equipements élect. et électro.",E_Suivi_Eans!$J:$J,"Rejet 2",E_Suivi_Eans!$K:$K,"&gt;31/12/2021",E_Suivi_Eans!$K:$K,"&lt;01/08/2022")+COUNTIFS(E_Suivi_Eans!$C:$C,"05/2022",E_Suivi_Eans!$D:$D,"Equipements élect. et électro.",E_Suivi_Eans!$J:$J,"Rejet 3",E_Suivi_Eans!$K:$K,"&gt;31/12/2021",E_Suivi_Eans!$K:$K,"&lt;01/08/2022")+ COUNTIFS(E_Suivi_Eans!$C:$C,"05/2022",E_Suivi_Eans!$D:$D,"Equipements élect. et électro.",E_Suivi_Eans!$J:$J,"Rejet 4",E_Suivi_Eans!$K:$K,"&gt;31/12/2021",E_Suivi_Eans!$K:$K,"&lt;01/08/2022")+COUNTIFS(E_Suivi_Eans!$C:$C,"05/2022",E_Suivi_Eans!$D:$D,"Equipements élect. et électro.",E_Suivi_Eans!$J:$J,"Relance 1",E_Suivi_Eans!$K:$K,"&gt;31/12/2021",E_Suivi_Eans!$K:$K,"&lt;01/08/2022")+COUNTIFS(E_Suivi_Eans!$C:$C,"05/2022",E_Suivi_Eans!$D:$D,"Equipements élect. et électro.",E_Suivi_Eans!$J:$J,"Relance 2",E_Suivi_Eans!$K:$K,"&gt;31/12/2021",E_Suivi_Eans!$K:$K,"&lt;01/08/2022")+COUNTIFS(E_Suivi_Eans!$C:$C,"05/2022",E_Suivi_Eans!$D:$D,"Equipements élect. et électro.",E_Suivi_Eans!$J:$J,"Relance 3",E_Suivi_Eans!$K:$K,"&gt;31/12/2021",E_Suivi_Eans!$K:$K,"&lt;01/08/2022")</f>
        <v>0</v>
      </c>
      <c r="E62" s="21">
        <f>COUNTIFS(E_Suivi_Eans!$C:$C,"05/2022",E_Suivi_Eans!$D:$D,"Equipements élect. et électro.",E_Suivi_Eans!$J:$J,"Abandon",E_Suivi_Eans!$K:$K,"&gt;31/12/2021",E_Suivi_Eans!K:K,"&lt;01/08/2022")</f>
        <v>0</v>
      </c>
      <c r="F62" s="21">
        <f>COUNTIFS(E_Suivi_Eans!$C:$C,"05/2022",E_Suivi_Eans!$D:$D,"Equipements élect. et électro.")</f>
        <v>0</v>
      </c>
      <c r="G62" s="21">
        <f t="shared" si="19"/>
        <v>0</v>
      </c>
      <c r="J62" s="20" t="s">
        <v>5318</v>
      </c>
      <c r="K62" s="20" t="s">
        <v>5320</v>
      </c>
      <c r="L62" s="28">
        <f t="shared" si="23"/>
        <v>0</v>
      </c>
      <c r="M62" s="28">
        <f t="shared" si="20"/>
        <v>1</v>
      </c>
      <c r="N62" s="28">
        <f t="shared" si="21"/>
        <v>0</v>
      </c>
      <c r="O62" s="28">
        <v>1</v>
      </c>
      <c r="P62" s="28">
        <f t="shared" si="22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COUNTIFS(E_Suivi_Eans!$C:$C,"05/2022",E_Suivi_Eans!$D:$D,"Equipements élect. et électro.",E_Suivi_Eans!$J:$J,"Retour OK",E_Suivi_Eans!$K:$K,"&gt;31/12/2021",E_Suivi_Eans!K:K,"&lt;01/09/2022")</f>
        <v>0</v>
      </c>
      <c r="D63" s="21">
        <f>COUNTIFS(E_Suivi_Eans!$C:$C,"05/2022",E_Suivi_Eans!$D:$D,"Equipements élect. et électro.",E_Suivi_Eans!$J:$J,"Rejet 0",E_Suivi_Eans!$K:$K,"&gt;31/12/2021",E_Suivi_Eans!$K:$K,"&lt;01/09/2022")+ COUNTIFS(E_Suivi_Eans!$C:$C,"05/2022",E_Suivi_Eans!$D:$D,"Equipements élect. et électro.",E_Suivi_Eans!$J:$J,"Rejet 1",E_Suivi_Eans!$K:$K,"&gt;31/12/2021",E_Suivi_Eans!$K:$K,"&lt;01/09/2022")+COUNTIFS(E_Suivi_Eans!$C:$C,"05/2022",E_Suivi_Eans!$D:$D,"Equipements élect. et électro.",E_Suivi_Eans!$J:$J,"Rejet 2",E_Suivi_Eans!$K:$K,"&gt;31/12/2021",E_Suivi_Eans!$K:$K,"&lt;01/09/2022")+COUNTIFS(E_Suivi_Eans!$C:$C,"05/2022",E_Suivi_Eans!$D:$D,"Equipements élect. et électro.",E_Suivi_Eans!$J:$J,"Rejet 3",E_Suivi_Eans!$K:$K,"&gt;31/12/2021",E_Suivi_Eans!$K:$K,"&lt;01/09/2022")+ COUNTIFS(E_Suivi_Eans!$C:$C,"05/2022",E_Suivi_Eans!$D:$D,"Equipements élect. et électro.",E_Suivi_Eans!$J:$J,"Rejet 4",E_Suivi_Eans!$K:$K,"&gt;31/12/2021",E_Suivi_Eans!$K:$K,"&lt;01/09/2022")+COUNTIFS(E_Suivi_Eans!$C:$C,"05/2022",E_Suivi_Eans!$D:$D,"Equipements élect. et électro.",E_Suivi_Eans!$J:$J,"Relance 1",E_Suivi_Eans!$K:$K,"&gt;31/12/2021",E_Suivi_Eans!$K:$K,"&lt;01/09/2022")+COUNTIFS(E_Suivi_Eans!$C:$C,"05/2022",E_Suivi_Eans!$D:$D,"Equipements élect. et électro.",E_Suivi_Eans!$J:$J,"Relance 2",E_Suivi_Eans!$K:$K,"&gt;31/12/2021",E_Suivi_Eans!$K:$K,"&lt;01/09/2022")+COUNTIFS(E_Suivi_Eans!$C:$C,"05/2022",E_Suivi_Eans!$D:$D,"Equipements élect. et électro.",E_Suivi_Eans!$J:$J,"Relance 3",E_Suivi_Eans!$K:$K,"&gt;31/12/2021",E_Suivi_Eans!$K:$K,"&lt;01/09/2022")</f>
        <v>0</v>
      </c>
      <c r="E63" s="21">
        <f>COUNTIFS(E_Suivi_Eans!$C:$C,"05/2022",E_Suivi_Eans!$D:$D,"Equipements élect. et électro.",E_Suivi_Eans!$J:$J,"Abandon",E_Suivi_Eans!$K:$K,"&gt;31/12/2021",E_Suivi_Eans!K:K,"&lt;01/09/2022")</f>
        <v>0</v>
      </c>
      <c r="F63" s="21">
        <f>COUNTIFS(E_Suivi_Eans!$C:$C,"05/2022",E_Suivi_Eans!$D:$D,"Equipements élect. et électro.")</f>
        <v>0</v>
      </c>
      <c r="G63" s="21">
        <f t="shared" si="19"/>
        <v>0</v>
      </c>
      <c r="J63" s="20" t="s">
        <v>5318</v>
      </c>
      <c r="K63" s="20" t="s">
        <v>5321</v>
      </c>
      <c r="L63" s="28">
        <f t="shared" si="23"/>
        <v>0</v>
      </c>
      <c r="M63" s="28">
        <f t="shared" si="20"/>
        <v>1</v>
      </c>
      <c r="N63" s="28">
        <f t="shared" si="21"/>
        <v>0</v>
      </c>
      <c r="O63" s="28">
        <v>1</v>
      </c>
      <c r="P63" s="28">
        <f t="shared" si="22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COUNTIFS(E_Suivi_Eans!$C:$C,"05/2022",E_Suivi_Eans!$D:$D,"Equipements élect. et électro.",E_Suivi_Eans!$J:$J,"Retour OK",E_Suivi_Eans!$K:$K,"&gt;31/12/2021",E_Suivi_Eans!K:K,"&lt;01/10/2022")</f>
        <v>0</v>
      </c>
      <c r="D64" s="21">
        <f>COUNTIFS(E_Suivi_Eans!$C:$C,"05/2022",E_Suivi_Eans!$D:$D,"Equipements élect. et électro.",E_Suivi_Eans!$J:$J,"Rejet 0",E_Suivi_Eans!$K:$K,"&gt;31/12/2021",E_Suivi_Eans!$K:$K,"&lt;01/10/2022")+ COUNTIFS(E_Suivi_Eans!$C:$C,"05/2022",E_Suivi_Eans!$D:$D,"Equipements élect. et électro.",E_Suivi_Eans!$J:$J,"Rejet 1",E_Suivi_Eans!$K:$K,"&gt;31/12/2021",E_Suivi_Eans!$K:$K,"&lt;01/10/2022")+COUNTIFS(E_Suivi_Eans!$C:$C,"05/2022",E_Suivi_Eans!$D:$D,"Equipements élect. et électro.",E_Suivi_Eans!$J:$J,"Rejet 2",E_Suivi_Eans!$K:$K,"&gt;31/12/2021",E_Suivi_Eans!$K:$K,"&lt;01/10/2022")+COUNTIFS(E_Suivi_Eans!$C:$C,"05/2022",E_Suivi_Eans!$D:$D,"Equipements élect. et électro.",E_Suivi_Eans!$J:$J,"Rejet 3",E_Suivi_Eans!$K:$K,"&gt;31/12/2021",E_Suivi_Eans!$K:$K,"&lt;01/10/2022")+ COUNTIFS(E_Suivi_Eans!$C:$C,"05/2022",E_Suivi_Eans!$D:$D,"Equipements élect. et électro.",E_Suivi_Eans!$J:$J,"Rejet 4",E_Suivi_Eans!$K:$K,"&gt;31/12/2021",E_Suivi_Eans!$K:$K,"&lt;01/10/2022")+COUNTIFS(E_Suivi_Eans!$C:$C,"05/2022",E_Suivi_Eans!$D:$D,"Equipements élect. et électro.",E_Suivi_Eans!$J:$J,"Relance 1",E_Suivi_Eans!$K:$K,"&gt;31/12/2021",E_Suivi_Eans!$K:$K,"&lt;01/10/2022")+COUNTIFS(E_Suivi_Eans!$C:$C,"05/2022",E_Suivi_Eans!$D:$D,"Equipements élect. et électro.",E_Suivi_Eans!$J:$J,"Relance 2",E_Suivi_Eans!$K:$K,"&gt;31/12/2021",E_Suivi_Eans!$K:$K,"&lt;01/10/2022")+COUNTIFS(E_Suivi_Eans!$C:$C,"05/2022",E_Suivi_Eans!$D:$D,"Equipements élect. et électro.",E_Suivi_Eans!$J:$J,"Relance 3",E_Suivi_Eans!$K:$K,"&gt;31/12/2021",E_Suivi_Eans!$K:$K,"&lt;01/10/2022")</f>
        <v>0</v>
      </c>
      <c r="E64" s="21">
        <f>COUNTIFS(E_Suivi_Eans!$C:$C,"05/2022",E_Suivi_Eans!$D:$D,"Equipements élect. et électro.",E_Suivi_Eans!$J:$J,"Abandon",E_Suivi_Eans!$K:$K,"&gt;31/12/2021",E_Suivi_Eans!K:K,"&lt;01/10/2022")</f>
        <v>0</v>
      </c>
      <c r="F64" s="21">
        <f>COUNTIFS(E_Suivi_Eans!$C:$C,"05/2022",E_Suivi_Eans!$D:$D,"Equipements élect. et électro.")</f>
        <v>0</v>
      </c>
      <c r="G64" s="21">
        <f t="shared" si="19"/>
        <v>0</v>
      </c>
      <c r="J64" s="20" t="s">
        <v>5318</v>
      </c>
      <c r="K64" s="20" t="s">
        <v>5325</v>
      </c>
      <c r="L64" s="28">
        <f t="shared" si="23"/>
        <v>0</v>
      </c>
      <c r="M64" s="28">
        <f t="shared" si="20"/>
        <v>1</v>
      </c>
      <c r="N64" s="28">
        <f t="shared" si="21"/>
        <v>0</v>
      </c>
      <c r="O64" s="28">
        <v>1</v>
      </c>
      <c r="P64" s="28">
        <f t="shared" si="22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COUNTIFS(E_Suivi_Eans!$C:$C,"05/2022",E_Suivi_Eans!$D:$D,"Equipements élect. et électro.",E_Suivi_Eans!$J:$J,"Retour OK",E_Suivi_Eans!$K:$K,"&gt;31/12/2021",E_Suivi_Eans!K:K,"&lt;01/11/2022")</f>
        <v>0</v>
      </c>
      <c r="D65" s="21">
        <f>COUNTIFS(E_Suivi_Eans!$C:$C,"05/2022",E_Suivi_Eans!$D:$D,"Equipements élect. et électro.",E_Suivi_Eans!$J:$J,"Rejet 0",E_Suivi_Eans!$K:$K,"&gt;31/12/2021",E_Suivi_Eans!$K:$K,"&lt;01/11/2022")+ COUNTIFS(E_Suivi_Eans!$C:$C,"05/2022",E_Suivi_Eans!$D:$D,"Equipements élect. et électro.",E_Suivi_Eans!$J:$J,"Rejet 1",E_Suivi_Eans!$K:$K,"&gt;31/12/2021",E_Suivi_Eans!$K:$K,"&lt;01/11/2022")+COUNTIFS(E_Suivi_Eans!$C:$C,"05/2022",E_Suivi_Eans!$D:$D,"Equipements élect. et électro.",E_Suivi_Eans!$J:$J,"Rejet 2",E_Suivi_Eans!$K:$K,"&gt;31/12/2021",E_Suivi_Eans!$K:$K,"&lt;01/11/2022")+COUNTIFS(E_Suivi_Eans!$C:$C,"05/2022",E_Suivi_Eans!$D:$D,"Equipements élect. et électro.",E_Suivi_Eans!$J:$J,"Rejet 3",E_Suivi_Eans!$K:$K,"&gt;31/12/2021",E_Suivi_Eans!$K:$K,"&lt;01/11/2022")+ COUNTIFS(E_Suivi_Eans!$C:$C,"05/2022",E_Suivi_Eans!$D:$D,"Equipements élect. et électro.",E_Suivi_Eans!$J:$J,"Rejet 4",E_Suivi_Eans!$K:$K,"&gt;31/12/2021",E_Suivi_Eans!$K:$K,"&lt;01/11/2022")+COUNTIFS(E_Suivi_Eans!$C:$C,"05/2022",E_Suivi_Eans!$D:$D,"Equipements élect. et électro.",E_Suivi_Eans!$J:$J,"Relance 1",E_Suivi_Eans!$K:$K,"&gt;31/12/2021",E_Suivi_Eans!$K:$K,"&lt;01/11/2022")+COUNTIFS(E_Suivi_Eans!$C:$C,"05/2022",E_Suivi_Eans!$D:$D,"Equipements élect. et électro.",E_Suivi_Eans!$J:$J,"Relance 2",E_Suivi_Eans!$K:$K,"&gt;31/12/2021",E_Suivi_Eans!$K:$K,"&lt;01/11/2022")+COUNTIFS(E_Suivi_Eans!$C:$C,"05/2022",E_Suivi_Eans!$D:$D,"Equipements élect. et électro.",E_Suivi_Eans!$J:$J,"Relance 3",E_Suivi_Eans!$K:$K,"&gt;31/12/2021",E_Suivi_Eans!$K:$K,"&lt;01/11/2022")</f>
        <v>0</v>
      </c>
      <c r="E65" s="21">
        <f>COUNTIFS(E_Suivi_Eans!$C:$C,"05/2022",E_Suivi_Eans!$D:$D,"Equipements élect. et électro.",E_Suivi_Eans!$J:$J,"Abandon",E_Suivi_Eans!$K:$K,"&gt;31/12/2021",E_Suivi_Eans!K:K,"&lt;01/11/2022")</f>
        <v>0</v>
      </c>
      <c r="F65" s="21">
        <f>COUNTIFS(E_Suivi_Eans!$C:$C,"05/2022",E_Suivi_Eans!$D:$D,"Equipements élect. et électro.")</f>
        <v>0</v>
      </c>
      <c r="G65" s="21">
        <f t="shared" si="19"/>
        <v>0</v>
      </c>
      <c r="J65" s="20" t="s">
        <v>5318</v>
      </c>
      <c r="K65" s="20" t="s">
        <v>5326</v>
      </c>
      <c r="L65" s="28">
        <f t="shared" si="23"/>
        <v>0</v>
      </c>
      <c r="M65" s="28">
        <f t="shared" si="20"/>
        <v>1</v>
      </c>
      <c r="N65" s="28">
        <f t="shared" si="21"/>
        <v>0</v>
      </c>
      <c r="O65" s="28">
        <v>1</v>
      </c>
      <c r="P65" s="28">
        <f t="shared" si="22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COUNTIFS(E_Suivi_Eans!$C:$C,"05/2022",E_Suivi_Eans!$D:$D,"Equipements élect. et électro.",E_Suivi_Eans!$J:$J,"Retour OK",E_Suivi_Eans!$K:$K,"&gt;31/12/2021",E_Suivi_Eans!K:K,"&lt;01/12/2022")</f>
        <v>0</v>
      </c>
      <c r="D66" s="21">
        <f>COUNTIFS(E_Suivi_Eans!$C:$C,"05/2022",E_Suivi_Eans!$D:$D,"Equipements élect. et électro.",E_Suivi_Eans!$J:$J,"Rejet 0",E_Suivi_Eans!$K:$K,"&gt;31/12/2021",E_Suivi_Eans!$K:$K,"&lt;01/12/2022")+ COUNTIFS(E_Suivi_Eans!$C:$C,"05/2022",E_Suivi_Eans!$D:$D,"Equipements élect. et électro.",E_Suivi_Eans!$J:$J,"Rejet 1",E_Suivi_Eans!$K:$K,"&gt;31/12/2021",E_Suivi_Eans!$K:$K,"&lt;01/12/2022")+COUNTIFS(E_Suivi_Eans!$C:$C,"05/2022",E_Suivi_Eans!$D:$D,"Equipements élect. et électro.",E_Suivi_Eans!$J:$J,"Rejet 2",E_Suivi_Eans!$K:$K,"&gt;31/12/2021",E_Suivi_Eans!$K:$K,"&lt;01/12/2022")+COUNTIFS(E_Suivi_Eans!$C:$C,"05/2022",E_Suivi_Eans!$D:$D,"Equipements élect. et électro.",E_Suivi_Eans!$J:$J,"Rejet 3",E_Suivi_Eans!$K:$K,"&gt;31/12/2021",E_Suivi_Eans!$K:$K,"&lt;01/12/2022")+ COUNTIFS(E_Suivi_Eans!$C:$C,"05/2022",E_Suivi_Eans!$D:$D,"Equipements élect. et électro.",E_Suivi_Eans!$J:$J,"Rejet 4",E_Suivi_Eans!$K:$K,"&gt;31/12/2021",E_Suivi_Eans!$K:$K,"&lt;01/12/2022")+COUNTIFS(E_Suivi_Eans!$C:$C,"05/2022",E_Suivi_Eans!$D:$D,"Equipements élect. et électro.",E_Suivi_Eans!$J:$J,"Relance 1",E_Suivi_Eans!$K:$K,"&gt;31/12/2021",E_Suivi_Eans!$K:$K,"&lt;01/12/2022")+COUNTIFS(E_Suivi_Eans!$C:$C,"05/2022",E_Suivi_Eans!$D:$D,"Equipements élect. et électro.",E_Suivi_Eans!$J:$J,"Relance 2",E_Suivi_Eans!$K:$K,"&gt;31/12/2021",E_Suivi_Eans!$K:$K,"&lt;01/12/2022")+COUNTIFS(E_Suivi_Eans!$C:$C,"05/2022",E_Suivi_Eans!$D:$D,"Equipements élect. et électro.",E_Suivi_Eans!$J:$J,"Relance 3",E_Suivi_Eans!$K:$K,"&gt;31/12/2021",E_Suivi_Eans!$K:$K,"&lt;01/12/2022")</f>
        <v>0</v>
      </c>
      <c r="E66" s="21">
        <f>COUNTIFS(E_Suivi_Eans!$C:$C,"05/2022",E_Suivi_Eans!$D:$D,"Equipements élect. et électro.",E_Suivi_Eans!$J:$J,"Abandon",E_Suivi_Eans!$K:$K,"&gt;31/12/2021",E_Suivi_Eans!K:K,"&lt;01/12/2022")</f>
        <v>0</v>
      </c>
      <c r="F66" s="21">
        <f>COUNTIFS(E_Suivi_Eans!$C:$C,"05/2022",E_Suivi_Eans!$D:$D,"Equipements élect. et électro.")</f>
        <v>0</v>
      </c>
      <c r="G66" s="21">
        <f t="shared" si="19"/>
        <v>0</v>
      </c>
      <c r="J66" s="20" t="s">
        <v>5318</v>
      </c>
      <c r="K66" s="20" t="s">
        <v>5327</v>
      </c>
      <c r="L66" s="28">
        <f t="shared" si="23"/>
        <v>0</v>
      </c>
      <c r="M66" s="28">
        <f t="shared" si="20"/>
        <v>1</v>
      </c>
      <c r="N66" s="28">
        <f t="shared" si="21"/>
        <v>0</v>
      </c>
      <c r="O66" s="28">
        <v>1</v>
      </c>
      <c r="P66" s="28">
        <f t="shared" si="22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8"/>
      <c r="P67" s="28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5"/>
      <c r="E68" s="25"/>
      <c r="F68" s="25"/>
      <c r="G68" s="25"/>
      <c r="J68" s="22"/>
      <c r="K68" s="22"/>
      <c r="L68" s="23"/>
      <c r="M68" s="25"/>
      <c r="N68" s="25"/>
      <c r="O68" s="31"/>
      <c r="P68" s="31"/>
      <c r="S68" s="22"/>
      <c r="T68" s="22"/>
      <c r="U68" s="23"/>
      <c r="V68" s="25"/>
      <c r="W68" s="25"/>
      <c r="X68" s="25"/>
      <c r="Y68" s="25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8"/>
      <c r="P69" s="28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8"/>
      <c r="P70" s="28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8"/>
      <c r="P71" s="28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8"/>
      <c r="P72" s="28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8"/>
      <c r="P73" s="28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COUNTIFS(E_Suivi_Eans!$C:$C,"06/2022",E_Suivi_Eans!$D:$D,"Equipements élect. et électro.",E_Suivi_Eans!$J:$J,"Retour OK",E_Suivi_Eans!$K:$K,"&gt;31/12/2021",E_Suivi_Eans!K:K,"&lt;01/07/2022")</f>
        <v>68</v>
      </c>
      <c r="D74" s="21">
        <f>COUNTIFS(E_Suivi_Eans!$C:$C,"06/2022",E_Suivi_Eans!$D:$D,"Equipements élect. et électro.",E_Suivi_Eans!$J:$J,"Rejet 0",E_Suivi_Eans!$K:$K,"&gt;31/12/2021",E_Suivi_Eans!$K:$K,"&lt;01/07/2022")+ COUNTIFS(E_Suivi_Eans!$C:$C,"06/2022",E_Suivi_Eans!$D:$D,"Equipements élect. et électro.",E_Suivi_Eans!$J:$J,"Rejet 1",E_Suivi_Eans!$K:$K,"&gt;31/12/2021",E_Suivi_Eans!$K:$K,"&lt;01/07/2022")+COUNTIFS(E_Suivi_Eans!$C:$C,"06/2022",E_Suivi_Eans!$D:$D,"Equipements élect. et électro.",E_Suivi_Eans!$J:$J,"Rejet 2",E_Suivi_Eans!$K:$K,"&gt;31/12/2021",E_Suivi_Eans!$K:$K,"&lt;01/07/2022")+COUNTIFS(E_Suivi_Eans!$C:$C,"06/2022",E_Suivi_Eans!$D:$D,"Equipements élect. et électro.",E_Suivi_Eans!$J:$J,"Rejet 3",E_Suivi_Eans!$K:$K,"&gt;31/12/2021",E_Suivi_Eans!$K:$K,"&lt;01/07/2022")+ COUNTIFS(E_Suivi_Eans!$C:$C,"06/2022",E_Suivi_Eans!$D:$D,"Equipements élect. et électro.",E_Suivi_Eans!$J:$J,"Rejet 4",E_Suivi_Eans!$K:$K,"&gt;31/12/2021",E_Suivi_Eans!$K:$K,"&lt;01/07/2022")+COUNTIFS(E_Suivi_Eans!$C:$C,"06/2022",E_Suivi_Eans!$D:$D,"Equipements élect. et électro.",E_Suivi_Eans!$J:$J,"Relance 1",E_Suivi_Eans!$K:$K,"&gt;31/12/2021",E_Suivi_Eans!$K:$K,"&lt;01/07/2022")+COUNTIFS(E_Suivi_Eans!$C:$C,"06/2022",E_Suivi_Eans!$D:$D,"Equipements élect. et électro.",E_Suivi_Eans!$J:$J,"Relance 2",E_Suivi_Eans!$K:$K,"&gt;31/12/2021",E_Suivi_Eans!$K:$K,"&lt;01/07/2022")+COUNTIFS(E_Suivi_Eans!$C:$C,"06/2022",E_Suivi_Eans!$D:$D,"Equipements élect. et électro.",E_Suivi_Eans!$J:$J,"Relance 3",E_Suivi_Eans!$K:$K,"&gt;31/12/2021",E_Suivi_Eans!$K:$K,"&lt;01/07/2022")</f>
        <v>0</v>
      </c>
      <c r="E74" s="21">
        <f>COUNTIFS(E_Suivi_Eans!$C:$C,"06/2022",E_Suivi_Eans!$D:$D,"Equipements élect. et électro.",E_Suivi_Eans!$J:$J,"Abandon",E_Suivi_Eans!$K:$K,"&gt;31/12/2021",E_Suivi_Eans!K:K,"&lt;01/07/2022")</f>
        <v>0</v>
      </c>
      <c r="F74" s="21">
        <f>COUNTIFS(E_Suivi_Eans!$C:$C,"06/2022",E_Suivi_Eans!$D:$D,"Equipements élect. et électro.")</f>
        <v>2294</v>
      </c>
      <c r="G74" s="21">
        <f t="shared" ref="G74:G79" si="24">F74-E74</f>
        <v>2294</v>
      </c>
      <c r="J74" s="20" t="s">
        <v>5319</v>
      </c>
      <c r="K74" s="20" t="s">
        <v>5319</v>
      </c>
      <c r="L74" s="28">
        <f t="shared" ref="L74:N79" si="25">IF($G74=0,0,C74/$G74)</f>
        <v>2.964254577157803E-2</v>
      </c>
      <c r="M74" s="28">
        <f t="shared" ref="M74:M79" si="26">O74-L74-N74</f>
        <v>0.97035745422842201</v>
      </c>
      <c r="N74" s="28">
        <f t="shared" si="25"/>
        <v>0</v>
      </c>
      <c r="O74" s="28">
        <v>1</v>
      </c>
      <c r="P74" s="28">
        <f t="shared" ref="P74:P79" si="27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COUNTIFS(E_Suivi_Eans!$C:$C,"06/2022",E_Suivi_Eans!$D:$D,"Equipements élect. et électro.",E_Suivi_Eans!$J:$J,"Retour OK",E_Suivi_Eans!$K:$K,"&gt;31/12/2021",E_Suivi_Eans!K:K,"&lt;01/08/2022")</f>
        <v>123</v>
      </c>
      <c r="D75" s="21">
        <f>COUNTIFS(E_Suivi_Eans!$C:$C,"06/2022",E_Suivi_Eans!$D:$D,"Equipements élect. et électro.",E_Suivi_Eans!$J:$J,"Rejet 0",E_Suivi_Eans!$K:$K,"&gt;31/12/2021",E_Suivi_Eans!$K:$K,"&lt;01/08/2022")+ COUNTIFS(E_Suivi_Eans!$C:$C,"06/2022",E_Suivi_Eans!$D:$D,"Equipements élect. et électro.",E_Suivi_Eans!$J:$J,"Rejet 1",E_Suivi_Eans!$K:$K,"&gt;31/12/2021",E_Suivi_Eans!$K:$K,"&lt;01/08/2022")+COUNTIFS(E_Suivi_Eans!$C:$C,"06/2022",E_Suivi_Eans!$D:$D,"Equipements élect. et électro.",E_Suivi_Eans!$J:$J,"Rejet 2",E_Suivi_Eans!$K:$K,"&gt;31/12/2021",E_Suivi_Eans!$K:$K,"&lt;01/08/2022")+COUNTIFS(E_Suivi_Eans!$C:$C,"06/2022",E_Suivi_Eans!$D:$D,"Equipements élect. et électro.",E_Suivi_Eans!$J:$J,"Rejet 3",E_Suivi_Eans!$K:$K,"&gt;31/12/2021",E_Suivi_Eans!$K:$K,"&lt;01/08/2022")+ COUNTIFS(E_Suivi_Eans!$C:$C,"06/2022",E_Suivi_Eans!$D:$D,"Equipements élect. et électro.",E_Suivi_Eans!$J:$J,"Rejet 4",E_Suivi_Eans!$K:$K,"&gt;31/12/2021",E_Suivi_Eans!$K:$K,"&lt;01/08/2022")+COUNTIFS(E_Suivi_Eans!$C:$C,"06/2022",E_Suivi_Eans!$D:$D,"Equipements élect. et électro.",E_Suivi_Eans!$J:$J,"Relance 1",E_Suivi_Eans!$K:$K,"&gt;31/12/2021",E_Suivi_Eans!$K:$K,"&lt;01/08/2022")+COUNTIFS(E_Suivi_Eans!$C:$C,"06/2022",E_Suivi_Eans!$D:$D,"Equipements élect. et électro.",E_Suivi_Eans!$J:$J,"Relance 2",E_Suivi_Eans!$K:$K,"&gt;31/12/2021",E_Suivi_Eans!$K:$K,"&lt;01/08/2022")+COUNTIFS(E_Suivi_Eans!$C:$C,"06/2022",E_Suivi_Eans!$D:$D,"Equipements élect. et électro.",E_Suivi_Eans!$J:$J,"Relance 3",E_Suivi_Eans!$K:$K,"&gt;31/12/2021",E_Suivi_Eans!$K:$K,"&lt;01/08/2022")</f>
        <v>7</v>
      </c>
      <c r="E75" s="21">
        <f>COUNTIFS(E_Suivi_Eans!$C:$C,"06/2022",E_Suivi_Eans!$D:$D,"Equipements élect. et électro.",E_Suivi_Eans!$J:$J,"Abandon",E_Suivi_Eans!$K:$K,"&gt;31/12/2021",E_Suivi_Eans!K:K,"&lt;01/08/2022")</f>
        <v>11</v>
      </c>
      <c r="F75" s="21">
        <f>COUNTIFS(E_Suivi_Eans!$C:$C,"06/2022",E_Suivi_Eans!$D:$D,"Equipements élect. et électro.")</f>
        <v>2294</v>
      </c>
      <c r="G75" s="21">
        <f t="shared" si="24"/>
        <v>2283</v>
      </c>
      <c r="J75" s="20" t="s">
        <v>5319</v>
      </c>
      <c r="K75" s="20" t="s">
        <v>5320</v>
      </c>
      <c r="L75" s="28">
        <f t="shared" si="25"/>
        <v>5.387647831800263E-2</v>
      </c>
      <c r="M75" s="28">
        <f t="shared" si="26"/>
        <v>0.94130530004380208</v>
      </c>
      <c r="N75" s="28">
        <f t="shared" si="25"/>
        <v>4.8182216381953569E-3</v>
      </c>
      <c r="O75" s="28">
        <v>1</v>
      </c>
      <c r="P75" s="28">
        <f t="shared" si="27"/>
        <v>0.99518177836180466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COUNTIFS(E_Suivi_Eans!$C:$C,"06/2022",E_Suivi_Eans!$D:$D,"Equipements élect. et électro.",E_Suivi_Eans!$J:$J,"Retour OK",E_Suivi_Eans!$K:$K,"&gt;31/12/2021",E_Suivi_Eans!K:K,"&lt;01/09/2022")</f>
        <v>301</v>
      </c>
      <c r="D76" s="21">
        <f>COUNTIFS(E_Suivi_Eans!$C:$C,"06/2022",E_Suivi_Eans!$D:$D,"Equipements élect. et électro.",E_Suivi_Eans!$J:$J,"Rejet 0",E_Suivi_Eans!$K:$K,"&gt;31/12/2021",E_Suivi_Eans!$K:$K,"&lt;01/09/2022")+ COUNTIFS(E_Suivi_Eans!$C:$C,"06/2022",E_Suivi_Eans!$D:$D,"Equipements élect. et électro.",E_Suivi_Eans!$J:$J,"Rejet 1",E_Suivi_Eans!$K:$K,"&gt;31/12/2021",E_Suivi_Eans!$K:$K,"&lt;01/09/2022")+COUNTIFS(E_Suivi_Eans!$C:$C,"06/2022",E_Suivi_Eans!$D:$D,"Equipements élect. et électro.",E_Suivi_Eans!$J:$J,"Rejet 2",E_Suivi_Eans!$K:$K,"&gt;31/12/2021",E_Suivi_Eans!$K:$K,"&lt;01/09/2022")+COUNTIFS(E_Suivi_Eans!$C:$C,"06/2022",E_Suivi_Eans!$D:$D,"Equipements élect. et électro.",E_Suivi_Eans!$J:$J,"Rejet 3",E_Suivi_Eans!$K:$K,"&gt;31/12/2021",E_Suivi_Eans!$K:$K,"&lt;01/09/2022")+ COUNTIFS(E_Suivi_Eans!$C:$C,"06/2022",E_Suivi_Eans!$D:$D,"Equipements élect. et électro.",E_Suivi_Eans!$J:$J,"Rejet 4",E_Suivi_Eans!$K:$K,"&gt;31/12/2021",E_Suivi_Eans!$K:$K,"&lt;01/09/2022")+COUNTIFS(E_Suivi_Eans!$C:$C,"06/2022",E_Suivi_Eans!$D:$D,"Equipements élect. et électro.",E_Suivi_Eans!$J:$J,"Relance 1",E_Suivi_Eans!$K:$K,"&gt;31/12/2021",E_Suivi_Eans!$K:$K,"&lt;01/09/2022")+COUNTIFS(E_Suivi_Eans!$C:$C,"06/2022",E_Suivi_Eans!$D:$D,"Equipements élect. et électro.",E_Suivi_Eans!$J:$J,"Relance 2",E_Suivi_Eans!$K:$K,"&gt;31/12/2021",E_Suivi_Eans!$K:$K,"&lt;01/09/2022")+COUNTIFS(E_Suivi_Eans!$C:$C,"06/2022",E_Suivi_Eans!$D:$D,"Equipements élect. et électro.",E_Suivi_Eans!$J:$J,"Relance 3",E_Suivi_Eans!$K:$K,"&gt;31/12/2021",E_Suivi_Eans!$K:$K,"&lt;01/09/2022")</f>
        <v>8</v>
      </c>
      <c r="E76" s="21">
        <f>COUNTIFS(E_Suivi_Eans!$C:$C,"06/2022",E_Suivi_Eans!$D:$D,"Equipements élect. et électro.",E_Suivi_Eans!$J:$J,"Abandon",E_Suivi_Eans!$K:$K,"&gt;31/12/2021",E_Suivi_Eans!K:K,"&lt;01/09/2022")</f>
        <v>53</v>
      </c>
      <c r="F76" s="21">
        <f>COUNTIFS(E_Suivi_Eans!$C:$C,"06/2022",E_Suivi_Eans!$D:$D,"Equipements élect. et électro.")</f>
        <v>2294</v>
      </c>
      <c r="G76" s="21">
        <f t="shared" si="24"/>
        <v>2241</v>
      </c>
      <c r="J76" s="20" t="s">
        <v>5319</v>
      </c>
      <c r="K76" s="20" t="s">
        <v>5321</v>
      </c>
      <c r="L76" s="28">
        <f t="shared" si="25"/>
        <v>0.13431503792949576</v>
      </c>
      <c r="M76" s="28">
        <f t="shared" si="26"/>
        <v>0.84203480589022761</v>
      </c>
      <c r="N76" s="28">
        <f t="shared" si="25"/>
        <v>2.3650156180276664E-2</v>
      </c>
      <c r="O76" s="28">
        <v>1</v>
      </c>
      <c r="P76" s="28">
        <f t="shared" si="27"/>
        <v>0.97634984381972334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COUNTIFS(E_Suivi_Eans!$C:$C,"06/2022",E_Suivi_Eans!$D:$D,"Equipements élect. et électro.",E_Suivi_Eans!$J:$J,"Retour OK",E_Suivi_Eans!$K:$K,"&gt;31/12/2021",E_Suivi_Eans!K:K,"&lt;01/10/2022")</f>
        <v>333</v>
      </c>
      <c r="D77" s="21">
        <f>COUNTIFS(E_Suivi_Eans!$C:$C,"06/2022",E_Suivi_Eans!$D:$D,"Equipements élect. et électro.",E_Suivi_Eans!$J:$J,"Rejet 0",E_Suivi_Eans!$K:$K,"&gt;31/12/2021",E_Suivi_Eans!$K:$K,"&lt;01/10/2022")+ COUNTIFS(E_Suivi_Eans!$C:$C,"06/2022",E_Suivi_Eans!$D:$D,"Equipements élect. et électro.",E_Suivi_Eans!$J:$J,"Rejet 1",E_Suivi_Eans!$K:$K,"&gt;31/12/2021",E_Suivi_Eans!$K:$K,"&lt;01/10/2022")+COUNTIFS(E_Suivi_Eans!$C:$C,"06/2022",E_Suivi_Eans!$D:$D,"Equipements élect. et électro.",E_Suivi_Eans!$J:$J,"Rejet 2",E_Suivi_Eans!$K:$K,"&gt;31/12/2021",E_Suivi_Eans!$K:$K,"&lt;01/10/2022")+COUNTIFS(E_Suivi_Eans!$C:$C,"06/2022",E_Suivi_Eans!$D:$D,"Equipements élect. et électro.",E_Suivi_Eans!$J:$J,"Rejet 3",E_Suivi_Eans!$K:$K,"&gt;31/12/2021",E_Suivi_Eans!$K:$K,"&lt;01/10/2022")+ COUNTIFS(E_Suivi_Eans!$C:$C,"06/2022",E_Suivi_Eans!$D:$D,"Equipements élect. et électro.",E_Suivi_Eans!$J:$J,"Rejet 4",E_Suivi_Eans!$K:$K,"&gt;31/12/2021",E_Suivi_Eans!$K:$K,"&lt;01/10/2022")+COUNTIFS(E_Suivi_Eans!$C:$C,"06/2022",E_Suivi_Eans!$D:$D,"Equipements élect. et électro.",E_Suivi_Eans!$J:$J,"Relance 1",E_Suivi_Eans!$K:$K,"&gt;31/12/2021",E_Suivi_Eans!$K:$K,"&lt;01/10/2022")+COUNTIFS(E_Suivi_Eans!$C:$C,"06/2022",E_Suivi_Eans!$D:$D,"Equipements élect. et électro.",E_Suivi_Eans!$J:$J,"Relance 2",E_Suivi_Eans!$K:$K,"&gt;31/12/2021",E_Suivi_Eans!$K:$K,"&lt;01/10/2022")+COUNTIFS(E_Suivi_Eans!$C:$C,"06/2022",E_Suivi_Eans!$D:$D,"Equipements élect. et électro.",E_Suivi_Eans!$J:$J,"Relance 3",E_Suivi_Eans!$K:$K,"&gt;31/12/2021",E_Suivi_Eans!$K:$K,"&lt;01/10/2022")</f>
        <v>386</v>
      </c>
      <c r="E77" s="21">
        <f>COUNTIFS(E_Suivi_Eans!$C:$C,"06/2022",E_Suivi_Eans!$D:$D,"Equipements élect. et électro.",E_Suivi_Eans!$J:$J,"Abandon",E_Suivi_Eans!$K:$K,"&gt;31/12/2021",E_Suivi_Eans!K:K,"&lt;01/10/2022")</f>
        <v>458</v>
      </c>
      <c r="F77" s="21">
        <f>COUNTIFS(E_Suivi_Eans!$C:$C,"06/2022",E_Suivi_Eans!$D:$D,"Equipements élect. et électro.")</f>
        <v>2294</v>
      </c>
      <c r="G77" s="21">
        <f t="shared" si="24"/>
        <v>1836</v>
      </c>
      <c r="J77" s="20" t="s">
        <v>5319</v>
      </c>
      <c r="K77" s="20" t="s">
        <v>5325</v>
      </c>
      <c r="L77" s="28">
        <f t="shared" si="25"/>
        <v>0.18137254901960784</v>
      </c>
      <c r="M77" s="28">
        <f t="shared" si="26"/>
        <v>0.56917211328976036</v>
      </c>
      <c r="N77" s="28">
        <f t="shared" si="25"/>
        <v>0.2494553376906318</v>
      </c>
      <c r="O77" s="28">
        <v>1</v>
      </c>
      <c r="P77" s="28">
        <f t="shared" si="27"/>
        <v>0.75054466230936823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COUNTIFS(E_Suivi_Eans!$C:$C,"06/2022",E_Suivi_Eans!$D:$D,"Equipements élect. et électro.",E_Suivi_Eans!$J:$J,"Retour OK",E_Suivi_Eans!$K:$K,"&gt;31/12/2021",E_Suivi_Eans!K:K,"&lt;01/11/2022")</f>
        <v>1017</v>
      </c>
      <c r="D78" s="21">
        <f>COUNTIFS(E_Suivi_Eans!$C:$C,"06/2022",E_Suivi_Eans!$D:$D,"Equipements élect. et électro.",E_Suivi_Eans!$J:$J,"Rejet 0",E_Suivi_Eans!$K:$K,"&gt;31/12/2021",E_Suivi_Eans!$K:$K,"&lt;01/11/2022")+ COUNTIFS(E_Suivi_Eans!$C:$C,"06/2022",E_Suivi_Eans!$D:$D,"Equipements élect. et électro.",E_Suivi_Eans!$J:$J,"Rejet 1",E_Suivi_Eans!$K:$K,"&gt;31/12/2021",E_Suivi_Eans!$K:$K,"&lt;01/11/2022")+COUNTIFS(E_Suivi_Eans!$C:$C,"06/2022",E_Suivi_Eans!$D:$D,"Equipements élect. et électro.",E_Suivi_Eans!$J:$J,"Rejet 2",E_Suivi_Eans!$K:$K,"&gt;31/12/2021",E_Suivi_Eans!$K:$K,"&lt;01/11/2022")+COUNTIFS(E_Suivi_Eans!$C:$C,"06/2022",E_Suivi_Eans!$D:$D,"Equipements élect. et électro.",E_Suivi_Eans!$J:$J,"Rejet 3",E_Suivi_Eans!$K:$K,"&gt;31/12/2021",E_Suivi_Eans!$K:$K,"&lt;01/11/2022")+ COUNTIFS(E_Suivi_Eans!$C:$C,"06/2022",E_Suivi_Eans!$D:$D,"Equipements élect. et électro.",E_Suivi_Eans!$J:$J,"Rejet 4",E_Suivi_Eans!$K:$K,"&gt;31/12/2021",E_Suivi_Eans!$K:$K,"&lt;01/11/2022")+COUNTIFS(E_Suivi_Eans!$C:$C,"06/2022",E_Suivi_Eans!$D:$D,"Equipements élect. et électro.",E_Suivi_Eans!$J:$J,"Relance 1",E_Suivi_Eans!$K:$K,"&gt;31/12/2021",E_Suivi_Eans!$K:$K,"&lt;01/11/2022")+COUNTIFS(E_Suivi_Eans!$C:$C,"06/2022",E_Suivi_Eans!$D:$D,"Equipements élect. et électro.",E_Suivi_Eans!$J:$J,"Relance 2",E_Suivi_Eans!$K:$K,"&gt;31/12/2021",E_Suivi_Eans!$K:$K,"&lt;01/11/2022")+COUNTIFS(E_Suivi_Eans!$C:$C,"06/2022",E_Suivi_Eans!$D:$D,"Equipements élect. et électro.",E_Suivi_Eans!$J:$J,"Relance 3",E_Suivi_Eans!$K:$K,"&gt;31/12/2021",E_Suivi_Eans!$K:$K,"&lt;01/11/2022")</f>
        <v>401</v>
      </c>
      <c r="E78" s="21">
        <f>COUNTIFS(E_Suivi_Eans!$C:$C,"06/2022",E_Suivi_Eans!$D:$D,"Equipements élect. et électro.",E_Suivi_Eans!$J:$J,"Abandon",E_Suivi_Eans!$K:$K,"&gt;31/12/2021",E_Suivi_Eans!K:K,"&lt;01/11/2022")</f>
        <v>505</v>
      </c>
      <c r="F78" s="21">
        <f>COUNTIFS(E_Suivi_Eans!$C:$C,"06/2022",E_Suivi_Eans!$D:$D,"Equipements élect. et électro.")</f>
        <v>2294</v>
      </c>
      <c r="G78" s="21">
        <f t="shared" si="24"/>
        <v>1789</v>
      </c>
      <c r="J78" s="20" t="s">
        <v>5319</v>
      </c>
      <c r="K78" s="20" t="s">
        <v>5326</v>
      </c>
      <c r="L78" s="28">
        <f t="shared" si="25"/>
        <v>0.56847400782560087</v>
      </c>
      <c r="M78" s="28">
        <f t="shared" si="26"/>
        <v>0.14924538848518726</v>
      </c>
      <c r="N78" s="28">
        <f t="shared" si="25"/>
        <v>0.28228060368921187</v>
      </c>
      <c r="O78" s="28">
        <v>1</v>
      </c>
      <c r="P78" s="28">
        <f t="shared" si="27"/>
        <v>0.71771939631078818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COUNTIFS(E_Suivi_Eans!$C:$C,"06/2022",E_Suivi_Eans!$D:$D,"Equipements élect. et électro.",E_Suivi_Eans!$J:$J,"Retour OK",E_Suivi_Eans!$K:$K,"&gt;31/12/2021",E_Suivi_Eans!K:K,"&lt;01/12/2022")</f>
        <v>1296</v>
      </c>
      <c r="D79" s="21">
        <f>COUNTIFS(E_Suivi_Eans!$C:$C,"06/2022",E_Suivi_Eans!$D:$D,"Equipements élect. et électro.",E_Suivi_Eans!$J:$J,"Rejet 0",E_Suivi_Eans!$K:$K,"&gt;31/12/2021",E_Suivi_Eans!$K:$K,"&lt;01/12/2022")+ COUNTIFS(E_Suivi_Eans!$C:$C,"06/2022",E_Suivi_Eans!$D:$D,"Equipements élect. et électro.",E_Suivi_Eans!$J:$J,"Rejet 1",E_Suivi_Eans!$K:$K,"&gt;31/12/2021",E_Suivi_Eans!$K:$K,"&lt;01/12/2022")+COUNTIFS(E_Suivi_Eans!$C:$C,"06/2022",E_Suivi_Eans!$D:$D,"Equipements élect. et électro.",E_Suivi_Eans!$J:$J,"Rejet 2",E_Suivi_Eans!$K:$K,"&gt;31/12/2021",E_Suivi_Eans!$K:$K,"&lt;01/12/2022")+COUNTIFS(E_Suivi_Eans!$C:$C,"06/2022",E_Suivi_Eans!$D:$D,"Equipements élect. et électro.",E_Suivi_Eans!$J:$J,"Rejet 3",E_Suivi_Eans!$K:$K,"&gt;31/12/2021",E_Suivi_Eans!$K:$K,"&lt;01/12/2022")+ COUNTIFS(E_Suivi_Eans!$C:$C,"06/2022",E_Suivi_Eans!$D:$D,"Equipements élect. et électro.",E_Suivi_Eans!$J:$J,"Rejet 4",E_Suivi_Eans!$K:$K,"&gt;31/12/2021",E_Suivi_Eans!$K:$K,"&lt;01/12/2022")+COUNTIFS(E_Suivi_Eans!$C:$C,"06/2022",E_Suivi_Eans!$D:$D,"Equipements élect. et électro.",E_Suivi_Eans!$J:$J,"Relance 1",E_Suivi_Eans!$K:$K,"&gt;31/12/2021",E_Suivi_Eans!$K:$K,"&lt;01/12/2022")+COUNTIFS(E_Suivi_Eans!$C:$C,"06/2022",E_Suivi_Eans!$D:$D,"Equipements élect. et électro.",E_Suivi_Eans!$J:$J,"Relance 2",E_Suivi_Eans!$K:$K,"&gt;31/12/2021",E_Suivi_Eans!$K:$K,"&lt;01/12/2022")+COUNTIFS(E_Suivi_Eans!$C:$C,"06/2022",E_Suivi_Eans!$D:$D,"Equipements élect. et électro.",E_Suivi_Eans!$J:$J,"Relance 3",E_Suivi_Eans!$K:$K,"&gt;31/12/2021",E_Suivi_Eans!$K:$K,"&lt;01/12/2022")</f>
        <v>477</v>
      </c>
      <c r="E79" s="21">
        <f>COUNTIFS(E_Suivi_Eans!$C:$C,"06/2022",E_Suivi_Eans!$D:$D,"Equipements élect. et électro.",E_Suivi_Eans!$J:$J,"Abandon",E_Suivi_Eans!$K:$K,"&gt;31/12/2021",E_Suivi_Eans!K:K,"&lt;01/12/2022")</f>
        <v>521</v>
      </c>
      <c r="F79" s="21">
        <f>COUNTIFS(E_Suivi_Eans!$C:$C,"06/2022",E_Suivi_Eans!$D:$D,"Equipements élect. et électro.")</f>
        <v>2294</v>
      </c>
      <c r="G79" s="21">
        <f t="shared" si="24"/>
        <v>1773</v>
      </c>
      <c r="J79" s="20" t="s">
        <v>5319</v>
      </c>
      <c r="K79" s="20" t="s">
        <v>5327</v>
      </c>
      <c r="L79" s="28">
        <f t="shared" si="25"/>
        <v>0.73096446700507611</v>
      </c>
      <c r="M79" s="42">
        <f t="shared" si="26"/>
        <v>-2.4816694867456246E-2</v>
      </c>
      <c r="N79" s="28">
        <f t="shared" si="25"/>
        <v>0.29385222786238013</v>
      </c>
      <c r="O79" s="28">
        <v>1</v>
      </c>
      <c r="P79" s="28">
        <f t="shared" si="27"/>
        <v>0.70614777213761992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8"/>
      <c r="P80" s="28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5"/>
      <c r="E81" s="25"/>
      <c r="F81" s="25"/>
      <c r="G81" s="25"/>
      <c r="J81" s="22"/>
      <c r="K81" s="22"/>
      <c r="L81" s="23"/>
      <c r="M81" s="25"/>
      <c r="N81" s="25"/>
      <c r="O81" s="31"/>
      <c r="P81" s="31"/>
      <c r="S81" s="22"/>
      <c r="T81" s="22"/>
      <c r="U81" s="23"/>
      <c r="V81" s="25"/>
      <c r="W81" s="25"/>
      <c r="X81" s="25"/>
      <c r="Y81" s="25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8"/>
      <c r="P82" s="28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8"/>
      <c r="P83" s="28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8"/>
      <c r="P84" s="28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8"/>
      <c r="P85" s="28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8"/>
      <c r="P86" s="28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8"/>
      <c r="P87" s="28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COUNTIFS(E_Suivi_Eans!$C:$C,"07/2022",E_Suivi_Eans!$D:$D,"Equipements élect. et électro.",E_Suivi_Eans!$J:$J,"Retour OK",E_Suivi_Eans!$K:$K,"&gt;31/12/2021",E_Suivi_Eans!K:K,"&lt;01/08/2022")</f>
        <v>0</v>
      </c>
      <c r="D88" s="21">
        <f>COUNTIFS(E_Suivi_Eans!$C:$C,"07/2022",E_Suivi_Eans!$D:$D,"Equipements élect. et électro.",E_Suivi_Eans!$J:$J,"Rejet 0",E_Suivi_Eans!$K:$K,"&gt;31/12/2021",E_Suivi_Eans!$K:$K,"&lt;01/08/2022")+ COUNTIFS(E_Suivi_Eans!$C:$C,"07/2022",E_Suivi_Eans!$D:$D,"Equipements élect. et électro.",E_Suivi_Eans!$J:$J,"Rejet 1",E_Suivi_Eans!$K:$K,"&gt;31/12/2021",E_Suivi_Eans!$K:$K,"&lt;01/08/2022")+COUNTIFS(E_Suivi_Eans!$C:$C,"07/2022",E_Suivi_Eans!$D:$D,"Equipements élect. et électro.",E_Suivi_Eans!$J:$J,"Rejet 2",E_Suivi_Eans!$K:$K,"&gt;31/12/2021",E_Suivi_Eans!$K:$K,"&lt;01/08/2022")+COUNTIFS(E_Suivi_Eans!$C:$C,"07/2022",E_Suivi_Eans!$D:$D,"Equipements élect. et électro.",E_Suivi_Eans!$J:$J,"Rejet 3",E_Suivi_Eans!$K:$K,"&gt;31/12/2021",E_Suivi_Eans!$K:$K,"&lt;01/08/2022")+ COUNTIFS(E_Suivi_Eans!$C:$C,"07/2022",E_Suivi_Eans!$D:$D,"Equipements élect. et électro.",E_Suivi_Eans!$J:$J,"Rejet 4",E_Suivi_Eans!$K:$K,"&gt;31/12/2021",E_Suivi_Eans!$K:$K,"&lt;01/08/2022")+COUNTIFS(E_Suivi_Eans!$C:$C,"07/2022",E_Suivi_Eans!$D:$D,"Equipements élect. et électro.",E_Suivi_Eans!$J:$J,"Relance 1",E_Suivi_Eans!$K:$K,"&gt;31/12/2021",E_Suivi_Eans!$K:$K,"&lt;01/08/2022")+COUNTIFS(E_Suivi_Eans!$C:$C,"07/2022",E_Suivi_Eans!$D:$D,"Equipements élect. et électro.",E_Suivi_Eans!$J:$J,"Relance 2",E_Suivi_Eans!$K:$K,"&gt;31/12/2021",E_Suivi_Eans!$K:$K,"&lt;01/08/2022")+COUNTIFS(E_Suivi_Eans!$C:$C,"07/2022",E_Suivi_Eans!$D:$D,"Equipements élect. et électro.",E_Suivi_Eans!$J:$J,"Relance 3",E_Suivi_Eans!$K:$K,"&gt;31/12/2021",E_Suivi_Eans!$K:$K,"&lt;01/08/2022")</f>
        <v>0</v>
      </c>
      <c r="E88" s="21">
        <f>COUNTIFS(E_Suivi_Eans!$C:$C,"07/2022",E_Suivi_Eans!$D:$D,"Equipements élect. et électro.",E_Suivi_Eans!$J:$J,"Abandon",E_Suivi_Eans!$K:$K,"&gt;31/12/2021",E_Suivi_Eans!K:K,"&lt;01/08/2022")</f>
        <v>0</v>
      </c>
      <c r="F88" s="21">
        <f>COUNTIFS(E_Suivi_Eans!$C:$C,"07/2022",E_Suivi_Eans!$D:$D,"Equipements élect. et électro.")</f>
        <v>15</v>
      </c>
      <c r="G88" s="21">
        <f>F88-E88</f>
        <v>15</v>
      </c>
      <c r="J88" s="20" t="s">
        <v>5320</v>
      </c>
      <c r="K88" s="20" t="s">
        <v>5320</v>
      </c>
      <c r="L88" s="28">
        <f t="shared" ref="L88:N92" si="28">IF($G88=0,0,C88/$G88)</f>
        <v>0</v>
      </c>
      <c r="M88" s="28">
        <f t="shared" ref="M88:M92" si="29">O88-L88-N88</f>
        <v>1</v>
      </c>
      <c r="N88" s="28">
        <f t="shared" si="28"/>
        <v>0</v>
      </c>
      <c r="O88" s="28">
        <v>1</v>
      </c>
      <c r="P88" s="28">
        <f t="shared" ref="P88:P92" si="3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COUNTIFS(E_Suivi_Eans!$C:$C,"07/2022",E_Suivi_Eans!$D:$D,"Equipements élect. et électro.",E_Suivi_Eans!$J:$J,"Retour OK",E_Suivi_Eans!$K:$K,"&gt;31/12/2021",E_Suivi_Eans!K:K,"&lt;01/09/2022")</f>
        <v>4</v>
      </c>
      <c r="D89" s="21">
        <f>COUNTIFS(E_Suivi_Eans!$C:$C,"07/2022",E_Suivi_Eans!$D:$D,"Equipements élect. et électro.",E_Suivi_Eans!$J:$J,"Rejet 0",E_Suivi_Eans!$K:$K,"&gt;31/12/2021",E_Suivi_Eans!$K:$K,"&lt;01/09/2022")+ COUNTIFS(E_Suivi_Eans!$C:$C,"07/2022",E_Suivi_Eans!$D:$D,"Equipements élect. et électro.",E_Suivi_Eans!$J:$J,"Rejet 1",E_Suivi_Eans!$K:$K,"&gt;31/12/2021",E_Suivi_Eans!$K:$K,"&lt;01/09/2022")+COUNTIFS(E_Suivi_Eans!$C:$C,"07/2022",E_Suivi_Eans!$D:$D,"Equipements élect. et électro.",E_Suivi_Eans!$J:$J,"Rejet 2",E_Suivi_Eans!$K:$K,"&gt;31/12/2021",E_Suivi_Eans!$K:$K,"&lt;01/09/2022")+COUNTIFS(E_Suivi_Eans!$C:$C,"07/2022",E_Suivi_Eans!$D:$D,"Equipements élect. et électro.",E_Suivi_Eans!$J:$J,"Rejet 3",E_Suivi_Eans!$K:$K,"&gt;31/12/2021",E_Suivi_Eans!$K:$K,"&lt;01/09/2022")+ COUNTIFS(E_Suivi_Eans!$C:$C,"07/2022",E_Suivi_Eans!$D:$D,"Equipements élect. et électro.",E_Suivi_Eans!$J:$J,"Rejet 4",E_Suivi_Eans!$K:$K,"&gt;31/12/2021",E_Suivi_Eans!$K:$K,"&lt;01/09/2022")+COUNTIFS(E_Suivi_Eans!$C:$C,"07/2022",E_Suivi_Eans!$D:$D,"Equipements élect. et électro.",E_Suivi_Eans!$J:$J,"Relance 1",E_Suivi_Eans!$K:$K,"&gt;31/12/2021",E_Suivi_Eans!$K:$K,"&lt;01/09/2022")+COUNTIFS(E_Suivi_Eans!$C:$C,"07/2022",E_Suivi_Eans!$D:$D,"Equipements élect. et électro.",E_Suivi_Eans!$J:$J,"Relance 2",E_Suivi_Eans!$K:$K,"&gt;31/12/2021",E_Suivi_Eans!$K:$K,"&lt;01/09/2022")+COUNTIFS(E_Suivi_Eans!$C:$C,"07/2022",E_Suivi_Eans!$D:$D,"Equipements élect. et électro.",E_Suivi_Eans!$J:$J,"Relance 3",E_Suivi_Eans!$K:$K,"&gt;31/12/2021",E_Suivi_Eans!$K:$K,"&lt;01/09/2022")</f>
        <v>0</v>
      </c>
      <c r="E89" s="21">
        <f>COUNTIFS(E_Suivi_Eans!$C:$C,"07/2022",E_Suivi_Eans!$D:$D,"Equipements élect. et électro.",E_Suivi_Eans!$J:$J,"Abandon",E_Suivi_Eans!$K:$K,"&gt;31/12/2021",E_Suivi_Eans!K:K,"&lt;01/09/2022")</f>
        <v>0</v>
      </c>
      <c r="F89" s="21">
        <f>COUNTIFS(E_Suivi_Eans!$C:$C,"07/2022",E_Suivi_Eans!$D:$D,"Equipements élect. et électro.")</f>
        <v>15</v>
      </c>
      <c r="G89" s="21">
        <f t="shared" ref="G89:G92" si="31">F89-E89</f>
        <v>15</v>
      </c>
      <c r="J89" s="20" t="s">
        <v>5320</v>
      </c>
      <c r="K89" s="20" t="s">
        <v>5321</v>
      </c>
      <c r="L89" s="28">
        <f t="shared" si="28"/>
        <v>0.26666666666666666</v>
      </c>
      <c r="M89" s="28">
        <f t="shared" si="29"/>
        <v>0.73333333333333339</v>
      </c>
      <c r="N89" s="28">
        <f t="shared" si="28"/>
        <v>0</v>
      </c>
      <c r="O89" s="28">
        <v>1</v>
      </c>
      <c r="P89" s="28">
        <f t="shared" si="3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COUNTIFS(E_Suivi_Eans!$C:$C,"07/2022",E_Suivi_Eans!$D:$D,"Equipements élect. et électro.",E_Suivi_Eans!$J:$J,"Retour OK",E_Suivi_Eans!$K:$K,"&gt;31/12/2021",E_Suivi_Eans!K:K,"&lt;01/10/2022")</f>
        <v>4</v>
      </c>
      <c r="D90" s="21">
        <f>COUNTIFS(E_Suivi_Eans!$C:$C,"07/2022",E_Suivi_Eans!$D:$D,"Equipements élect. et électro.",E_Suivi_Eans!$J:$J,"Rejet 0",E_Suivi_Eans!$K:$K,"&gt;31/12/2021",E_Suivi_Eans!$K:$K,"&lt;01/10/2022")+ COUNTIFS(E_Suivi_Eans!$C:$C,"07/2022",E_Suivi_Eans!$D:$D,"Equipements élect. et électro.",E_Suivi_Eans!$J:$J,"Rejet 1",E_Suivi_Eans!$K:$K,"&gt;31/12/2021",E_Suivi_Eans!$K:$K,"&lt;01/10/2022")+COUNTIFS(E_Suivi_Eans!$C:$C,"07/2022",E_Suivi_Eans!$D:$D,"Equipements élect. et électro.",E_Suivi_Eans!$J:$J,"Rejet 2",E_Suivi_Eans!$K:$K,"&gt;31/12/2021",E_Suivi_Eans!$K:$K,"&lt;01/10/2022")+COUNTIFS(E_Suivi_Eans!$C:$C,"07/2022",E_Suivi_Eans!$D:$D,"Equipements élect. et électro.",E_Suivi_Eans!$J:$J,"Rejet 3",E_Suivi_Eans!$K:$K,"&gt;31/12/2021",E_Suivi_Eans!$K:$K,"&lt;01/10/2022")+ COUNTIFS(E_Suivi_Eans!$C:$C,"07/2022",E_Suivi_Eans!$D:$D,"Equipements élect. et électro.",E_Suivi_Eans!$J:$J,"Rejet 4",E_Suivi_Eans!$K:$K,"&gt;31/12/2021",E_Suivi_Eans!$K:$K,"&lt;01/10/2022")+COUNTIFS(E_Suivi_Eans!$C:$C,"07/2022",E_Suivi_Eans!$D:$D,"Equipements élect. et électro.",E_Suivi_Eans!$J:$J,"Relance 1",E_Suivi_Eans!$K:$K,"&gt;31/12/2021",E_Suivi_Eans!$K:$K,"&lt;01/10/2022")+COUNTIFS(E_Suivi_Eans!$C:$C,"07/2022",E_Suivi_Eans!$D:$D,"Equipements élect. et électro.",E_Suivi_Eans!$J:$J,"Relance 2",E_Suivi_Eans!$K:$K,"&gt;31/12/2021",E_Suivi_Eans!$K:$K,"&lt;01/10/2022")+COUNTIFS(E_Suivi_Eans!$C:$C,"07/2022",E_Suivi_Eans!$D:$D,"Equipements élect. et électro.",E_Suivi_Eans!$J:$J,"Relance 3",E_Suivi_Eans!$K:$K,"&gt;31/12/2021",E_Suivi_Eans!$K:$K,"&lt;01/10/2022")</f>
        <v>11</v>
      </c>
      <c r="E90" s="21">
        <f>COUNTIFS(E_Suivi_Eans!$C:$C,"07/2022",E_Suivi_Eans!$D:$D,"Equipements élect. et électro.",E_Suivi_Eans!$J:$J,"Abandon",E_Suivi_Eans!$K:$K,"&gt;31/12/2021",E_Suivi_Eans!K:K,"&lt;01/10/2022")</f>
        <v>0</v>
      </c>
      <c r="F90" s="21">
        <f>COUNTIFS(E_Suivi_Eans!$C:$C,"07/2022",E_Suivi_Eans!$D:$D,"Equipements élect. et électro.")</f>
        <v>15</v>
      </c>
      <c r="G90" s="21">
        <f t="shared" si="31"/>
        <v>15</v>
      </c>
      <c r="J90" s="20" t="s">
        <v>5320</v>
      </c>
      <c r="K90" s="20" t="s">
        <v>5325</v>
      </c>
      <c r="L90" s="28">
        <f t="shared" si="28"/>
        <v>0.26666666666666666</v>
      </c>
      <c r="M90" s="28">
        <f t="shared" si="29"/>
        <v>0.73333333333333339</v>
      </c>
      <c r="N90" s="28">
        <f t="shared" si="28"/>
        <v>0</v>
      </c>
      <c r="O90" s="28">
        <v>1</v>
      </c>
      <c r="P90" s="28">
        <f t="shared" si="3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COUNTIFS(E_Suivi_Eans!$C:$C,"07/2022",E_Suivi_Eans!$D:$D,"Equipements élect. et électro.",E_Suivi_Eans!$J:$J,"Retour OK",E_Suivi_Eans!$K:$K,"&gt;31/12/2021",E_Suivi_Eans!K:K,"&lt;01/11/2022")</f>
        <v>4</v>
      </c>
      <c r="D91" s="21">
        <f>COUNTIFS(E_Suivi_Eans!$C:$C,"07/2022",E_Suivi_Eans!$D:$D,"Equipements élect. et électro.",E_Suivi_Eans!$J:$J,"Rejet 0",E_Suivi_Eans!$K:$K,"&gt;31/12/2021",E_Suivi_Eans!$K:$K,"&lt;01/11/2022")+ COUNTIFS(E_Suivi_Eans!$C:$C,"07/2022",E_Suivi_Eans!$D:$D,"Equipements élect. et électro.",E_Suivi_Eans!$J:$J,"Rejet 1",E_Suivi_Eans!$K:$K,"&gt;31/12/2021",E_Suivi_Eans!$K:$K,"&lt;01/11/2022")+COUNTIFS(E_Suivi_Eans!$C:$C,"07/2022",E_Suivi_Eans!$D:$D,"Equipements élect. et électro.",E_Suivi_Eans!$J:$J,"Rejet 2",E_Suivi_Eans!$K:$K,"&gt;31/12/2021",E_Suivi_Eans!$K:$K,"&lt;01/11/2022")+COUNTIFS(E_Suivi_Eans!$C:$C,"07/2022",E_Suivi_Eans!$D:$D,"Equipements élect. et électro.",E_Suivi_Eans!$J:$J,"Rejet 3",E_Suivi_Eans!$K:$K,"&gt;31/12/2021",E_Suivi_Eans!$K:$K,"&lt;01/11/2022")+ COUNTIFS(E_Suivi_Eans!$C:$C,"07/2022",E_Suivi_Eans!$D:$D,"Equipements élect. et électro.",E_Suivi_Eans!$J:$J,"Rejet 4",E_Suivi_Eans!$K:$K,"&gt;31/12/2021",E_Suivi_Eans!$K:$K,"&lt;01/11/2022")+COUNTIFS(E_Suivi_Eans!$C:$C,"07/2022",E_Suivi_Eans!$D:$D,"Equipements élect. et électro.",E_Suivi_Eans!$J:$J,"Relance 1",E_Suivi_Eans!$K:$K,"&gt;31/12/2021",E_Suivi_Eans!$K:$K,"&lt;01/11/2022")+COUNTIFS(E_Suivi_Eans!$C:$C,"07/2022",E_Suivi_Eans!$D:$D,"Equipements élect. et électro.",E_Suivi_Eans!$J:$J,"Relance 2",E_Suivi_Eans!$K:$K,"&gt;31/12/2021",E_Suivi_Eans!$K:$K,"&lt;01/11/2022")+COUNTIFS(E_Suivi_Eans!$C:$C,"07/2022",E_Suivi_Eans!$D:$D,"Equipements élect. et électro.",E_Suivi_Eans!$J:$J,"Relance 3",E_Suivi_Eans!$K:$K,"&gt;31/12/2021",E_Suivi_Eans!$K:$K,"&lt;01/11/2022")</f>
        <v>11</v>
      </c>
      <c r="E91" s="21">
        <f>COUNTIFS(E_Suivi_Eans!$C:$C,"07/2022",E_Suivi_Eans!$D:$D,"Equipements élect. et électro.",E_Suivi_Eans!$J:$J,"Abandon",E_Suivi_Eans!$K:$K,"&gt;31/12/2021",E_Suivi_Eans!K:K,"&lt;01/11/2022")</f>
        <v>0</v>
      </c>
      <c r="F91" s="21">
        <f>COUNTIFS(E_Suivi_Eans!$C:$C,"07/2022",E_Suivi_Eans!$D:$D,"Equipements élect. et électro.")</f>
        <v>15</v>
      </c>
      <c r="G91" s="21">
        <f t="shared" si="31"/>
        <v>15</v>
      </c>
      <c r="J91" s="20" t="s">
        <v>5320</v>
      </c>
      <c r="K91" s="20" t="s">
        <v>5326</v>
      </c>
      <c r="L91" s="28">
        <f t="shared" si="28"/>
        <v>0.26666666666666666</v>
      </c>
      <c r="M91" s="28">
        <f t="shared" si="29"/>
        <v>0.73333333333333339</v>
      </c>
      <c r="N91" s="28">
        <f t="shared" si="28"/>
        <v>0</v>
      </c>
      <c r="O91" s="28">
        <v>1</v>
      </c>
      <c r="P91" s="28">
        <f t="shared" si="3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COUNTIFS(E_Suivi_Eans!$C:$C,"07/2022",E_Suivi_Eans!$D:$D,"Equipements élect. et électro.",E_Suivi_Eans!$J:$J,"Retour OK",E_Suivi_Eans!$K:$K,"&gt;31/12/2021",E_Suivi_Eans!K:K,"&lt;01/12/2022")</f>
        <v>4</v>
      </c>
      <c r="D92" s="21">
        <f>COUNTIFS(E_Suivi_Eans!$C:$C,"07/2022",E_Suivi_Eans!$D:$D,"Equipements élect. et électro.",E_Suivi_Eans!$J:$J,"Rejet 0",E_Suivi_Eans!$K:$K,"&gt;31/12/2021",E_Suivi_Eans!$K:$K,"&lt;01/12/2022")+ COUNTIFS(E_Suivi_Eans!$C:$C,"07/2022",E_Suivi_Eans!$D:$D,"Equipements élect. et électro.",E_Suivi_Eans!$J:$J,"Rejet 1",E_Suivi_Eans!$K:$K,"&gt;31/12/2021",E_Suivi_Eans!$K:$K,"&lt;01/12/2022")+COUNTIFS(E_Suivi_Eans!$C:$C,"07/2022",E_Suivi_Eans!$D:$D,"Equipements élect. et électro.",E_Suivi_Eans!$J:$J,"Rejet 2",E_Suivi_Eans!$K:$K,"&gt;31/12/2021",E_Suivi_Eans!$K:$K,"&lt;01/12/2022")+COUNTIFS(E_Suivi_Eans!$C:$C,"07/2022",E_Suivi_Eans!$D:$D,"Equipements élect. et électro.",E_Suivi_Eans!$J:$J,"Rejet 3",E_Suivi_Eans!$K:$K,"&gt;31/12/2021",E_Suivi_Eans!$K:$K,"&lt;01/12/2022")+ COUNTIFS(E_Suivi_Eans!$C:$C,"07/2022",E_Suivi_Eans!$D:$D,"Equipements élect. et électro.",E_Suivi_Eans!$J:$J,"Rejet 4",E_Suivi_Eans!$K:$K,"&gt;31/12/2021",E_Suivi_Eans!$K:$K,"&lt;01/12/2022")+COUNTIFS(E_Suivi_Eans!$C:$C,"07/2022",E_Suivi_Eans!$D:$D,"Equipements élect. et électro.",E_Suivi_Eans!$J:$J,"Relance 1",E_Suivi_Eans!$K:$K,"&gt;31/12/2021",E_Suivi_Eans!$K:$K,"&lt;01/12/2022")+COUNTIFS(E_Suivi_Eans!$C:$C,"07/2022",E_Suivi_Eans!$D:$D,"Equipements élect. et électro.",E_Suivi_Eans!$J:$J,"Relance 2",E_Suivi_Eans!$K:$K,"&gt;31/12/2021",E_Suivi_Eans!$K:$K,"&lt;01/12/2022")+COUNTIFS(E_Suivi_Eans!$C:$C,"07/2022",E_Suivi_Eans!$D:$D,"Equipements élect. et électro.",E_Suivi_Eans!$J:$J,"Relance 3",E_Suivi_Eans!$K:$K,"&gt;31/12/2021",E_Suivi_Eans!$K:$K,"&lt;01/12/2022")</f>
        <v>11</v>
      </c>
      <c r="E92" s="21">
        <f>COUNTIFS(E_Suivi_Eans!$C:$C,"07/2022",E_Suivi_Eans!$D:$D,"Equipements élect. et électro.",E_Suivi_Eans!$J:$J,"Abandon",E_Suivi_Eans!$K:$K,"&gt;31/12/2021",E_Suivi_Eans!K:K,"&lt;01/12/2022")</f>
        <v>0</v>
      </c>
      <c r="F92" s="21">
        <f>COUNTIFS(E_Suivi_Eans!$C:$C,"07/2022",E_Suivi_Eans!$D:$D,"Equipements élect. et électro.")</f>
        <v>15</v>
      </c>
      <c r="G92" s="21">
        <f t="shared" si="31"/>
        <v>15</v>
      </c>
      <c r="J92" s="20" t="s">
        <v>5320</v>
      </c>
      <c r="K92" s="20" t="s">
        <v>5327</v>
      </c>
      <c r="L92" s="28">
        <f t="shared" si="28"/>
        <v>0.26666666666666666</v>
      </c>
      <c r="M92" s="28">
        <f t="shared" si="29"/>
        <v>0.73333333333333339</v>
      </c>
      <c r="N92" s="28">
        <f t="shared" si="28"/>
        <v>0</v>
      </c>
      <c r="O92" s="28">
        <v>1</v>
      </c>
      <c r="P92" s="28">
        <f t="shared" si="3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8"/>
      <c r="P93" s="28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5"/>
      <c r="E94" s="25"/>
      <c r="F94" s="25"/>
      <c r="G94" s="25"/>
      <c r="J94" s="22"/>
      <c r="K94" s="22"/>
      <c r="L94" s="23"/>
      <c r="M94" s="25"/>
      <c r="N94" s="25"/>
      <c r="O94" s="31"/>
      <c r="P94" s="31"/>
      <c r="S94" s="22"/>
      <c r="T94" s="22"/>
      <c r="U94" s="23"/>
      <c r="V94" s="25"/>
      <c r="W94" s="25"/>
      <c r="X94" s="25"/>
      <c r="Y94" s="25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8"/>
      <c r="P95" s="28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8"/>
      <c r="P96" s="28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8"/>
      <c r="P97" s="28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8"/>
      <c r="P98" s="28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8"/>
      <c r="P99" s="28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8"/>
      <c r="P100" s="28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8"/>
      <c r="P101" s="28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COUNTIFS(E_Suivi_Eans!$C:$C,"08/2022",E_Suivi_Eans!$D:$D,"Equipements élect. et électro.",E_Suivi_Eans!$J:$J,"Retour OK",E_Suivi_Eans!$K:$K,"&gt;31/12/2021",E_Suivi_Eans!K:K,"&lt;01/09/2022")</f>
        <v>0</v>
      </c>
      <c r="D102" s="21">
        <f>COUNTIFS(E_Suivi_Eans!$C:$C,"08/2022",E_Suivi_Eans!$D:$D,"Equipements élect. et électro.",E_Suivi_Eans!$J:$J,"Rejet 0",E_Suivi_Eans!$K:$K,"&gt;31/12/2021",E_Suivi_Eans!$K:$K,"&lt;01/09/2022")+ COUNTIFS(E_Suivi_Eans!$C:$C,"08/2022",E_Suivi_Eans!$D:$D,"Equipements élect. et électro.",E_Suivi_Eans!$J:$J,"Rejet 1",E_Suivi_Eans!$K:$K,"&gt;31/12/2021",E_Suivi_Eans!$K:$K,"&lt;01/09/2022")+COUNTIFS(E_Suivi_Eans!$C:$C,"08/2022",E_Suivi_Eans!$D:$D,"Equipements élect. et électro.",E_Suivi_Eans!$J:$J,"Rejet 2",E_Suivi_Eans!$K:$K,"&gt;31/12/2021",E_Suivi_Eans!$K:$K,"&lt;01/09/2022")+COUNTIFS(E_Suivi_Eans!$C:$C,"08/2022",E_Suivi_Eans!$D:$D,"Equipements élect. et électro.",E_Suivi_Eans!$J:$J,"Rejet 3",E_Suivi_Eans!$K:$K,"&gt;31/12/2021",E_Suivi_Eans!$K:$K,"&lt;01/09/2022")+ COUNTIFS(E_Suivi_Eans!$C:$C,"08/2022",E_Suivi_Eans!$D:$D,"Equipements élect. et électro.",E_Suivi_Eans!$J:$J,"Rejet 4",E_Suivi_Eans!$K:$K,"&gt;31/12/2021",E_Suivi_Eans!$K:$K,"&lt;01/09/2022")+COUNTIFS(E_Suivi_Eans!$C:$C,"08/2022",E_Suivi_Eans!$D:$D,"Equipements élect. et électro.",E_Suivi_Eans!$J:$J,"Relance 1",E_Suivi_Eans!$K:$K,"&gt;31/12/2021",E_Suivi_Eans!$K:$K,"&lt;01/09/2022")+COUNTIFS(E_Suivi_Eans!$C:$C,"08/2022",E_Suivi_Eans!$D:$D,"Equipements élect. et électro.",E_Suivi_Eans!$J:$J,"Relance 2",E_Suivi_Eans!$K:$K,"&gt;31/12/2021",E_Suivi_Eans!$K:$K,"&lt;01/09/2022")+COUNTIFS(E_Suivi_Eans!$C:$C,"08/2022",E_Suivi_Eans!$D:$D,"Equipements élect. et électro.",E_Suivi_Eans!$J:$J,"Relance 3",E_Suivi_Eans!$K:$K,"&gt;31/12/2021",E_Suivi_Eans!$K:$K,"&lt;01/09/2022")</f>
        <v>0</v>
      </c>
      <c r="E102" s="21">
        <f>COUNTIFS(E_Suivi_Eans!$C:$C,"08/2022",E_Suivi_Eans!$D:$D,"Equipements élect. et électro.",E_Suivi_Eans!$J:$J,"Abandon",E_Suivi_Eans!$K:$K,"&gt;31/12/2021",E_Suivi_Eans!K:K,"&lt;01/09/2022")</f>
        <v>0</v>
      </c>
      <c r="F102" s="21">
        <f>COUNTIFS(E_Suivi_Eans!$C:$C,"08/2022",E_Suivi_Eans!$D:$D,"Equipements élect. et électro.")</f>
        <v>70</v>
      </c>
      <c r="G102" s="21">
        <f>F102-E102</f>
        <v>70</v>
      </c>
      <c r="J102" s="20" t="s">
        <v>5321</v>
      </c>
      <c r="K102" s="20" t="s">
        <v>5321</v>
      </c>
      <c r="L102" s="28">
        <f t="shared" ref="L102:N105" si="32">IF($G102=0,0,C102/$G102)</f>
        <v>0</v>
      </c>
      <c r="M102" s="28">
        <f t="shared" ref="M102:M105" si="33">O102-L102-N102</f>
        <v>1</v>
      </c>
      <c r="N102" s="28">
        <f t="shared" si="32"/>
        <v>0</v>
      </c>
      <c r="O102" s="28">
        <v>1</v>
      </c>
      <c r="P102" s="28">
        <f t="shared" ref="P102:P105" si="34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COUNTIFS(E_Suivi_Eans!$C:$C,"08/2022",E_Suivi_Eans!$D:$D,"Equipements élect. et électro.",E_Suivi_Eans!$J:$J,"Retour OK",E_Suivi_Eans!$K:$K,"&gt;31/12/2021",E_Suivi_Eans!K:K,"&lt;01/10/2022")</f>
        <v>1</v>
      </c>
      <c r="D103" s="21">
        <f>COUNTIFS(E_Suivi_Eans!$C:$C,"08/2022",E_Suivi_Eans!$D:$D,"Equipements élect. et électro.",E_Suivi_Eans!$J:$J,"Rejet 0",E_Suivi_Eans!$K:$K,"&gt;31/12/2021",E_Suivi_Eans!$K:$K,"&lt;01/10/2022")+ COUNTIFS(E_Suivi_Eans!$C:$C,"08/2022",E_Suivi_Eans!$D:$D,"Equipements élect. et électro.",E_Suivi_Eans!$J:$J,"Rejet 1",E_Suivi_Eans!$K:$K,"&gt;31/12/2021",E_Suivi_Eans!$K:$K,"&lt;01/10/2022")+COUNTIFS(E_Suivi_Eans!$C:$C,"08/2022",E_Suivi_Eans!$D:$D,"Equipements élect. et électro.",E_Suivi_Eans!$J:$J,"Rejet 2",E_Suivi_Eans!$K:$K,"&gt;31/12/2021",E_Suivi_Eans!$K:$K,"&lt;01/10/2022")+COUNTIFS(E_Suivi_Eans!$C:$C,"08/2022",E_Suivi_Eans!$D:$D,"Equipements élect. et électro.",E_Suivi_Eans!$J:$J,"Rejet 3",E_Suivi_Eans!$K:$K,"&gt;31/12/2021",E_Suivi_Eans!$K:$K,"&lt;01/10/2022")+ COUNTIFS(E_Suivi_Eans!$C:$C,"08/2022",E_Suivi_Eans!$D:$D,"Equipements élect. et électro.",E_Suivi_Eans!$J:$J,"Rejet 4",E_Suivi_Eans!$K:$K,"&gt;31/12/2021",E_Suivi_Eans!$K:$K,"&lt;01/10/2022")+COUNTIFS(E_Suivi_Eans!$C:$C,"08/2022",E_Suivi_Eans!$D:$D,"Equipements élect. et électro.",E_Suivi_Eans!$J:$J,"Relance 1",E_Suivi_Eans!$K:$K,"&gt;31/12/2021",E_Suivi_Eans!$K:$K,"&lt;01/10/2022")+COUNTIFS(E_Suivi_Eans!$C:$C,"08/2022",E_Suivi_Eans!$D:$D,"Equipements élect. et électro.",E_Suivi_Eans!$J:$J,"Relance 2",E_Suivi_Eans!$K:$K,"&gt;31/12/2021",E_Suivi_Eans!$K:$K,"&lt;01/10/2022")+COUNTIFS(E_Suivi_Eans!$C:$C,"08/2022",E_Suivi_Eans!$D:$D,"Equipements élect. et électro.",E_Suivi_Eans!$J:$J,"Relance 3",E_Suivi_Eans!$K:$K,"&gt;31/12/2021",E_Suivi_Eans!$K:$K,"&lt;01/10/2022")</f>
        <v>28</v>
      </c>
      <c r="E103" s="21">
        <f>COUNTIFS(E_Suivi_Eans!$C:$C,"08/2022",E_Suivi_Eans!$D:$D,"Equipements élect. et électro.",E_Suivi_Eans!$J:$J,"Abandon",E_Suivi_Eans!$K:$K,"&gt;31/12/2021",E_Suivi_Eans!K:K,"&lt;01/10/2022")</f>
        <v>0</v>
      </c>
      <c r="F103" s="21">
        <f>COUNTIFS(E_Suivi_Eans!$C:$C,"08/2022",E_Suivi_Eans!$D:$D,"Equipements élect. et électro.")</f>
        <v>70</v>
      </c>
      <c r="G103" s="21">
        <f t="shared" ref="G103:G105" si="35">F103-E103</f>
        <v>70</v>
      </c>
      <c r="J103" s="20" t="s">
        <v>5321</v>
      </c>
      <c r="K103" s="20" t="s">
        <v>5325</v>
      </c>
      <c r="L103" s="28">
        <f t="shared" si="32"/>
        <v>1.4285714285714285E-2</v>
      </c>
      <c r="M103" s="28">
        <f t="shared" si="33"/>
        <v>0.98571428571428577</v>
      </c>
      <c r="N103" s="28">
        <f t="shared" si="32"/>
        <v>0</v>
      </c>
      <c r="O103" s="28">
        <v>1</v>
      </c>
      <c r="P103" s="28">
        <f t="shared" si="34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COUNTIFS(E_Suivi_Eans!$C:$C,"08/2022",E_Suivi_Eans!$D:$D,"Equipements élect. et électro.",E_Suivi_Eans!$J:$J,"Retour OK",E_Suivi_Eans!$K:$K,"&gt;31/12/2021",E_Suivi_Eans!K:K,"&lt;01/11/2022")</f>
        <v>4</v>
      </c>
      <c r="D104" s="21">
        <f>COUNTIFS(E_Suivi_Eans!$C:$C,"08/2022",E_Suivi_Eans!$D:$D,"Equipements élect. et électro.",E_Suivi_Eans!$J:$J,"Rejet 0",E_Suivi_Eans!$K:$K,"&gt;31/12/2021",E_Suivi_Eans!$K:$K,"&lt;01/11/2022")+ COUNTIFS(E_Suivi_Eans!$C:$C,"08/2022",E_Suivi_Eans!$D:$D,"Equipements élect. et électro.",E_Suivi_Eans!$J:$J,"Rejet 1",E_Suivi_Eans!$K:$K,"&gt;31/12/2021",E_Suivi_Eans!$K:$K,"&lt;01/11/2022")+COUNTIFS(E_Suivi_Eans!$C:$C,"08/2022",E_Suivi_Eans!$D:$D,"Equipements élect. et électro.",E_Suivi_Eans!$J:$J,"Rejet 2",E_Suivi_Eans!$K:$K,"&gt;31/12/2021",E_Suivi_Eans!$K:$K,"&lt;01/11/2022")+COUNTIFS(E_Suivi_Eans!$C:$C,"08/2022",E_Suivi_Eans!$D:$D,"Equipements élect. et électro.",E_Suivi_Eans!$J:$J,"Rejet 3",E_Suivi_Eans!$K:$K,"&gt;31/12/2021",E_Suivi_Eans!$K:$K,"&lt;01/11/2022")+ COUNTIFS(E_Suivi_Eans!$C:$C,"08/2022",E_Suivi_Eans!$D:$D,"Equipements élect. et électro.",E_Suivi_Eans!$J:$J,"Rejet 4",E_Suivi_Eans!$K:$K,"&gt;31/12/2021",E_Suivi_Eans!$K:$K,"&lt;01/11/2022")+COUNTIFS(E_Suivi_Eans!$C:$C,"08/2022",E_Suivi_Eans!$D:$D,"Equipements élect. et électro.",E_Suivi_Eans!$J:$J,"Relance 1",E_Suivi_Eans!$K:$K,"&gt;31/12/2021",E_Suivi_Eans!$K:$K,"&lt;01/11/2022")+COUNTIFS(E_Suivi_Eans!$C:$C,"08/2022",E_Suivi_Eans!$D:$D,"Equipements élect. et électro.",E_Suivi_Eans!$J:$J,"Relance 2",E_Suivi_Eans!$K:$K,"&gt;31/12/2021",E_Suivi_Eans!$K:$K,"&lt;01/11/2022")+COUNTIFS(E_Suivi_Eans!$C:$C,"08/2022",E_Suivi_Eans!$D:$D,"Equipements élect. et électro.",E_Suivi_Eans!$J:$J,"Relance 3",E_Suivi_Eans!$K:$K,"&gt;31/12/2021",E_Suivi_Eans!$K:$K,"&lt;01/11/2022")</f>
        <v>28</v>
      </c>
      <c r="E104" s="21">
        <f>COUNTIFS(E_Suivi_Eans!$C:$C,"08/2022",E_Suivi_Eans!$D:$D,"Equipements élect. et électro.",E_Suivi_Eans!$J:$J,"Abandon",E_Suivi_Eans!$K:$K,"&gt;31/12/2021",E_Suivi_Eans!K:K,"&lt;01/11/2022")</f>
        <v>0</v>
      </c>
      <c r="F104" s="21">
        <f>COUNTIFS(E_Suivi_Eans!$C:$C,"08/2022",E_Suivi_Eans!$D:$D,"Equipements élect. et électro.")</f>
        <v>70</v>
      </c>
      <c r="G104" s="21">
        <f t="shared" si="35"/>
        <v>70</v>
      </c>
      <c r="J104" s="20" t="s">
        <v>5321</v>
      </c>
      <c r="K104" s="20" t="s">
        <v>5326</v>
      </c>
      <c r="L104" s="28">
        <f t="shared" si="32"/>
        <v>5.7142857142857141E-2</v>
      </c>
      <c r="M104" s="28">
        <f t="shared" si="33"/>
        <v>0.94285714285714284</v>
      </c>
      <c r="N104" s="28">
        <f t="shared" si="32"/>
        <v>0</v>
      </c>
      <c r="O104" s="28">
        <v>1</v>
      </c>
      <c r="P104" s="28">
        <f t="shared" si="34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COUNTIFS(E_Suivi_Eans!$C:$C,"08/2022",E_Suivi_Eans!$D:$D,"Equipements élect. et électro.",E_Suivi_Eans!$J:$J,"Retour OK",E_Suivi_Eans!$K:$K,"&gt;31/12/2021",E_Suivi_Eans!K:K,"&lt;01/12/2022")</f>
        <v>42</v>
      </c>
      <c r="D105" s="21">
        <f>COUNTIFS(E_Suivi_Eans!$C:$C,"08/2022",E_Suivi_Eans!$D:$D,"Equipements élect. et électro.",E_Suivi_Eans!$J:$J,"Rejet 0",E_Suivi_Eans!$K:$K,"&gt;31/12/2021",E_Suivi_Eans!$K:$K,"&lt;01/12/2022")+ COUNTIFS(E_Suivi_Eans!$C:$C,"08/2022",E_Suivi_Eans!$D:$D,"Equipements élect. et électro.",E_Suivi_Eans!$J:$J,"Rejet 1",E_Suivi_Eans!$K:$K,"&gt;31/12/2021",E_Suivi_Eans!$K:$K,"&lt;01/12/2022")+COUNTIFS(E_Suivi_Eans!$C:$C,"08/2022",E_Suivi_Eans!$D:$D,"Equipements élect. et électro.",E_Suivi_Eans!$J:$J,"Rejet 2",E_Suivi_Eans!$K:$K,"&gt;31/12/2021",E_Suivi_Eans!$K:$K,"&lt;01/12/2022")+COUNTIFS(E_Suivi_Eans!$C:$C,"08/2022",E_Suivi_Eans!$D:$D,"Equipements élect. et électro.",E_Suivi_Eans!$J:$J,"Rejet 3",E_Suivi_Eans!$K:$K,"&gt;31/12/2021",E_Suivi_Eans!$K:$K,"&lt;01/12/2022")+ COUNTIFS(E_Suivi_Eans!$C:$C,"08/2022",E_Suivi_Eans!$D:$D,"Equipements élect. et électro.",E_Suivi_Eans!$J:$J,"Rejet 4",E_Suivi_Eans!$K:$K,"&gt;31/12/2021",E_Suivi_Eans!$K:$K,"&lt;01/12/2022")+COUNTIFS(E_Suivi_Eans!$C:$C,"08/2022",E_Suivi_Eans!$D:$D,"Equipements élect. et électro.",E_Suivi_Eans!$J:$J,"Relance 1",E_Suivi_Eans!$K:$K,"&gt;31/12/2021",E_Suivi_Eans!$K:$K,"&lt;01/12/2022")+COUNTIFS(E_Suivi_Eans!$C:$C,"08/2022",E_Suivi_Eans!$D:$D,"Equipements élect. et électro.",E_Suivi_Eans!$J:$J,"Relance 2",E_Suivi_Eans!$K:$K,"&gt;31/12/2021",E_Suivi_Eans!$K:$K,"&lt;01/12/2022")+COUNTIFS(E_Suivi_Eans!$C:$C,"08/2022",E_Suivi_Eans!$D:$D,"Equipements élect. et électro.",E_Suivi_Eans!$J:$J,"Relance 3",E_Suivi_Eans!$K:$K,"&gt;31/12/2021",E_Suivi_Eans!$K:$K,"&lt;01/12/2022")</f>
        <v>28</v>
      </c>
      <c r="E105" s="21">
        <f>COUNTIFS(E_Suivi_Eans!$C:$C,"08/2022",E_Suivi_Eans!$D:$D,"Equipements élect. et électro.",E_Suivi_Eans!$J:$J,"Abandon",E_Suivi_Eans!$K:$K,"&gt;31/12/2021",E_Suivi_Eans!K:K,"&lt;01/12/2022")</f>
        <v>0</v>
      </c>
      <c r="F105" s="21">
        <f>COUNTIFS(E_Suivi_Eans!$C:$C,"08/2022",E_Suivi_Eans!$D:$D,"Equipements élect. et électro.")</f>
        <v>70</v>
      </c>
      <c r="G105" s="21">
        <f t="shared" si="35"/>
        <v>70</v>
      </c>
      <c r="J105" s="20" t="s">
        <v>5321</v>
      </c>
      <c r="K105" s="20" t="s">
        <v>5327</v>
      </c>
      <c r="L105" s="28">
        <f t="shared" si="32"/>
        <v>0.6</v>
      </c>
      <c r="M105" s="28">
        <f t="shared" si="33"/>
        <v>0.4</v>
      </c>
      <c r="N105" s="28">
        <f t="shared" si="32"/>
        <v>0</v>
      </c>
      <c r="O105" s="28">
        <v>1</v>
      </c>
      <c r="P105" s="28">
        <f t="shared" si="34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8"/>
      <c r="P106" s="28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5"/>
      <c r="E107" s="25"/>
      <c r="F107" s="25"/>
      <c r="G107" s="25"/>
      <c r="J107" s="22"/>
      <c r="K107" s="22"/>
      <c r="L107" s="23"/>
      <c r="M107" s="25"/>
      <c r="N107" s="25"/>
      <c r="O107" s="31"/>
      <c r="P107" s="31"/>
      <c r="S107" s="22"/>
      <c r="T107" s="22"/>
      <c r="U107" s="23"/>
      <c r="V107" s="25"/>
      <c r="W107" s="25"/>
      <c r="X107" s="25"/>
      <c r="Y107" s="25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8"/>
      <c r="P108" s="28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8"/>
      <c r="P109" s="28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8"/>
      <c r="P110" s="28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8"/>
      <c r="P111" s="28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8"/>
      <c r="P112" s="28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8"/>
      <c r="P113" s="28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8"/>
      <c r="P114" s="28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8"/>
      <c r="P115" s="28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COUNTIFS(E_Suivi_Eans!$C:$C,"09/2022",E_Suivi_Eans!$D:$D,"Equipements élect. et électro.",E_Suivi_Eans!$J:$J,"Retour OK",E_Suivi_Eans!$K:$K,"&gt;31/12/2021",E_Suivi_Eans!K:K,"&lt;01/10/2022")</f>
        <v>0</v>
      </c>
      <c r="D116" s="21">
        <f>COUNTIFS(E_Suivi_Eans!$C:$C,"09/2022",E_Suivi_Eans!$D:$D,"Equipements élect. et électro.",E_Suivi_Eans!$J:$J,"Rejet 0",E_Suivi_Eans!$K:$K,"&gt;31/12/2021",E_Suivi_Eans!$K:$K,"&lt;01/10/2022")+ COUNTIFS(E_Suivi_Eans!$C:$C,"09/2022",E_Suivi_Eans!$D:$D,"Equipements élect. et électro.",E_Suivi_Eans!$J:$J,"Rejet 1",E_Suivi_Eans!$K:$K,"&gt;31/12/2021",E_Suivi_Eans!$K:$K,"&lt;01/10/2022")+COUNTIFS(E_Suivi_Eans!$C:$C,"09/2022",E_Suivi_Eans!$D:$D,"Equipements élect. et électro.",E_Suivi_Eans!$J:$J,"Rejet 2",E_Suivi_Eans!$K:$K,"&gt;31/12/2021",E_Suivi_Eans!$K:$K,"&lt;01/10/2022")+COUNTIFS(E_Suivi_Eans!$C:$C,"09/2022",E_Suivi_Eans!$D:$D,"Equipements élect. et électro.",E_Suivi_Eans!$J:$J,"Rejet 3",E_Suivi_Eans!$K:$K,"&gt;31/12/2021",E_Suivi_Eans!$K:$K,"&lt;01/10/2022")+ COUNTIFS(E_Suivi_Eans!$C:$C,"09/2022",E_Suivi_Eans!$D:$D,"Equipements élect. et électro.",E_Suivi_Eans!$J:$J,"Rejet 4",E_Suivi_Eans!$K:$K,"&gt;31/12/2021",E_Suivi_Eans!$K:$K,"&lt;01/10/2022")+COUNTIFS(E_Suivi_Eans!$C:$C,"09/2022",E_Suivi_Eans!$D:$D,"Equipements élect. et électro.",E_Suivi_Eans!$J:$J,"Relance 1",E_Suivi_Eans!$K:$K,"&gt;31/12/2021",E_Suivi_Eans!$K:$K,"&lt;01/10/2022")+COUNTIFS(E_Suivi_Eans!$C:$C,"09/2022",E_Suivi_Eans!$D:$D,"Equipements élect. et électro.",E_Suivi_Eans!$J:$J,"Relance 2",E_Suivi_Eans!$K:$K,"&gt;31/12/2021",E_Suivi_Eans!$K:$K,"&lt;01/10/2022")+COUNTIFS(E_Suivi_Eans!$C:$C,"09/2022",E_Suivi_Eans!$D:$D,"Equipements élect. et électro.",E_Suivi_Eans!$J:$J,"Relance 3",E_Suivi_Eans!$K:$K,"&gt;31/12/2021",E_Suivi_Eans!$K:$K,"&lt;01/10/2022")</f>
        <v>0</v>
      </c>
      <c r="E116" s="21">
        <f>COUNTIFS(E_Suivi_Eans!$C:$C,"09/2022",E_Suivi_Eans!$D:$D,"Equipements élect. et électro.",E_Suivi_Eans!$J:$J,"Abandon",E_Suivi_Eans!$K:$K,"&gt;31/12/2021",E_Suivi_Eans!K:K,"&lt;01/10/2022")</f>
        <v>0</v>
      </c>
      <c r="F116" s="21">
        <f>COUNTIFS(E_Suivi_Eans!$C:$C,"09/2022",E_Suivi_Eans!$D:$D,"Equipements élect. et électro.")</f>
        <v>16</v>
      </c>
      <c r="G116" s="21">
        <f t="shared" ref="G116:G118" si="36">F116-E116</f>
        <v>16</v>
      </c>
      <c r="J116" s="20" t="s">
        <v>5325</v>
      </c>
      <c r="K116" s="20" t="s">
        <v>5325</v>
      </c>
      <c r="L116" s="28">
        <f t="shared" ref="L116:N118" si="37">IF($G116=0,0,C116/$G116)</f>
        <v>0</v>
      </c>
      <c r="M116" s="28">
        <f t="shared" ref="M116:M118" si="38">O116-L116-N116</f>
        <v>1</v>
      </c>
      <c r="N116" s="28">
        <f t="shared" si="37"/>
        <v>0</v>
      </c>
      <c r="O116" s="28">
        <v>1</v>
      </c>
      <c r="P116" s="28">
        <f t="shared" ref="P116:P118" si="39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COUNTIFS(E_Suivi_Eans!$C:$C,"09/2022",E_Suivi_Eans!$D:$D,"Equipements élect. et électro.",E_Suivi_Eans!$J:$J,"Retour OK",E_Suivi_Eans!$K:$K,"&gt;31/12/2021",E_Suivi_Eans!K:K,"&lt;01/11/2022")</f>
        <v>5</v>
      </c>
      <c r="D117" s="21">
        <f>COUNTIFS(E_Suivi_Eans!$C:$C,"09/2022",E_Suivi_Eans!$D:$D,"Equipements élect. et électro.",E_Suivi_Eans!$J:$J,"Rejet 0",E_Suivi_Eans!$K:$K,"&gt;31/12/2021",E_Suivi_Eans!$K:$K,"&lt;01/11/2022")+ COUNTIFS(E_Suivi_Eans!$C:$C,"09/2022",E_Suivi_Eans!$D:$D,"Equipements élect. et électro.",E_Suivi_Eans!$J:$J,"Rejet 1",E_Suivi_Eans!$K:$K,"&gt;31/12/2021",E_Suivi_Eans!$K:$K,"&lt;01/11/2022")+COUNTIFS(E_Suivi_Eans!$C:$C,"09/2022",E_Suivi_Eans!$D:$D,"Equipements élect. et électro.",E_Suivi_Eans!$J:$J,"Rejet 2",E_Suivi_Eans!$K:$K,"&gt;31/12/2021",E_Suivi_Eans!$K:$K,"&lt;01/11/2022")+COUNTIFS(E_Suivi_Eans!$C:$C,"09/2022",E_Suivi_Eans!$D:$D,"Equipements élect. et électro.",E_Suivi_Eans!$J:$J,"Rejet 3",E_Suivi_Eans!$K:$K,"&gt;31/12/2021",E_Suivi_Eans!$K:$K,"&lt;01/11/2022")+ COUNTIFS(E_Suivi_Eans!$C:$C,"09/2022",E_Suivi_Eans!$D:$D,"Equipements élect. et électro.",E_Suivi_Eans!$J:$J,"Rejet 4",E_Suivi_Eans!$K:$K,"&gt;31/12/2021",E_Suivi_Eans!$K:$K,"&lt;01/11/2022")+COUNTIFS(E_Suivi_Eans!$C:$C,"09/2022",E_Suivi_Eans!$D:$D,"Equipements élect. et électro.",E_Suivi_Eans!$J:$J,"Relance 1",E_Suivi_Eans!$K:$K,"&gt;31/12/2021",E_Suivi_Eans!$K:$K,"&lt;01/11/2022")+COUNTIFS(E_Suivi_Eans!$C:$C,"09/2022",E_Suivi_Eans!$D:$D,"Equipements élect. et électro.",E_Suivi_Eans!$J:$J,"Relance 2",E_Suivi_Eans!$K:$K,"&gt;31/12/2021",E_Suivi_Eans!$K:$K,"&lt;01/11/2022")+COUNTIFS(E_Suivi_Eans!$C:$C,"09/2022",E_Suivi_Eans!$D:$D,"Equipements élect. et électro.",E_Suivi_Eans!$J:$J,"Relance 3",E_Suivi_Eans!$K:$K,"&gt;31/12/2021",E_Suivi_Eans!$K:$K,"&lt;01/11/2022")</f>
        <v>8</v>
      </c>
      <c r="E117" s="21">
        <f>COUNTIFS(E_Suivi_Eans!$C:$C,"09/2022",E_Suivi_Eans!$D:$D,"Equipements élect. et électro.",E_Suivi_Eans!$J:$J,"Abandon",E_Suivi_Eans!$K:$K,"&gt;31/12/2021",E_Suivi_Eans!K:K,"&lt;01/11/2022")</f>
        <v>3</v>
      </c>
      <c r="F117" s="21">
        <f>COUNTIFS(E_Suivi_Eans!$C:$C,"09/2022",E_Suivi_Eans!$D:$D,"Equipements élect. et électro.")</f>
        <v>16</v>
      </c>
      <c r="G117" s="21">
        <f t="shared" si="36"/>
        <v>13</v>
      </c>
      <c r="J117" s="20" t="s">
        <v>5325</v>
      </c>
      <c r="K117" s="20" t="s">
        <v>5326</v>
      </c>
      <c r="L117" s="28">
        <f t="shared" si="37"/>
        <v>0.38461538461538464</v>
      </c>
      <c r="M117" s="28">
        <f t="shared" si="38"/>
        <v>0.38461538461538464</v>
      </c>
      <c r="N117" s="28">
        <f t="shared" si="37"/>
        <v>0.23076923076923078</v>
      </c>
      <c r="O117" s="28">
        <v>1</v>
      </c>
      <c r="P117" s="28">
        <f t="shared" si="39"/>
        <v>0.76923076923076916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COUNTIFS(E_Suivi_Eans!$C:$C,"09/2022",E_Suivi_Eans!$D:$D,"Equipements élect. et électro.",E_Suivi_Eans!$J:$J,"Retour OK",E_Suivi_Eans!$K:$K,"&gt;31/12/2021",E_Suivi_Eans!K:K,"&lt;01/12/2022")</f>
        <v>5</v>
      </c>
      <c r="D118" s="21">
        <f>COUNTIFS(E_Suivi_Eans!$C:$C,"09/2022",E_Suivi_Eans!$D:$D,"Equipements élect. et électro.",E_Suivi_Eans!$J:$J,"Rejet 0",E_Suivi_Eans!$K:$K,"&gt;31/12/2021",E_Suivi_Eans!$K:$K,"&lt;01/12/2022")+ COUNTIFS(E_Suivi_Eans!$C:$C,"09/2022",E_Suivi_Eans!$D:$D,"Equipements élect. et électro.",E_Suivi_Eans!$J:$J,"Rejet 1",E_Suivi_Eans!$K:$K,"&gt;31/12/2021",E_Suivi_Eans!$K:$K,"&lt;01/12/2022")+COUNTIFS(E_Suivi_Eans!$C:$C,"09/2022",E_Suivi_Eans!$D:$D,"Equipements élect. et électro.",E_Suivi_Eans!$J:$J,"Rejet 2",E_Suivi_Eans!$K:$K,"&gt;31/12/2021",E_Suivi_Eans!$K:$K,"&lt;01/12/2022")+COUNTIFS(E_Suivi_Eans!$C:$C,"09/2022",E_Suivi_Eans!$D:$D,"Equipements élect. et électro.",E_Suivi_Eans!$J:$J,"Rejet 3",E_Suivi_Eans!$K:$K,"&gt;31/12/2021",E_Suivi_Eans!$K:$K,"&lt;01/12/2022")+ COUNTIFS(E_Suivi_Eans!$C:$C,"09/2022",E_Suivi_Eans!$D:$D,"Equipements élect. et électro.",E_Suivi_Eans!$J:$J,"Rejet 4",E_Suivi_Eans!$K:$K,"&gt;31/12/2021",E_Suivi_Eans!$K:$K,"&lt;01/12/2022")+COUNTIFS(E_Suivi_Eans!$C:$C,"09/2022",E_Suivi_Eans!$D:$D,"Equipements élect. et électro.",E_Suivi_Eans!$J:$J,"Relance 1",E_Suivi_Eans!$K:$K,"&gt;31/12/2021",E_Suivi_Eans!$K:$K,"&lt;01/12/2022")+COUNTIFS(E_Suivi_Eans!$C:$C,"09/2022",E_Suivi_Eans!$D:$D,"Equipements élect. et électro.",E_Suivi_Eans!$J:$J,"Relance 2",E_Suivi_Eans!$K:$K,"&gt;31/12/2021",E_Suivi_Eans!$K:$K,"&lt;01/12/2022")+COUNTIFS(E_Suivi_Eans!$C:$C,"09/2022",E_Suivi_Eans!$D:$D,"Equipements élect. et électro.",E_Suivi_Eans!$J:$J,"Relance 3",E_Suivi_Eans!$K:$K,"&gt;31/12/2021",E_Suivi_Eans!$K:$K,"&lt;01/12/2022")</f>
        <v>8</v>
      </c>
      <c r="E118" s="21">
        <f>COUNTIFS(E_Suivi_Eans!$C:$C,"09/2022",E_Suivi_Eans!$D:$D,"Equipements élect. et électro.",E_Suivi_Eans!$J:$J,"Abandon",E_Suivi_Eans!$K:$K,"&gt;31/12/2021",E_Suivi_Eans!K:K,"&lt;01/12/2022")</f>
        <v>3</v>
      </c>
      <c r="F118" s="21">
        <f>COUNTIFS(E_Suivi_Eans!$C:$C,"09/2022",E_Suivi_Eans!$D:$D,"Equipements élect. et électro.")</f>
        <v>16</v>
      </c>
      <c r="G118" s="21">
        <f t="shared" si="36"/>
        <v>13</v>
      </c>
      <c r="J118" s="20" t="s">
        <v>5325</v>
      </c>
      <c r="K118" s="20" t="s">
        <v>5327</v>
      </c>
      <c r="L118" s="28">
        <f t="shared" si="37"/>
        <v>0.38461538461538464</v>
      </c>
      <c r="M118" s="28">
        <f t="shared" si="38"/>
        <v>0.38461538461538464</v>
      </c>
      <c r="N118" s="28">
        <f t="shared" si="37"/>
        <v>0.23076923076923078</v>
      </c>
      <c r="O118" s="28">
        <v>1</v>
      </c>
      <c r="P118" s="28">
        <f t="shared" si="39"/>
        <v>0.76923076923076916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8"/>
      <c r="P119" s="28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5"/>
      <c r="E120" s="25"/>
      <c r="F120" s="25"/>
      <c r="G120" s="25"/>
      <c r="J120" s="22"/>
      <c r="K120" s="22"/>
      <c r="L120" s="23"/>
      <c r="M120" s="25"/>
      <c r="N120" s="25"/>
      <c r="O120" s="31"/>
      <c r="P120" s="31"/>
      <c r="S120" s="22"/>
      <c r="T120" s="22"/>
      <c r="U120" s="23"/>
      <c r="V120" s="25"/>
      <c r="W120" s="25"/>
      <c r="X120" s="25"/>
      <c r="Y120" s="25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8"/>
      <c r="P121" s="28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8"/>
      <c r="P122" s="28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8"/>
      <c r="P123" s="28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8"/>
      <c r="P124" s="28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8"/>
      <c r="P125" s="28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8"/>
      <c r="P126" s="28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8"/>
      <c r="P127" s="28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8"/>
      <c r="P128" s="28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8"/>
      <c r="P129" s="28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COUNTIFS(E_Suivi_Eans!$C:$C,"10/2022",E_Suivi_Eans!$D:$D,"Equipements élect. et électro.",E_Suivi_Eans!$J:$J,"Retour OK",E_Suivi_Eans!$K:$K,"&gt;31/12/2021",E_Suivi_Eans!K:K,"&lt;01/11/2022")</f>
        <v>0</v>
      </c>
      <c r="D130" s="21">
        <f>COUNTIFS(E_Suivi_Eans!$C:$C,"10/2022",E_Suivi_Eans!$D:$D,"Equipements élect. et électro.",E_Suivi_Eans!$J:$J,"Rejet 0",E_Suivi_Eans!$K:$K,"&gt;31/12/2021",E_Suivi_Eans!$K:$K,"&lt;01/11/2022")+ COUNTIFS(E_Suivi_Eans!$C:$C,"10/2022",E_Suivi_Eans!$D:$D,"Equipements élect. et électro.",E_Suivi_Eans!$J:$J,"Rejet 1",E_Suivi_Eans!$K:$K,"&gt;31/12/2021",E_Suivi_Eans!$K:$K,"&lt;01/11/2022")+COUNTIFS(E_Suivi_Eans!$C:$C,"10/2022",E_Suivi_Eans!$D:$D,"Equipements élect. et électro.",E_Suivi_Eans!$J:$J,"Rejet 2",E_Suivi_Eans!$K:$K,"&gt;31/12/2021",E_Suivi_Eans!$K:$K,"&lt;01/11/2022")+COUNTIFS(E_Suivi_Eans!$C:$C,"10/2022",E_Suivi_Eans!$D:$D,"Equipements élect. et électro.",E_Suivi_Eans!$J:$J,"Rejet 3",E_Suivi_Eans!$K:$K,"&gt;31/12/2021",E_Suivi_Eans!$K:$K,"&lt;01/11/2022")+ COUNTIFS(E_Suivi_Eans!$C:$C,"10/2022",E_Suivi_Eans!$D:$D,"Equipements élect. et électro.",E_Suivi_Eans!$J:$J,"Rejet 4",E_Suivi_Eans!$K:$K,"&gt;31/12/2021",E_Suivi_Eans!$K:$K,"&lt;01/11/2022")+COUNTIFS(E_Suivi_Eans!$C:$C,"10/2022",E_Suivi_Eans!$D:$D,"Equipements élect. et électro.",E_Suivi_Eans!$J:$J,"Relance 1",E_Suivi_Eans!$K:$K,"&gt;31/12/2021",E_Suivi_Eans!$K:$K,"&lt;01/11/2022")+COUNTIFS(E_Suivi_Eans!$C:$C,"10/2022",E_Suivi_Eans!$D:$D,"Equipements élect. et électro.",E_Suivi_Eans!$J:$J,"Relance 2",E_Suivi_Eans!$K:$K,"&gt;31/12/2021",E_Suivi_Eans!$K:$K,"&lt;01/11/2022")+COUNTIFS(E_Suivi_Eans!$C:$C,"10/2022",E_Suivi_Eans!$D:$D,"Equipements élect. et électro.",E_Suivi_Eans!$J:$J,"Relance 3",E_Suivi_Eans!$K:$K,"&gt;31/12/2021",E_Suivi_Eans!$K:$K,"&lt;01/11/2022")</f>
        <v>0</v>
      </c>
      <c r="E130" s="21">
        <f>COUNTIFS(E_Suivi_Eans!$C:$C,"10/2022",E_Suivi_Eans!$D:$D,"Equipements élect. et électro.",E_Suivi_Eans!$J:$J,"Abandon",E_Suivi_Eans!$K:$K,"&gt;31/12/2021",E_Suivi_Eans!K:K,"&lt;01/11/2022")</f>
        <v>0</v>
      </c>
      <c r="F130" s="21">
        <f>COUNTIFS(E_Suivi_Eans!$C:$C,"10/2022",E_Suivi_Eans!$D:$D,"Equipements élect. et électro.")</f>
        <v>0</v>
      </c>
      <c r="G130" s="21">
        <f>F130-E130</f>
        <v>0</v>
      </c>
      <c r="J130" s="20" t="s">
        <v>5326</v>
      </c>
      <c r="K130" s="20" t="s">
        <v>5326</v>
      </c>
      <c r="L130" s="28">
        <f t="shared" ref="L130:N131" si="40">IF($G130=0,0,C130/$G130)</f>
        <v>0</v>
      </c>
      <c r="M130" s="28">
        <f t="shared" ref="M130:M131" si="41">O130-L130-N130</f>
        <v>1</v>
      </c>
      <c r="N130" s="28">
        <f t="shared" si="40"/>
        <v>0</v>
      </c>
      <c r="O130" s="28">
        <v>1</v>
      </c>
      <c r="P130" s="28">
        <f t="shared" ref="P130:P131" si="42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COUNTIFS(E_Suivi_Eans!$C:$C,"10/2022",E_Suivi_Eans!$D:$D,"Equipements élect. et électro.",E_Suivi_Eans!$J:$J,"Retour OK",E_Suivi_Eans!$K:$K,"&gt;31/12/2021",E_Suivi_Eans!K:K,"&lt;01/12/2022")</f>
        <v>0</v>
      </c>
      <c r="D131" s="21">
        <f>COUNTIFS(E_Suivi_Eans!$C:$C,"10/2022",E_Suivi_Eans!$D:$D,"Equipements élect. et électro.",E_Suivi_Eans!$J:$J,"Rejet 0",E_Suivi_Eans!$K:$K,"&gt;31/12/2021",E_Suivi_Eans!$K:$K,"&lt;01/12/2022")+ COUNTIFS(E_Suivi_Eans!$C:$C,"10/2022",E_Suivi_Eans!$D:$D,"Equipements élect. et électro.",E_Suivi_Eans!$J:$J,"Rejet 1",E_Suivi_Eans!$K:$K,"&gt;31/12/2021",E_Suivi_Eans!$K:$K,"&lt;01/12/2022")+COUNTIFS(E_Suivi_Eans!$C:$C,"10/2022",E_Suivi_Eans!$D:$D,"Equipements élect. et électro.",E_Suivi_Eans!$J:$J,"Rejet 2",E_Suivi_Eans!$K:$K,"&gt;31/12/2021",E_Suivi_Eans!$K:$K,"&lt;01/12/2022")+COUNTIFS(E_Suivi_Eans!$C:$C,"10/2022",E_Suivi_Eans!$D:$D,"Equipements élect. et électro.",E_Suivi_Eans!$J:$J,"Rejet 3",E_Suivi_Eans!$K:$K,"&gt;31/12/2021",E_Suivi_Eans!$K:$K,"&lt;01/12/2022")+ COUNTIFS(E_Suivi_Eans!$C:$C,"10/2022",E_Suivi_Eans!$D:$D,"Equipements élect. et électro.",E_Suivi_Eans!$J:$J,"Rejet 4",E_Suivi_Eans!$K:$K,"&gt;31/12/2021",E_Suivi_Eans!$K:$K,"&lt;01/12/2022")+COUNTIFS(E_Suivi_Eans!$C:$C,"10/2022",E_Suivi_Eans!$D:$D,"Equipements élect. et électro.",E_Suivi_Eans!$J:$J,"Relance 1",E_Suivi_Eans!$K:$K,"&gt;31/12/2021",E_Suivi_Eans!$K:$K,"&lt;01/12/2022")+COUNTIFS(E_Suivi_Eans!$C:$C,"10/2022",E_Suivi_Eans!$D:$D,"Equipements élect. et électro.",E_Suivi_Eans!$J:$J,"Relance 2",E_Suivi_Eans!$K:$K,"&gt;31/12/2021",E_Suivi_Eans!$K:$K,"&lt;01/12/2022")+COUNTIFS(E_Suivi_Eans!$C:$C,"10/2022",E_Suivi_Eans!$D:$D,"Equipements élect. et électro.",E_Suivi_Eans!$J:$J,"Relance 3",E_Suivi_Eans!$K:$K,"&gt;31/12/2021",E_Suivi_Eans!$K:$K,"&lt;01/12/2022")</f>
        <v>0</v>
      </c>
      <c r="E131" s="21">
        <f>COUNTIFS(E_Suivi_Eans!$C:$C,"10/2022",E_Suivi_Eans!$D:$D,"Equipements élect. et électro.",E_Suivi_Eans!$J:$J,"Abandon",E_Suivi_Eans!$K:$K,"&gt;31/12/2021",E_Suivi_Eans!K:K,"&lt;01/12/2022")</f>
        <v>0</v>
      </c>
      <c r="F131" s="21">
        <f>COUNTIFS(E_Suivi_Eans!$C:$C,"10/2022",E_Suivi_Eans!$D:$D,"Equipements élect. et électro.")</f>
        <v>0</v>
      </c>
      <c r="G131" s="21">
        <f t="shared" ref="G131" si="43">F131-E131</f>
        <v>0</v>
      </c>
      <c r="J131" s="20" t="s">
        <v>5326</v>
      </c>
      <c r="K131" s="20" t="s">
        <v>5327</v>
      </c>
      <c r="L131" s="28">
        <f t="shared" si="40"/>
        <v>0</v>
      </c>
      <c r="M131" s="28">
        <f t="shared" si="41"/>
        <v>1</v>
      </c>
      <c r="N131" s="28">
        <f t="shared" si="40"/>
        <v>0</v>
      </c>
      <c r="O131" s="28">
        <v>1</v>
      </c>
      <c r="P131" s="28">
        <f t="shared" si="42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8"/>
      <c r="P132" s="28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5"/>
      <c r="E133" s="25"/>
      <c r="F133" s="25"/>
      <c r="G133" s="25"/>
      <c r="J133" s="22"/>
      <c r="K133" s="22"/>
      <c r="L133" s="23"/>
      <c r="M133" s="25"/>
      <c r="N133" s="25"/>
      <c r="O133" s="31"/>
      <c r="P133" s="31"/>
      <c r="S133" s="22"/>
      <c r="T133" s="22"/>
      <c r="U133" s="23"/>
      <c r="V133" s="25"/>
      <c r="W133" s="25"/>
      <c r="X133" s="25"/>
      <c r="Y133" s="25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8"/>
      <c r="P134" s="28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8"/>
      <c r="P135" s="28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8"/>
      <c r="P136" s="28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8"/>
      <c r="P137" s="28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8"/>
      <c r="P138" s="28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8"/>
      <c r="P139" s="28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8"/>
      <c r="P140" s="28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8"/>
      <c r="P141" s="28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8"/>
      <c r="P142" s="28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8"/>
      <c r="P143" s="28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COUNTIFS(E_Suivi_Eans!$C:$C,"11/2022",E_Suivi_Eans!$D:$D,"Equipements élect. et électro.",E_Suivi_Eans!$J:$J,"Retour OK",E_Suivi_Eans!$K:$K,"&gt;31/12/2021",E_Suivi_Eans!K:K,"&lt;01/12/2022")</f>
        <v>0</v>
      </c>
      <c r="D144" s="21">
        <f>COUNTIFS(E_Suivi_Eans!$C:$C,"11/2022",E_Suivi_Eans!$D:$D,"Equipements élect. et électro.",E_Suivi_Eans!$J:$J,"Rejet 0",E_Suivi_Eans!$K:$K,"&gt;31/12/2021",E_Suivi_Eans!$K:$K,"&lt;01/12/2022")+ COUNTIFS(E_Suivi_Eans!$C:$C,"11/2022",E_Suivi_Eans!$D:$D,"Equipements élect. et électro.",E_Suivi_Eans!$J:$J,"Rejet 1",E_Suivi_Eans!$K:$K,"&gt;31/12/2021",E_Suivi_Eans!$K:$K,"&lt;01/12/2022")+COUNTIFS(E_Suivi_Eans!$C:$C,"11/2022",E_Suivi_Eans!$D:$D,"Equipements élect. et électro.",E_Suivi_Eans!$J:$J,"Rejet 2",E_Suivi_Eans!$K:$K,"&gt;31/12/2021",E_Suivi_Eans!$K:$K,"&lt;01/12/2022")+COUNTIFS(E_Suivi_Eans!$C:$C,"11/2022",E_Suivi_Eans!$D:$D,"Equipements élect. et électro.",E_Suivi_Eans!$J:$J,"Rejet 3",E_Suivi_Eans!$K:$K,"&gt;31/12/2021",E_Suivi_Eans!$K:$K,"&lt;01/12/2022")+ COUNTIFS(E_Suivi_Eans!$C:$C,"11/2022",E_Suivi_Eans!$D:$D,"Equipements élect. et électro.",E_Suivi_Eans!$J:$J,"Rejet 4",E_Suivi_Eans!$K:$K,"&gt;31/12/2021",E_Suivi_Eans!$K:$K,"&lt;01/12/2022")+COUNTIFS(E_Suivi_Eans!$C:$C,"11/2022",E_Suivi_Eans!$D:$D,"Equipements élect. et électro.",E_Suivi_Eans!$J:$J,"Relance 1",E_Suivi_Eans!$K:$K,"&gt;31/12/2021",E_Suivi_Eans!$K:$K,"&lt;01/12/2022")+COUNTIFS(E_Suivi_Eans!$C:$C,"11/2022",E_Suivi_Eans!$D:$D,"Equipements élect. et électro.",E_Suivi_Eans!$J:$J,"Relance 2",E_Suivi_Eans!$K:$K,"&gt;31/12/2021",E_Suivi_Eans!$K:$K,"&lt;01/12/2022")+COUNTIFS(E_Suivi_Eans!$C:$C,"11/2022",E_Suivi_Eans!$D:$D,"Equipements élect. et électro.",E_Suivi_Eans!$J:$J,"Relance 3",E_Suivi_Eans!$K:$K,"&gt;31/12/2021",E_Suivi_Eans!$K:$K,"&lt;01/12/2022")</f>
        <v>0</v>
      </c>
      <c r="E144" s="21">
        <f>COUNTIFS(E_Suivi_Eans!$C:$C,"11/2022",E_Suivi_Eans!$D:$D,"Equipements élect. et électro.",E_Suivi_Eans!$J:$J,"Abandon",E_Suivi_Eans!$K:$K,"&gt;31/12/2021",E_Suivi_Eans!K:K,"&lt;01/12/2022")</f>
        <v>0</v>
      </c>
      <c r="F144" s="21">
        <f>COUNTIFS(E_Suivi_Eans!$C:$C,"11/2022",E_Suivi_Eans!$D:$D,"Equipements élect. et électro.")</f>
        <v>4</v>
      </c>
      <c r="G144" s="21">
        <f>F144-E144</f>
        <v>4</v>
      </c>
      <c r="J144" s="20" t="s">
        <v>5327</v>
      </c>
      <c r="K144" s="20" t="s">
        <v>5327</v>
      </c>
      <c r="L144" s="28">
        <f>IF($G144=0,0,C144/$G144)</f>
        <v>0</v>
      </c>
      <c r="M144" s="28">
        <f t="shared" ref="M144" si="44">O144-L144-N144</f>
        <v>1</v>
      </c>
      <c r="N144" s="28">
        <f t="shared" ref="N144" si="45">IF($G144=0,0,E144/$G144)</f>
        <v>0</v>
      </c>
      <c r="O144" s="28">
        <v>1</v>
      </c>
      <c r="P144" s="28">
        <f t="shared" ref="P144" si="46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8"/>
      <c r="P145" s="28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5"/>
      <c r="E146" s="25"/>
      <c r="F146" s="25"/>
      <c r="G146" s="25"/>
      <c r="J146" s="22"/>
      <c r="K146" s="22"/>
      <c r="L146" s="23"/>
      <c r="M146" s="25"/>
      <c r="N146" s="25"/>
      <c r="O146" s="31"/>
      <c r="P146" s="31"/>
      <c r="S146" s="22"/>
      <c r="T146" s="22"/>
      <c r="U146" s="23"/>
      <c r="V146" s="25"/>
      <c r="W146" s="25"/>
      <c r="X146" s="25"/>
      <c r="Y146" s="25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8"/>
      <c r="M147" s="28"/>
      <c r="N147" s="28"/>
      <c r="O147" s="28"/>
      <c r="P147" s="28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8"/>
      <c r="P148" s="28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8"/>
      <c r="P149" s="28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8"/>
      <c r="P150" s="28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8"/>
      <c r="P151" s="28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8"/>
      <c r="P152" s="28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8"/>
      <c r="P153" s="28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8"/>
      <c r="P154" s="28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8"/>
      <c r="P155" s="28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8"/>
      <c r="P156" s="28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8"/>
      <c r="P157" s="28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8"/>
      <c r="P158" s="28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5"/>
      <c r="E159" s="25"/>
      <c r="F159" s="25"/>
      <c r="G159" s="25"/>
      <c r="J159" s="22"/>
      <c r="K159" s="22"/>
      <c r="L159" s="23"/>
      <c r="M159" s="25"/>
      <c r="N159" s="25"/>
      <c r="O159" s="31"/>
      <c r="P159" s="31"/>
      <c r="S159" s="22"/>
      <c r="T159" s="22"/>
      <c r="U159" s="23"/>
      <c r="V159" s="25"/>
      <c r="W159" s="25"/>
      <c r="X159" s="25"/>
      <c r="Y159" s="25"/>
    </row>
    <row r="160" spans="1:25">
      <c r="A160" s="27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47">D4+D17+D30+D43+D56+D69+D82+D95+D108+D121+D134+D147</f>
        <v>0</v>
      </c>
      <c r="E160" s="21">
        <f t="shared" si="47"/>
        <v>0</v>
      </c>
      <c r="F160" s="21">
        <f t="shared" si="47"/>
        <v>0</v>
      </c>
      <c r="G160" s="21">
        <f t="shared" ref="G160:G170" si="48">F160-E160</f>
        <v>0</v>
      </c>
      <c r="J160" s="27" t="s">
        <v>5396</v>
      </c>
      <c r="K160" s="20" t="s">
        <v>5314</v>
      </c>
      <c r="L160" s="28">
        <f t="shared" ref="L160:N170" si="49">IF($G160=0,0,C160/$G160)</f>
        <v>0</v>
      </c>
      <c r="M160" s="28">
        <f t="shared" ref="M160:M170" si="50">O160-L160-N160</f>
        <v>1</v>
      </c>
      <c r="N160" s="28">
        <f t="shared" si="49"/>
        <v>0</v>
      </c>
      <c r="O160" s="28">
        <v>1</v>
      </c>
      <c r="P160" s="28">
        <f t="shared" ref="P160:P170" si="51">O160-N160</f>
        <v>1</v>
      </c>
      <c r="S160" s="27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7" t="s">
        <v>5396</v>
      </c>
      <c r="B161" s="20" t="s">
        <v>5315</v>
      </c>
      <c r="C161" s="21">
        <f t="shared" ref="C161:F170" si="52">C5+C18+C31+C44+C57+C70+C83+C96+C109+C122+C135+C148</f>
        <v>0</v>
      </c>
      <c r="D161" s="21">
        <f t="shared" si="52"/>
        <v>0</v>
      </c>
      <c r="E161" s="21">
        <f t="shared" si="52"/>
        <v>0</v>
      </c>
      <c r="F161" s="21">
        <f t="shared" si="52"/>
        <v>0</v>
      </c>
      <c r="G161" s="21">
        <f t="shared" si="48"/>
        <v>0</v>
      </c>
      <c r="J161" s="27" t="s">
        <v>5396</v>
      </c>
      <c r="K161" s="20" t="s">
        <v>5315</v>
      </c>
      <c r="L161" s="28">
        <f t="shared" si="49"/>
        <v>0</v>
      </c>
      <c r="M161" s="28">
        <f t="shared" si="50"/>
        <v>1</v>
      </c>
      <c r="N161" s="28">
        <f t="shared" si="49"/>
        <v>0</v>
      </c>
      <c r="O161" s="28">
        <v>1</v>
      </c>
      <c r="P161" s="28">
        <f t="shared" si="51"/>
        <v>1</v>
      </c>
      <c r="S161" s="27" t="s">
        <v>5396</v>
      </c>
      <c r="T161" s="20" t="s">
        <v>5315</v>
      </c>
      <c r="U161" s="21">
        <f t="shared" ref="U161:X170" si="53">U5+U18+U31+U44+U57+U70+U83+U96+U109+U122+U135+U148</f>
        <v>0</v>
      </c>
      <c r="V161" s="21">
        <f t="shared" si="53"/>
        <v>0</v>
      </c>
      <c r="W161" s="21">
        <f t="shared" si="53"/>
        <v>0</v>
      </c>
      <c r="X161" s="21">
        <f t="shared" si="53"/>
        <v>0</v>
      </c>
      <c r="Y161" s="21">
        <f t="shared" ref="Y161:Y170" si="54">X161-W161</f>
        <v>0</v>
      </c>
    </row>
    <row r="162" spans="1:25">
      <c r="A162" s="27" t="s">
        <v>5396</v>
      </c>
      <c r="B162" s="20" t="s">
        <v>5316</v>
      </c>
      <c r="C162" s="21">
        <f t="shared" si="52"/>
        <v>0</v>
      </c>
      <c r="D162" s="21">
        <f t="shared" si="52"/>
        <v>0</v>
      </c>
      <c r="E162" s="21">
        <f t="shared" si="52"/>
        <v>0</v>
      </c>
      <c r="F162" s="21">
        <f t="shared" si="52"/>
        <v>0</v>
      </c>
      <c r="G162" s="21">
        <f t="shared" si="48"/>
        <v>0</v>
      </c>
      <c r="J162" s="27" t="s">
        <v>5396</v>
      </c>
      <c r="K162" s="20" t="s">
        <v>5316</v>
      </c>
      <c r="L162" s="28">
        <f t="shared" si="49"/>
        <v>0</v>
      </c>
      <c r="M162" s="28">
        <f t="shared" si="50"/>
        <v>1</v>
      </c>
      <c r="N162" s="28">
        <f t="shared" si="49"/>
        <v>0</v>
      </c>
      <c r="O162" s="28">
        <v>1</v>
      </c>
      <c r="P162" s="28">
        <f t="shared" si="51"/>
        <v>1</v>
      </c>
      <c r="S162" s="27" t="s">
        <v>5396</v>
      </c>
      <c r="T162" s="20" t="s">
        <v>5316</v>
      </c>
      <c r="U162" s="21">
        <f t="shared" si="53"/>
        <v>0</v>
      </c>
      <c r="V162" s="21">
        <f t="shared" si="53"/>
        <v>0</v>
      </c>
      <c r="W162" s="21">
        <f t="shared" si="53"/>
        <v>0</v>
      </c>
      <c r="X162" s="21">
        <f t="shared" si="53"/>
        <v>0</v>
      </c>
      <c r="Y162" s="21">
        <f t="shared" si="54"/>
        <v>0</v>
      </c>
    </row>
    <row r="163" spans="1:25">
      <c r="A163" s="27" t="s">
        <v>5396</v>
      </c>
      <c r="B163" s="20" t="s">
        <v>5317</v>
      </c>
      <c r="C163" s="21">
        <f t="shared" si="52"/>
        <v>65</v>
      </c>
      <c r="D163" s="21">
        <f t="shared" si="52"/>
        <v>0</v>
      </c>
      <c r="E163" s="21">
        <f t="shared" si="52"/>
        <v>0</v>
      </c>
      <c r="F163" s="21">
        <f t="shared" si="52"/>
        <v>137</v>
      </c>
      <c r="G163" s="21">
        <f t="shared" si="48"/>
        <v>137</v>
      </c>
      <c r="J163" s="27" t="s">
        <v>5396</v>
      </c>
      <c r="K163" s="20" t="s">
        <v>5317</v>
      </c>
      <c r="L163" s="28">
        <f t="shared" si="49"/>
        <v>0.47445255474452552</v>
      </c>
      <c r="M163" s="28">
        <f t="shared" si="50"/>
        <v>0.52554744525547448</v>
      </c>
      <c r="N163" s="28">
        <f t="shared" si="49"/>
        <v>0</v>
      </c>
      <c r="O163" s="28">
        <v>1</v>
      </c>
      <c r="P163" s="28">
        <f>O163-N163</f>
        <v>1</v>
      </c>
      <c r="S163" s="27" t="s">
        <v>5396</v>
      </c>
      <c r="T163" s="20" t="s">
        <v>5317</v>
      </c>
      <c r="U163" s="21">
        <f t="shared" si="53"/>
        <v>0</v>
      </c>
      <c r="V163" s="21">
        <f t="shared" si="53"/>
        <v>0</v>
      </c>
      <c r="W163" s="21">
        <f t="shared" si="53"/>
        <v>0</v>
      </c>
      <c r="X163" s="21">
        <f t="shared" si="53"/>
        <v>0</v>
      </c>
      <c r="Y163" s="21">
        <f t="shared" si="54"/>
        <v>0</v>
      </c>
    </row>
    <row r="164" spans="1:25">
      <c r="A164" s="27" t="s">
        <v>5396</v>
      </c>
      <c r="B164" s="20" t="s">
        <v>5318</v>
      </c>
      <c r="C164" s="21">
        <f t="shared" si="52"/>
        <v>82</v>
      </c>
      <c r="D164" s="21">
        <f t="shared" si="52"/>
        <v>8</v>
      </c>
      <c r="E164" s="21">
        <f t="shared" si="52"/>
        <v>0</v>
      </c>
      <c r="F164" s="21">
        <f t="shared" si="52"/>
        <v>137</v>
      </c>
      <c r="G164" s="21">
        <f t="shared" si="48"/>
        <v>137</v>
      </c>
      <c r="J164" s="27" t="s">
        <v>5396</v>
      </c>
      <c r="K164" s="20" t="s">
        <v>5318</v>
      </c>
      <c r="L164" s="28">
        <f t="shared" si="49"/>
        <v>0.59854014598540151</v>
      </c>
      <c r="M164" s="28">
        <f t="shared" si="50"/>
        <v>0.40145985401459849</v>
      </c>
      <c r="N164" s="28">
        <f t="shared" si="49"/>
        <v>0</v>
      </c>
      <c r="O164" s="28">
        <v>1</v>
      </c>
      <c r="P164" s="28">
        <f t="shared" si="51"/>
        <v>1</v>
      </c>
      <c r="S164" s="27" t="s">
        <v>5396</v>
      </c>
      <c r="T164" s="20" t="s">
        <v>5318</v>
      </c>
      <c r="U164" s="21">
        <f t="shared" si="53"/>
        <v>0</v>
      </c>
      <c r="V164" s="21">
        <f t="shared" si="53"/>
        <v>0</v>
      </c>
      <c r="W164" s="21">
        <f t="shared" si="53"/>
        <v>0</v>
      </c>
      <c r="X164" s="21">
        <f t="shared" si="53"/>
        <v>0</v>
      </c>
      <c r="Y164" s="21">
        <f t="shared" si="54"/>
        <v>0</v>
      </c>
    </row>
    <row r="165" spans="1:25">
      <c r="A165" s="27" t="s">
        <v>5396</v>
      </c>
      <c r="B165" s="20" t="s">
        <v>5319</v>
      </c>
      <c r="C165" s="21">
        <f t="shared" si="52"/>
        <v>150</v>
      </c>
      <c r="D165" s="21">
        <f t="shared" si="52"/>
        <v>8</v>
      </c>
      <c r="E165" s="21">
        <f t="shared" si="52"/>
        <v>21</v>
      </c>
      <c r="F165" s="21">
        <f t="shared" si="52"/>
        <v>2431</v>
      </c>
      <c r="G165" s="21">
        <f t="shared" si="48"/>
        <v>2410</v>
      </c>
      <c r="I165" s="33"/>
      <c r="J165" s="27" t="s">
        <v>5396</v>
      </c>
      <c r="K165" s="20" t="s">
        <v>5319</v>
      </c>
      <c r="L165" s="28">
        <f t="shared" si="49"/>
        <v>6.2240663900414939E-2</v>
      </c>
      <c r="M165" s="28">
        <f t="shared" si="50"/>
        <v>0.929045643153527</v>
      </c>
      <c r="N165" s="28">
        <f t="shared" si="49"/>
        <v>8.7136929460580916E-3</v>
      </c>
      <c r="O165" s="28">
        <v>1</v>
      </c>
      <c r="P165" s="28">
        <f t="shared" si="51"/>
        <v>0.99128630705394194</v>
      </c>
      <c r="S165" s="27" t="s">
        <v>5396</v>
      </c>
      <c r="T165" s="20" t="s">
        <v>5319</v>
      </c>
      <c r="U165" s="21">
        <f t="shared" si="53"/>
        <v>0</v>
      </c>
      <c r="V165" s="21">
        <f t="shared" si="53"/>
        <v>0</v>
      </c>
      <c r="W165" s="21">
        <f t="shared" si="53"/>
        <v>0</v>
      </c>
      <c r="X165" s="21">
        <f t="shared" si="53"/>
        <v>0</v>
      </c>
      <c r="Y165" s="21">
        <f t="shared" si="54"/>
        <v>0</v>
      </c>
    </row>
    <row r="166" spans="1:25">
      <c r="A166" s="27" t="s">
        <v>5396</v>
      </c>
      <c r="B166" s="20" t="s">
        <v>5320</v>
      </c>
      <c r="C166" s="21">
        <f t="shared" si="52"/>
        <v>208</v>
      </c>
      <c r="D166" s="21">
        <f t="shared" si="52"/>
        <v>15</v>
      </c>
      <c r="E166" s="21">
        <f t="shared" si="52"/>
        <v>32</v>
      </c>
      <c r="F166" s="21">
        <f t="shared" si="52"/>
        <v>2446</v>
      </c>
      <c r="G166" s="21">
        <f t="shared" si="48"/>
        <v>2414</v>
      </c>
      <c r="J166" s="27" t="s">
        <v>5396</v>
      </c>
      <c r="K166" s="20" t="s">
        <v>5320</v>
      </c>
      <c r="L166" s="28">
        <f t="shared" si="49"/>
        <v>8.6164043082021538E-2</v>
      </c>
      <c r="M166" s="28">
        <f t="shared" si="50"/>
        <v>0.90057995028997517</v>
      </c>
      <c r="N166" s="28">
        <f t="shared" si="49"/>
        <v>1.3256006628003313E-2</v>
      </c>
      <c r="O166" s="28">
        <v>1</v>
      </c>
      <c r="P166" s="28">
        <f t="shared" si="51"/>
        <v>0.9867439933719967</v>
      </c>
      <c r="S166" s="27" t="s">
        <v>5396</v>
      </c>
      <c r="T166" s="20" t="s">
        <v>5320</v>
      </c>
      <c r="U166" s="21">
        <f t="shared" si="53"/>
        <v>0</v>
      </c>
      <c r="V166" s="21">
        <f t="shared" si="53"/>
        <v>0</v>
      </c>
      <c r="W166" s="21">
        <f t="shared" si="53"/>
        <v>0</v>
      </c>
      <c r="X166" s="21">
        <f t="shared" si="53"/>
        <v>0</v>
      </c>
      <c r="Y166" s="21">
        <f t="shared" si="54"/>
        <v>0</v>
      </c>
    </row>
    <row r="167" spans="1:25">
      <c r="A167" s="27" t="s">
        <v>5396</v>
      </c>
      <c r="B167" s="20" t="s">
        <v>5321</v>
      </c>
      <c r="C167" s="21">
        <f t="shared" si="52"/>
        <v>390</v>
      </c>
      <c r="D167" s="21">
        <f t="shared" si="52"/>
        <v>16</v>
      </c>
      <c r="E167" s="21">
        <f t="shared" si="52"/>
        <v>74</v>
      </c>
      <c r="F167" s="21">
        <f t="shared" si="52"/>
        <v>2516</v>
      </c>
      <c r="G167" s="21">
        <f t="shared" si="48"/>
        <v>2442</v>
      </c>
      <c r="J167" s="27" t="s">
        <v>5396</v>
      </c>
      <c r="K167" s="20" t="s">
        <v>5321</v>
      </c>
      <c r="L167" s="28">
        <f t="shared" si="49"/>
        <v>0.15970515970515969</v>
      </c>
      <c r="M167" s="28">
        <f t="shared" si="50"/>
        <v>0.80999180999180997</v>
      </c>
      <c r="N167" s="28">
        <f t="shared" si="49"/>
        <v>3.0303030303030304E-2</v>
      </c>
      <c r="O167" s="28">
        <v>1</v>
      </c>
      <c r="P167" s="28">
        <f t="shared" si="51"/>
        <v>0.96969696969696972</v>
      </c>
      <c r="S167" s="27" t="s">
        <v>5396</v>
      </c>
      <c r="T167" s="20" t="s">
        <v>5321</v>
      </c>
      <c r="U167" s="21">
        <f t="shared" si="53"/>
        <v>0</v>
      </c>
      <c r="V167" s="21">
        <f t="shared" si="53"/>
        <v>0</v>
      </c>
      <c r="W167" s="21">
        <f t="shared" si="53"/>
        <v>0</v>
      </c>
      <c r="X167" s="21">
        <f t="shared" si="53"/>
        <v>0</v>
      </c>
      <c r="Y167" s="21">
        <f t="shared" si="54"/>
        <v>0</v>
      </c>
    </row>
    <row r="168" spans="1:25">
      <c r="A168" s="27" t="s">
        <v>5396</v>
      </c>
      <c r="B168" s="20" t="s">
        <v>5325</v>
      </c>
      <c r="C168" s="21">
        <f t="shared" si="52"/>
        <v>423</v>
      </c>
      <c r="D168" s="21">
        <f t="shared" si="52"/>
        <v>433</v>
      </c>
      <c r="E168" s="21">
        <f t="shared" si="52"/>
        <v>479</v>
      </c>
      <c r="F168" s="21">
        <f t="shared" si="52"/>
        <v>2532</v>
      </c>
      <c r="G168" s="21">
        <f t="shared" si="48"/>
        <v>2053</v>
      </c>
      <c r="J168" s="27" t="s">
        <v>5396</v>
      </c>
      <c r="K168" s="20" t="s">
        <v>5325</v>
      </c>
      <c r="L168" s="28">
        <f t="shared" si="49"/>
        <v>0.20603994154895275</v>
      </c>
      <c r="M168" s="28">
        <f t="shared" si="50"/>
        <v>0.56064296151972726</v>
      </c>
      <c r="N168" s="28">
        <f t="shared" si="49"/>
        <v>0.23331709693132002</v>
      </c>
      <c r="O168" s="28">
        <v>1</v>
      </c>
      <c r="P168" s="28">
        <f t="shared" si="51"/>
        <v>0.76668290306867992</v>
      </c>
      <c r="S168" s="27" t="s">
        <v>5396</v>
      </c>
      <c r="T168" s="20" t="s">
        <v>5325</v>
      </c>
      <c r="U168" s="21">
        <f t="shared" si="53"/>
        <v>0</v>
      </c>
      <c r="V168" s="21">
        <f t="shared" si="53"/>
        <v>0</v>
      </c>
      <c r="W168" s="21">
        <f t="shared" si="53"/>
        <v>0</v>
      </c>
      <c r="X168" s="21">
        <f t="shared" si="53"/>
        <v>0</v>
      </c>
      <c r="Y168" s="21">
        <f t="shared" si="54"/>
        <v>0</v>
      </c>
    </row>
    <row r="169" spans="1:25">
      <c r="A169" s="27" t="s">
        <v>5396</v>
      </c>
      <c r="B169" s="20" t="s">
        <v>5326</v>
      </c>
      <c r="C169" s="21">
        <f t="shared" si="52"/>
        <v>1115</v>
      </c>
      <c r="D169" s="21">
        <f t="shared" si="52"/>
        <v>456</v>
      </c>
      <c r="E169" s="21">
        <f t="shared" si="52"/>
        <v>529</v>
      </c>
      <c r="F169" s="21">
        <f t="shared" si="52"/>
        <v>2532</v>
      </c>
      <c r="G169" s="21">
        <f t="shared" si="48"/>
        <v>2003</v>
      </c>
      <c r="J169" s="27" t="s">
        <v>5396</v>
      </c>
      <c r="K169" s="20" t="s">
        <v>5326</v>
      </c>
      <c r="L169" s="28">
        <f t="shared" si="49"/>
        <v>0.55666500249625561</v>
      </c>
      <c r="M169" s="28">
        <f t="shared" si="50"/>
        <v>0.17923115327009487</v>
      </c>
      <c r="N169" s="28">
        <f t="shared" si="49"/>
        <v>0.26410384423364952</v>
      </c>
      <c r="O169" s="28">
        <v>1</v>
      </c>
      <c r="P169" s="28">
        <f t="shared" si="51"/>
        <v>0.73589615576635048</v>
      </c>
      <c r="S169" s="27" t="s">
        <v>5396</v>
      </c>
      <c r="T169" s="20" t="s">
        <v>5326</v>
      </c>
      <c r="U169" s="21">
        <f t="shared" si="53"/>
        <v>0</v>
      </c>
      <c r="V169" s="21">
        <f t="shared" si="53"/>
        <v>0</v>
      </c>
      <c r="W169" s="21">
        <f t="shared" si="53"/>
        <v>0</v>
      </c>
      <c r="X169" s="21">
        <f t="shared" si="53"/>
        <v>0</v>
      </c>
      <c r="Y169" s="21">
        <f t="shared" si="54"/>
        <v>0</v>
      </c>
    </row>
    <row r="170" spans="1:25">
      <c r="A170" s="27" t="s">
        <v>5396</v>
      </c>
      <c r="B170" s="20" t="s">
        <v>5327</v>
      </c>
      <c r="C170" s="21">
        <f t="shared" si="52"/>
        <v>1455</v>
      </c>
      <c r="D170" s="21">
        <f t="shared" si="52"/>
        <v>532</v>
      </c>
      <c r="E170" s="21">
        <f t="shared" si="52"/>
        <v>545</v>
      </c>
      <c r="F170" s="21">
        <f t="shared" si="52"/>
        <v>2536</v>
      </c>
      <c r="G170" s="21">
        <f t="shared" si="48"/>
        <v>1991</v>
      </c>
      <c r="I170" s="33"/>
      <c r="J170" s="27" t="s">
        <v>5396</v>
      </c>
      <c r="K170" s="20" t="s">
        <v>5327</v>
      </c>
      <c r="L170" s="28">
        <f t="shared" si="49"/>
        <v>0.73078854846810648</v>
      </c>
      <c r="M170" s="42">
        <f t="shared" si="50"/>
        <v>-4.520341536916106E-3</v>
      </c>
      <c r="N170" s="28">
        <f t="shared" si="49"/>
        <v>0.27373179306880963</v>
      </c>
      <c r="O170" s="28">
        <v>1</v>
      </c>
      <c r="P170" s="28">
        <f t="shared" si="51"/>
        <v>0.72626820693119032</v>
      </c>
      <c r="S170" s="27" t="s">
        <v>5396</v>
      </c>
      <c r="T170" s="20" t="s">
        <v>5327</v>
      </c>
      <c r="U170" s="21">
        <f t="shared" si="53"/>
        <v>0</v>
      </c>
      <c r="V170" s="21">
        <f t="shared" si="53"/>
        <v>0</v>
      </c>
      <c r="W170" s="21">
        <f t="shared" si="53"/>
        <v>0</v>
      </c>
      <c r="X170" s="21">
        <f t="shared" si="53"/>
        <v>0</v>
      </c>
      <c r="Y170" s="21">
        <f t="shared" si="54"/>
        <v>0</v>
      </c>
    </row>
    <row r="171" spans="1:25">
      <c r="A171" s="27" t="s">
        <v>5396</v>
      </c>
      <c r="B171" s="20" t="s">
        <v>5328</v>
      </c>
      <c r="C171" s="21"/>
      <c r="D171" s="21"/>
      <c r="E171" s="21"/>
      <c r="F171" s="21"/>
      <c r="G171" s="21"/>
      <c r="J171" s="27" t="s">
        <v>5396</v>
      </c>
      <c r="K171" s="20" t="s">
        <v>5328</v>
      </c>
      <c r="L171" s="21"/>
      <c r="M171" s="21"/>
      <c r="N171" s="21"/>
      <c r="O171" s="28"/>
      <c r="P171" s="28"/>
      <c r="S171" s="27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C2"/>
    <mergeCell ref="J2:L2"/>
    <mergeCell ref="S2:U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K1:O58"/>
  <sheetViews>
    <sheetView zoomScale="115" zoomScaleNormal="115" workbookViewId="0"/>
  </sheetViews>
  <sheetFormatPr baseColWidth="10" defaultRowHeight="13"/>
  <sheetData>
    <row r="1" spans="11:15">
      <c r="K1" s="32"/>
      <c r="N1" s="40"/>
      <c r="O1" s="40"/>
    </row>
    <row r="51" spans="11:11">
      <c r="K51" s="40"/>
    </row>
    <row r="52" spans="11:11">
      <c r="K52" s="40"/>
    </row>
    <row r="53" spans="11:11">
      <c r="K53" s="40"/>
    </row>
    <row r="54" spans="11:11">
      <c r="K54" s="40"/>
    </row>
    <row r="55" spans="11:11">
      <c r="K55" s="40"/>
    </row>
    <row r="56" spans="11:11">
      <c r="K56" s="40"/>
    </row>
    <row r="57" spans="11:11">
      <c r="K57" s="40"/>
    </row>
    <row r="58" spans="11:11">
      <c r="K58" s="4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2695312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26953125" style="16" customWidth="1"/>
    <col min="13" max="13" width="10.54296875" style="16" customWidth="1"/>
    <col min="14" max="14" width="11" style="16" customWidth="1"/>
    <col min="15" max="16" width="7.81640625" style="29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5" customFormat="1" ht="27.65" customHeight="1">
      <c r="A1" s="34" t="s">
        <v>5399</v>
      </c>
      <c r="B1" s="34"/>
      <c r="J1" s="34" t="s">
        <v>5398</v>
      </c>
      <c r="K1" s="34"/>
      <c r="O1" s="36"/>
      <c r="P1" s="36"/>
      <c r="S1" s="34" t="s">
        <v>5397</v>
      </c>
      <c r="T1" s="34"/>
      <c r="W1" s="39"/>
    </row>
    <row r="2" spans="1:27">
      <c r="A2" s="55" t="s">
        <v>5402</v>
      </c>
      <c r="B2" s="55"/>
      <c r="J2" s="56" t="s">
        <v>5402</v>
      </c>
      <c r="K2" s="57"/>
      <c r="S2" s="56" t="s">
        <v>5402</v>
      </c>
      <c r="T2" s="57"/>
    </row>
    <row r="3" spans="1:27" s="15" customFormat="1" ht="25.5" customHeight="1">
      <c r="A3" s="18" t="s">
        <v>1</v>
      </c>
      <c r="B3" s="41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30" t="s">
        <v>5324</v>
      </c>
      <c r="P3" s="30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COUNTIFS(E_Suivi_Eans!$C:$C,"01/2022",E_Suivi_Eans!$D:$D,"Ampoules",E_Suivi_Eans!$J:$J,"Retour OK",E_Suivi_Eans!$K:$K,"&gt;31/12/2021",E_Suivi_Eans!K:K,"&lt;01/02/2022")</f>
        <v>0</v>
      </c>
      <c r="D4" s="21">
        <f>COUNTIFS(E_Suivi_Eans!$C:$C,"01/2022",E_Suivi_Eans!$D:$D,"Ampoules",E_Suivi_Eans!$J:$J,"Rejet 0",E_Suivi_Eans!$K:$K,"&gt;31/12/2021",E_Suivi_Eans!$K:$K,"&lt;01/02/2022")+ COUNTIFS(E_Suivi_Eans!$C:$C,"01/2022",E_Suivi_Eans!$D:$D,"Ampoules",E_Suivi_Eans!$J:$J,"Rejet 1",E_Suivi_Eans!$K:$K,"&gt;31/12/2021",E_Suivi_Eans!$K:$K,"&lt;01/02/2022")+COUNTIFS(E_Suivi_Eans!$C:$C,"01/2022",E_Suivi_Eans!$D:$D,"Ampoules",E_Suivi_Eans!$J:$J,"Rejet 2",E_Suivi_Eans!$K:$K,"&gt;31/12/2021",E_Suivi_Eans!$K:$K,"&lt;01/02/2022")+COUNTIFS(E_Suivi_Eans!$C:$C,"01/2022",E_Suivi_Eans!$D:$D,"Ampoules",E_Suivi_Eans!$J:$J,"Rejet 3",E_Suivi_Eans!$K:$K,"&gt;31/12/2021",E_Suivi_Eans!$K:$K,"&lt;01/02/2022")+ COUNTIFS(E_Suivi_Eans!$C:$C,"01/2022",E_Suivi_Eans!$D:$D,"Ampoules",E_Suivi_Eans!$J:$J,"Rejet 4",E_Suivi_Eans!$K:$K,"&gt;31/12/2021",E_Suivi_Eans!$K:$K,"&lt;01/02/2022")+COUNTIFS(E_Suivi_Eans!$C:$C,"01/2022",E_Suivi_Eans!$D:$D,"Ampoules",E_Suivi_Eans!$J:$J,"Relance 1",E_Suivi_Eans!$K:$K,"&gt;31/12/2021",E_Suivi_Eans!$K:$K,"&lt;01/02/2022")+COUNTIFS(E_Suivi_Eans!$C:$C,"01/2022",E_Suivi_Eans!$D:$D,"Ampoules",E_Suivi_Eans!$J:$J,"Relance 2",E_Suivi_Eans!$K:$K,"&gt;31/12/2021",E_Suivi_Eans!$K:$K,"&lt;01/02/2022")+COUNTIFS(E_Suivi_Eans!$C:$C,"01/2022",E_Suivi_Eans!$D:$D,"Ampoules",E_Suivi_Eans!$J:$J,"Relance 3",E_Suivi_Eans!$K:$K,"&gt;31/12/2021",E_Suivi_Eans!$K:$K,"&lt;01/02/2022")</f>
        <v>0</v>
      </c>
      <c r="E4" s="21">
        <f>COUNTIFS(E_Suivi_Eans!$C:$C,"01/2022",E_Suivi_Eans!$D:$D,"Ampoules",E_Suivi_Eans!$J:$J,"Abandon",E_Suivi_Eans!$K:$K,"&gt;31/12/2021",E_Suivi_Eans!K:K,"&lt;01/02/2022")</f>
        <v>0</v>
      </c>
      <c r="F4" s="21">
        <f>COUNTIFS(E_Suivi_Eans!$C:$C,"01/2022",E_Suivi_Eans!$D:$D,"Ampoules")</f>
        <v>0</v>
      </c>
      <c r="G4" s="21">
        <f>F4-E4</f>
        <v>0</v>
      </c>
      <c r="J4" s="20" t="s">
        <v>5314</v>
      </c>
      <c r="K4" s="20" t="s">
        <v>5314</v>
      </c>
      <c r="L4" s="28" t="e">
        <f>C4/$G4</f>
        <v>#DIV/0!</v>
      </c>
      <c r="M4" s="28" t="e">
        <f t="shared" ref="M4:N14" si="0">D4/$G4</f>
        <v>#DIV/0!</v>
      </c>
      <c r="N4" s="28" t="e">
        <f t="shared" si="0"/>
        <v>#DIV/0!</v>
      </c>
      <c r="O4" s="28">
        <v>1</v>
      </c>
      <c r="P4" s="28" t="e">
        <f>O4-N4</f>
        <v>#DIV/0!</v>
      </c>
      <c r="S4" s="20" t="s">
        <v>5314</v>
      </c>
      <c r="T4" s="20" t="s">
        <v>5314</v>
      </c>
      <c r="U4" s="38"/>
      <c r="V4" s="21"/>
      <c r="W4" s="21"/>
      <c r="X4" s="38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COUNTIFS(E_Suivi_Eans!$C:$C,"01/2022",E_Suivi_Eans!$D:$D,"Ampoules",E_Suivi_Eans!$J:$J,"Retour OK",E_Suivi_Eans!$K:$K,"&gt;31/12/2021",E_Suivi_Eans!$K:$K,"&lt;01/03/2022")</f>
        <v>0</v>
      </c>
      <c r="D5" s="21">
        <f>COUNTIFS(E_Suivi_Eans!$C:$C,"01/2022",E_Suivi_Eans!$D:$D,"Ampoules",E_Suivi_Eans!$J:$J,"Rejet 0",E_Suivi_Eans!$K:$K,"&gt;31/12/2021",E_Suivi_Eans!$K:$K,"&lt;01/03/2022")+ COUNTIFS(E_Suivi_Eans!$C:$C,"01/2022",E_Suivi_Eans!$D:$D,"Ampoules",E_Suivi_Eans!$J:$J,"Rejet 1",E_Suivi_Eans!$K:$K,"&gt;31/12/2021",E_Suivi_Eans!$K:$K,"&lt;01/03/2022")+COUNTIFS(E_Suivi_Eans!$C:$C,"01/2022",E_Suivi_Eans!$D:$D,"Ampoules",E_Suivi_Eans!$J:$J,"Rejet 2",E_Suivi_Eans!$K:$K,"&gt;31/12/2021",E_Suivi_Eans!$K:$K,"&lt;01/03/2022")+COUNTIFS(E_Suivi_Eans!$C:$C,"01/2022",E_Suivi_Eans!$D:$D,"Ampoules",E_Suivi_Eans!$J:$J,"Rejet 3",E_Suivi_Eans!$K:$K,"&gt;31/12/2021",E_Suivi_Eans!$K:$K,"&lt;01/03/2022")+ COUNTIFS(E_Suivi_Eans!$C:$C,"01/2022",E_Suivi_Eans!$D:$D,"Ampoules",E_Suivi_Eans!$J:$J,"Rejet 4",E_Suivi_Eans!$K:$K,"&gt;31/12/2021",E_Suivi_Eans!$K:$K,"&lt;01/03/2022")+COUNTIFS(E_Suivi_Eans!$C:$C,"01/2022",E_Suivi_Eans!$D:$D,"Ampoules",E_Suivi_Eans!$J:$J,"Relance 1",E_Suivi_Eans!$K:$K,"&gt;31/12/2021",E_Suivi_Eans!$K:$K,"&lt;01/03/2022")+COUNTIFS(E_Suivi_Eans!$C:$C,"01/2022",E_Suivi_Eans!$D:$D,"Ampoules",E_Suivi_Eans!$J:$J,"Relance 2",E_Suivi_Eans!$K:$K,"&gt;31/12/2021",E_Suivi_Eans!$K:$K,"&lt;01/03/2022")+COUNTIFS(E_Suivi_Eans!$C:$C,"01/2022",E_Suivi_Eans!$D:$D,"Ampoules",E_Suivi_Eans!$J:$J,"Relance 3",E_Suivi_Eans!$K:$K,"&gt;31/12/2021",E_Suivi_Eans!$K:$K,"&lt;01/03/2022")</f>
        <v>0</v>
      </c>
      <c r="E5" s="21">
        <f>COUNTIFS(E_Suivi_Eans!$C:$C,"01/2022",E_Suivi_Eans!$D:$D,"Ampoules",E_Suivi_Eans!$J:$J,"Abandon",E_Suivi_Eans!$K:$K,"&gt;31/12/2021",E_Suivi_Eans!K:K,"&lt;01/03/2022")</f>
        <v>0</v>
      </c>
      <c r="F5" s="21">
        <f>COUNTIFS(E_Suivi_Eans!$C:$C,"01/2022",E_Suivi_Eans!$D:$D,"Ampoules")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8" t="e">
        <f t="shared" ref="L5:L14" si="2">C5/$G5</f>
        <v>#DIV/0!</v>
      </c>
      <c r="M5" s="28" t="e">
        <f t="shared" si="0"/>
        <v>#DIV/0!</v>
      </c>
      <c r="N5" s="28" t="e">
        <f t="shared" si="0"/>
        <v>#DIV/0!</v>
      </c>
      <c r="O5" s="28">
        <v>1</v>
      </c>
      <c r="P5" s="28" t="e">
        <f t="shared" ref="P5:P14" si="3">O5-N5</f>
        <v>#DIV/0!</v>
      </c>
      <c r="S5" s="20" t="s">
        <v>5314</v>
      </c>
      <c r="T5" s="20" t="s">
        <v>5315</v>
      </c>
      <c r="U5" s="38"/>
      <c r="V5" s="21"/>
      <c r="W5" s="21"/>
      <c r="X5" s="38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COUNTIFS(E_Suivi_Eans!$C:$C,"01/2022",E_Suivi_Eans!$D:$D,"Ampoules",E_Suivi_Eans!$J:$J,"Retour OK",E_Suivi_Eans!$K:$K,"&gt;31/12/2021",E_Suivi_Eans!$K:$K,"&lt;01/04/2022")</f>
        <v>0</v>
      </c>
      <c r="D6" s="21">
        <f>COUNTIFS(E_Suivi_Eans!$C:$C,"01/2022",E_Suivi_Eans!$D:$D,"Ampoules",E_Suivi_Eans!$J:$J,"Rejet 0",E_Suivi_Eans!$K:$K,"&gt;31/12/2021",E_Suivi_Eans!$K:$K,"&lt;01/04/2022")+ COUNTIFS(E_Suivi_Eans!$C:$C,"01/2022",E_Suivi_Eans!$D:$D,"Ampoules",E_Suivi_Eans!$J:$J,"Rejet 1",E_Suivi_Eans!$K:$K,"&gt;31/12/2021",E_Suivi_Eans!$K:$K,"&lt;01/04/2022")+COUNTIFS(E_Suivi_Eans!$C:$C,"01/2022",E_Suivi_Eans!$D:$D,"Ampoules",E_Suivi_Eans!$J:$J,"Rejet 2",E_Suivi_Eans!$K:$K,"&gt;31/12/2021",E_Suivi_Eans!$K:$K,"&lt;01/04/2022")+COUNTIFS(E_Suivi_Eans!$C:$C,"01/2022",E_Suivi_Eans!$D:$D,"Ampoules",E_Suivi_Eans!$J:$J,"Rejet 3",E_Suivi_Eans!$K:$K,"&gt;31/12/2021",E_Suivi_Eans!$K:$K,"&lt;01/04/2022")+ COUNTIFS(E_Suivi_Eans!$C:$C,"01/2022",E_Suivi_Eans!$D:$D,"Ampoules",E_Suivi_Eans!$J:$J,"Rejet 4",E_Suivi_Eans!$K:$K,"&gt;31/12/2021",E_Suivi_Eans!$K:$K,"&lt;01/04/2022")+COUNTIFS(E_Suivi_Eans!$C:$C,"01/2022",E_Suivi_Eans!$D:$D,"Ampoules",E_Suivi_Eans!$J:$J,"Relance 1",E_Suivi_Eans!$K:$K,"&gt;31/12/2021",E_Suivi_Eans!$K:$K,"&lt;01/04/2022")+COUNTIFS(E_Suivi_Eans!$C:$C,"01/2022",E_Suivi_Eans!$D:$D,"Ampoules",E_Suivi_Eans!$J:$J,"Relance 2",E_Suivi_Eans!$K:$K,"&gt;31/12/2021",E_Suivi_Eans!$K:$K,"&lt;01/04/2022")+COUNTIFS(E_Suivi_Eans!$C:$C,"01/2022",E_Suivi_Eans!$D:$D,"Ampoules",E_Suivi_Eans!$J:$J,"Relance 3",E_Suivi_Eans!$K:$K,"&gt;31/12/2021",E_Suivi_Eans!$K:$K,"&lt;01/04/2022")</f>
        <v>0</v>
      </c>
      <c r="E6" s="21">
        <f>COUNTIFS(E_Suivi_Eans!$C:$C,"01/2022",E_Suivi_Eans!$D:$D,"Ampoules",E_Suivi_Eans!$J:$J,"Abandon",E_Suivi_Eans!$K:$K,"&gt;31/12/2021",E_Suivi_Eans!K:K,"&lt;01/04/2022")</f>
        <v>0</v>
      </c>
      <c r="F6" s="21">
        <f>COUNTIFS(E_Suivi_Eans!$C:$C,"01/2022",E_Suivi_Eans!$D:$D,"Ampoules")</f>
        <v>0</v>
      </c>
      <c r="G6" s="21">
        <f t="shared" si="1"/>
        <v>0</v>
      </c>
      <c r="J6" s="20" t="s">
        <v>5314</v>
      </c>
      <c r="K6" s="20" t="s">
        <v>5316</v>
      </c>
      <c r="L6" s="28" t="e">
        <f t="shared" si="2"/>
        <v>#DIV/0!</v>
      </c>
      <c r="M6" s="28" t="e">
        <f t="shared" si="0"/>
        <v>#DIV/0!</v>
      </c>
      <c r="N6" s="28" t="e">
        <f t="shared" si="0"/>
        <v>#DIV/0!</v>
      </c>
      <c r="O6" s="28">
        <v>1</v>
      </c>
      <c r="P6" s="28" t="e">
        <f t="shared" si="3"/>
        <v>#DIV/0!</v>
      </c>
      <c r="S6" s="20" t="s">
        <v>5314</v>
      </c>
      <c r="T6" s="20" t="s">
        <v>5316</v>
      </c>
      <c r="U6" s="38"/>
      <c r="V6" s="21"/>
      <c r="W6" s="21"/>
      <c r="X6" s="38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COUNTIFS(E_Suivi_Eans!$C:$C,"01/2022",E_Suivi_Eans!$D:$D,"Ampoules",E_Suivi_Eans!$J:$J,"Retour OK",E_Suivi_Eans!$K:$K,"&gt;31/12/2021",E_Suivi_Eans!$K:$K,"&lt;01/05/2022")</f>
        <v>0</v>
      </c>
      <c r="D7" s="21">
        <f>COUNTIFS(E_Suivi_Eans!$C:$C,"01/2022",E_Suivi_Eans!$D:$D,"Ampoules",E_Suivi_Eans!$J:$J,"Rejet 0",E_Suivi_Eans!$K:$K,"&gt;31/12/2021",E_Suivi_Eans!$K:$K,"&lt;01/05/2022")+ COUNTIFS(E_Suivi_Eans!$C:$C,"01/2022",E_Suivi_Eans!$D:$D,"Ampoules",E_Suivi_Eans!$J:$J,"Rejet 1",E_Suivi_Eans!$K:$K,"&gt;31/12/2021",E_Suivi_Eans!$K:$K,"&lt;01/05/2022")+COUNTIFS(E_Suivi_Eans!$C:$C,"01/2022",E_Suivi_Eans!$D:$D,"Ampoules",E_Suivi_Eans!$J:$J,"Rejet 2",E_Suivi_Eans!$K:$K,"&gt;31/12/2021",E_Suivi_Eans!$K:$K,"&lt;01/05/2022")+COUNTIFS(E_Suivi_Eans!$C:$C,"01/2022",E_Suivi_Eans!$D:$D,"Ampoules",E_Suivi_Eans!$J:$J,"Rejet 3",E_Suivi_Eans!$K:$K,"&gt;31/12/2021",E_Suivi_Eans!$K:$K,"&lt;01/05/2022")+ COUNTIFS(E_Suivi_Eans!$C:$C,"01/2022",E_Suivi_Eans!$D:$D,"Ampoules",E_Suivi_Eans!$J:$J,"Rejet 4",E_Suivi_Eans!$K:$K,"&gt;31/12/2021",E_Suivi_Eans!$K:$K,"&lt;01/05/2022")+COUNTIFS(E_Suivi_Eans!$C:$C,"01/2022",E_Suivi_Eans!$D:$D,"Ampoules",E_Suivi_Eans!$J:$J,"Relance 1",E_Suivi_Eans!$K:$K,"&gt;31/12/2021",E_Suivi_Eans!$K:$K,"&lt;01/05/2022")+COUNTIFS(E_Suivi_Eans!$C:$C,"01/2022",E_Suivi_Eans!$D:$D,"Ampoules",E_Suivi_Eans!$J:$J,"Relance 2",E_Suivi_Eans!$K:$K,"&gt;31/12/2021",E_Suivi_Eans!$K:$K,"&lt;01/05/2022")+COUNTIFS(E_Suivi_Eans!$C:$C,"01/2022",E_Suivi_Eans!$D:$D,"Ampoules",E_Suivi_Eans!$J:$J,"Relance 3",E_Suivi_Eans!$K:$K,"&gt;31/12/2021",E_Suivi_Eans!$K:$K,"&lt;01/05/2022")</f>
        <v>0</v>
      </c>
      <c r="E7" s="21">
        <f>COUNTIFS(E_Suivi_Eans!$C:$C,"01/2022",E_Suivi_Eans!$D:$D,"Ampoules",E_Suivi_Eans!$J:$J,"Abandon",E_Suivi_Eans!$K:$K,"&gt;31/12/2021",E_Suivi_Eans!K:K,"&lt;01/05/2022")</f>
        <v>0</v>
      </c>
      <c r="F7" s="21">
        <f>COUNTIFS(E_Suivi_Eans!$C:$C,"01/2022",E_Suivi_Eans!$D:$D,"Ampoules")</f>
        <v>0</v>
      </c>
      <c r="G7" s="21">
        <f t="shared" si="1"/>
        <v>0</v>
      </c>
      <c r="J7" s="20" t="s">
        <v>5314</v>
      </c>
      <c r="K7" s="20" t="s">
        <v>5317</v>
      </c>
      <c r="L7" s="28" t="e">
        <f t="shared" si="2"/>
        <v>#DIV/0!</v>
      </c>
      <c r="M7" s="28" t="e">
        <f t="shared" si="0"/>
        <v>#DIV/0!</v>
      </c>
      <c r="N7" s="28" t="e">
        <f t="shared" si="0"/>
        <v>#DIV/0!</v>
      </c>
      <c r="O7" s="28">
        <v>1</v>
      </c>
      <c r="P7" s="28" t="e">
        <f t="shared" si="3"/>
        <v>#DIV/0!</v>
      </c>
      <c r="S7" s="20" t="s">
        <v>5314</v>
      </c>
      <c r="T7" s="20" t="s">
        <v>5317</v>
      </c>
      <c r="U7" s="38"/>
      <c r="V7" s="21"/>
      <c r="W7" s="21"/>
      <c r="X7" s="38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COUNTIFS(E_Suivi_Eans!$C:$C,"01/2022",E_Suivi_Eans!$D:$D,"Ampoules",E_Suivi_Eans!$J:$J,"Retour OK",E_Suivi_Eans!$K:$K,"&gt;31/12/2021",E_Suivi_Eans!$K:$K,"&lt;01/06/2022")</f>
        <v>0</v>
      </c>
      <c r="D8" s="21">
        <f>COUNTIFS(E_Suivi_Eans!$C:$C,"01/2022",E_Suivi_Eans!$D:$D,"Ampoules",E_Suivi_Eans!$J:$J,"Rejet 0",E_Suivi_Eans!$K:$K,"&gt;31/12/2021",E_Suivi_Eans!$K:$K,"&lt;01/06/2022")+ COUNTIFS(E_Suivi_Eans!$C:$C,"01/2022",E_Suivi_Eans!$D:$D,"Ampoules",E_Suivi_Eans!$J:$J,"Rejet 1",E_Suivi_Eans!$K:$K,"&gt;31/12/2021",E_Suivi_Eans!$K:$K,"&lt;01/06/2022")+COUNTIFS(E_Suivi_Eans!$C:$C,"01/2022",E_Suivi_Eans!$D:$D,"Ampoules",E_Suivi_Eans!$J:$J,"Rejet 2",E_Suivi_Eans!$K:$K,"&gt;31/12/2021",E_Suivi_Eans!$K:$K,"&lt;01/06/2022")+COUNTIFS(E_Suivi_Eans!$C:$C,"01/2022",E_Suivi_Eans!$D:$D,"Ampoules",E_Suivi_Eans!$J:$J,"Rejet 3",E_Suivi_Eans!$K:$K,"&gt;31/12/2021",E_Suivi_Eans!$K:$K,"&lt;01/06/2022")+ COUNTIFS(E_Suivi_Eans!$C:$C,"01/2022",E_Suivi_Eans!$D:$D,"Ampoules",E_Suivi_Eans!$J:$J,"Rejet 4",E_Suivi_Eans!$K:$K,"&gt;31/12/2021",E_Suivi_Eans!$K:$K,"&lt;01/06/2022")+COUNTIFS(E_Suivi_Eans!$C:$C,"01/2022",E_Suivi_Eans!$D:$D,"Ampoules",E_Suivi_Eans!$J:$J,"Relance 1",E_Suivi_Eans!$K:$K,"&gt;31/12/2021",E_Suivi_Eans!$K:$K,"&lt;01/06/2022")+COUNTIFS(E_Suivi_Eans!$C:$C,"01/2022",E_Suivi_Eans!$D:$D,"Ampoules",E_Suivi_Eans!$J:$J,"Relance 2",E_Suivi_Eans!$K:$K,"&gt;31/12/2021",E_Suivi_Eans!$K:$K,"&lt;01/06/2022")+COUNTIFS(E_Suivi_Eans!$C:$C,"01/2022",E_Suivi_Eans!$D:$D,"Ampoules",E_Suivi_Eans!$J:$J,"Relance 3",E_Suivi_Eans!$K:$K,"&gt;31/12/2021",E_Suivi_Eans!$K:$K,"&lt;01/06/2022")</f>
        <v>0</v>
      </c>
      <c r="E8" s="21">
        <f>COUNTIFS(E_Suivi_Eans!$C:$C,"01/2022",E_Suivi_Eans!$D:$D,"Ampoules",E_Suivi_Eans!$J:$J,"Abandon",E_Suivi_Eans!$K:$K,"&gt;31/12/2021",E_Suivi_Eans!K:K,"&lt;01/06/2022")</f>
        <v>0</v>
      </c>
      <c r="F8" s="21">
        <f>COUNTIFS(E_Suivi_Eans!$C:$C,"01/2022",E_Suivi_Eans!$D:$D,"Ampoules")</f>
        <v>0</v>
      </c>
      <c r="G8" s="21">
        <f t="shared" si="1"/>
        <v>0</v>
      </c>
      <c r="J8" s="20" t="s">
        <v>5314</v>
      </c>
      <c r="K8" s="20" t="s">
        <v>5318</v>
      </c>
      <c r="L8" s="28" t="e">
        <f t="shared" si="2"/>
        <v>#DIV/0!</v>
      </c>
      <c r="M8" s="28" t="e">
        <f t="shared" si="0"/>
        <v>#DIV/0!</v>
      </c>
      <c r="N8" s="28" t="e">
        <f t="shared" si="0"/>
        <v>#DIV/0!</v>
      </c>
      <c r="O8" s="28">
        <v>1</v>
      </c>
      <c r="P8" s="28" t="e">
        <f t="shared" si="3"/>
        <v>#DIV/0!</v>
      </c>
      <c r="S8" s="20" t="s">
        <v>5314</v>
      </c>
      <c r="T8" s="20" t="s">
        <v>5318</v>
      </c>
      <c r="U8" s="38"/>
      <c r="V8" s="21"/>
      <c r="W8" s="21"/>
      <c r="X8" s="38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COUNTIFS(E_Suivi_Eans!$C:$C,"01/2022",E_Suivi_Eans!$D:$D,"Ampoules",E_Suivi_Eans!$J:$J,"Retour OK",E_Suivi_Eans!$K:$K,"&gt;31/12/2021",E_Suivi_Eans!$K:$K,"&lt;01/07/2022")</f>
        <v>0</v>
      </c>
      <c r="D9" s="21">
        <f>COUNTIFS(E_Suivi_Eans!$C:$C,"01/2022",E_Suivi_Eans!$D:$D,"Ampoules",E_Suivi_Eans!$J:$J,"Rejet 0",E_Suivi_Eans!$K:$K,"&gt;31/12/2021",E_Suivi_Eans!$K:$K,"&lt;01/07/2022")+ COUNTIFS(E_Suivi_Eans!$C:$C,"01/2022",E_Suivi_Eans!$D:$D,"Ampoules",E_Suivi_Eans!$J:$J,"Rejet 1",E_Suivi_Eans!$K:$K,"&gt;31/12/2021",E_Suivi_Eans!$K:$K,"&lt;01/07/2022")+COUNTIFS(E_Suivi_Eans!$C:$C,"01/2022",E_Suivi_Eans!$D:$D,"Ampoules",E_Suivi_Eans!$J:$J,"Rejet 2",E_Suivi_Eans!$K:$K,"&gt;31/12/2021",E_Suivi_Eans!$K:$K,"&lt;01/07/2022")+COUNTIFS(E_Suivi_Eans!$C:$C,"01/2022",E_Suivi_Eans!$D:$D,"Ampoules",E_Suivi_Eans!$J:$J,"Rejet 3",E_Suivi_Eans!$K:$K,"&gt;31/12/2021",E_Suivi_Eans!$K:$K,"&lt;01/07/2022")+ COUNTIFS(E_Suivi_Eans!$C:$C,"01/2022",E_Suivi_Eans!$D:$D,"Ampoules",E_Suivi_Eans!$J:$J,"Rejet 4",E_Suivi_Eans!$K:$K,"&gt;31/12/2021",E_Suivi_Eans!$K:$K,"&lt;01/07/2022")+COUNTIFS(E_Suivi_Eans!$C:$C,"01/2022",E_Suivi_Eans!$D:$D,"Ampoules",E_Suivi_Eans!$J:$J,"Relance 1",E_Suivi_Eans!$K:$K,"&gt;31/12/2021",E_Suivi_Eans!$K:$K,"&lt;01/07/2022")+COUNTIFS(E_Suivi_Eans!$C:$C,"01/2022",E_Suivi_Eans!$D:$D,"Ampoules",E_Suivi_Eans!$J:$J,"Relance 2",E_Suivi_Eans!$K:$K,"&gt;31/12/2021",E_Suivi_Eans!$K:$K,"&lt;01/07/2022")+COUNTIFS(E_Suivi_Eans!$C:$C,"01/2022",E_Suivi_Eans!$D:$D,"Ampoules",E_Suivi_Eans!$J:$J,"Relance 3",E_Suivi_Eans!$K:$K,"&gt;31/12/2021",E_Suivi_Eans!$K:$K,"&lt;01/07/2022")</f>
        <v>0</v>
      </c>
      <c r="E9" s="21">
        <f>COUNTIFS(E_Suivi_Eans!$C:$C,"01/2022",E_Suivi_Eans!$D:$D,"Ampoules",E_Suivi_Eans!$J:$J,"Abandon",E_Suivi_Eans!$K:$K,"&gt;31/12/2021",E_Suivi_Eans!K:K,"&lt;01/07/2022")</f>
        <v>0</v>
      </c>
      <c r="F9" s="21">
        <f>COUNTIFS(E_Suivi_Eans!$C:$C,"01/2022",E_Suivi_Eans!$D:$D,"Ampoules")</f>
        <v>0</v>
      </c>
      <c r="G9" s="21">
        <f t="shared" si="1"/>
        <v>0</v>
      </c>
      <c r="J9" s="20" t="s">
        <v>5314</v>
      </c>
      <c r="K9" s="20" t="s">
        <v>5319</v>
      </c>
      <c r="L9" s="28" t="e">
        <f t="shared" si="2"/>
        <v>#DIV/0!</v>
      </c>
      <c r="M9" s="28" t="e">
        <f t="shared" si="0"/>
        <v>#DIV/0!</v>
      </c>
      <c r="N9" s="28" t="e">
        <f t="shared" si="0"/>
        <v>#DIV/0!</v>
      </c>
      <c r="O9" s="28">
        <v>1</v>
      </c>
      <c r="P9" s="28" t="e">
        <f t="shared" si="3"/>
        <v>#DIV/0!</v>
      </c>
      <c r="S9" s="20" t="s">
        <v>5314</v>
      </c>
      <c r="T9" s="20" t="s">
        <v>5319</v>
      </c>
      <c r="U9" s="38"/>
      <c r="V9" s="21"/>
      <c r="W9" s="21"/>
      <c r="X9" s="38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COUNTIFS(E_Suivi_Eans!$C:$C,"01/2022",E_Suivi_Eans!$D:$D,"Ampoules",E_Suivi_Eans!$J:$J,"Retour OK",E_Suivi_Eans!$K:$K,"&gt;31/12/2021",E_Suivi_Eans!$K:$K,"&lt;01/08/2022")</f>
        <v>0</v>
      </c>
      <c r="D10" s="21">
        <f>COUNTIFS(E_Suivi_Eans!$C:$C,"01/2022",E_Suivi_Eans!$D:$D,"Ampoules",E_Suivi_Eans!$J:$J,"Rejet 0",E_Suivi_Eans!$K:$K,"&gt;31/12/2021",E_Suivi_Eans!$K:$K,"&lt;01/08/2022")+ COUNTIFS(E_Suivi_Eans!$C:$C,"01/2022",E_Suivi_Eans!$D:$D,"Ampoules",E_Suivi_Eans!$J:$J,"Rejet 1",E_Suivi_Eans!$K:$K,"&gt;31/12/2021",E_Suivi_Eans!$K:$K,"&lt;01/08/2022")+COUNTIFS(E_Suivi_Eans!$C:$C,"01/2022",E_Suivi_Eans!$D:$D,"Ampoules",E_Suivi_Eans!$J:$J,"Rejet 2",E_Suivi_Eans!$K:$K,"&gt;31/12/2021",E_Suivi_Eans!$K:$K,"&lt;01/08/2022")+COUNTIFS(E_Suivi_Eans!$C:$C,"01/2022",E_Suivi_Eans!$D:$D,"Ampoules",E_Suivi_Eans!$J:$J,"Rejet 3",E_Suivi_Eans!$K:$K,"&gt;31/12/2021",E_Suivi_Eans!$K:$K,"&lt;01/08/2022")+ COUNTIFS(E_Suivi_Eans!$C:$C,"01/2022",E_Suivi_Eans!$D:$D,"Ampoules",E_Suivi_Eans!$J:$J,"Rejet 4",E_Suivi_Eans!$K:$K,"&gt;31/12/2021",E_Suivi_Eans!$K:$K,"&lt;01/08/2022")+COUNTIFS(E_Suivi_Eans!$C:$C,"01/2022",E_Suivi_Eans!$D:$D,"Ampoules",E_Suivi_Eans!$J:$J,"Relance 1",E_Suivi_Eans!$K:$K,"&gt;31/12/2021",E_Suivi_Eans!$K:$K,"&lt;01/08/2022")+COUNTIFS(E_Suivi_Eans!$C:$C,"01/2022",E_Suivi_Eans!$D:$D,"Ampoules",E_Suivi_Eans!$J:$J,"Relance 2",E_Suivi_Eans!$K:$K,"&gt;31/12/2021",E_Suivi_Eans!$K:$K,"&lt;01/08/2022")+COUNTIFS(E_Suivi_Eans!$C:$C,"01/2022",E_Suivi_Eans!$D:$D,"Ampoules",E_Suivi_Eans!$J:$J,"Relance 3",E_Suivi_Eans!$K:$K,"&gt;31/12/2021",E_Suivi_Eans!$K:$K,"&lt;01/08/2022")</f>
        <v>0</v>
      </c>
      <c r="E10" s="21">
        <f>COUNTIFS(E_Suivi_Eans!$C:$C,"01/2022",E_Suivi_Eans!$D:$D,"Ampoules",E_Suivi_Eans!$J:$J,"Abandon",E_Suivi_Eans!$K:$K,"&gt;31/12/2021",E_Suivi_Eans!K:K,"&lt;01/08/2022")</f>
        <v>0</v>
      </c>
      <c r="F10" s="21">
        <f>COUNTIFS(E_Suivi_Eans!$C:$C,"01/2022",E_Suivi_Eans!$D:$D,"Ampoules")</f>
        <v>0</v>
      </c>
      <c r="G10" s="21">
        <f t="shared" si="1"/>
        <v>0</v>
      </c>
      <c r="J10" s="20" t="s">
        <v>5314</v>
      </c>
      <c r="K10" s="20" t="s">
        <v>5320</v>
      </c>
      <c r="L10" s="28" t="e">
        <f t="shared" si="2"/>
        <v>#DIV/0!</v>
      </c>
      <c r="M10" s="28" t="e">
        <f t="shared" si="0"/>
        <v>#DIV/0!</v>
      </c>
      <c r="N10" s="28" t="e">
        <f t="shared" si="0"/>
        <v>#DIV/0!</v>
      </c>
      <c r="O10" s="28">
        <v>1</v>
      </c>
      <c r="P10" s="28" t="e">
        <f t="shared" si="3"/>
        <v>#DIV/0!</v>
      </c>
      <c r="S10" s="20" t="s">
        <v>5314</v>
      </c>
      <c r="T10" s="20" t="s">
        <v>5320</v>
      </c>
      <c r="U10" s="38"/>
      <c r="V10" s="21"/>
      <c r="W10" s="21"/>
      <c r="X10" s="38"/>
      <c r="Y10" s="21"/>
      <c r="AA10" s="37"/>
    </row>
    <row r="11" spans="1:27">
      <c r="A11" s="20" t="s">
        <v>5314</v>
      </c>
      <c r="B11" s="20" t="s">
        <v>5321</v>
      </c>
      <c r="C11" s="21">
        <f>COUNTIFS(E_Suivi_Eans!$C:$C,"01/2022",E_Suivi_Eans!$D:$D,"Ampoules",E_Suivi_Eans!$J:$J,"Retour OK",E_Suivi_Eans!$K:$K,"&gt;31/12/2021",E_Suivi_Eans!$K:$K,"&lt;01/09/2022")</f>
        <v>0</v>
      </c>
      <c r="D11" s="21">
        <f>COUNTIFS(E_Suivi_Eans!$C:$C,"01/2022",E_Suivi_Eans!$D:$D,"Ampoules",E_Suivi_Eans!$J:$J,"Rejet 0",E_Suivi_Eans!$K:$K,"&gt;31/12/2021",E_Suivi_Eans!$K:$K,"&lt;01/09/2022")+ COUNTIFS(E_Suivi_Eans!$C:$C,"01/2022",E_Suivi_Eans!$D:$D,"Ampoules",E_Suivi_Eans!$J:$J,"Rejet 1",E_Suivi_Eans!$K:$K,"&gt;31/12/2021",E_Suivi_Eans!$K:$K,"&lt;01/09/2022")+COUNTIFS(E_Suivi_Eans!$C:$C,"01/2022",E_Suivi_Eans!$D:$D,"Ampoules",E_Suivi_Eans!$J:$J,"Rejet 2",E_Suivi_Eans!$K:$K,"&gt;31/12/2021",E_Suivi_Eans!$K:$K,"&lt;01/09/2022")+COUNTIFS(E_Suivi_Eans!$C:$C,"01/2022",E_Suivi_Eans!$D:$D,"Ampoules",E_Suivi_Eans!$J:$J,"Rejet 3",E_Suivi_Eans!$K:$K,"&gt;31/12/2021",E_Suivi_Eans!$K:$K,"&lt;01/09/2022")+ COUNTIFS(E_Suivi_Eans!$C:$C,"01/2022",E_Suivi_Eans!$D:$D,"Ampoules",E_Suivi_Eans!$J:$J,"Rejet 4",E_Suivi_Eans!$K:$K,"&gt;31/12/2021",E_Suivi_Eans!$K:$K,"&lt;01/09/2022")+COUNTIFS(E_Suivi_Eans!$C:$C,"01/2022",E_Suivi_Eans!$D:$D,"Ampoules",E_Suivi_Eans!$J:$J,"Relance 1",E_Suivi_Eans!$K:$K,"&gt;31/12/2021",E_Suivi_Eans!$K:$K,"&lt;01/09/2022")+COUNTIFS(E_Suivi_Eans!$C:$C,"01/2022",E_Suivi_Eans!$D:$D,"Ampoules",E_Suivi_Eans!$J:$J,"Relance 2",E_Suivi_Eans!$K:$K,"&gt;31/12/2021",E_Suivi_Eans!$K:$K,"&lt;01/09/2022")+COUNTIFS(E_Suivi_Eans!$C:$C,"01/2022",E_Suivi_Eans!$D:$D,"Ampoules",E_Suivi_Eans!$J:$J,"Relance 3",E_Suivi_Eans!$K:$K,"&gt;31/12/2021",E_Suivi_Eans!$K:$K,"&lt;01/09/2022")</f>
        <v>0</v>
      </c>
      <c r="E11" s="21">
        <f>COUNTIFS(E_Suivi_Eans!$C:$C,"01/2022",E_Suivi_Eans!$D:$D,"Ampoules",E_Suivi_Eans!$J:$J,"Abandon",E_Suivi_Eans!$K:$K,"&gt;31/12/2021",E_Suivi_Eans!K:K,"&lt;01/09/2022")</f>
        <v>0</v>
      </c>
      <c r="F11" s="21">
        <f>COUNTIFS(E_Suivi_Eans!$C:$C,"01/2022",E_Suivi_Eans!$D:$D,"Ampoules")</f>
        <v>0</v>
      </c>
      <c r="G11" s="21">
        <f t="shared" si="1"/>
        <v>0</v>
      </c>
      <c r="J11" s="20" t="s">
        <v>5314</v>
      </c>
      <c r="K11" s="20" t="s">
        <v>5321</v>
      </c>
      <c r="L11" s="28" t="e">
        <f t="shared" si="2"/>
        <v>#DIV/0!</v>
      </c>
      <c r="M11" s="28" t="e">
        <f t="shared" si="0"/>
        <v>#DIV/0!</v>
      </c>
      <c r="N11" s="28" t="e">
        <f t="shared" si="0"/>
        <v>#DIV/0!</v>
      </c>
      <c r="O11" s="28">
        <v>1</v>
      </c>
      <c r="P11" s="28" t="e">
        <f t="shared" si="3"/>
        <v>#DIV/0!</v>
      </c>
      <c r="S11" s="20" t="s">
        <v>5314</v>
      </c>
      <c r="T11" s="20" t="s">
        <v>5321</v>
      </c>
      <c r="U11" s="38"/>
      <c r="V11" s="21"/>
      <c r="W11" s="21"/>
      <c r="X11" s="38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COUNTIFS(E_Suivi_Eans!$C:$C,"01/2022",E_Suivi_Eans!$D:$D,"Ampoules",E_Suivi_Eans!$J:$J,"Retour OK",E_Suivi_Eans!$K:$K,"&gt;31/12/2021",E_Suivi_Eans!$K:$K,"&lt;01/10/2022")</f>
        <v>0</v>
      </c>
      <c r="D12" s="21">
        <f>COUNTIFS(E_Suivi_Eans!$C:$C,"01/2022",E_Suivi_Eans!$D:$D,"Ampoules",E_Suivi_Eans!$J:$J,"Rejet 0",E_Suivi_Eans!$K:$K,"&gt;31/12/2021",E_Suivi_Eans!$K:$K,"&lt;01/10/2022")+ COUNTIFS(E_Suivi_Eans!$C:$C,"01/2022",E_Suivi_Eans!$D:$D,"Ampoules",E_Suivi_Eans!$J:$J,"Rejet 1",E_Suivi_Eans!$K:$K,"&gt;31/12/2021",E_Suivi_Eans!$K:$K,"&lt;01/10/2022")+COUNTIFS(E_Suivi_Eans!$C:$C,"01/2022",E_Suivi_Eans!$D:$D,"Ampoules",E_Suivi_Eans!$J:$J,"Rejet 2",E_Suivi_Eans!$K:$K,"&gt;31/12/2021",E_Suivi_Eans!$K:$K,"&lt;01/10/2022")+COUNTIFS(E_Suivi_Eans!$C:$C,"01/2022",E_Suivi_Eans!$D:$D,"Ampoules",E_Suivi_Eans!$J:$J,"Rejet 3",E_Suivi_Eans!$K:$K,"&gt;31/12/2021",E_Suivi_Eans!$K:$K,"&lt;01/10/2022")+ COUNTIFS(E_Suivi_Eans!$C:$C,"01/2022",E_Suivi_Eans!$D:$D,"Ampoules",E_Suivi_Eans!$J:$J,"Rejet 4",E_Suivi_Eans!$K:$K,"&gt;31/12/2021",E_Suivi_Eans!$K:$K,"&lt;01/10/2022")+COUNTIFS(E_Suivi_Eans!$C:$C,"01/2022",E_Suivi_Eans!$D:$D,"Ampoules",E_Suivi_Eans!$J:$J,"Relance 1",E_Suivi_Eans!$K:$K,"&gt;31/12/2021",E_Suivi_Eans!$K:$K,"&lt;01/10/2022")+COUNTIFS(E_Suivi_Eans!$C:$C,"01/2022",E_Suivi_Eans!$D:$D,"Ampoules",E_Suivi_Eans!$J:$J,"Relance 2",E_Suivi_Eans!$K:$K,"&gt;31/12/2021",E_Suivi_Eans!$K:$K,"&lt;01/10/2022")+COUNTIFS(E_Suivi_Eans!$C:$C,"01/2022",E_Suivi_Eans!$D:$D,"Ampoules",E_Suivi_Eans!$J:$J,"Relance 3",E_Suivi_Eans!$K:$K,"&gt;31/12/2021",E_Suivi_Eans!$K:$K,"&lt;01/10/2022")</f>
        <v>0</v>
      </c>
      <c r="E12" s="21">
        <f>COUNTIFS(E_Suivi_Eans!$C:$C,"01/2022",E_Suivi_Eans!$D:$D,"Ampoules",E_Suivi_Eans!$J:$J,"Abandon",E_Suivi_Eans!$K:$K,"&gt;31/12/2021",E_Suivi_Eans!K:K,"&lt;01/10/2022")</f>
        <v>0</v>
      </c>
      <c r="F12" s="21">
        <f>COUNTIFS(E_Suivi_Eans!$C:$C,"01/2022",E_Suivi_Eans!$D:$D,"Ampoules")</f>
        <v>0</v>
      </c>
      <c r="G12" s="21">
        <f t="shared" si="1"/>
        <v>0</v>
      </c>
      <c r="J12" s="20" t="s">
        <v>5314</v>
      </c>
      <c r="K12" s="20" t="s">
        <v>5325</v>
      </c>
      <c r="L12" s="28" t="e">
        <f t="shared" si="2"/>
        <v>#DIV/0!</v>
      </c>
      <c r="M12" s="28" t="e">
        <f t="shared" si="0"/>
        <v>#DIV/0!</v>
      </c>
      <c r="N12" s="28" t="e">
        <f t="shared" si="0"/>
        <v>#DIV/0!</v>
      </c>
      <c r="O12" s="28">
        <v>1</v>
      </c>
      <c r="P12" s="28" t="e">
        <f t="shared" si="3"/>
        <v>#DIV/0!</v>
      </c>
      <c r="S12" s="20" t="s">
        <v>5314</v>
      </c>
      <c r="T12" s="20" t="s">
        <v>5325</v>
      </c>
      <c r="U12" s="38"/>
      <c r="V12" s="21"/>
      <c r="W12" s="21"/>
      <c r="X12" s="38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COUNTIFS(E_Suivi_Eans!$C:$C,"01/2022",E_Suivi_Eans!$D:$D,"Ampoules",E_Suivi_Eans!$J:$J,"Retour OK",E_Suivi_Eans!$K:$K,"&gt;31/12/2021",E_Suivi_Eans!$K:$K,"&lt;01/11/2022")</f>
        <v>0</v>
      </c>
      <c r="D13" s="21">
        <f>COUNTIFS(E_Suivi_Eans!$C:$C,"01/2022",E_Suivi_Eans!$D:$D,"Ampoules",E_Suivi_Eans!$J:$J,"Rejet 0",E_Suivi_Eans!$K:$K,"&gt;31/12/2021",E_Suivi_Eans!$K:$K,"&lt;01/11/2022")+ COUNTIFS(E_Suivi_Eans!$C:$C,"01/2022",E_Suivi_Eans!$D:$D,"Ampoules",E_Suivi_Eans!$J:$J,"Rejet 1",E_Suivi_Eans!$K:$K,"&gt;31/12/2021",E_Suivi_Eans!$K:$K,"&lt;01/11/2022")+COUNTIFS(E_Suivi_Eans!$C:$C,"01/2022",E_Suivi_Eans!$D:$D,"Ampoules",E_Suivi_Eans!$J:$J,"Rejet 2",E_Suivi_Eans!$K:$K,"&gt;31/12/2021",E_Suivi_Eans!$K:$K,"&lt;01/11/2022")+COUNTIFS(E_Suivi_Eans!$C:$C,"01/2022",E_Suivi_Eans!$D:$D,"Ampoules",E_Suivi_Eans!$J:$J,"Rejet 3",E_Suivi_Eans!$K:$K,"&gt;31/12/2021",E_Suivi_Eans!$K:$K,"&lt;01/11/2022")+ COUNTIFS(E_Suivi_Eans!$C:$C,"01/2022",E_Suivi_Eans!$D:$D,"Ampoules",E_Suivi_Eans!$J:$J,"Rejet 4",E_Suivi_Eans!$K:$K,"&gt;31/12/2021",E_Suivi_Eans!$K:$K,"&lt;01/11/2022")+COUNTIFS(E_Suivi_Eans!$C:$C,"01/2022",E_Suivi_Eans!$D:$D,"Ampoules",E_Suivi_Eans!$J:$J,"Relance 1",E_Suivi_Eans!$K:$K,"&gt;31/12/2021",E_Suivi_Eans!$K:$K,"&lt;01/11/2022")+COUNTIFS(E_Suivi_Eans!$C:$C,"01/2022",E_Suivi_Eans!$D:$D,"Ampoules",E_Suivi_Eans!$J:$J,"Relance 2",E_Suivi_Eans!$K:$K,"&gt;31/12/2021",E_Suivi_Eans!$K:$K,"&lt;01/11/2022")+COUNTIFS(E_Suivi_Eans!$C:$C,"01/2022",E_Suivi_Eans!$D:$D,"Ampoules",E_Suivi_Eans!$J:$J,"Relance 3",E_Suivi_Eans!$K:$K,"&gt;31/12/2021",E_Suivi_Eans!$K:$K,"&lt;01/11/2022")</f>
        <v>0</v>
      </c>
      <c r="E13" s="21">
        <f>COUNTIFS(E_Suivi_Eans!$C:$C,"01/2022",E_Suivi_Eans!$D:$D,"Ampoules",E_Suivi_Eans!$J:$J,"Abandon",E_Suivi_Eans!$K:$K,"&gt;31/12/2021",E_Suivi_Eans!K:K,"&lt;01/11/2022")</f>
        <v>0</v>
      </c>
      <c r="F13" s="21">
        <f>COUNTIFS(E_Suivi_Eans!$C:$C,"01/2022",E_Suivi_Eans!$D:$D,"Ampoules")</f>
        <v>0</v>
      </c>
      <c r="G13" s="21">
        <f t="shared" si="1"/>
        <v>0</v>
      </c>
      <c r="J13" s="20" t="s">
        <v>5314</v>
      </c>
      <c r="K13" s="20" t="s">
        <v>5326</v>
      </c>
      <c r="L13" s="28" t="e">
        <f t="shared" si="2"/>
        <v>#DIV/0!</v>
      </c>
      <c r="M13" s="28" t="e">
        <f t="shared" si="0"/>
        <v>#DIV/0!</v>
      </c>
      <c r="N13" s="28" t="e">
        <f t="shared" si="0"/>
        <v>#DIV/0!</v>
      </c>
      <c r="O13" s="28">
        <v>1</v>
      </c>
      <c r="P13" s="28" t="e">
        <f t="shared" si="3"/>
        <v>#DIV/0!</v>
      </c>
      <c r="S13" s="20" t="s">
        <v>5314</v>
      </c>
      <c r="T13" s="20" t="s">
        <v>5326</v>
      </c>
      <c r="U13" s="38"/>
      <c r="V13" s="21"/>
      <c r="W13" s="21"/>
      <c r="X13" s="38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COUNTIFS(E_Suivi_Eans!$C:$C,"01/2022",E_Suivi_Eans!$D:$D,"Ampoules",E_Suivi_Eans!$J:$J,"Retour OK",E_Suivi_Eans!$K:$K,"&gt;31/12/2021",E_Suivi_Eans!$K:$K,"&lt;01/12/2022")</f>
        <v>0</v>
      </c>
      <c r="D14" s="21">
        <f>COUNTIFS(E_Suivi_Eans!$C:$C,"01/2022",E_Suivi_Eans!$D:$D,"Ampoules",E_Suivi_Eans!$J:$J,"Rejet 0",E_Suivi_Eans!$K:$K,"&gt;31/12/2021",E_Suivi_Eans!$K:$K,"&lt;01/12/2022")+ COUNTIFS(E_Suivi_Eans!$C:$C,"01/2022",E_Suivi_Eans!$D:$D,"Ampoules",E_Suivi_Eans!$J:$J,"Rejet 1",E_Suivi_Eans!$K:$K,"&gt;31/12/2021",E_Suivi_Eans!$K:$K,"&lt;01/12/2022")+COUNTIFS(E_Suivi_Eans!$C:$C,"01/2022",E_Suivi_Eans!$D:$D,"Ampoules",E_Suivi_Eans!$J:$J,"Rejet 2",E_Suivi_Eans!$K:$K,"&gt;31/12/2021",E_Suivi_Eans!$K:$K,"&lt;01/12/2022")+COUNTIFS(E_Suivi_Eans!$C:$C,"01/2022",E_Suivi_Eans!$D:$D,"Ampoules",E_Suivi_Eans!$J:$J,"Rejet 3",E_Suivi_Eans!$K:$K,"&gt;31/12/2021",E_Suivi_Eans!$K:$K,"&lt;01/12/2022")+ COUNTIFS(E_Suivi_Eans!$C:$C,"01/2022",E_Suivi_Eans!$D:$D,"Ampoules",E_Suivi_Eans!$J:$J,"Rejet 4",E_Suivi_Eans!$K:$K,"&gt;31/12/2021",E_Suivi_Eans!$K:$K,"&lt;01/12/2022")+COUNTIFS(E_Suivi_Eans!$C:$C,"01/2022",E_Suivi_Eans!$D:$D,"Ampoules",E_Suivi_Eans!$J:$J,"Relance 1",E_Suivi_Eans!$K:$K,"&gt;31/12/2021",E_Suivi_Eans!$K:$K,"&lt;01/12/2022")+COUNTIFS(E_Suivi_Eans!$C:$C,"01/2022",E_Suivi_Eans!$D:$D,"Ampoules",E_Suivi_Eans!$J:$J,"Relance 2",E_Suivi_Eans!$K:$K,"&gt;31/12/2021",E_Suivi_Eans!$K:$K,"&lt;01/12/2022")+COUNTIFS(E_Suivi_Eans!$C:$C,"01/2022",E_Suivi_Eans!$D:$D,"Ampoules",E_Suivi_Eans!$J:$J,"Relance 3",E_Suivi_Eans!$K:$K,"&gt;31/12/2021",E_Suivi_Eans!$K:$K,"&lt;01/12/2022")</f>
        <v>0</v>
      </c>
      <c r="E14" s="21">
        <f>COUNTIFS(E_Suivi_Eans!$C:$C,"01/2022",E_Suivi_Eans!$D:$D,"Ampoules",E_Suivi_Eans!$J:$J,"Abandon",E_Suivi_Eans!$K:$K,"&gt;31/12/2021",E_Suivi_Eans!K:K,"&lt;01/12/2022")</f>
        <v>0</v>
      </c>
      <c r="F14" s="21">
        <f>COUNTIFS(E_Suivi_Eans!$C:$C,"01/2022",E_Suivi_Eans!$D:$D,"Ampoules")</f>
        <v>0</v>
      </c>
      <c r="G14" s="21">
        <f t="shared" si="1"/>
        <v>0</v>
      </c>
      <c r="J14" s="20" t="s">
        <v>5314</v>
      </c>
      <c r="K14" s="20" t="s">
        <v>5327</v>
      </c>
      <c r="L14" s="28" t="e">
        <f t="shared" si="2"/>
        <v>#DIV/0!</v>
      </c>
      <c r="M14" s="28" t="e">
        <f t="shared" si="0"/>
        <v>#DIV/0!</v>
      </c>
      <c r="N14" s="28" t="e">
        <f t="shared" si="0"/>
        <v>#DIV/0!</v>
      </c>
      <c r="O14" s="28">
        <v>1</v>
      </c>
      <c r="P14" s="28" t="e">
        <f t="shared" si="3"/>
        <v>#DIV/0!</v>
      </c>
      <c r="S14" s="20" t="s">
        <v>5314</v>
      </c>
      <c r="T14" s="20" t="s">
        <v>5327</v>
      </c>
      <c r="U14" s="38"/>
      <c r="V14" s="21"/>
      <c r="W14" s="21"/>
      <c r="X14" s="38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8"/>
      <c r="P15" s="28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5"/>
      <c r="F16" s="25"/>
      <c r="G16" s="25"/>
      <c r="J16" s="22"/>
      <c r="K16" s="22"/>
      <c r="L16" s="23"/>
      <c r="M16" s="24"/>
      <c r="N16" s="25"/>
      <c r="O16" s="31"/>
      <c r="P16" s="31"/>
      <c r="S16" s="22"/>
      <c r="T16" s="22"/>
      <c r="U16" s="23"/>
      <c r="V16" s="24"/>
      <c r="W16" s="25"/>
      <c r="X16" s="25"/>
      <c r="Y16" s="25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8"/>
      <c r="P17" s="28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COUNTIFS(E_Suivi_Eans!$C:$C,"02/2022",E_Suivi_Eans!$D:$D,"Ampoules",E_Suivi_Eans!$J:$J,"Retour OK",E_Suivi_Eans!$K:$K,"&gt;31/12/2021",E_Suivi_Eans!K:K,"&lt;01/03/2022")</f>
        <v>0</v>
      </c>
      <c r="D18" s="21">
        <f>COUNTIFS(E_Suivi_Eans!$C:$C,"02/2022",E_Suivi_Eans!$D:$D,"Ampoules",E_Suivi_Eans!$J:$J,"Rejet 0",E_Suivi_Eans!$K:$K,"&gt;31/12/2021",E_Suivi_Eans!$K:$K,"&lt;01/03/2022")+ COUNTIFS(E_Suivi_Eans!$C:$C,"02/2022",E_Suivi_Eans!$D:$D,"Ampoules",E_Suivi_Eans!$J:$J,"Rejet 1",E_Suivi_Eans!$K:$K,"&gt;31/12/2021",E_Suivi_Eans!$K:$K,"&lt;01/03/2022")+COUNTIFS(E_Suivi_Eans!$C:$C,"02/2022",E_Suivi_Eans!$D:$D,"Ampoules",E_Suivi_Eans!$J:$J,"Rejet 2",E_Suivi_Eans!$K:$K,"&gt;31/12/2021",E_Suivi_Eans!$K:$K,"&lt;01/03/2022")+COUNTIFS(E_Suivi_Eans!$C:$C,"02/2022",E_Suivi_Eans!$D:$D,"Ampoules",E_Suivi_Eans!$J:$J,"Rejet 3",E_Suivi_Eans!$K:$K,"&gt;31/12/2021",E_Suivi_Eans!$K:$K,"&lt;01/03/2022")+ COUNTIFS(E_Suivi_Eans!$C:$C,"02/2022",E_Suivi_Eans!$D:$D,"Ampoules",E_Suivi_Eans!$J:$J,"Rejet 4",E_Suivi_Eans!$K:$K,"&gt;31/12/2021",E_Suivi_Eans!$K:$K,"&lt;01/03/2022")+COUNTIFS(E_Suivi_Eans!$C:$C,"02/2022",E_Suivi_Eans!$D:$D,"Ampoules",E_Suivi_Eans!$J:$J,"Relance 1",E_Suivi_Eans!$K:$K,"&gt;31/12/2021",E_Suivi_Eans!$K:$K,"&lt;01/03/2022")+COUNTIFS(E_Suivi_Eans!$C:$C,"02/2022",E_Suivi_Eans!$D:$D,"Ampoules",E_Suivi_Eans!$J:$J,"Relance 2",E_Suivi_Eans!$K:$K,"&gt;31/12/2021",E_Suivi_Eans!$K:$K,"&lt;01/03/2022")+COUNTIFS(E_Suivi_Eans!$C:$C,"02/2022",E_Suivi_Eans!$D:$D,"Ampoules",E_Suivi_Eans!$J:$J,"Relance 3",E_Suivi_Eans!$K:$K,"&gt;31/12/2021",E_Suivi_Eans!$K:$K,"&lt;01/03/2022")</f>
        <v>0</v>
      </c>
      <c r="E18" s="21">
        <f>COUNTIFS(E_Suivi_Eans!$C:$C,"02/2022",E_Suivi_Eans!$D:$D,"Ampoules",E_Suivi_Eans!$J:$J,"Abandon",E_Suivi_Eans!$K:$K,"&gt;31/12/2021",E_Suivi_Eans!K:K,"&lt;01/03/2022")</f>
        <v>0</v>
      </c>
      <c r="F18" s="21">
        <f>COUNTIFS(E_Suivi_Eans!$C:$C,"02/2022",E_Suivi_Eans!$D:$D,"Ampoules")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8" t="e">
        <f t="shared" ref="L18:N27" si="5">C18/$G18</f>
        <v>#DIV/0!</v>
      </c>
      <c r="M18" s="28" t="e">
        <f t="shared" si="5"/>
        <v>#DIV/0!</v>
      </c>
      <c r="N18" s="28" t="e">
        <f t="shared" si="5"/>
        <v>#DIV/0!</v>
      </c>
      <c r="O18" s="28">
        <v>1</v>
      </c>
      <c r="P18" s="28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COUNTIFS(E_Suivi_Eans!$C:$C,"02/2022",E_Suivi_Eans!$D:$D,"Ampoules",E_Suivi_Eans!$J:$J,"Retour OK",E_Suivi_Eans!$K:$K,"&gt;31/12/2021",E_Suivi_Eans!K:K,"&lt;01/04/2022")</f>
        <v>0</v>
      </c>
      <c r="D19" s="21">
        <f>COUNTIFS(E_Suivi_Eans!$C:$C,"02/2022",E_Suivi_Eans!$D:$D,"Ampoules",E_Suivi_Eans!$J:$J,"Rejet 0",E_Suivi_Eans!$K:$K,"&gt;31/12/2021",E_Suivi_Eans!$K:$K,"&lt;01/04/2022")+ COUNTIFS(E_Suivi_Eans!$C:$C,"02/2022",E_Suivi_Eans!$D:$D,"Ampoules",E_Suivi_Eans!$J:$J,"Rejet 1",E_Suivi_Eans!$K:$K,"&gt;31/12/2021",E_Suivi_Eans!$K:$K,"&lt;01/04/2022")+COUNTIFS(E_Suivi_Eans!$C:$C,"02/2022",E_Suivi_Eans!$D:$D,"Ampoules",E_Suivi_Eans!$J:$J,"Rejet 2",E_Suivi_Eans!$K:$K,"&gt;31/12/2021",E_Suivi_Eans!$K:$K,"&lt;01/04/2022")+COUNTIFS(E_Suivi_Eans!$C:$C,"02/2022",E_Suivi_Eans!$D:$D,"Ampoules",E_Suivi_Eans!$J:$J,"Rejet 3",E_Suivi_Eans!$K:$K,"&gt;31/12/2021",E_Suivi_Eans!$K:$K,"&lt;01/04/2022")+ COUNTIFS(E_Suivi_Eans!$C:$C,"02/2022",E_Suivi_Eans!$D:$D,"Ampoules",E_Suivi_Eans!$J:$J,"Rejet 4",E_Suivi_Eans!$K:$K,"&gt;31/12/2021",E_Suivi_Eans!$K:$K,"&lt;01/04/2022")+COUNTIFS(E_Suivi_Eans!$C:$C,"02/2022",E_Suivi_Eans!$D:$D,"Ampoules",E_Suivi_Eans!$J:$J,"Relance 1",E_Suivi_Eans!$K:$K,"&gt;31/12/2021",E_Suivi_Eans!$K:$K,"&lt;01/04/2022")+COUNTIFS(E_Suivi_Eans!$C:$C,"02/2022",E_Suivi_Eans!$D:$D,"Ampoules",E_Suivi_Eans!$J:$J,"Relance 2",E_Suivi_Eans!$K:$K,"&gt;31/12/2021",E_Suivi_Eans!$K:$K,"&lt;01/04/2022")+COUNTIFS(E_Suivi_Eans!$C:$C,"02/2022",E_Suivi_Eans!$D:$D,"Ampoules",E_Suivi_Eans!$J:$J,"Relance 3",E_Suivi_Eans!$K:$K,"&gt;31/12/2021",E_Suivi_Eans!$K:$K,"&lt;01/04/2022")</f>
        <v>0</v>
      </c>
      <c r="E19" s="21">
        <f>COUNTIFS(E_Suivi_Eans!$C:$C,"02/2022",E_Suivi_Eans!$D:$D,"Ampoules",E_Suivi_Eans!$J:$J,"Abandon",E_Suivi_Eans!$K:$K,"&gt;31/12/2021",E_Suivi_Eans!K:K,"&lt;01/04/2022")</f>
        <v>0</v>
      </c>
      <c r="F19" s="21">
        <f>COUNTIFS(E_Suivi_Eans!$C:$C,"02/2022",E_Suivi_Eans!$D:$D,"Ampoules")</f>
        <v>0</v>
      </c>
      <c r="G19" s="21">
        <f t="shared" si="4"/>
        <v>0</v>
      </c>
      <c r="J19" s="20" t="s">
        <v>5315</v>
      </c>
      <c r="K19" s="20" t="s">
        <v>5316</v>
      </c>
      <c r="L19" s="28" t="e">
        <f t="shared" si="5"/>
        <v>#DIV/0!</v>
      </c>
      <c r="M19" s="28" t="e">
        <f t="shared" si="5"/>
        <v>#DIV/0!</v>
      </c>
      <c r="N19" s="28" t="e">
        <f t="shared" si="5"/>
        <v>#DIV/0!</v>
      </c>
      <c r="O19" s="28">
        <v>1</v>
      </c>
      <c r="P19" s="28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COUNTIFS(E_Suivi_Eans!$C:$C,"02/2022",E_Suivi_Eans!$D:$D,"Ampoules",E_Suivi_Eans!$J:$J,"Retour OK",E_Suivi_Eans!$K:$K,"&gt;31/12/2021",E_Suivi_Eans!K:K,"&lt;01/05/2022")</f>
        <v>0</v>
      </c>
      <c r="D20" s="21">
        <f>COUNTIFS(E_Suivi_Eans!$C:$C,"02/2022",E_Suivi_Eans!$D:$D,"Ampoules",E_Suivi_Eans!$J:$J,"Rejet 0",E_Suivi_Eans!$K:$K,"&gt;31/12/2021",E_Suivi_Eans!$K:$K,"&lt;01/05/2022")+ COUNTIFS(E_Suivi_Eans!$C:$C,"02/2022",E_Suivi_Eans!$D:$D,"Ampoules",E_Suivi_Eans!$J:$J,"Rejet 1",E_Suivi_Eans!$K:$K,"&gt;31/12/2021",E_Suivi_Eans!$K:$K,"&lt;01/05/2022")+COUNTIFS(E_Suivi_Eans!$C:$C,"02/2022",E_Suivi_Eans!$D:$D,"Ampoules",E_Suivi_Eans!$J:$J,"Rejet 2",E_Suivi_Eans!$K:$K,"&gt;31/12/2021",E_Suivi_Eans!$K:$K,"&lt;01/05/2022")+COUNTIFS(E_Suivi_Eans!$C:$C,"02/2022",E_Suivi_Eans!$D:$D,"Ampoules",E_Suivi_Eans!$J:$J,"Rejet 3",E_Suivi_Eans!$K:$K,"&gt;31/12/2021",E_Suivi_Eans!$K:$K,"&lt;01/05/2022")+ COUNTIFS(E_Suivi_Eans!$C:$C,"02/2022",E_Suivi_Eans!$D:$D,"Ampoules",E_Suivi_Eans!$J:$J,"Rejet 4",E_Suivi_Eans!$K:$K,"&gt;31/12/2021",E_Suivi_Eans!$K:$K,"&lt;01/05/2022")+COUNTIFS(E_Suivi_Eans!$C:$C,"02/2022",E_Suivi_Eans!$D:$D,"Ampoules",E_Suivi_Eans!$J:$J,"Relance 1",E_Suivi_Eans!$K:$K,"&gt;31/12/2021",E_Suivi_Eans!$K:$K,"&lt;01/05/2022")+COUNTIFS(E_Suivi_Eans!$C:$C,"02/2022",E_Suivi_Eans!$D:$D,"Ampoules",E_Suivi_Eans!$J:$J,"Relance 2",E_Suivi_Eans!$K:$K,"&gt;31/12/2021",E_Suivi_Eans!$K:$K,"&lt;01/05/2022")+COUNTIFS(E_Suivi_Eans!$C:$C,"02/2022",E_Suivi_Eans!$D:$D,"Ampoules",E_Suivi_Eans!$J:$J,"Relance 3",E_Suivi_Eans!$K:$K,"&gt;31/12/2021",E_Suivi_Eans!$K:$K,"&lt;01/05/2022")</f>
        <v>0</v>
      </c>
      <c r="E20" s="21">
        <f>COUNTIFS(E_Suivi_Eans!$C:$C,"02/2022",E_Suivi_Eans!$D:$D,"Ampoules",E_Suivi_Eans!$J:$J,"Abandon",E_Suivi_Eans!$K:$K,"&gt;31/12/2021",E_Suivi_Eans!K:K,"&lt;01/05/2022")</f>
        <v>0</v>
      </c>
      <c r="F20" s="21">
        <f>COUNTIFS(E_Suivi_Eans!$C:$C,"02/2022",E_Suivi_Eans!$D:$D,"Ampoules")</f>
        <v>0</v>
      </c>
      <c r="G20" s="21">
        <f t="shared" si="4"/>
        <v>0</v>
      </c>
      <c r="J20" s="20" t="s">
        <v>5315</v>
      </c>
      <c r="K20" s="20" t="s">
        <v>5317</v>
      </c>
      <c r="L20" s="28" t="e">
        <f t="shared" si="5"/>
        <v>#DIV/0!</v>
      </c>
      <c r="M20" s="28" t="e">
        <f t="shared" si="5"/>
        <v>#DIV/0!</v>
      </c>
      <c r="N20" s="28" t="e">
        <f t="shared" si="5"/>
        <v>#DIV/0!</v>
      </c>
      <c r="O20" s="28">
        <v>1</v>
      </c>
      <c r="P20" s="28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COUNTIFS(E_Suivi_Eans!$C:$C,"02/2022",E_Suivi_Eans!$D:$D,"Ampoules",E_Suivi_Eans!$J:$J,"Retour OK",E_Suivi_Eans!$K:$K,"&gt;31/12/2021",E_Suivi_Eans!K:K,"&lt;01/06/2022")</f>
        <v>0</v>
      </c>
      <c r="D21" s="21">
        <f>COUNTIFS(E_Suivi_Eans!$C:$C,"02/2022",E_Suivi_Eans!$D:$D,"Ampoules",E_Suivi_Eans!$J:$J,"Rejet 0",E_Suivi_Eans!$K:$K,"&gt;31/12/2021",E_Suivi_Eans!$K:$K,"&lt;01/06/2022")+ COUNTIFS(E_Suivi_Eans!$C:$C,"02/2022",E_Suivi_Eans!$D:$D,"Ampoules",E_Suivi_Eans!$J:$J,"Rejet 1",E_Suivi_Eans!$K:$K,"&gt;31/12/2021",E_Suivi_Eans!$K:$K,"&lt;01/06/2022")+COUNTIFS(E_Suivi_Eans!$C:$C,"02/2022",E_Suivi_Eans!$D:$D,"Ampoules",E_Suivi_Eans!$J:$J,"Rejet 2",E_Suivi_Eans!$K:$K,"&gt;31/12/2021",E_Suivi_Eans!$K:$K,"&lt;01/06/2022")+COUNTIFS(E_Suivi_Eans!$C:$C,"02/2022",E_Suivi_Eans!$D:$D,"Ampoules",E_Suivi_Eans!$J:$J,"Rejet 3",E_Suivi_Eans!$K:$K,"&gt;31/12/2021",E_Suivi_Eans!$K:$K,"&lt;01/06/2022")+ COUNTIFS(E_Suivi_Eans!$C:$C,"02/2022",E_Suivi_Eans!$D:$D,"Ampoules",E_Suivi_Eans!$J:$J,"Rejet 4",E_Suivi_Eans!$K:$K,"&gt;31/12/2021",E_Suivi_Eans!$K:$K,"&lt;01/06/2022")+COUNTIFS(E_Suivi_Eans!$C:$C,"02/2022",E_Suivi_Eans!$D:$D,"Ampoules",E_Suivi_Eans!$J:$J,"Relance 1",E_Suivi_Eans!$K:$K,"&gt;31/12/2021",E_Suivi_Eans!$K:$K,"&lt;01/06/2022")+COUNTIFS(E_Suivi_Eans!$C:$C,"02/2022",E_Suivi_Eans!$D:$D,"Ampoules",E_Suivi_Eans!$J:$J,"Relance 2",E_Suivi_Eans!$K:$K,"&gt;31/12/2021",E_Suivi_Eans!$K:$K,"&lt;01/06/2022")+COUNTIFS(E_Suivi_Eans!$C:$C,"02/2022",E_Suivi_Eans!$D:$D,"Ampoules",E_Suivi_Eans!$J:$J,"Relance 3",E_Suivi_Eans!$K:$K,"&gt;31/12/2021",E_Suivi_Eans!$K:$K,"&lt;01/06/2022")</f>
        <v>0</v>
      </c>
      <c r="E21" s="21">
        <f>COUNTIFS(E_Suivi_Eans!$C:$C,"02/2022",E_Suivi_Eans!$D:$D,"Ampoules",E_Suivi_Eans!$J:$J,"Abandon",E_Suivi_Eans!$K:$K,"&gt;31/12/2021",E_Suivi_Eans!K:K,"&lt;01/06/2022")</f>
        <v>0</v>
      </c>
      <c r="F21" s="21">
        <f>COUNTIFS(E_Suivi_Eans!$C:$C,"02/2022",E_Suivi_Eans!$D:$D,"Ampoules")</f>
        <v>0</v>
      </c>
      <c r="G21" s="21">
        <f t="shared" si="4"/>
        <v>0</v>
      </c>
      <c r="J21" s="20" t="s">
        <v>5315</v>
      </c>
      <c r="K21" s="20" t="s">
        <v>5318</v>
      </c>
      <c r="L21" s="28" t="e">
        <f t="shared" si="5"/>
        <v>#DIV/0!</v>
      </c>
      <c r="M21" s="28" t="e">
        <f t="shared" si="5"/>
        <v>#DIV/0!</v>
      </c>
      <c r="N21" s="28" t="e">
        <f t="shared" si="5"/>
        <v>#DIV/0!</v>
      </c>
      <c r="O21" s="28">
        <v>1</v>
      </c>
      <c r="P21" s="28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COUNTIFS(E_Suivi_Eans!$C:$C,"02/2022",E_Suivi_Eans!$D:$D,"Ampoules",E_Suivi_Eans!$J:$J,"Retour OK",E_Suivi_Eans!$K:$K,"&gt;31/12/2021",E_Suivi_Eans!K:K,"&lt;01/07/2022")</f>
        <v>0</v>
      </c>
      <c r="D22" s="21">
        <f>COUNTIFS(E_Suivi_Eans!$C:$C,"02/2022",E_Suivi_Eans!$D:$D,"Ampoules",E_Suivi_Eans!$J:$J,"Rejet 0",E_Suivi_Eans!$K:$K,"&gt;31/12/2021",E_Suivi_Eans!$K:$K,"&lt;01/07/2022")+ COUNTIFS(E_Suivi_Eans!$C:$C,"02/2022",E_Suivi_Eans!$D:$D,"Ampoules",E_Suivi_Eans!$J:$J,"Rejet 1",E_Suivi_Eans!$K:$K,"&gt;31/12/2021",E_Suivi_Eans!$K:$K,"&lt;01/07/2022")+COUNTIFS(E_Suivi_Eans!$C:$C,"02/2022",E_Suivi_Eans!$D:$D,"Ampoules",E_Suivi_Eans!$J:$J,"Rejet 2",E_Suivi_Eans!$K:$K,"&gt;31/12/2021",E_Suivi_Eans!$K:$K,"&lt;01/07/2022")+COUNTIFS(E_Suivi_Eans!$C:$C,"02/2022",E_Suivi_Eans!$D:$D,"Ampoules",E_Suivi_Eans!$J:$J,"Rejet 3",E_Suivi_Eans!$K:$K,"&gt;31/12/2021",E_Suivi_Eans!$K:$K,"&lt;01/07/2022")+ COUNTIFS(E_Suivi_Eans!$C:$C,"02/2022",E_Suivi_Eans!$D:$D,"Ampoules",E_Suivi_Eans!$J:$J,"Rejet 4",E_Suivi_Eans!$K:$K,"&gt;31/12/2021",E_Suivi_Eans!$K:$K,"&lt;01/07/2022")+COUNTIFS(E_Suivi_Eans!$C:$C,"02/2022",E_Suivi_Eans!$D:$D,"Ampoules",E_Suivi_Eans!$J:$J,"Relance 1",E_Suivi_Eans!$K:$K,"&gt;31/12/2021",E_Suivi_Eans!$K:$K,"&lt;01/07/2022")+COUNTIFS(E_Suivi_Eans!$C:$C,"02/2022",E_Suivi_Eans!$D:$D,"Ampoules",E_Suivi_Eans!$J:$J,"Relance 2",E_Suivi_Eans!$K:$K,"&gt;31/12/2021",E_Suivi_Eans!$K:$K,"&lt;01/07/2022")+COUNTIFS(E_Suivi_Eans!$C:$C,"02/2022",E_Suivi_Eans!$D:$D,"Ampoules",E_Suivi_Eans!$J:$J,"Relance 3",E_Suivi_Eans!$K:$K,"&gt;31/12/2021",E_Suivi_Eans!$K:$K,"&lt;01/07/2022")</f>
        <v>0</v>
      </c>
      <c r="E22" s="21">
        <f>COUNTIFS(E_Suivi_Eans!$C:$C,"02/2022",E_Suivi_Eans!$D:$D,"Ampoules",E_Suivi_Eans!$J:$J,"Abandon",E_Suivi_Eans!$K:$K,"&gt;31/12/2021",E_Suivi_Eans!K:K,"&lt;01/07/2022")</f>
        <v>0</v>
      </c>
      <c r="F22" s="21">
        <f>COUNTIFS(E_Suivi_Eans!$C:$C,"02/2022",E_Suivi_Eans!$D:$D,"Ampoules")</f>
        <v>0</v>
      </c>
      <c r="G22" s="21">
        <f t="shared" si="4"/>
        <v>0</v>
      </c>
      <c r="J22" s="20" t="s">
        <v>5315</v>
      </c>
      <c r="K22" s="20" t="s">
        <v>5319</v>
      </c>
      <c r="L22" s="28" t="e">
        <f t="shared" si="5"/>
        <v>#DIV/0!</v>
      </c>
      <c r="M22" s="28" t="e">
        <f t="shared" si="5"/>
        <v>#DIV/0!</v>
      </c>
      <c r="N22" s="28" t="e">
        <f t="shared" si="5"/>
        <v>#DIV/0!</v>
      </c>
      <c r="O22" s="28">
        <v>1</v>
      </c>
      <c r="P22" s="28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COUNTIFS(E_Suivi_Eans!$C:$C,"02/2022",E_Suivi_Eans!$D:$D,"Ampoules",E_Suivi_Eans!$J:$J,"Retour OK",E_Suivi_Eans!$K:$K,"&gt;31/12/2021",E_Suivi_Eans!K:K,"&lt;01/08/2022")</f>
        <v>0</v>
      </c>
      <c r="D23" s="21">
        <f>COUNTIFS(E_Suivi_Eans!$C:$C,"02/2022",E_Suivi_Eans!$D:$D,"Ampoules",E_Suivi_Eans!$J:$J,"Rejet 0",E_Suivi_Eans!$K:$K,"&gt;31/12/2021",E_Suivi_Eans!$K:$K,"&lt;01/08/2022")+ COUNTIFS(E_Suivi_Eans!$C:$C,"02/2022",E_Suivi_Eans!$D:$D,"Ampoules",E_Suivi_Eans!$J:$J,"Rejet 1",E_Suivi_Eans!$K:$K,"&gt;31/12/2021",E_Suivi_Eans!$K:$K,"&lt;01/08/2022")+COUNTIFS(E_Suivi_Eans!$C:$C,"02/2022",E_Suivi_Eans!$D:$D,"Ampoules",E_Suivi_Eans!$J:$J,"Rejet 2",E_Suivi_Eans!$K:$K,"&gt;31/12/2021",E_Suivi_Eans!$K:$K,"&lt;01/08/2022")+COUNTIFS(E_Suivi_Eans!$C:$C,"02/2022",E_Suivi_Eans!$D:$D,"Ampoules",E_Suivi_Eans!$J:$J,"Rejet 3",E_Suivi_Eans!$K:$K,"&gt;31/12/2021",E_Suivi_Eans!$K:$K,"&lt;01/08/2022")+ COUNTIFS(E_Suivi_Eans!$C:$C,"02/2022",E_Suivi_Eans!$D:$D,"Ampoules",E_Suivi_Eans!$J:$J,"Rejet 4",E_Suivi_Eans!$K:$K,"&gt;31/12/2021",E_Suivi_Eans!$K:$K,"&lt;01/08/2022")+COUNTIFS(E_Suivi_Eans!$C:$C,"02/2022",E_Suivi_Eans!$D:$D,"Ampoules",E_Suivi_Eans!$J:$J,"Relance 1",E_Suivi_Eans!$K:$K,"&gt;31/12/2021",E_Suivi_Eans!$K:$K,"&lt;01/08/2022")+COUNTIFS(E_Suivi_Eans!$C:$C,"02/2022",E_Suivi_Eans!$D:$D,"Ampoules",E_Suivi_Eans!$J:$J,"Relance 2",E_Suivi_Eans!$K:$K,"&gt;31/12/2021",E_Suivi_Eans!$K:$K,"&lt;01/08/2022")+COUNTIFS(E_Suivi_Eans!$C:$C,"02/2022",E_Suivi_Eans!$D:$D,"Ampoules",E_Suivi_Eans!$J:$J,"Relance 3",E_Suivi_Eans!$K:$K,"&gt;31/12/2021",E_Suivi_Eans!$K:$K,"&lt;01/08/2022")</f>
        <v>0</v>
      </c>
      <c r="E23" s="21">
        <f>COUNTIFS(E_Suivi_Eans!$C:$C,"02/2022",E_Suivi_Eans!$D:$D,"Ampoules",E_Suivi_Eans!$J:$J,"Abandon",E_Suivi_Eans!$K:$K,"&gt;31/12/2021",E_Suivi_Eans!K:K,"&lt;01/08/2022")</f>
        <v>0</v>
      </c>
      <c r="F23" s="21">
        <f>COUNTIFS(E_Suivi_Eans!$C:$C,"02/2022",E_Suivi_Eans!$D:$D,"Ampoules")</f>
        <v>0</v>
      </c>
      <c r="G23" s="21">
        <f t="shared" si="4"/>
        <v>0</v>
      </c>
      <c r="J23" s="20" t="s">
        <v>5315</v>
      </c>
      <c r="K23" s="20" t="s">
        <v>5320</v>
      </c>
      <c r="L23" s="28" t="e">
        <f t="shared" si="5"/>
        <v>#DIV/0!</v>
      </c>
      <c r="M23" s="28" t="e">
        <f t="shared" si="5"/>
        <v>#DIV/0!</v>
      </c>
      <c r="N23" s="28" t="e">
        <f t="shared" si="5"/>
        <v>#DIV/0!</v>
      </c>
      <c r="O23" s="28">
        <v>1</v>
      </c>
      <c r="P23" s="28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7"/>
    </row>
    <row r="24" spans="1:27">
      <c r="A24" s="20" t="s">
        <v>5315</v>
      </c>
      <c r="B24" s="20" t="s">
        <v>5321</v>
      </c>
      <c r="C24" s="21">
        <f>COUNTIFS(E_Suivi_Eans!$C:$C,"02/2022",E_Suivi_Eans!$D:$D,"Ampoules",E_Suivi_Eans!$J:$J,"Retour OK",E_Suivi_Eans!$K:$K,"&gt;31/12/2021",E_Suivi_Eans!K:K,"&lt;01/09/2022")</f>
        <v>0</v>
      </c>
      <c r="D24" s="21">
        <f>COUNTIFS(E_Suivi_Eans!$C:$C,"02/2022",E_Suivi_Eans!$D:$D,"Ampoules",E_Suivi_Eans!$J:$J,"Rejet 0",E_Suivi_Eans!$K:$K,"&gt;31/12/2021",E_Suivi_Eans!$K:$K,"&lt;01/09/2022")+ COUNTIFS(E_Suivi_Eans!$C:$C,"02/2022",E_Suivi_Eans!$D:$D,"Ampoules",E_Suivi_Eans!$J:$J,"Rejet 1",E_Suivi_Eans!$K:$K,"&gt;31/12/2021",E_Suivi_Eans!$K:$K,"&lt;01/09/2022")+COUNTIFS(E_Suivi_Eans!$C:$C,"02/2022",E_Suivi_Eans!$D:$D,"Ampoules",E_Suivi_Eans!$J:$J,"Rejet 2",E_Suivi_Eans!$K:$K,"&gt;31/12/2021",E_Suivi_Eans!$K:$K,"&lt;01/09/2022")+COUNTIFS(E_Suivi_Eans!$C:$C,"02/2022",E_Suivi_Eans!$D:$D,"Ampoules",E_Suivi_Eans!$J:$J,"Rejet 3",E_Suivi_Eans!$K:$K,"&gt;31/12/2021",E_Suivi_Eans!$K:$K,"&lt;01/09/2022")+ COUNTIFS(E_Suivi_Eans!$C:$C,"02/2022",E_Suivi_Eans!$D:$D,"Ampoules",E_Suivi_Eans!$J:$J,"Rejet 4",E_Suivi_Eans!$K:$K,"&gt;31/12/2021",E_Suivi_Eans!$K:$K,"&lt;01/09/2022")+COUNTIFS(E_Suivi_Eans!$C:$C,"02/2022",E_Suivi_Eans!$D:$D,"Ampoules",E_Suivi_Eans!$J:$J,"Relance 1",E_Suivi_Eans!$K:$K,"&gt;31/12/2021",E_Suivi_Eans!$K:$K,"&lt;01/09/2022")+COUNTIFS(E_Suivi_Eans!$C:$C,"02/2022",E_Suivi_Eans!$D:$D,"Ampoules",E_Suivi_Eans!$J:$J,"Relance 2",E_Suivi_Eans!$K:$K,"&gt;31/12/2021",E_Suivi_Eans!$K:$K,"&lt;01/09/2022")+COUNTIFS(E_Suivi_Eans!$C:$C,"02/2022",E_Suivi_Eans!$D:$D,"Ampoules",E_Suivi_Eans!$J:$J,"Relance 3",E_Suivi_Eans!$K:$K,"&gt;31/12/2021",E_Suivi_Eans!$K:$K,"&lt;01/09/2022")</f>
        <v>0</v>
      </c>
      <c r="E24" s="21">
        <f>COUNTIFS(E_Suivi_Eans!$C:$C,"02/2022",E_Suivi_Eans!$D:$D,"Ampoules",E_Suivi_Eans!$J:$J,"Abandon",E_Suivi_Eans!$K:$K,"&gt;31/12/2021",E_Suivi_Eans!K:K,"&lt;01/09/2022")</f>
        <v>0</v>
      </c>
      <c r="F24" s="21">
        <f>COUNTIFS(E_Suivi_Eans!$C:$C,"02/2022",E_Suivi_Eans!$D:$D,"Ampoules")</f>
        <v>0</v>
      </c>
      <c r="G24" s="21">
        <f t="shared" si="4"/>
        <v>0</v>
      </c>
      <c r="J24" s="20" t="s">
        <v>5315</v>
      </c>
      <c r="K24" s="20" t="s">
        <v>5321</v>
      </c>
      <c r="L24" s="28" t="e">
        <f t="shared" si="5"/>
        <v>#DIV/0!</v>
      </c>
      <c r="M24" s="28" t="e">
        <f t="shared" si="5"/>
        <v>#DIV/0!</v>
      </c>
      <c r="N24" s="28" t="e">
        <f t="shared" si="5"/>
        <v>#DIV/0!</v>
      </c>
      <c r="O24" s="28">
        <v>1</v>
      </c>
      <c r="P24" s="28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COUNTIFS(E_Suivi_Eans!$C:$C,"02/2022",E_Suivi_Eans!$D:$D,"Ampoules",E_Suivi_Eans!$J:$J,"Retour OK",E_Suivi_Eans!$K:$K,"&gt;31/12/2021",E_Suivi_Eans!K:K,"&lt;01/10/2022")</f>
        <v>0</v>
      </c>
      <c r="D25" s="21">
        <f>COUNTIFS(E_Suivi_Eans!$C:$C,"02/2022",E_Suivi_Eans!$D:$D,"Ampoules",E_Suivi_Eans!$J:$J,"Rejet 0",E_Suivi_Eans!$K:$K,"&gt;31/12/2021",E_Suivi_Eans!$K:$K,"&lt;01/10/2022")+ COUNTIFS(E_Suivi_Eans!$C:$C,"02/2022",E_Suivi_Eans!$D:$D,"Ampoules",E_Suivi_Eans!$J:$J,"Rejet 1",E_Suivi_Eans!$K:$K,"&gt;31/12/2021",E_Suivi_Eans!$K:$K,"&lt;01/10/2022")+COUNTIFS(E_Suivi_Eans!$C:$C,"02/2022",E_Suivi_Eans!$D:$D,"Ampoules",E_Suivi_Eans!$J:$J,"Rejet 2",E_Suivi_Eans!$K:$K,"&gt;31/12/2021",E_Suivi_Eans!$K:$K,"&lt;01/10/2022")+COUNTIFS(E_Suivi_Eans!$C:$C,"02/2022",E_Suivi_Eans!$D:$D,"Ampoules",E_Suivi_Eans!$J:$J,"Rejet 3",E_Suivi_Eans!$K:$K,"&gt;31/12/2021",E_Suivi_Eans!$K:$K,"&lt;01/10/2022")+ COUNTIFS(E_Suivi_Eans!$C:$C,"02/2022",E_Suivi_Eans!$D:$D,"Ampoules",E_Suivi_Eans!$J:$J,"Rejet 4",E_Suivi_Eans!$K:$K,"&gt;31/12/2021",E_Suivi_Eans!$K:$K,"&lt;01/10/2022")+COUNTIFS(E_Suivi_Eans!$C:$C,"02/2022",E_Suivi_Eans!$D:$D,"Ampoules",E_Suivi_Eans!$J:$J,"Relance 1",E_Suivi_Eans!$K:$K,"&gt;31/12/2021",E_Suivi_Eans!$K:$K,"&lt;01/10/2022")+COUNTIFS(E_Suivi_Eans!$C:$C,"02/2022",E_Suivi_Eans!$D:$D,"Ampoules",E_Suivi_Eans!$J:$J,"Relance 2",E_Suivi_Eans!$K:$K,"&gt;31/12/2021",E_Suivi_Eans!$K:$K,"&lt;01/10/2022")+COUNTIFS(E_Suivi_Eans!$C:$C,"02/2022",E_Suivi_Eans!$D:$D,"Ampoules",E_Suivi_Eans!$J:$J,"Relance 3",E_Suivi_Eans!$K:$K,"&gt;31/12/2021",E_Suivi_Eans!$K:$K,"&lt;01/10/2022")</f>
        <v>0</v>
      </c>
      <c r="E25" s="21">
        <f>COUNTIFS(E_Suivi_Eans!$C:$C,"02/2022",E_Suivi_Eans!$D:$D,"Ampoules",E_Suivi_Eans!$J:$J,"Abandon",E_Suivi_Eans!$K:$K,"&gt;31/12/2021",E_Suivi_Eans!K:K,"&lt;01/10/2022")</f>
        <v>0</v>
      </c>
      <c r="F25" s="21">
        <f>COUNTIFS(E_Suivi_Eans!$C:$C,"02/2022",E_Suivi_Eans!$D:$D,"Ampoules")</f>
        <v>0</v>
      </c>
      <c r="G25" s="21">
        <f t="shared" si="4"/>
        <v>0</v>
      </c>
      <c r="J25" s="20" t="s">
        <v>5315</v>
      </c>
      <c r="K25" s="20" t="s">
        <v>5325</v>
      </c>
      <c r="L25" s="28" t="e">
        <f t="shared" si="5"/>
        <v>#DIV/0!</v>
      </c>
      <c r="M25" s="28" t="e">
        <f t="shared" si="5"/>
        <v>#DIV/0!</v>
      </c>
      <c r="N25" s="28" t="e">
        <f t="shared" si="5"/>
        <v>#DIV/0!</v>
      </c>
      <c r="O25" s="28">
        <v>1</v>
      </c>
      <c r="P25" s="28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COUNTIFS(E_Suivi_Eans!$C:$C,"02/2022",E_Suivi_Eans!$D:$D,"Ampoules",E_Suivi_Eans!$J:$J,"Retour OK",E_Suivi_Eans!$K:$K,"&gt;31/12/2021",E_Suivi_Eans!K:K,"&lt;01/11/2022")</f>
        <v>0</v>
      </c>
      <c r="D26" s="21">
        <f>COUNTIFS(E_Suivi_Eans!$C:$C,"02/2022",E_Suivi_Eans!$D:$D,"Ampoules",E_Suivi_Eans!$J:$J,"Rejet 0",E_Suivi_Eans!$K:$K,"&gt;31/12/2021",E_Suivi_Eans!$K:$K,"&lt;01/11/2022")+ COUNTIFS(E_Suivi_Eans!$C:$C,"02/2022",E_Suivi_Eans!$D:$D,"Ampoules",E_Suivi_Eans!$J:$J,"Rejet 1",E_Suivi_Eans!$K:$K,"&gt;31/12/2021",E_Suivi_Eans!$K:$K,"&lt;01/11/2022")+COUNTIFS(E_Suivi_Eans!$C:$C,"02/2022",E_Suivi_Eans!$D:$D,"Ampoules",E_Suivi_Eans!$J:$J,"Rejet 2",E_Suivi_Eans!$K:$K,"&gt;31/12/2021",E_Suivi_Eans!$K:$K,"&lt;01/11/2022")+COUNTIFS(E_Suivi_Eans!$C:$C,"02/2022",E_Suivi_Eans!$D:$D,"Ampoules",E_Suivi_Eans!$J:$J,"Rejet 3",E_Suivi_Eans!$K:$K,"&gt;31/12/2021",E_Suivi_Eans!$K:$K,"&lt;01/11/2022")+ COUNTIFS(E_Suivi_Eans!$C:$C,"02/2022",E_Suivi_Eans!$D:$D,"Ampoules",E_Suivi_Eans!$J:$J,"Rejet 4",E_Suivi_Eans!$K:$K,"&gt;31/12/2021",E_Suivi_Eans!$K:$K,"&lt;01/11/2022")+COUNTIFS(E_Suivi_Eans!$C:$C,"02/2022",E_Suivi_Eans!$D:$D,"Ampoules",E_Suivi_Eans!$J:$J,"Relance 1",E_Suivi_Eans!$K:$K,"&gt;31/12/2021",E_Suivi_Eans!$K:$K,"&lt;01/11/2022")+COUNTIFS(E_Suivi_Eans!$C:$C,"02/2022",E_Suivi_Eans!$D:$D,"Ampoules",E_Suivi_Eans!$J:$J,"Relance 2",E_Suivi_Eans!$K:$K,"&gt;31/12/2021",E_Suivi_Eans!$K:$K,"&lt;01/11/2022")+COUNTIFS(E_Suivi_Eans!$C:$C,"02/2022",E_Suivi_Eans!$D:$D,"Ampoules",E_Suivi_Eans!$J:$J,"Relance 3",E_Suivi_Eans!$K:$K,"&gt;31/12/2021",E_Suivi_Eans!$K:$K,"&lt;01/11/2022")</f>
        <v>0</v>
      </c>
      <c r="E26" s="21">
        <f>COUNTIFS(E_Suivi_Eans!$C:$C,"02/2022",E_Suivi_Eans!$D:$D,"Ampoules",E_Suivi_Eans!$J:$J,"Abandon",E_Suivi_Eans!$K:$K,"&gt;31/12/2021",E_Suivi_Eans!K:K,"&lt;01/11/2022")</f>
        <v>0</v>
      </c>
      <c r="F26" s="21">
        <f>COUNTIFS(E_Suivi_Eans!$C:$C,"02/2022",E_Suivi_Eans!$D:$D,"Ampoules")</f>
        <v>0</v>
      </c>
      <c r="G26" s="21">
        <f t="shared" si="4"/>
        <v>0</v>
      </c>
      <c r="J26" s="20" t="s">
        <v>5315</v>
      </c>
      <c r="K26" s="20" t="s">
        <v>5326</v>
      </c>
      <c r="L26" s="28" t="e">
        <f t="shared" si="5"/>
        <v>#DIV/0!</v>
      </c>
      <c r="M26" s="28" t="e">
        <f t="shared" si="5"/>
        <v>#DIV/0!</v>
      </c>
      <c r="N26" s="28" t="e">
        <f t="shared" si="5"/>
        <v>#DIV/0!</v>
      </c>
      <c r="O26" s="28">
        <v>1</v>
      </c>
      <c r="P26" s="28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COUNTIFS(E_Suivi_Eans!$C:$C,"02/2022",E_Suivi_Eans!$D:$D,"Ampoules",E_Suivi_Eans!$J:$J,"Retour OK",E_Suivi_Eans!$K:$K,"&gt;31/12/2021",E_Suivi_Eans!K:K,"&lt;01/12/2022")</f>
        <v>0</v>
      </c>
      <c r="D27" s="21">
        <f>COUNTIFS(E_Suivi_Eans!$C:$C,"02/2022",E_Suivi_Eans!$D:$D,"Ampoules",E_Suivi_Eans!$J:$J,"Rejet 0",E_Suivi_Eans!$K:$K,"&gt;31/12/2021",E_Suivi_Eans!$K:$K,"&lt;01/12/2022")+ COUNTIFS(E_Suivi_Eans!$C:$C,"02/2022",E_Suivi_Eans!$D:$D,"Ampoules",E_Suivi_Eans!$J:$J,"Rejet 1",E_Suivi_Eans!$K:$K,"&gt;31/12/2021",E_Suivi_Eans!$K:$K,"&lt;01/12/2022")+COUNTIFS(E_Suivi_Eans!$C:$C,"02/2022",E_Suivi_Eans!$D:$D,"Ampoules",E_Suivi_Eans!$J:$J,"Rejet 2",E_Suivi_Eans!$K:$K,"&gt;31/12/2021",E_Suivi_Eans!$K:$K,"&lt;01/12/2022")+COUNTIFS(E_Suivi_Eans!$C:$C,"02/2022",E_Suivi_Eans!$D:$D,"Ampoules",E_Suivi_Eans!$J:$J,"Rejet 3",E_Suivi_Eans!$K:$K,"&gt;31/12/2021",E_Suivi_Eans!$K:$K,"&lt;01/12/2022")+ COUNTIFS(E_Suivi_Eans!$C:$C,"02/2022",E_Suivi_Eans!$D:$D,"Ampoules",E_Suivi_Eans!$J:$J,"Rejet 4",E_Suivi_Eans!$K:$K,"&gt;31/12/2021",E_Suivi_Eans!$K:$K,"&lt;01/12/2022")+COUNTIFS(E_Suivi_Eans!$C:$C,"02/2022",E_Suivi_Eans!$D:$D,"Ampoules",E_Suivi_Eans!$J:$J,"Relance 1",E_Suivi_Eans!$K:$K,"&gt;31/12/2021",E_Suivi_Eans!$K:$K,"&lt;01/12/2022")+COUNTIFS(E_Suivi_Eans!$C:$C,"02/2022",E_Suivi_Eans!$D:$D,"Ampoules",E_Suivi_Eans!$J:$J,"Relance 2",E_Suivi_Eans!$K:$K,"&gt;31/12/2021",E_Suivi_Eans!$K:$K,"&lt;01/12/2022")+COUNTIFS(E_Suivi_Eans!$C:$C,"02/2022",E_Suivi_Eans!$D:$D,"Ampoules",E_Suivi_Eans!$J:$J,"Relance 3",E_Suivi_Eans!$K:$K,"&gt;31/12/2021",E_Suivi_Eans!$K:$K,"&lt;01/12/2022")</f>
        <v>0</v>
      </c>
      <c r="E27" s="21">
        <f>COUNTIFS(E_Suivi_Eans!$C:$C,"02/2022",E_Suivi_Eans!$D:$D,"Ampoules",E_Suivi_Eans!$J:$J,"Abandon",E_Suivi_Eans!$K:$K,"&gt;31/12/2021",E_Suivi_Eans!K:K,"&lt;01/12/2022")</f>
        <v>0</v>
      </c>
      <c r="F27" s="21">
        <f>COUNTIFS(E_Suivi_Eans!$C:$C,"02/2022",E_Suivi_Eans!$D:$D,"Ampoules")</f>
        <v>0</v>
      </c>
      <c r="G27" s="21">
        <f t="shared" si="4"/>
        <v>0</v>
      </c>
      <c r="J27" s="20" t="s">
        <v>5315</v>
      </c>
      <c r="K27" s="20" t="s">
        <v>5327</v>
      </c>
      <c r="L27" s="28" t="e">
        <f t="shared" si="5"/>
        <v>#DIV/0!</v>
      </c>
      <c r="M27" s="28" t="e">
        <f t="shared" si="5"/>
        <v>#DIV/0!</v>
      </c>
      <c r="N27" s="28" t="e">
        <f t="shared" si="5"/>
        <v>#DIV/0!</v>
      </c>
      <c r="O27" s="28">
        <v>1</v>
      </c>
      <c r="P27" s="28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8"/>
      <c r="P28" s="28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5"/>
      <c r="F29" s="25"/>
      <c r="G29" s="25"/>
      <c r="J29" s="22"/>
      <c r="K29" s="22"/>
      <c r="L29" s="23"/>
      <c r="M29" s="24"/>
      <c r="N29" s="25"/>
      <c r="O29" s="31"/>
      <c r="P29" s="31"/>
      <c r="S29" s="22"/>
      <c r="T29" s="22"/>
      <c r="U29" s="23"/>
      <c r="V29" s="24"/>
      <c r="W29" s="25"/>
      <c r="X29" s="25"/>
      <c r="Y29" s="25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8"/>
      <c r="P30" s="28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8"/>
      <c r="P31" s="28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COUNTIFS(E_Suivi_Eans!$C:$C,"03/2022",E_Suivi_Eans!$D:$D,"Ampoules",E_Suivi_Eans!$J:$J,"Retour OK",E_Suivi_Eans!$K:$K,"&gt;31/12/2021",E_Suivi_Eans!K:K,"&lt;01/04/2022")</f>
        <v>1</v>
      </c>
      <c r="D32" s="21">
        <f>COUNTIFS(E_Suivi_Eans!$C:$C,"03/2022",E_Suivi_Eans!$D:$D,"Ampoules",E_Suivi_Eans!$J:$J,"Rejet 0",E_Suivi_Eans!$K:$K,"&gt;31/12/2021",E_Suivi_Eans!$K:$K,"&lt;01/04/2022")+ COUNTIFS(E_Suivi_Eans!$C:$C,"03/2022",E_Suivi_Eans!$D:$D,"Ampoules",E_Suivi_Eans!$J:$J,"Rejet 1",E_Suivi_Eans!$K:$K,"&gt;31/12/2021",E_Suivi_Eans!$K:$K,"&lt;01/04/2022")+COUNTIFS(E_Suivi_Eans!$C:$C,"03/2022",E_Suivi_Eans!$D:$D,"Ampoules",E_Suivi_Eans!$J:$J,"Rejet 2",E_Suivi_Eans!$K:$K,"&gt;31/12/2021",E_Suivi_Eans!$K:$K,"&lt;01/04/2022")+COUNTIFS(E_Suivi_Eans!$C:$C,"03/2022",E_Suivi_Eans!$D:$D,"Ampoules",E_Suivi_Eans!$J:$J,"Rejet 3",E_Suivi_Eans!$K:$K,"&gt;31/12/2021",E_Suivi_Eans!$K:$K,"&lt;01/04/2022")+ COUNTIFS(E_Suivi_Eans!$C:$C,"03/2022",E_Suivi_Eans!$D:$D,"Ampoules",E_Suivi_Eans!$J:$J,"Rejet 4",E_Suivi_Eans!$K:$K,"&gt;31/12/2021",E_Suivi_Eans!$K:$K,"&lt;01/04/2022")+COUNTIFS(E_Suivi_Eans!$C:$C,"03/2022",E_Suivi_Eans!$D:$D,"Ampoules",E_Suivi_Eans!$J:$J,"Relance 1",E_Suivi_Eans!$K:$K,"&gt;31/12/2021",E_Suivi_Eans!$K:$K,"&lt;01/04/2022")+COUNTIFS(E_Suivi_Eans!$C:$C,"03/2022",E_Suivi_Eans!$D:$D,"Ampoules",E_Suivi_Eans!$J:$J,"Relance 2",E_Suivi_Eans!$K:$K,"&gt;31/12/2021",E_Suivi_Eans!$K:$K,"&lt;01/04/2022")+COUNTIFS(E_Suivi_Eans!$C:$C,"03/2022",E_Suivi_Eans!$D:$D,"Ampoules",E_Suivi_Eans!$J:$J,"Relance 3",E_Suivi_Eans!$K:$K,"&gt;31/12/2021",E_Suivi_Eans!$K:$K,"&lt;01/04/2022")</f>
        <v>0</v>
      </c>
      <c r="E32" s="21">
        <f>COUNTIFS(E_Suivi_Eans!$C:$C,"03/2022",E_Suivi_Eans!$D:$D,"Ampoules",E_Suivi_Eans!$J:$J,"Abandon",E_Suivi_Eans!$K:$K,"&gt;31/12/2021",E_Suivi_Eans!K:K,"&lt;01/04/2022")</f>
        <v>0</v>
      </c>
      <c r="F32" s="21">
        <f>COUNTIFS(E_Suivi_Eans!$C:$C,"03/2022",E_Suivi_Eans!$D:$D,"Ampoules")</f>
        <v>34</v>
      </c>
      <c r="G32" s="21">
        <f t="shared" ref="G32:G40" si="6">F32-E32</f>
        <v>34</v>
      </c>
      <c r="J32" s="20" t="s">
        <v>5316</v>
      </c>
      <c r="K32" s="20" t="s">
        <v>5316</v>
      </c>
      <c r="L32" s="28">
        <f t="shared" ref="L32:N40" si="7">C32/$G32</f>
        <v>2.9411764705882353E-2</v>
      </c>
      <c r="M32" s="28">
        <f t="shared" si="7"/>
        <v>0</v>
      </c>
      <c r="N32" s="28">
        <f t="shared" si="7"/>
        <v>0</v>
      </c>
      <c r="O32" s="28">
        <v>1</v>
      </c>
      <c r="P32" s="28">
        <f t="shared" ref="P32:P40" si="8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COUNTIFS(E_Suivi_Eans!$C:$C,"03/2022",E_Suivi_Eans!$D:$D,"Ampoules",E_Suivi_Eans!$J:$J,"Retour OK",E_Suivi_Eans!$K:$K,"&gt;31/12/2021",E_Suivi_Eans!K:K,"&lt;01/05/2022")</f>
        <v>20</v>
      </c>
      <c r="D33" s="21">
        <f>COUNTIFS(E_Suivi_Eans!$C:$C,"03/2022",E_Suivi_Eans!$D:$D,"Ampoules",E_Suivi_Eans!$J:$J,"Rejet 0",E_Suivi_Eans!$K:$K,"&gt;31/12/2021",E_Suivi_Eans!$K:$K,"&lt;01/05/2022")+ COUNTIFS(E_Suivi_Eans!$C:$C,"03/2022",E_Suivi_Eans!$D:$D,"Ampoules",E_Suivi_Eans!$J:$J,"Rejet 1",E_Suivi_Eans!$K:$K,"&gt;31/12/2021",E_Suivi_Eans!$K:$K,"&lt;01/05/2022")+COUNTIFS(E_Suivi_Eans!$C:$C,"03/2022",E_Suivi_Eans!$D:$D,"Ampoules",E_Suivi_Eans!$J:$J,"Rejet 2",E_Suivi_Eans!$K:$K,"&gt;31/12/2021",E_Suivi_Eans!$K:$K,"&lt;01/05/2022")+COUNTIFS(E_Suivi_Eans!$C:$C,"03/2022",E_Suivi_Eans!$D:$D,"Ampoules",E_Suivi_Eans!$J:$J,"Rejet 3",E_Suivi_Eans!$K:$K,"&gt;31/12/2021",E_Suivi_Eans!$K:$K,"&lt;01/05/2022")+ COUNTIFS(E_Suivi_Eans!$C:$C,"03/2022",E_Suivi_Eans!$D:$D,"Ampoules",E_Suivi_Eans!$J:$J,"Rejet 4",E_Suivi_Eans!$K:$K,"&gt;31/12/2021",E_Suivi_Eans!$K:$K,"&lt;01/05/2022")+COUNTIFS(E_Suivi_Eans!$C:$C,"03/2022",E_Suivi_Eans!$D:$D,"Ampoules",E_Suivi_Eans!$J:$J,"Relance 1",E_Suivi_Eans!$K:$K,"&gt;31/12/2021",E_Suivi_Eans!$K:$K,"&lt;01/05/2022")+COUNTIFS(E_Suivi_Eans!$C:$C,"03/2022",E_Suivi_Eans!$D:$D,"Ampoules",E_Suivi_Eans!$J:$J,"Relance 2",E_Suivi_Eans!$K:$K,"&gt;31/12/2021",E_Suivi_Eans!$K:$K,"&lt;01/05/2022")+COUNTIFS(E_Suivi_Eans!$C:$C,"03/2022",E_Suivi_Eans!$D:$D,"Ampoules",E_Suivi_Eans!$J:$J,"Relance 3",E_Suivi_Eans!$K:$K,"&gt;31/12/2021",E_Suivi_Eans!$K:$K,"&lt;01/05/2022")</f>
        <v>1</v>
      </c>
      <c r="E33" s="21">
        <f>COUNTIFS(E_Suivi_Eans!$C:$C,"03/2022",E_Suivi_Eans!$D:$D,"Ampoules",E_Suivi_Eans!$J:$J,"Abandon",E_Suivi_Eans!$K:$K,"&gt;31/12/2021",E_Suivi_Eans!K:K,"&lt;01/05/2022")</f>
        <v>0</v>
      </c>
      <c r="F33" s="21">
        <f>COUNTIFS(E_Suivi_Eans!$C:$C,"03/2022",E_Suivi_Eans!$D:$D,"Ampoules")</f>
        <v>34</v>
      </c>
      <c r="G33" s="21">
        <f t="shared" si="6"/>
        <v>34</v>
      </c>
      <c r="J33" s="20" t="s">
        <v>5316</v>
      </c>
      <c r="K33" s="20" t="s">
        <v>5317</v>
      </c>
      <c r="L33" s="28">
        <f t="shared" si="7"/>
        <v>0.58823529411764708</v>
      </c>
      <c r="M33" s="28">
        <f t="shared" si="7"/>
        <v>2.9411764705882353E-2</v>
      </c>
      <c r="N33" s="28">
        <f t="shared" si="7"/>
        <v>0</v>
      </c>
      <c r="O33" s="28">
        <v>1</v>
      </c>
      <c r="P33" s="28">
        <f t="shared" si="8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COUNTIFS(E_Suivi_Eans!$C:$C,"03/2022",E_Suivi_Eans!$D:$D,"Ampoules",E_Suivi_Eans!$J:$J,"Retour OK",E_Suivi_Eans!$K:$K,"&gt;31/12/2021",E_Suivi_Eans!K:K,"&lt;01/06/2022")</f>
        <v>21</v>
      </c>
      <c r="D34" s="21">
        <f>COUNTIFS(E_Suivi_Eans!$C:$C,"03/2022",E_Suivi_Eans!$D:$D,"Ampoules",E_Suivi_Eans!$J:$J,"Rejet 0",E_Suivi_Eans!$K:$K,"&gt;31/12/2021",E_Suivi_Eans!$K:$K,"&lt;01/06/2022")+ COUNTIFS(E_Suivi_Eans!$C:$C,"03/2022",E_Suivi_Eans!$D:$D,"Ampoules",E_Suivi_Eans!$J:$J,"Rejet 1",E_Suivi_Eans!$K:$K,"&gt;31/12/2021",E_Suivi_Eans!$K:$K,"&lt;01/06/2022")+COUNTIFS(E_Suivi_Eans!$C:$C,"03/2022",E_Suivi_Eans!$D:$D,"Ampoules",E_Suivi_Eans!$J:$J,"Rejet 2",E_Suivi_Eans!$K:$K,"&gt;31/12/2021",E_Suivi_Eans!$K:$K,"&lt;01/06/2022")+COUNTIFS(E_Suivi_Eans!$C:$C,"03/2022",E_Suivi_Eans!$D:$D,"Ampoules",E_Suivi_Eans!$J:$J,"Rejet 3",E_Suivi_Eans!$K:$K,"&gt;31/12/2021",E_Suivi_Eans!$K:$K,"&lt;01/06/2022")+ COUNTIFS(E_Suivi_Eans!$C:$C,"03/2022",E_Suivi_Eans!$D:$D,"Ampoules",E_Suivi_Eans!$J:$J,"Rejet 4",E_Suivi_Eans!$K:$K,"&gt;31/12/2021",E_Suivi_Eans!$K:$K,"&lt;01/06/2022")+COUNTIFS(E_Suivi_Eans!$C:$C,"03/2022",E_Suivi_Eans!$D:$D,"Ampoules",E_Suivi_Eans!$J:$J,"Relance 1",E_Suivi_Eans!$K:$K,"&gt;31/12/2021",E_Suivi_Eans!$K:$K,"&lt;01/06/2022")+COUNTIFS(E_Suivi_Eans!$C:$C,"03/2022",E_Suivi_Eans!$D:$D,"Ampoules",E_Suivi_Eans!$J:$J,"Relance 2",E_Suivi_Eans!$K:$K,"&gt;31/12/2021",E_Suivi_Eans!$K:$K,"&lt;01/06/2022")+COUNTIFS(E_Suivi_Eans!$C:$C,"03/2022",E_Suivi_Eans!$D:$D,"Ampoules",E_Suivi_Eans!$J:$J,"Relance 3",E_Suivi_Eans!$K:$K,"&gt;31/12/2021",E_Suivi_Eans!$K:$K,"&lt;01/06/2022")</f>
        <v>1</v>
      </c>
      <c r="E34" s="21">
        <f>COUNTIFS(E_Suivi_Eans!$C:$C,"03/2022",E_Suivi_Eans!$D:$D,"Ampoules",E_Suivi_Eans!$J:$J,"Abandon",E_Suivi_Eans!$K:$K,"&gt;31/12/2021",E_Suivi_Eans!K:K,"&lt;01/06/2022")</f>
        <v>0</v>
      </c>
      <c r="F34" s="21">
        <f>COUNTIFS(E_Suivi_Eans!$C:$C,"03/2022",E_Suivi_Eans!$D:$D,"Ampoules")</f>
        <v>34</v>
      </c>
      <c r="G34" s="21">
        <f t="shared" si="6"/>
        <v>34</v>
      </c>
      <c r="J34" s="20" t="s">
        <v>5316</v>
      </c>
      <c r="K34" s="20" t="s">
        <v>5318</v>
      </c>
      <c r="L34" s="28">
        <f t="shared" si="7"/>
        <v>0.61764705882352944</v>
      </c>
      <c r="M34" s="28">
        <f t="shared" si="7"/>
        <v>2.9411764705882353E-2</v>
      </c>
      <c r="N34" s="28">
        <f t="shared" si="7"/>
        <v>0</v>
      </c>
      <c r="O34" s="28">
        <v>1</v>
      </c>
      <c r="P34" s="28">
        <f t="shared" si="8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COUNTIFS(E_Suivi_Eans!$C:$C,"03/2022",E_Suivi_Eans!$D:$D,"Ampoules",E_Suivi_Eans!$J:$J,"Retour OK",E_Suivi_Eans!$K:$K,"&gt;31/12/2021",E_Suivi_Eans!K:K,"&lt;01/07/2022")</f>
        <v>21</v>
      </c>
      <c r="D35" s="21">
        <f>COUNTIFS(E_Suivi_Eans!$C:$C,"03/2022",E_Suivi_Eans!$D:$D,"Ampoules",E_Suivi_Eans!$J:$J,"Rejet 0",E_Suivi_Eans!$K:$K,"&gt;31/12/2021",E_Suivi_Eans!$K:$K,"&lt;01/07/2022")+ COUNTIFS(E_Suivi_Eans!$C:$C,"03/2022",E_Suivi_Eans!$D:$D,"Ampoules",E_Suivi_Eans!$J:$J,"Rejet 1",E_Suivi_Eans!$K:$K,"&gt;31/12/2021",E_Suivi_Eans!$K:$K,"&lt;01/07/2022")+COUNTIFS(E_Suivi_Eans!$C:$C,"03/2022",E_Suivi_Eans!$D:$D,"Ampoules",E_Suivi_Eans!$J:$J,"Rejet 2",E_Suivi_Eans!$K:$K,"&gt;31/12/2021",E_Suivi_Eans!$K:$K,"&lt;01/07/2022")+COUNTIFS(E_Suivi_Eans!$C:$C,"03/2022",E_Suivi_Eans!$D:$D,"Ampoules",E_Suivi_Eans!$J:$J,"Rejet 3",E_Suivi_Eans!$K:$K,"&gt;31/12/2021",E_Suivi_Eans!$K:$K,"&lt;01/07/2022")+ COUNTIFS(E_Suivi_Eans!$C:$C,"03/2022",E_Suivi_Eans!$D:$D,"Ampoules",E_Suivi_Eans!$J:$J,"Rejet 4",E_Suivi_Eans!$K:$K,"&gt;31/12/2021",E_Suivi_Eans!$K:$K,"&lt;01/07/2022")+COUNTIFS(E_Suivi_Eans!$C:$C,"03/2022",E_Suivi_Eans!$D:$D,"Ampoules",E_Suivi_Eans!$J:$J,"Relance 1",E_Suivi_Eans!$K:$K,"&gt;31/12/2021",E_Suivi_Eans!$K:$K,"&lt;01/07/2022")+COUNTIFS(E_Suivi_Eans!$C:$C,"03/2022",E_Suivi_Eans!$D:$D,"Ampoules",E_Suivi_Eans!$J:$J,"Relance 2",E_Suivi_Eans!$K:$K,"&gt;31/12/2021",E_Suivi_Eans!$K:$K,"&lt;01/07/2022")+COUNTIFS(E_Suivi_Eans!$C:$C,"03/2022",E_Suivi_Eans!$D:$D,"Ampoules",E_Suivi_Eans!$J:$J,"Relance 3",E_Suivi_Eans!$K:$K,"&gt;31/12/2021",E_Suivi_Eans!$K:$K,"&lt;01/07/2022")</f>
        <v>1</v>
      </c>
      <c r="E35" s="21">
        <f>COUNTIFS(E_Suivi_Eans!$C:$C,"03/2022",E_Suivi_Eans!$D:$D,"Ampoules",E_Suivi_Eans!$J:$J,"Abandon",E_Suivi_Eans!$K:$K,"&gt;31/12/2021",E_Suivi_Eans!K:K,"&lt;01/07/2022")</f>
        <v>0</v>
      </c>
      <c r="F35" s="21">
        <f>COUNTIFS(E_Suivi_Eans!$C:$C,"03/2022",E_Suivi_Eans!$D:$D,"Ampoules")</f>
        <v>34</v>
      </c>
      <c r="G35" s="21">
        <f t="shared" si="6"/>
        <v>34</v>
      </c>
      <c r="J35" s="20" t="s">
        <v>5316</v>
      </c>
      <c r="K35" s="20" t="s">
        <v>5319</v>
      </c>
      <c r="L35" s="28">
        <f t="shared" si="7"/>
        <v>0.61764705882352944</v>
      </c>
      <c r="M35" s="28">
        <f t="shared" si="7"/>
        <v>2.9411764705882353E-2</v>
      </c>
      <c r="N35" s="28">
        <f t="shared" si="7"/>
        <v>0</v>
      </c>
      <c r="O35" s="28">
        <v>1</v>
      </c>
      <c r="P35" s="28">
        <f t="shared" si="8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COUNTIFS(E_Suivi_Eans!$C:$C,"03/2022",E_Suivi_Eans!$D:$D,"Ampoules",E_Suivi_Eans!$J:$J,"Retour OK",E_Suivi_Eans!$K:$K,"&gt;31/12/2021",E_Suivi_Eans!K:K,"&lt;01/08/2022")</f>
        <v>21</v>
      </c>
      <c r="D36" s="21">
        <f>COUNTIFS(E_Suivi_Eans!$C:$C,"03/2022",E_Suivi_Eans!$D:$D,"Ampoules",E_Suivi_Eans!$J:$J,"Rejet 0",E_Suivi_Eans!$K:$K,"&gt;31/12/2021",E_Suivi_Eans!$K:$K,"&lt;01/08/2022")+ COUNTIFS(E_Suivi_Eans!$C:$C,"03/2022",E_Suivi_Eans!$D:$D,"Ampoules",E_Suivi_Eans!$J:$J,"Rejet 1",E_Suivi_Eans!$K:$K,"&gt;31/12/2021",E_Suivi_Eans!$K:$K,"&lt;01/08/2022")+COUNTIFS(E_Suivi_Eans!$C:$C,"03/2022",E_Suivi_Eans!$D:$D,"Ampoules",E_Suivi_Eans!$J:$J,"Rejet 2",E_Suivi_Eans!$K:$K,"&gt;31/12/2021",E_Suivi_Eans!$K:$K,"&lt;01/08/2022")+COUNTIFS(E_Suivi_Eans!$C:$C,"03/2022",E_Suivi_Eans!$D:$D,"Ampoules",E_Suivi_Eans!$J:$J,"Rejet 3",E_Suivi_Eans!$K:$K,"&gt;31/12/2021",E_Suivi_Eans!$K:$K,"&lt;01/08/2022")+ COUNTIFS(E_Suivi_Eans!$C:$C,"03/2022",E_Suivi_Eans!$D:$D,"Ampoules",E_Suivi_Eans!$J:$J,"Rejet 4",E_Suivi_Eans!$K:$K,"&gt;31/12/2021",E_Suivi_Eans!$K:$K,"&lt;01/08/2022")+COUNTIFS(E_Suivi_Eans!$C:$C,"03/2022",E_Suivi_Eans!$D:$D,"Ampoules",E_Suivi_Eans!$J:$J,"Relance 1",E_Suivi_Eans!$K:$K,"&gt;31/12/2021",E_Suivi_Eans!$K:$K,"&lt;01/08/2022")+COUNTIFS(E_Suivi_Eans!$C:$C,"03/2022",E_Suivi_Eans!$D:$D,"Ampoules",E_Suivi_Eans!$J:$J,"Relance 2",E_Suivi_Eans!$K:$K,"&gt;31/12/2021",E_Suivi_Eans!$K:$K,"&lt;01/08/2022")+COUNTIFS(E_Suivi_Eans!$C:$C,"03/2022",E_Suivi_Eans!$D:$D,"Ampoules",E_Suivi_Eans!$J:$J,"Relance 3",E_Suivi_Eans!$K:$K,"&gt;31/12/2021",E_Suivi_Eans!$K:$K,"&lt;01/08/2022")</f>
        <v>1</v>
      </c>
      <c r="E36" s="21">
        <f>COUNTIFS(E_Suivi_Eans!$C:$C,"03/2022",E_Suivi_Eans!$D:$D,"Ampoules",E_Suivi_Eans!$J:$J,"Abandon",E_Suivi_Eans!$K:$K,"&gt;31/12/2021",E_Suivi_Eans!K:K,"&lt;01/08/2022")</f>
        <v>0</v>
      </c>
      <c r="F36" s="21">
        <f>COUNTIFS(E_Suivi_Eans!$C:$C,"03/2022",E_Suivi_Eans!$D:$D,"Ampoules")</f>
        <v>34</v>
      </c>
      <c r="G36" s="21">
        <f t="shared" si="6"/>
        <v>34</v>
      </c>
      <c r="J36" s="20" t="s">
        <v>5316</v>
      </c>
      <c r="K36" s="20" t="s">
        <v>5320</v>
      </c>
      <c r="L36" s="28">
        <f t="shared" si="7"/>
        <v>0.61764705882352944</v>
      </c>
      <c r="M36" s="28">
        <f t="shared" si="7"/>
        <v>2.9411764705882353E-2</v>
      </c>
      <c r="N36" s="28">
        <f t="shared" si="7"/>
        <v>0</v>
      </c>
      <c r="O36" s="28">
        <v>1</v>
      </c>
      <c r="P36" s="28">
        <f t="shared" si="8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COUNTIFS(E_Suivi_Eans!$C:$C,"03/2022",E_Suivi_Eans!$D:$D,"Ampoules",E_Suivi_Eans!$J:$J,"Retour OK",E_Suivi_Eans!$K:$K,"&gt;31/12/2021",E_Suivi_Eans!K:K,"&lt;01/09/2022")</f>
        <v>21</v>
      </c>
      <c r="D37" s="21">
        <f>COUNTIFS(E_Suivi_Eans!$C:$C,"03/2022",E_Suivi_Eans!$D:$D,"Ampoules",E_Suivi_Eans!$J:$J,"Rejet 0",E_Suivi_Eans!$K:$K,"&gt;31/12/2021",E_Suivi_Eans!$K:$K,"&lt;01/09/2022")+ COUNTIFS(E_Suivi_Eans!$C:$C,"03/2022",E_Suivi_Eans!$D:$D,"Ampoules",E_Suivi_Eans!$J:$J,"Rejet 1",E_Suivi_Eans!$K:$K,"&gt;31/12/2021",E_Suivi_Eans!$K:$K,"&lt;01/09/2022")+COUNTIFS(E_Suivi_Eans!$C:$C,"03/2022",E_Suivi_Eans!$D:$D,"Ampoules",E_Suivi_Eans!$J:$J,"Rejet 2",E_Suivi_Eans!$K:$K,"&gt;31/12/2021",E_Suivi_Eans!$K:$K,"&lt;01/09/2022")+COUNTIFS(E_Suivi_Eans!$C:$C,"03/2022",E_Suivi_Eans!$D:$D,"Ampoules",E_Suivi_Eans!$J:$J,"Rejet 3",E_Suivi_Eans!$K:$K,"&gt;31/12/2021",E_Suivi_Eans!$K:$K,"&lt;01/09/2022")+ COUNTIFS(E_Suivi_Eans!$C:$C,"03/2022",E_Suivi_Eans!$D:$D,"Ampoules",E_Suivi_Eans!$J:$J,"Rejet 4",E_Suivi_Eans!$K:$K,"&gt;31/12/2021",E_Suivi_Eans!$K:$K,"&lt;01/09/2022")+COUNTIFS(E_Suivi_Eans!$C:$C,"03/2022",E_Suivi_Eans!$D:$D,"Ampoules",E_Suivi_Eans!$J:$J,"Relance 1",E_Suivi_Eans!$K:$K,"&gt;31/12/2021",E_Suivi_Eans!$K:$K,"&lt;01/09/2022")+COUNTIFS(E_Suivi_Eans!$C:$C,"03/2022",E_Suivi_Eans!$D:$D,"Ampoules",E_Suivi_Eans!$J:$J,"Relance 2",E_Suivi_Eans!$K:$K,"&gt;31/12/2021",E_Suivi_Eans!$K:$K,"&lt;01/09/2022")+COUNTIFS(E_Suivi_Eans!$C:$C,"03/2022",E_Suivi_Eans!$D:$D,"Ampoules",E_Suivi_Eans!$J:$J,"Relance 3",E_Suivi_Eans!$K:$K,"&gt;31/12/2021",E_Suivi_Eans!$K:$K,"&lt;01/09/2022")</f>
        <v>1</v>
      </c>
      <c r="E37" s="21">
        <f>COUNTIFS(E_Suivi_Eans!$C:$C,"03/2022",E_Suivi_Eans!$D:$D,"Ampoules",E_Suivi_Eans!$J:$J,"Abandon",E_Suivi_Eans!$K:$K,"&gt;31/12/2021",E_Suivi_Eans!K:K,"&lt;01/09/2022")</f>
        <v>0</v>
      </c>
      <c r="F37" s="21">
        <f>COUNTIFS(E_Suivi_Eans!$C:$C,"03/2022",E_Suivi_Eans!$D:$D,"Ampoules")</f>
        <v>34</v>
      </c>
      <c r="G37" s="21">
        <f t="shared" si="6"/>
        <v>34</v>
      </c>
      <c r="J37" s="20" t="s">
        <v>5316</v>
      </c>
      <c r="K37" s="20" t="s">
        <v>5321</v>
      </c>
      <c r="L37" s="28">
        <f t="shared" si="7"/>
        <v>0.61764705882352944</v>
      </c>
      <c r="M37" s="28">
        <f t="shared" si="7"/>
        <v>2.9411764705882353E-2</v>
      </c>
      <c r="N37" s="28">
        <f t="shared" si="7"/>
        <v>0</v>
      </c>
      <c r="O37" s="28">
        <v>1</v>
      </c>
      <c r="P37" s="28">
        <f t="shared" si="8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COUNTIFS(E_Suivi_Eans!$C:$C,"03/2022",E_Suivi_Eans!$D:$D,"Ampoules",E_Suivi_Eans!$J:$J,"Retour OK",E_Suivi_Eans!$K:$K,"&gt;31/12/2021",E_Suivi_Eans!K:K,"&lt;01/10/2022")</f>
        <v>21</v>
      </c>
      <c r="D38" s="21">
        <f>COUNTIFS(E_Suivi_Eans!$C:$C,"03/2022",E_Suivi_Eans!$D:$D,"Ampoules",E_Suivi_Eans!$J:$J,"Rejet 0",E_Suivi_Eans!$K:$K,"&gt;31/12/2021",E_Suivi_Eans!$K:$K,"&lt;01/10/2022")+ COUNTIFS(E_Suivi_Eans!$C:$C,"03/2022",E_Suivi_Eans!$D:$D,"Ampoules",E_Suivi_Eans!$J:$J,"Rejet 1",E_Suivi_Eans!$K:$K,"&gt;31/12/2021",E_Suivi_Eans!$K:$K,"&lt;01/10/2022")+COUNTIFS(E_Suivi_Eans!$C:$C,"03/2022",E_Suivi_Eans!$D:$D,"Ampoules",E_Suivi_Eans!$J:$J,"Rejet 2",E_Suivi_Eans!$K:$K,"&gt;31/12/2021",E_Suivi_Eans!$K:$K,"&lt;01/10/2022")+COUNTIFS(E_Suivi_Eans!$C:$C,"03/2022",E_Suivi_Eans!$D:$D,"Ampoules",E_Suivi_Eans!$J:$J,"Rejet 3",E_Suivi_Eans!$K:$K,"&gt;31/12/2021",E_Suivi_Eans!$K:$K,"&lt;01/10/2022")+ COUNTIFS(E_Suivi_Eans!$C:$C,"03/2022",E_Suivi_Eans!$D:$D,"Ampoules",E_Suivi_Eans!$J:$J,"Rejet 4",E_Suivi_Eans!$K:$K,"&gt;31/12/2021",E_Suivi_Eans!$K:$K,"&lt;01/10/2022")+COUNTIFS(E_Suivi_Eans!$C:$C,"03/2022",E_Suivi_Eans!$D:$D,"Ampoules",E_Suivi_Eans!$J:$J,"Relance 1",E_Suivi_Eans!$K:$K,"&gt;31/12/2021",E_Suivi_Eans!$K:$K,"&lt;01/10/2022")+COUNTIFS(E_Suivi_Eans!$C:$C,"03/2022",E_Suivi_Eans!$D:$D,"Ampoules",E_Suivi_Eans!$J:$J,"Relance 2",E_Suivi_Eans!$K:$K,"&gt;31/12/2021",E_Suivi_Eans!$K:$K,"&lt;01/10/2022")+COUNTIFS(E_Suivi_Eans!$C:$C,"03/2022",E_Suivi_Eans!$D:$D,"Ampoules",E_Suivi_Eans!$J:$J,"Relance 3",E_Suivi_Eans!$K:$K,"&gt;31/12/2021",E_Suivi_Eans!$K:$K,"&lt;01/10/2022")</f>
        <v>1</v>
      </c>
      <c r="E38" s="21">
        <f>COUNTIFS(E_Suivi_Eans!$C:$C,"03/2022",E_Suivi_Eans!$D:$D,"Ampoules",E_Suivi_Eans!$J:$J,"Abandon",E_Suivi_Eans!$K:$K,"&gt;31/12/2021",E_Suivi_Eans!K:K,"&lt;01/10/2022")</f>
        <v>0</v>
      </c>
      <c r="F38" s="21">
        <f>COUNTIFS(E_Suivi_Eans!$C:$C,"03/2022",E_Suivi_Eans!$D:$D,"Ampoules")</f>
        <v>34</v>
      </c>
      <c r="G38" s="21">
        <f t="shared" si="6"/>
        <v>34</v>
      </c>
      <c r="J38" s="20" t="s">
        <v>5316</v>
      </c>
      <c r="K38" s="20" t="s">
        <v>5325</v>
      </c>
      <c r="L38" s="28">
        <f t="shared" si="7"/>
        <v>0.61764705882352944</v>
      </c>
      <c r="M38" s="28">
        <f t="shared" si="7"/>
        <v>2.9411764705882353E-2</v>
      </c>
      <c r="N38" s="28">
        <f t="shared" si="7"/>
        <v>0</v>
      </c>
      <c r="O38" s="28">
        <v>1</v>
      </c>
      <c r="P38" s="28">
        <f t="shared" si="8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COUNTIFS(E_Suivi_Eans!$C:$C,"03/2022",E_Suivi_Eans!$D:$D,"Ampoules",E_Suivi_Eans!$J:$J,"Retour OK",E_Suivi_Eans!$K:$K,"&gt;31/12/2021",E_Suivi_Eans!K:K,"&lt;01/11/2022")</f>
        <v>25</v>
      </c>
      <c r="D39" s="21">
        <f>COUNTIFS(E_Suivi_Eans!$C:$C,"03/2022",E_Suivi_Eans!$D:$D,"Ampoules",E_Suivi_Eans!$J:$J,"Rejet 0",E_Suivi_Eans!$K:$K,"&gt;31/12/2021",E_Suivi_Eans!$K:$K,"&lt;01/11/2022")+ COUNTIFS(E_Suivi_Eans!$C:$C,"03/2022",E_Suivi_Eans!$D:$D,"Ampoules",E_Suivi_Eans!$J:$J,"Rejet 1",E_Suivi_Eans!$K:$K,"&gt;31/12/2021",E_Suivi_Eans!$K:$K,"&lt;01/11/2022")+COUNTIFS(E_Suivi_Eans!$C:$C,"03/2022",E_Suivi_Eans!$D:$D,"Ampoules",E_Suivi_Eans!$J:$J,"Rejet 2",E_Suivi_Eans!$K:$K,"&gt;31/12/2021",E_Suivi_Eans!$K:$K,"&lt;01/11/2022")+COUNTIFS(E_Suivi_Eans!$C:$C,"03/2022",E_Suivi_Eans!$D:$D,"Ampoules",E_Suivi_Eans!$J:$J,"Rejet 3",E_Suivi_Eans!$K:$K,"&gt;31/12/2021",E_Suivi_Eans!$K:$K,"&lt;01/11/2022")+ COUNTIFS(E_Suivi_Eans!$C:$C,"03/2022",E_Suivi_Eans!$D:$D,"Ampoules",E_Suivi_Eans!$J:$J,"Rejet 4",E_Suivi_Eans!$K:$K,"&gt;31/12/2021",E_Suivi_Eans!$K:$K,"&lt;01/11/2022")+COUNTIFS(E_Suivi_Eans!$C:$C,"03/2022",E_Suivi_Eans!$D:$D,"Ampoules",E_Suivi_Eans!$J:$J,"Relance 1",E_Suivi_Eans!$K:$K,"&gt;31/12/2021",E_Suivi_Eans!$K:$K,"&lt;01/11/2022")+COUNTIFS(E_Suivi_Eans!$C:$C,"03/2022",E_Suivi_Eans!$D:$D,"Ampoules",E_Suivi_Eans!$J:$J,"Relance 2",E_Suivi_Eans!$K:$K,"&gt;31/12/2021",E_Suivi_Eans!$K:$K,"&lt;01/11/2022")+COUNTIFS(E_Suivi_Eans!$C:$C,"03/2022",E_Suivi_Eans!$D:$D,"Ampoules",E_Suivi_Eans!$J:$J,"Relance 3",E_Suivi_Eans!$K:$K,"&gt;31/12/2021",E_Suivi_Eans!$K:$K,"&lt;01/11/2022")</f>
        <v>1</v>
      </c>
      <c r="E39" s="21">
        <f>COUNTIFS(E_Suivi_Eans!$C:$C,"03/2022",E_Suivi_Eans!$D:$D,"Ampoules",E_Suivi_Eans!$J:$J,"Abandon",E_Suivi_Eans!$K:$K,"&gt;31/12/2021",E_Suivi_Eans!K:K,"&lt;01/11/2022")</f>
        <v>0</v>
      </c>
      <c r="F39" s="21">
        <f>COUNTIFS(E_Suivi_Eans!$C:$C,"03/2022",E_Suivi_Eans!$D:$D,"Ampoules")</f>
        <v>34</v>
      </c>
      <c r="G39" s="21">
        <f t="shared" si="6"/>
        <v>34</v>
      </c>
      <c r="J39" s="20" t="s">
        <v>5316</v>
      </c>
      <c r="K39" s="20" t="s">
        <v>5326</v>
      </c>
      <c r="L39" s="28">
        <f t="shared" si="7"/>
        <v>0.73529411764705888</v>
      </c>
      <c r="M39" s="28">
        <f t="shared" si="7"/>
        <v>2.9411764705882353E-2</v>
      </c>
      <c r="N39" s="28">
        <f t="shared" si="7"/>
        <v>0</v>
      </c>
      <c r="O39" s="28">
        <v>1</v>
      </c>
      <c r="P39" s="28">
        <f t="shared" si="8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COUNTIFS(E_Suivi_Eans!$C:$C,"03/2022",E_Suivi_Eans!$D:$D,"Ampoules",E_Suivi_Eans!$J:$J,"Retour OK",E_Suivi_Eans!$K:$K,"&gt;31/12/2021",E_Suivi_Eans!K:K,"&lt;01/12/2022")</f>
        <v>33</v>
      </c>
      <c r="D40" s="21">
        <f>COUNTIFS(E_Suivi_Eans!$C:$C,"03/2022",E_Suivi_Eans!$D:$D,"Ampoules",E_Suivi_Eans!$J:$J,"Rejet 0",E_Suivi_Eans!$K:$K,"&gt;31/12/2021",E_Suivi_Eans!$K:$K,"&lt;01/12/2022")+ COUNTIFS(E_Suivi_Eans!$C:$C,"03/2022",E_Suivi_Eans!$D:$D,"Ampoules",E_Suivi_Eans!$J:$J,"Rejet 1",E_Suivi_Eans!$K:$K,"&gt;31/12/2021",E_Suivi_Eans!$K:$K,"&lt;01/12/2022")+COUNTIFS(E_Suivi_Eans!$C:$C,"03/2022",E_Suivi_Eans!$D:$D,"Ampoules",E_Suivi_Eans!$J:$J,"Rejet 2",E_Suivi_Eans!$K:$K,"&gt;31/12/2021",E_Suivi_Eans!$K:$K,"&lt;01/12/2022")+COUNTIFS(E_Suivi_Eans!$C:$C,"03/2022",E_Suivi_Eans!$D:$D,"Ampoules",E_Suivi_Eans!$J:$J,"Rejet 3",E_Suivi_Eans!$K:$K,"&gt;31/12/2021",E_Suivi_Eans!$K:$K,"&lt;01/12/2022")+ COUNTIFS(E_Suivi_Eans!$C:$C,"03/2022",E_Suivi_Eans!$D:$D,"Ampoules",E_Suivi_Eans!$J:$J,"Rejet 4",E_Suivi_Eans!$K:$K,"&gt;31/12/2021",E_Suivi_Eans!$K:$K,"&lt;01/12/2022")+COUNTIFS(E_Suivi_Eans!$C:$C,"03/2022",E_Suivi_Eans!$D:$D,"Ampoules",E_Suivi_Eans!$J:$J,"Relance 1",E_Suivi_Eans!$K:$K,"&gt;31/12/2021",E_Suivi_Eans!$K:$K,"&lt;01/12/2022")+COUNTIFS(E_Suivi_Eans!$C:$C,"03/2022",E_Suivi_Eans!$D:$D,"Ampoules",E_Suivi_Eans!$J:$J,"Relance 2",E_Suivi_Eans!$K:$K,"&gt;31/12/2021",E_Suivi_Eans!$K:$K,"&lt;01/12/2022")+COUNTIFS(E_Suivi_Eans!$C:$C,"03/2022",E_Suivi_Eans!$D:$D,"Ampoules",E_Suivi_Eans!$J:$J,"Relance 3",E_Suivi_Eans!$K:$K,"&gt;31/12/2021",E_Suivi_Eans!$K:$K,"&lt;01/12/2022")</f>
        <v>1</v>
      </c>
      <c r="E40" s="21">
        <f>COUNTIFS(E_Suivi_Eans!$C:$C,"03/2022",E_Suivi_Eans!$D:$D,"Ampoules",E_Suivi_Eans!$J:$J,"Abandon",E_Suivi_Eans!$K:$K,"&gt;31/12/2021",E_Suivi_Eans!K:K,"&lt;01/12/2022")</f>
        <v>0</v>
      </c>
      <c r="F40" s="21">
        <f>COUNTIFS(E_Suivi_Eans!$C:$C,"03/2022",E_Suivi_Eans!$D:$D,"Ampoules")</f>
        <v>34</v>
      </c>
      <c r="G40" s="21">
        <f t="shared" si="6"/>
        <v>34</v>
      </c>
      <c r="J40" s="20" t="s">
        <v>5316</v>
      </c>
      <c r="K40" s="20" t="s">
        <v>5327</v>
      </c>
      <c r="L40" s="28">
        <f t="shared" si="7"/>
        <v>0.97058823529411764</v>
      </c>
      <c r="M40" s="28">
        <f t="shared" si="7"/>
        <v>2.9411764705882353E-2</v>
      </c>
      <c r="N40" s="28">
        <f t="shared" si="7"/>
        <v>0</v>
      </c>
      <c r="O40" s="28">
        <v>1</v>
      </c>
      <c r="P40" s="28">
        <f t="shared" si="8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8"/>
      <c r="P41" s="28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5"/>
      <c r="E42" s="25"/>
      <c r="F42" s="25"/>
      <c r="G42" s="25"/>
      <c r="J42" s="22"/>
      <c r="K42" s="22"/>
      <c r="L42" s="23"/>
      <c r="M42" s="25"/>
      <c r="N42" s="25"/>
      <c r="O42" s="31"/>
      <c r="P42" s="31"/>
      <c r="S42" s="22"/>
      <c r="T42" s="22"/>
      <c r="U42" s="23"/>
      <c r="V42" s="25"/>
      <c r="W42" s="25"/>
      <c r="X42" s="25"/>
      <c r="Y42" s="25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8"/>
      <c r="P43" s="28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8"/>
      <c r="P44" s="28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8"/>
      <c r="P45" s="28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COUNTIFS(E_Suivi_Eans!$C:$C,"04/2022",E_Suivi_Eans!$D:$D,"Ampoules",E_Suivi_Eans!$J:$J,"Retour OK",E_Suivi_Eans!$K:$K,"&gt;31/12/2021",E_Suivi_Eans!K:K,"&lt;01/05/2022")</f>
        <v>92</v>
      </c>
      <c r="D46" s="21">
        <f>COUNTIFS(E_Suivi_Eans!$C:$C,"04/2022",E_Suivi_Eans!$D:$D,"Ampoules",E_Suivi_Eans!$J:$J,"Rejet 0",E_Suivi_Eans!$K:$K,"&gt;31/12/2021",E_Suivi_Eans!$K:$K,"&lt;01/05/2022")+ COUNTIFS(E_Suivi_Eans!$C:$C,"04/2022",E_Suivi_Eans!$D:$D,"Ampoules",E_Suivi_Eans!$J:$J,"Rejet 1",E_Suivi_Eans!$K:$K,"&gt;31/12/2021",E_Suivi_Eans!$K:$K,"&lt;01/05/2022")+COUNTIFS(E_Suivi_Eans!$C:$C,"04/2022",E_Suivi_Eans!$D:$D,"Ampoules",E_Suivi_Eans!$J:$J,"Rejet 2",E_Suivi_Eans!$K:$K,"&gt;31/12/2021",E_Suivi_Eans!$K:$K,"&lt;01/05/2022")+COUNTIFS(E_Suivi_Eans!$C:$C,"04/2022",E_Suivi_Eans!$D:$D,"Ampoules",E_Suivi_Eans!$J:$J,"Rejet 3",E_Suivi_Eans!$K:$K,"&gt;31/12/2021",E_Suivi_Eans!$K:$K,"&lt;01/05/2022")+ COUNTIFS(E_Suivi_Eans!$C:$C,"04/2022",E_Suivi_Eans!$D:$D,"Ampoules",E_Suivi_Eans!$J:$J,"Rejet 4",E_Suivi_Eans!$K:$K,"&gt;31/12/2021",E_Suivi_Eans!$K:$K,"&lt;01/05/2022")+COUNTIFS(E_Suivi_Eans!$C:$C,"04/2022",E_Suivi_Eans!$D:$D,"Ampoules",E_Suivi_Eans!$J:$J,"Relance 1",E_Suivi_Eans!$K:$K,"&gt;31/12/2021",E_Suivi_Eans!$K:$K,"&lt;01/05/2022")+COUNTIFS(E_Suivi_Eans!$C:$C,"04/2022",E_Suivi_Eans!$D:$D,"Ampoules",E_Suivi_Eans!$J:$J,"Relance 2",E_Suivi_Eans!$K:$K,"&gt;31/12/2021",E_Suivi_Eans!$K:$K,"&lt;01/05/2022")+COUNTIFS(E_Suivi_Eans!$C:$C,"04/2022",E_Suivi_Eans!$D:$D,"Ampoules",E_Suivi_Eans!$J:$J,"Relance 3",E_Suivi_Eans!$K:$K,"&gt;31/12/2021",E_Suivi_Eans!$K:$K,"&lt;01/05/2022")</f>
        <v>0</v>
      </c>
      <c r="E46" s="21">
        <f>COUNTIFS(E_Suivi_Eans!$C:$C,"04/2022",E_Suivi_Eans!$D:$D,"Ampoules",E_Suivi_Eans!$J:$J,"Abandon",E_Suivi_Eans!$K:$K,"&gt;31/12/2021",E_Suivi_Eans!K:K,"&lt;01/05/2022")</f>
        <v>0</v>
      </c>
      <c r="F46" s="21">
        <f>COUNTIFS(E_Suivi_Eans!$C:$C,"04/2022",E_Suivi_Eans!$D:$D,"Ampoules")</f>
        <v>289</v>
      </c>
      <c r="G46" s="21">
        <f t="shared" ref="G46:G53" si="9">F46-E46</f>
        <v>289</v>
      </c>
      <c r="J46" s="20" t="s">
        <v>5317</v>
      </c>
      <c r="K46" s="20" t="s">
        <v>5317</v>
      </c>
      <c r="L46" s="28">
        <f t="shared" ref="L46:N53" si="10">C46/$G46</f>
        <v>0.31833910034602075</v>
      </c>
      <c r="M46" s="28">
        <f t="shared" si="10"/>
        <v>0</v>
      </c>
      <c r="N46" s="28">
        <f t="shared" si="10"/>
        <v>0</v>
      </c>
      <c r="O46" s="28">
        <v>1</v>
      </c>
      <c r="P46" s="28">
        <f t="shared" ref="P46:P53" si="11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COUNTIFS(E_Suivi_Eans!$C:$C,"04/2022",E_Suivi_Eans!$D:$D,"Ampoules",E_Suivi_Eans!$J:$J,"Retour OK",E_Suivi_Eans!$K:$K,"&gt;31/12/2021",E_Suivi_Eans!K:K,"&lt;01/06/2022")</f>
        <v>93</v>
      </c>
      <c r="D47" s="21">
        <f>COUNTIFS(E_Suivi_Eans!$C:$C,"04/2022",E_Suivi_Eans!$D:$D,"Ampoules",E_Suivi_Eans!$J:$J,"Rejet 0",E_Suivi_Eans!$K:$K,"&gt;31/12/2021",E_Suivi_Eans!$K:$K,"&lt;01/06/2022")+ COUNTIFS(E_Suivi_Eans!$C:$C,"04/2022",E_Suivi_Eans!$D:$D,"Ampoules",E_Suivi_Eans!$J:$J,"Rejet 1",E_Suivi_Eans!$K:$K,"&gt;31/12/2021",E_Suivi_Eans!$K:$K,"&lt;01/06/2022")+COUNTIFS(E_Suivi_Eans!$C:$C,"04/2022",E_Suivi_Eans!$D:$D,"Ampoules",E_Suivi_Eans!$J:$J,"Rejet 2",E_Suivi_Eans!$K:$K,"&gt;31/12/2021",E_Suivi_Eans!$K:$K,"&lt;01/06/2022")+COUNTIFS(E_Suivi_Eans!$C:$C,"04/2022",E_Suivi_Eans!$D:$D,"Ampoules",E_Suivi_Eans!$J:$J,"Rejet 3",E_Suivi_Eans!$K:$K,"&gt;31/12/2021",E_Suivi_Eans!$K:$K,"&lt;01/06/2022")+ COUNTIFS(E_Suivi_Eans!$C:$C,"04/2022",E_Suivi_Eans!$D:$D,"Ampoules",E_Suivi_Eans!$J:$J,"Rejet 4",E_Suivi_Eans!$K:$K,"&gt;31/12/2021",E_Suivi_Eans!$K:$K,"&lt;01/06/2022")+COUNTIFS(E_Suivi_Eans!$C:$C,"04/2022",E_Suivi_Eans!$D:$D,"Ampoules",E_Suivi_Eans!$J:$J,"Relance 1",E_Suivi_Eans!$K:$K,"&gt;31/12/2021",E_Suivi_Eans!$K:$K,"&lt;01/06/2022")+COUNTIFS(E_Suivi_Eans!$C:$C,"04/2022",E_Suivi_Eans!$D:$D,"Ampoules",E_Suivi_Eans!$J:$J,"Relance 2",E_Suivi_Eans!$K:$K,"&gt;31/12/2021",E_Suivi_Eans!$K:$K,"&lt;01/06/2022")+COUNTIFS(E_Suivi_Eans!$C:$C,"04/2022",E_Suivi_Eans!$D:$D,"Ampoules",E_Suivi_Eans!$J:$J,"Relance 3",E_Suivi_Eans!$K:$K,"&gt;31/12/2021",E_Suivi_Eans!$K:$K,"&lt;01/06/2022")</f>
        <v>26</v>
      </c>
      <c r="E47" s="21">
        <f>COUNTIFS(E_Suivi_Eans!$C:$C,"04/2022",E_Suivi_Eans!$D:$D,"Ampoules",E_Suivi_Eans!$J:$J,"Abandon",E_Suivi_Eans!$K:$K,"&gt;31/12/2021",E_Suivi_Eans!K:K,"&lt;01/06/2022")</f>
        <v>0</v>
      </c>
      <c r="F47" s="21">
        <f>COUNTIFS(E_Suivi_Eans!$C:$C,"04/2022",E_Suivi_Eans!$D:$D,"Ampoules")</f>
        <v>289</v>
      </c>
      <c r="G47" s="21">
        <f t="shared" si="9"/>
        <v>289</v>
      </c>
      <c r="J47" s="20" t="s">
        <v>5317</v>
      </c>
      <c r="K47" s="20" t="s">
        <v>5318</v>
      </c>
      <c r="L47" s="28">
        <f t="shared" si="10"/>
        <v>0.3217993079584775</v>
      </c>
      <c r="M47" s="28">
        <f t="shared" si="10"/>
        <v>8.9965397923875437E-2</v>
      </c>
      <c r="N47" s="28">
        <f t="shared" si="10"/>
        <v>0</v>
      </c>
      <c r="O47" s="28">
        <v>1</v>
      </c>
      <c r="P47" s="28">
        <f t="shared" si="11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COUNTIFS(E_Suivi_Eans!$C:$C,"04/2022",E_Suivi_Eans!$D:$D,"Ampoules",E_Suivi_Eans!$J:$J,"Retour OK",E_Suivi_Eans!$K:$K,"&gt;31/12/2021",E_Suivi_Eans!K:K,"&lt;01/07/2022")</f>
        <v>93</v>
      </c>
      <c r="D48" s="21">
        <f>COUNTIFS(E_Suivi_Eans!$C:$C,"04/2022",E_Suivi_Eans!$D:$D,"Ampoules",E_Suivi_Eans!$J:$J,"Rejet 0",E_Suivi_Eans!$K:$K,"&gt;31/12/2021",E_Suivi_Eans!$K:$K,"&lt;01/07/2022")+ COUNTIFS(E_Suivi_Eans!$C:$C,"04/2022",E_Suivi_Eans!$D:$D,"Ampoules",E_Suivi_Eans!$J:$J,"Rejet 1",E_Suivi_Eans!$K:$K,"&gt;31/12/2021",E_Suivi_Eans!$K:$K,"&lt;01/07/2022")+COUNTIFS(E_Suivi_Eans!$C:$C,"04/2022",E_Suivi_Eans!$D:$D,"Ampoules",E_Suivi_Eans!$J:$J,"Rejet 2",E_Suivi_Eans!$K:$K,"&gt;31/12/2021",E_Suivi_Eans!$K:$K,"&lt;01/07/2022")+COUNTIFS(E_Suivi_Eans!$C:$C,"04/2022",E_Suivi_Eans!$D:$D,"Ampoules",E_Suivi_Eans!$J:$J,"Rejet 3",E_Suivi_Eans!$K:$K,"&gt;31/12/2021",E_Suivi_Eans!$K:$K,"&lt;01/07/2022")+ COUNTIFS(E_Suivi_Eans!$C:$C,"04/2022",E_Suivi_Eans!$D:$D,"Ampoules",E_Suivi_Eans!$J:$J,"Rejet 4",E_Suivi_Eans!$K:$K,"&gt;31/12/2021",E_Suivi_Eans!$K:$K,"&lt;01/07/2022")+COUNTIFS(E_Suivi_Eans!$C:$C,"04/2022",E_Suivi_Eans!$D:$D,"Ampoules",E_Suivi_Eans!$J:$J,"Relance 1",E_Suivi_Eans!$K:$K,"&gt;31/12/2021",E_Suivi_Eans!$K:$K,"&lt;01/07/2022")+COUNTIFS(E_Suivi_Eans!$C:$C,"04/2022",E_Suivi_Eans!$D:$D,"Ampoules",E_Suivi_Eans!$J:$J,"Relance 2",E_Suivi_Eans!$K:$K,"&gt;31/12/2021",E_Suivi_Eans!$K:$K,"&lt;01/07/2022")+COUNTIFS(E_Suivi_Eans!$C:$C,"04/2022",E_Suivi_Eans!$D:$D,"Ampoules",E_Suivi_Eans!$J:$J,"Relance 3",E_Suivi_Eans!$K:$K,"&gt;31/12/2021",E_Suivi_Eans!$K:$K,"&lt;01/07/2022")</f>
        <v>26</v>
      </c>
      <c r="E48" s="21">
        <f>COUNTIFS(E_Suivi_Eans!$C:$C,"04/2022",E_Suivi_Eans!$D:$D,"Ampoules",E_Suivi_Eans!$J:$J,"Abandon",E_Suivi_Eans!$K:$K,"&gt;31/12/2021",E_Suivi_Eans!K:K,"&lt;01/07/2022")</f>
        <v>0</v>
      </c>
      <c r="F48" s="21">
        <f>COUNTIFS(E_Suivi_Eans!$C:$C,"04/2022",E_Suivi_Eans!$D:$D,"Ampoules")</f>
        <v>289</v>
      </c>
      <c r="G48" s="21">
        <f t="shared" si="9"/>
        <v>289</v>
      </c>
      <c r="J48" s="20" t="s">
        <v>5317</v>
      </c>
      <c r="K48" s="20" t="s">
        <v>5319</v>
      </c>
      <c r="L48" s="28">
        <f t="shared" si="10"/>
        <v>0.3217993079584775</v>
      </c>
      <c r="M48" s="28">
        <f t="shared" si="10"/>
        <v>8.9965397923875437E-2</v>
      </c>
      <c r="N48" s="28">
        <f t="shared" si="10"/>
        <v>0</v>
      </c>
      <c r="O48" s="28">
        <v>1</v>
      </c>
      <c r="P48" s="28">
        <f t="shared" si="11"/>
        <v>1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COUNTIFS(E_Suivi_Eans!$C:$C,"04/2022",E_Suivi_Eans!$D:$D,"Ampoules",E_Suivi_Eans!$J:$J,"Retour OK",E_Suivi_Eans!$K:$K,"&gt;31/12/2021",E_Suivi_Eans!K:K,"&lt;01/08/2022")</f>
        <v>93</v>
      </c>
      <c r="D49" s="21">
        <f>COUNTIFS(E_Suivi_Eans!$C:$C,"04/2022",E_Suivi_Eans!$D:$D,"Ampoules",E_Suivi_Eans!$J:$J,"Rejet 0",E_Suivi_Eans!$K:$K,"&gt;31/12/2021",E_Suivi_Eans!$K:$K,"&lt;01/08/2022")+ COUNTIFS(E_Suivi_Eans!$C:$C,"04/2022",E_Suivi_Eans!$D:$D,"Ampoules",E_Suivi_Eans!$J:$J,"Rejet 1",E_Suivi_Eans!$K:$K,"&gt;31/12/2021",E_Suivi_Eans!$K:$K,"&lt;01/08/2022")+COUNTIFS(E_Suivi_Eans!$C:$C,"04/2022",E_Suivi_Eans!$D:$D,"Ampoules",E_Suivi_Eans!$J:$J,"Rejet 2",E_Suivi_Eans!$K:$K,"&gt;31/12/2021",E_Suivi_Eans!$K:$K,"&lt;01/08/2022")+COUNTIFS(E_Suivi_Eans!$C:$C,"04/2022",E_Suivi_Eans!$D:$D,"Ampoules",E_Suivi_Eans!$J:$J,"Rejet 3",E_Suivi_Eans!$K:$K,"&gt;31/12/2021",E_Suivi_Eans!$K:$K,"&lt;01/08/2022")+ COUNTIFS(E_Suivi_Eans!$C:$C,"04/2022",E_Suivi_Eans!$D:$D,"Ampoules",E_Suivi_Eans!$J:$J,"Rejet 4",E_Suivi_Eans!$K:$K,"&gt;31/12/2021",E_Suivi_Eans!$K:$K,"&lt;01/08/2022")+COUNTIFS(E_Suivi_Eans!$C:$C,"04/2022",E_Suivi_Eans!$D:$D,"Ampoules",E_Suivi_Eans!$J:$J,"Relance 1",E_Suivi_Eans!$K:$K,"&gt;31/12/2021",E_Suivi_Eans!$K:$K,"&lt;01/08/2022")+COUNTIFS(E_Suivi_Eans!$C:$C,"04/2022",E_Suivi_Eans!$D:$D,"Ampoules",E_Suivi_Eans!$J:$J,"Relance 2",E_Suivi_Eans!$K:$K,"&gt;31/12/2021",E_Suivi_Eans!$K:$K,"&lt;01/08/2022")+COUNTIFS(E_Suivi_Eans!$C:$C,"04/2022",E_Suivi_Eans!$D:$D,"Ampoules",E_Suivi_Eans!$J:$J,"Relance 3",E_Suivi_Eans!$K:$K,"&gt;31/12/2021",E_Suivi_Eans!$K:$K,"&lt;01/08/2022")</f>
        <v>26</v>
      </c>
      <c r="E49" s="21">
        <f>COUNTIFS(E_Suivi_Eans!$C:$C,"04/2022",E_Suivi_Eans!$D:$D,"Ampoules",E_Suivi_Eans!$J:$J,"Abandon",E_Suivi_Eans!$K:$K,"&gt;31/12/2021",E_Suivi_Eans!K:K,"&lt;01/08/2022")</f>
        <v>0</v>
      </c>
      <c r="F49" s="21">
        <f>COUNTIFS(E_Suivi_Eans!$C:$C,"04/2022",E_Suivi_Eans!$D:$D,"Ampoules")</f>
        <v>289</v>
      </c>
      <c r="G49" s="21">
        <f t="shared" si="9"/>
        <v>289</v>
      </c>
      <c r="J49" s="20" t="s">
        <v>5317</v>
      </c>
      <c r="K49" s="20" t="s">
        <v>5320</v>
      </c>
      <c r="L49" s="28">
        <f t="shared" si="10"/>
        <v>0.3217993079584775</v>
      </c>
      <c r="M49" s="28">
        <f t="shared" si="10"/>
        <v>8.9965397923875437E-2</v>
      </c>
      <c r="N49" s="28">
        <f t="shared" si="10"/>
        <v>0</v>
      </c>
      <c r="O49" s="28">
        <v>1</v>
      </c>
      <c r="P49" s="28">
        <f t="shared" si="11"/>
        <v>1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COUNTIFS(E_Suivi_Eans!$C:$C,"04/2022",E_Suivi_Eans!$D:$D,"Ampoules",E_Suivi_Eans!$J:$J,"Retour OK",E_Suivi_Eans!$K:$K,"&gt;31/12/2021",E_Suivi_Eans!K:K,"&lt;01/09/2022")</f>
        <v>110</v>
      </c>
      <c r="D50" s="21">
        <f>COUNTIFS(E_Suivi_Eans!$C:$C,"04/2022",E_Suivi_Eans!$D:$D,"Ampoules",E_Suivi_Eans!$J:$J,"Rejet 0",E_Suivi_Eans!$K:$K,"&gt;31/12/2021",E_Suivi_Eans!$K:$K,"&lt;01/09/2022")+ COUNTIFS(E_Suivi_Eans!$C:$C,"04/2022",E_Suivi_Eans!$D:$D,"Ampoules",E_Suivi_Eans!$J:$J,"Rejet 1",E_Suivi_Eans!$K:$K,"&gt;31/12/2021",E_Suivi_Eans!$K:$K,"&lt;01/09/2022")+COUNTIFS(E_Suivi_Eans!$C:$C,"04/2022",E_Suivi_Eans!$D:$D,"Ampoules",E_Suivi_Eans!$J:$J,"Rejet 2",E_Suivi_Eans!$K:$K,"&gt;31/12/2021",E_Suivi_Eans!$K:$K,"&lt;01/09/2022")+COUNTIFS(E_Suivi_Eans!$C:$C,"04/2022",E_Suivi_Eans!$D:$D,"Ampoules",E_Suivi_Eans!$J:$J,"Rejet 3",E_Suivi_Eans!$K:$K,"&gt;31/12/2021",E_Suivi_Eans!$K:$K,"&lt;01/09/2022")+ COUNTIFS(E_Suivi_Eans!$C:$C,"04/2022",E_Suivi_Eans!$D:$D,"Ampoules",E_Suivi_Eans!$J:$J,"Rejet 4",E_Suivi_Eans!$K:$K,"&gt;31/12/2021",E_Suivi_Eans!$K:$K,"&lt;01/09/2022")+COUNTIFS(E_Suivi_Eans!$C:$C,"04/2022",E_Suivi_Eans!$D:$D,"Ampoules",E_Suivi_Eans!$J:$J,"Relance 1",E_Suivi_Eans!$K:$K,"&gt;31/12/2021",E_Suivi_Eans!$K:$K,"&lt;01/09/2022")+COUNTIFS(E_Suivi_Eans!$C:$C,"04/2022",E_Suivi_Eans!$D:$D,"Ampoules",E_Suivi_Eans!$J:$J,"Relance 2",E_Suivi_Eans!$K:$K,"&gt;31/12/2021",E_Suivi_Eans!$K:$K,"&lt;01/09/2022")+COUNTIFS(E_Suivi_Eans!$C:$C,"04/2022",E_Suivi_Eans!$D:$D,"Ampoules",E_Suivi_Eans!$J:$J,"Relance 3",E_Suivi_Eans!$K:$K,"&gt;31/12/2021",E_Suivi_Eans!$K:$K,"&lt;01/09/2022")</f>
        <v>26</v>
      </c>
      <c r="E50" s="21">
        <f>COUNTIFS(E_Suivi_Eans!$C:$C,"04/2022",E_Suivi_Eans!$D:$D,"Ampoules",E_Suivi_Eans!$J:$J,"Abandon",E_Suivi_Eans!$K:$K,"&gt;31/12/2021",E_Suivi_Eans!K:K,"&lt;01/09/2022")</f>
        <v>0</v>
      </c>
      <c r="F50" s="21">
        <f>COUNTIFS(E_Suivi_Eans!$C:$C,"04/2022",E_Suivi_Eans!$D:$D,"Ampoules")</f>
        <v>289</v>
      </c>
      <c r="G50" s="21">
        <f t="shared" si="9"/>
        <v>289</v>
      </c>
      <c r="J50" s="20" t="s">
        <v>5317</v>
      </c>
      <c r="K50" s="20" t="s">
        <v>5321</v>
      </c>
      <c r="L50" s="28">
        <f t="shared" si="10"/>
        <v>0.38062283737024222</v>
      </c>
      <c r="M50" s="28">
        <f t="shared" si="10"/>
        <v>8.9965397923875437E-2</v>
      </c>
      <c r="N50" s="28">
        <f t="shared" si="10"/>
        <v>0</v>
      </c>
      <c r="O50" s="28">
        <v>1</v>
      </c>
      <c r="P50" s="28">
        <f t="shared" si="11"/>
        <v>1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COUNTIFS(E_Suivi_Eans!$C:$C,"04/2022",E_Suivi_Eans!$D:$D,"Ampoules",E_Suivi_Eans!$J:$J,"Retour OK",E_Suivi_Eans!$K:$K,"&gt;31/12/2021",E_Suivi_Eans!K:K,"&lt;01/10/2022")</f>
        <v>146</v>
      </c>
      <c r="D51" s="21">
        <f>COUNTIFS(E_Suivi_Eans!$C:$C,"04/2022",E_Suivi_Eans!$D:$D,"Ampoules",E_Suivi_Eans!$J:$J,"Rejet 0",E_Suivi_Eans!$K:$K,"&gt;31/12/2021",E_Suivi_Eans!$K:$K,"&lt;01/10/2022")+ COUNTIFS(E_Suivi_Eans!$C:$C,"04/2022",E_Suivi_Eans!$D:$D,"Ampoules",E_Suivi_Eans!$J:$J,"Rejet 1",E_Suivi_Eans!$K:$K,"&gt;31/12/2021",E_Suivi_Eans!$K:$K,"&lt;01/10/2022")+COUNTIFS(E_Suivi_Eans!$C:$C,"04/2022",E_Suivi_Eans!$D:$D,"Ampoules",E_Suivi_Eans!$J:$J,"Rejet 2",E_Suivi_Eans!$K:$K,"&gt;31/12/2021",E_Suivi_Eans!$K:$K,"&lt;01/10/2022")+COUNTIFS(E_Suivi_Eans!$C:$C,"04/2022",E_Suivi_Eans!$D:$D,"Ampoules",E_Suivi_Eans!$J:$J,"Rejet 3",E_Suivi_Eans!$K:$K,"&gt;31/12/2021",E_Suivi_Eans!$K:$K,"&lt;01/10/2022")+ COUNTIFS(E_Suivi_Eans!$C:$C,"04/2022",E_Suivi_Eans!$D:$D,"Ampoules",E_Suivi_Eans!$J:$J,"Rejet 4",E_Suivi_Eans!$K:$K,"&gt;31/12/2021",E_Suivi_Eans!$K:$K,"&lt;01/10/2022")+COUNTIFS(E_Suivi_Eans!$C:$C,"04/2022",E_Suivi_Eans!$D:$D,"Ampoules",E_Suivi_Eans!$J:$J,"Relance 1",E_Suivi_Eans!$K:$K,"&gt;31/12/2021",E_Suivi_Eans!$K:$K,"&lt;01/10/2022")+COUNTIFS(E_Suivi_Eans!$C:$C,"04/2022",E_Suivi_Eans!$D:$D,"Ampoules",E_Suivi_Eans!$J:$J,"Relance 2",E_Suivi_Eans!$K:$K,"&gt;31/12/2021",E_Suivi_Eans!$K:$K,"&lt;01/10/2022")+COUNTIFS(E_Suivi_Eans!$C:$C,"04/2022",E_Suivi_Eans!$D:$D,"Ampoules",E_Suivi_Eans!$J:$J,"Relance 3",E_Suivi_Eans!$K:$K,"&gt;31/12/2021",E_Suivi_Eans!$K:$K,"&lt;01/10/2022")</f>
        <v>26</v>
      </c>
      <c r="E51" s="21">
        <f>COUNTIFS(E_Suivi_Eans!$C:$C,"04/2022",E_Suivi_Eans!$D:$D,"Ampoules",E_Suivi_Eans!$J:$J,"Abandon",E_Suivi_Eans!$K:$K,"&gt;31/12/2021",E_Suivi_Eans!K:K,"&lt;01/10/2022")</f>
        <v>0</v>
      </c>
      <c r="F51" s="21">
        <f>COUNTIFS(E_Suivi_Eans!$C:$C,"04/2022",E_Suivi_Eans!$D:$D,"Ampoules")</f>
        <v>289</v>
      </c>
      <c r="G51" s="21">
        <f t="shared" si="9"/>
        <v>289</v>
      </c>
      <c r="J51" s="20" t="s">
        <v>5317</v>
      </c>
      <c r="K51" s="20" t="s">
        <v>5325</v>
      </c>
      <c r="L51" s="28">
        <f t="shared" si="10"/>
        <v>0.50519031141868509</v>
      </c>
      <c r="M51" s="28">
        <f t="shared" si="10"/>
        <v>8.9965397923875437E-2</v>
      </c>
      <c r="N51" s="28">
        <f t="shared" si="10"/>
        <v>0</v>
      </c>
      <c r="O51" s="28">
        <v>1</v>
      </c>
      <c r="P51" s="28">
        <f t="shared" si="11"/>
        <v>1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COUNTIFS(E_Suivi_Eans!$C:$C,"04/2022",E_Suivi_Eans!$D:$D,"Ampoules",E_Suivi_Eans!$J:$J,"Retour OK",E_Suivi_Eans!$K:$K,"&gt;31/12/2021",E_Suivi_Eans!K:K,"&lt;01/11/2022")</f>
        <v>204</v>
      </c>
      <c r="D52" s="21">
        <f>COUNTIFS(E_Suivi_Eans!$C:$C,"04/2022",E_Suivi_Eans!$D:$D,"Ampoules",E_Suivi_Eans!$J:$J,"Rejet 0",E_Suivi_Eans!$K:$K,"&gt;31/12/2021",E_Suivi_Eans!$K:$K,"&lt;01/11/2022")+ COUNTIFS(E_Suivi_Eans!$C:$C,"04/2022",E_Suivi_Eans!$D:$D,"Ampoules",E_Suivi_Eans!$J:$J,"Rejet 1",E_Suivi_Eans!$K:$K,"&gt;31/12/2021",E_Suivi_Eans!$K:$K,"&lt;01/11/2022")+COUNTIFS(E_Suivi_Eans!$C:$C,"04/2022",E_Suivi_Eans!$D:$D,"Ampoules",E_Suivi_Eans!$J:$J,"Rejet 2",E_Suivi_Eans!$K:$K,"&gt;31/12/2021",E_Suivi_Eans!$K:$K,"&lt;01/11/2022")+COUNTIFS(E_Suivi_Eans!$C:$C,"04/2022",E_Suivi_Eans!$D:$D,"Ampoules",E_Suivi_Eans!$J:$J,"Rejet 3",E_Suivi_Eans!$K:$K,"&gt;31/12/2021",E_Suivi_Eans!$K:$K,"&lt;01/11/2022")+ COUNTIFS(E_Suivi_Eans!$C:$C,"04/2022",E_Suivi_Eans!$D:$D,"Ampoules",E_Suivi_Eans!$J:$J,"Rejet 4",E_Suivi_Eans!$K:$K,"&gt;31/12/2021",E_Suivi_Eans!$K:$K,"&lt;01/11/2022")+COUNTIFS(E_Suivi_Eans!$C:$C,"04/2022",E_Suivi_Eans!$D:$D,"Ampoules",E_Suivi_Eans!$J:$J,"Relance 1",E_Suivi_Eans!$K:$K,"&gt;31/12/2021",E_Suivi_Eans!$K:$K,"&lt;01/11/2022")+COUNTIFS(E_Suivi_Eans!$C:$C,"04/2022",E_Suivi_Eans!$D:$D,"Ampoules",E_Suivi_Eans!$J:$J,"Relance 2",E_Suivi_Eans!$K:$K,"&gt;31/12/2021",E_Suivi_Eans!$K:$K,"&lt;01/11/2022")+COUNTIFS(E_Suivi_Eans!$C:$C,"04/2022",E_Suivi_Eans!$D:$D,"Ampoules",E_Suivi_Eans!$J:$J,"Relance 3",E_Suivi_Eans!$K:$K,"&gt;31/12/2021",E_Suivi_Eans!$K:$K,"&lt;01/11/2022")</f>
        <v>26</v>
      </c>
      <c r="E52" s="21">
        <f>COUNTIFS(E_Suivi_Eans!$C:$C,"04/2022",E_Suivi_Eans!$D:$D,"Ampoules",E_Suivi_Eans!$J:$J,"Abandon",E_Suivi_Eans!$K:$K,"&gt;31/12/2021",E_Suivi_Eans!K:K,"&lt;01/11/2022")</f>
        <v>0</v>
      </c>
      <c r="F52" s="21">
        <f>COUNTIFS(E_Suivi_Eans!$C:$C,"04/2022",E_Suivi_Eans!$D:$D,"Ampoules")</f>
        <v>289</v>
      </c>
      <c r="G52" s="21">
        <f t="shared" si="9"/>
        <v>289</v>
      </c>
      <c r="J52" s="20" t="s">
        <v>5317</v>
      </c>
      <c r="K52" s="20" t="s">
        <v>5326</v>
      </c>
      <c r="L52" s="28">
        <f t="shared" si="10"/>
        <v>0.70588235294117652</v>
      </c>
      <c r="M52" s="28">
        <f t="shared" si="10"/>
        <v>8.9965397923875437E-2</v>
      </c>
      <c r="N52" s="28">
        <f t="shared" si="10"/>
        <v>0</v>
      </c>
      <c r="O52" s="28">
        <v>1</v>
      </c>
      <c r="P52" s="28">
        <f t="shared" si="11"/>
        <v>1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COUNTIFS(E_Suivi_Eans!$C:$C,"04/2022",E_Suivi_Eans!$D:$D,"Ampoules",E_Suivi_Eans!$J:$J,"Retour OK",E_Suivi_Eans!$K:$K,"&gt;31/12/2021",E_Suivi_Eans!K:K,"&lt;01/12/2022")</f>
        <v>263</v>
      </c>
      <c r="D53" s="21">
        <f>COUNTIFS(E_Suivi_Eans!$C:$C,"04/2022",E_Suivi_Eans!$D:$D,"Ampoules",E_Suivi_Eans!$J:$J,"Rejet 0",E_Suivi_Eans!$K:$K,"&gt;31/12/2021",E_Suivi_Eans!$K:$K,"&lt;01/12/2022")+ COUNTIFS(E_Suivi_Eans!$C:$C,"04/2022",E_Suivi_Eans!$D:$D,"Ampoules",E_Suivi_Eans!$J:$J,"Rejet 1",E_Suivi_Eans!$K:$K,"&gt;31/12/2021",E_Suivi_Eans!$K:$K,"&lt;01/12/2022")+COUNTIFS(E_Suivi_Eans!$C:$C,"04/2022",E_Suivi_Eans!$D:$D,"Ampoules",E_Suivi_Eans!$J:$J,"Rejet 2",E_Suivi_Eans!$K:$K,"&gt;31/12/2021",E_Suivi_Eans!$K:$K,"&lt;01/12/2022")+COUNTIFS(E_Suivi_Eans!$C:$C,"04/2022",E_Suivi_Eans!$D:$D,"Ampoules",E_Suivi_Eans!$J:$J,"Rejet 3",E_Suivi_Eans!$K:$K,"&gt;31/12/2021",E_Suivi_Eans!$K:$K,"&lt;01/12/2022")+ COUNTIFS(E_Suivi_Eans!$C:$C,"04/2022",E_Suivi_Eans!$D:$D,"Ampoules",E_Suivi_Eans!$J:$J,"Rejet 4",E_Suivi_Eans!$K:$K,"&gt;31/12/2021",E_Suivi_Eans!$K:$K,"&lt;01/12/2022")+COUNTIFS(E_Suivi_Eans!$C:$C,"04/2022",E_Suivi_Eans!$D:$D,"Ampoules",E_Suivi_Eans!$J:$J,"Relance 1",E_Suivi_Eans!$K:$K,"&gt;31/12/2021",E_Suivi_Eans!$K:$K,"&lt;01/12/2022")+COUNTIFS(E_Suivi_Eans!$C:$C,"04/2022",E_Suivi_Eans!$D:$D,"Ampoules",E_Suivi_Eans!$J:$J,"Relance 2",E_Suivi_Eans!$K:$K,"&gt;31/12/2021",E_Suivi_Eans!$K:$K,"&lt;01/12/2022")+COUNTIFS(E_Suivi_Eans!$C:$C,"04/2022",E_Suivi_Eans!$D:$D,"Ampoules",E_Suivi_Eans!$J:$J,"Relance 3",E_Suivi_Eans!$K:$K,"&gt;31/12/2021",E_Suivi_Eans!$K:$K,"&lt;01/12/2022")</f>
        <v>26</v>
      </c>
      <c r="E53" s="21">
        <f>COUNTIFS(E_Suivi_Eans!$C:$C,"04/2022",E_Suivi_Eans!$D:$D,"Ampoules",E_Suivi_Eans!$J:$J,"Abandon",E_Suivi_Eans!$K:$K,"&gt;31/12/2021",E_Suivi_Eans!K:K,"&lt;01/12/2022")</f>
        <v>0</v>
      </c>
      <c r="F53" s="21">
        <f>COUNTIFS(E_Suivi_Eans!$C:$C,"04/2022",E_Suivi_Eans!$D:$D,"Ampoules")</f>
        <v>289</v>
      </c>
      <c r="G53" s="21">
        <f t="shared" si="9"/>
        <v>289</v>
      </c>
      <c r="J53" s="20" t="s">
        <v>5317</v>
      </c>
      <c r="K53" s="20" t="s">
        <v>5327</v>
      </c>
      <c r="L53" s="28">
        <f t="shared" si="10"/>
        <v>0.91003460207612452</v>
      </c>
      <c r="M53" s="28">
        <f t="shared" si="10"/>
        <v>8.9965397923875437E-2</v>
      </c>
      <c r="N53" s="28">
        <f t="shared" si="10"/>
        <v>0</v>
      </c>
      <c r="O53" s="28">
        <v>1</v>
      </c>
      <c r="P53" s="28">
        <f t="shared" si="11"/>
        <v>1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8"/>
      <c r="P54" s="28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5"/>
      <c r="E55" s="25"/>
      <c r="F55" s="25"/>
      <c r="G55" s="25"/>
      <c r="J55" s="22"/>
      <c r="K55" s="22"/>
      <c r="L55" s="23"/>
      <c r="M55" s="25"/>
      <c r="N55" s="25"/>
      <c r="O55" s="31"/>
      <c r="P55" s="31"/>
      <c r="S55" s="22"/>
      <c r="T55" s="22"/>
      <c r="U55" s="23"/>
      <c r="V55" s="25"/>
      <c r="W55" s="25"/>
      <c r="X55" s="25"/>
      <c r="Y55" s="25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8"/>
      <c r="P56" s="28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8"/>
      <c r="P57" s="28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8"/>
      <c r="P58" s="28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3"/>
      <c r="J59" s="20" t="s">
        <v>5318</v>
      </c>
      <c r="K59" s="20" t="s">
        <v>5317</v>
      </c>
      <c r="L59" s="21"/>
      <c r="M59" s="21"/>
      <c r="N59" s="21"/>
      <c r="O59" s="28"/>
      <c r="P59" s="28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COUNTIFS(E_Suivi_Eans!$C:$C,"05/2022",E_Suivi_Eans!$D:$D,"Ampoules",E_Suivi_Eans!$J:$J,"Retour OK",E_Suivi_Eans!$K:$K,"&gt;31/12/2021",E_Suivi_Eans!K:K,"&lt;01/06/2022")</f>
        <v>0</v>
      </c>
      <c r="D60" s="21">
        <f>COUNTIFS(E_Suivi_Eans!$C:$C,"05/2022",E_Suivi_Eans!$D:$D,"Ampoules",E_Suivi_Eans!$J:$J,"Rejet 0",E_Suivi_Eans!$K:$K,"&gt;31/12/2021",E_Suivi_Eans!$K:$K,"&lt;01/06/2022")+ COUNTIFS(E_Suivi_Eans!$C:$C,"05/2022",E_Suivi_Eans!$D:$D,"Ampoules",E_Suivi_Eans!$J:$J,"Rejet 1",E_Suivi_Eans!$K:$K,"&gt;31/12/2021",E_Suivi_Eans!$K:$K,"&lt;01/06/2022")+COUNTIFS(E_Suivi_Eans!$C:$C,"05/2022",E_Suivi_Eans!$D:$D,"Ampoules",E_Suivi_Eans!$J:$J,"Rejet 2",E_Suivi_Eans!$K:$K,"&gt;31/12/2021",E_Suivi_Eans!$K:$K,"&lt;01/06/2022")+COUNTIFS(E_Suivi_Eans!$C:$C,"05/2022",E_Suivi_Eans!$D:$D,"Ampoules",E_Suivi_Eans!$J:$J,"Rejet 3",E_Suivi_Eans!$K:$K,"&gt;31/12/2021",E_Suivi_Eans!$K:$K,"&lt;01/06/2022")+ COUNTIFS(E_Suivi_Eans!$C:$C,"05/2022",E_Suivi_Eans!$D:$D,"Ampoules",E_Suivi_Eans!$J:$J,"Rejet 4",E_Suivi_Eans!$K:$K,"&gt;31/12/2021",E_Suivi_Eans!$K:$K,"&lt;01/06/2022")+COUNTIFS(E_Suivi_Eans!$C:$C,"05/2022",E_Suivi_Eans!$D:$D,"Ampoules",E_Suivi_Eans!$J:$J,"Relance 1",E_Suivi_Eans!$K:$K,"&gt;31/12/2021",E_Suivi_Eans!$K:$K,"&lt;01/06/2022")+COUNTIFS(E_Suivi_Eans!$C:$C,"05/2022",E_Suivi_Eans!$D:$D,"Ampoules",E_Suivi_Eans!$J:$J,"Relance 2",E_Suivi_Eans!$K:$K,"&gt;31/12/2021",E_Suivi_Eans!$K:$K,"&lt;01/06/2022")+COUNTIFS(E_Suivi_Eans!$C:$C,"05/2022",E_Suivi_Eans!$D:$D,"Ampoules",E_Suivi_Eans!$J:$J,"Relance 3",E_Suivi_Eans!$K:$K,"&gt;31/12/2021",E_Suivi_Eans!$K:$K,"&lt;01/06/2022")</f>
        <v>0</v>
      </c>
      <c r="E60" s="21">
        <f>COUNTIFS(E_Suivi_Eans!$C:$C,"05/2022",E_Suivi_Eans!$D:$D,"Ampoules",E_Suivi_Eans!$J:$J,"Abandon",E_Suivi_Eans!$K:$K,"&gt;31/12/2021",E_Suivi_Eans!K:K,"&lt;01/06/2022")</f>
        <v>0</v>
      </c>
      <c r="F60" s="21">
        <f>COUNTIFS(E_Suivi_Eans!$C:$C,"05/2022",E_Suivi_Eans!$D:$D,"Ampoules")</f>
        <v>0</v>
      </c>
      <c r="G60" s="21">
        <f t="shared" ref="G60:G66" si="12">F60-E60</f>
        <v>0</v>
      </c>
      <c r="J60" s="20" t="s">
        <v>5318</v>
      </c>
      <c r="K60" s="20" t="s">
        <v>5318</v>
      </c>
      <c r="L60" s="28">
        <f>IF($G60=0,0,C60/$G60)</f>
        <v>0</v>
      </c>
      <c r="M60" s="28">
        <f t="shared" ref="M60:N66" si="13">IF($G60=0,0,D60/$G60)</f>
        <v>0</v>
      </c>
      <c r="N60" s="28">
        <f t="shared" si="13"/>
        <v>0</v>
      </c>
      <c r="O60" s="28">
        <v>1</v>
      </c>
      <c r="P60" s="28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COUNTIFS(E_Suivi_Eans!$C:$C,"05/2022",E_Suivi_Eans!$D:$D,"Ampoules",E_Suivi_Eans!$J:$J,"Retour OK",E_Suivi_Eans!$K:$K,"&gt;31/12/2021",E_Suivi_Eans!K:K,"&lt;01/07/2022")</f>
        <v>0</v>
      </c>
      <c r="D61" s="21">
        <f>COUNTIFS(E_Suivi_Eans!$C:$C,"05/2022",E_Suivi_Eans!$D:$D,"Ampoules",E_Suivi_Eans!$J:$J,"Rejet 0",E_Suivi_Eans!$K:$K,"&gt;31/12/2021",E_Suivi_Eans!$K:$K,"&lt;01/07/2022")+ COUNTIFS(E_Suivi_Eans!$C:$C,"05/2022",E_Suivi_Eans!$D:$D,"Ampoules",E_Suivi_Eans!$J:$J,"Rejet 1",E_Suivi_Eans!$K:$K,"&gt;31/12/2021",E_Suivi_Eans!$K:$K,"&lt;01/07/2022")+COUNTIFS(E_Suivi_Eans!$C:$C,"05/2022",E_Suivi_Eans!$D:$D,"Ampoules",E_Suivi_Eans!$J:$J,"Rejet 2",E_Suivi_Eans!$K:$K,"&gt;31/12/2021",E_Suivi_Eans!$K:$K,"&lt;01/07/2022")+COUNTIFS(E_Suivi_Eans!$C:$C,"05/2022",E_Suivi_Eans!$D:$D,"Ampoules",E_Suivi_Eans!$J:$J,"Rejet 3",E_Suivi_Eans!$K:$K,"&gt;31/12/2021",E_Suivi_Eans!$K:$K,"&lt;01/07/2022")+ COUNTIFS(E_Suivi_Eans!$C:$C,"05/2022",E_Suivi_Eans!$D:$D,"Ampoules",E_Suivi_Eans!$J:$J,"Rejet 4",E_Suivi_Eans!$K:$K,"&gt;31/12/2021",E_Suivi_Eans!$K:$K,"&lt;01/07/2022")+COUNTIFS(E_Suivi_Eans!$C:$C,"05/2022",E_Suivi_Eans!$D:$D,"Ampoules",E_Suivi_Eans!$J:$J,"Relance 1",E_Suivi_Eans!$K:$K,"&gt;31/12/2021",E_Suivi_Eans!$K:$K,"&lt;01/07/2022")+COUNTIFS(E_Suivi_Eans!$C:$C,"05/2022",E_Suivi_Eans!$D:$D,"Ampoules",E_Suivi_Eans!$J:$J,"Relance 2",E_Suivi_Eans!$K:$K,"&gt;31/12/2021",E_Suivi_Eans!$K:$K,"&lt;01/07/2022")+COUNTIFS(E_Suivi_Eans!$C:$C,"05/2022",E_Suivi_Eans!$D:$D,"Ampoules",E_Suivi_Eans!$J:$J,"Relance 3",E_Suivi_Eans!$K:$K,"&gt;31/12/2021",E_Suivi_Eans!$K:$K,"&lt;01/07/2022")</f>
        <v>0</v>
      </c>
      <c r="E61" s="21">
        <f>COUNTIFS(E_Suivi_Eans!$C:$C,"05/2022",E_Suivi_Eans!$D:$D,"Ampoules",E_Suivi_Eans!$J:$J,"Abandon",E_Suivi_Eans!$K:$K,"&gt;31/12/2021",E_Suivi_Eans!K:K,"&lt;01/07/2022")</f>
        <v>0</v>
      </c>
      <c r="F61" s="21">
        <f>COUNTIFS(E_Suivi_Eans!$C:$C,"05/2022",E_Suivi_Eans!$D:$D,"Ampoules")</f>
        <v>0</v>
      </c>
      <c r="G61" s="21">
        <f t="shared" si="12"/>
        <v>0</v>
      </c>
      <c r="J61" s="20" t="s">
        <v>5318</v>
      </c>
      <c r="K61" s="20" t="s">
        <v>5319</v>
      </c>
      <c r="L61" s="28">
        <f t="shared" ref="L61:L66" si="15">IF($G61=0,0,C61/$G61)</f>
        <v>0</v>
      </c>
      <c r="M61" s="28">
        <f t="shared" si="13"/>
        <v>0</v>
      </c>
      <c r="N61" s="28">
        <f t="shared" si="13"/>
        <v>0</v>
      </c>
      <c r="O61" s="28">
        <v>1</v>
      </c>
      <c r="P61" s="28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COUNTIFS(E_Suivi_Eans!$C:$C,"05/2022",E_Suivi_Eans!$D:$D,"Ampoules",E_Suivi_Eans!$J:$J,"Retour OK",E_Suivi_Eans!$K:$K,"&gt;31/12/2021",E_Suivi_Eans!K:K,"&lt;01/08/2022")</f>
        <v>0</v>
      </c>
      <c r="D62" s="21">
        <f>COUNTIFS(E_Suivi_Eans!$C:$C,"05/2022",E_Suivi_Eans!$D:$D,"Ampoules",E_Suivi_Eans!$J:$J,"Rejet 0",E_Suivi_Eans!$K:$K,"&gt;31/12/2021",E_Suivi_Eans!$K:$K,"&lt;01/08/2022")+ COUNTIFS(E_Suivi_Eans!$C:$C,"05/2022",E_Suivi_Eans!$D:$D,"Ampoules",E_Suivi_Eans!$J:$J,"Rejet 1",E_Suivi_Eans!$K:$K,"&gt;31/12/2021",E_Suivi_Eans!$K:$K,"&lt;01/08/2022")+COUNTIFS(E_Suivi_Eans!$C:$C,"05/2022",E_Suivi_Eans!$D:$D,"Ampoules",E_Suivi_Eans!$J:$J,"Rejet 2",E_Suivi_Eans!$K:$K,"&gt;31/12/2021",E_Suivi_Eans!$K:$K,"&lt;01/08/2022")+COUNTIFS(E_Suivi_Eans!$C:$C,"05/2022",E_Suivi_Eans!$D:$D,"Ampoules",E_Suivi_Eans!$J:$J,"Rejet 3",E_Suivi_Eans!$K:$K,"&gt;31/12/2021",E_Suivi_Eans!$K:$K,"&lt;01/08/2022")+ COUNTIFS(E_Suivi_Eans!$C:$C,"05/2022",E_Suivi_Eans!$D:$D,"Ampoules",E_Suivi_Eans!$J:$J,"Rejet 4",E_Suivi_Eans!$K:$K,"&gt;31/12/2021",E_Suivi_Eans!$K:$K,"&lt;01/08/2022")+COUNTIFS(E_Suivi_Eans!$C:$C,"05/2022",E_Suivi_Eans!$D:$D,"Ampoules",E_Suivi_Eans!$J:$J,"Relance 1",E_Suivi_Eans!$K:$K,"&gt;31/12/2021",E_Suivi_Eans!$K:$K,"&lt;01/08/2022")+COUNTIFS(E_Suivi_Eans!$C:$C,"05/2022",E_Suivi_Eans!$D:$D,"Ampoules",E_Suivi_Eans!$J:$J,"Relance 2",E_Suivi_Eans!$K:$K,"&gt;31/12/2021",E_Suivi_Eans!$K:$K,"&lt;01/08/2022")+COUNTIFS(E_Suivi_Eans!$C:$C,"05/2022",E_Suivi_Eans!$D:$D,"Ampoules",E_Suivi_Eans!$J:$J,"Relance 3",E_Suivi_Eans!$K:$K,"&gt;31/12/2021",E_Suivi_Eans!$K:$K,"&lt;01/08/2022")</f>
        <v>0</v>
      </c>
      <c r="E62" s="21">
        <f>COUNTIFS(E_Suivi_Eans!$C:$C,"05/2022",E_Suivi_Eans!$D:$D,"Ampoules",E_Suivi_Eans!$J:$J,"Abandon",E_Suivi_Eans!$K:$K,"&gt;31/12/2021",E_Suivi_Eans!K:K,"&lt;01/08/2022")</f>
        <v>0</v>
      </c>
      <c r="F62" s="21">
        <f>COUNTIFS(E_Suivi_Eans!$C:$C,"05/2022",E_Suivi_Eans!$D:$D,"Ampoules")</f>
        <v>0</v>
      </c>
      <c r="G62" s="21">
        <f t="shared" si="12"/>
        <v>0</v>
      </c>
      <c r="J62" s="20" t="s">
        <v>5318</v>
      </c>
      <c r="K62" s="20" t="s">
        <v>5320</v>
      </c>
      <c r="L62" s="28">
        <f t="shared" si="15"/>
        <v>0</v>
      </c>
      <c r="M62" s="28">
        <f t="shared" si="13"/>
        <v>0</v>
      </c>
      <c r="N62" s="28">
        <f t="shared" si="13"/>
        <v>0</v>
      </c>
      <c r="O62" s="28">
        <v>1</v>
      </c>
      <c r="P62" s="28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COUNTIFS(E_Suivi_Eans!$C:$C,"05/2022",E_Suivi_Eans!$D:$D,"Ampoules",E_Suivi_Eans!$J:$J,"Retour OK",E_Suivi_Eans!$K:$K,"&gt;31/12/2021",E_Suivi_Eans!K:K,"&lt;01/09/2022")</f>
        <v>0</v>
      </c>
      <c r="D63" s="21">
        <f>COUNTIFS(E_Suivi_Eans!$C:$C,"05/2022",E_Suivi_Eans!$D:$D,"Ampoules",E_Suivi_Eans!$J:$J,"Rejet 0",E_Suivi_Eans!$K:$K,"&gt;31/12/2021",E_Suivi_Eans!$K:$K,"&lt;01/09/2022")+ COUNTIFS(E_Suivi_Eans!$C:$C,"05/2022",E_Suivi_Eans!$D:$D,"Ampoules",E_Suivi_Eans!$J:$J,"Rejet 1",E_Suivi_Eans!$K:$K,"&gt;31/12/2021",E_Suivi_Eans!$K:$K,"&lt;01/09/2022")+COUNTIFS(E_Suivi_Eans!$C:$C,"05/2022",E_Suivi_Eans!$D:$D,"Ampoules",E_Suivi_Eans!$J:$J,"Rejet 2",E_Suivi_Eans!$K:$K,"&gt;31/12/2021",E_Suivi_Eans!$K:$K,"&lt;01/09/2022")+COUNTIFS(E_Suivi_Eans!$C:$C,"05/2022",E_Suivi_Eans!$D:$D,"Ampoules",E_Suivi_Eans!$J:$J,"Rejet 3",E_Suivi_Eans!$K:$K,"&gt;31/12/2021",E_Suivi_Eans!$K:$K,"&lt;01/09/2022")+ COUNTIFS(E_Suivi_Eans!$C:$C,"05/2022",E_Suivi_Eans!$D:$D,"Ampoules",E_Suivi_Eans!$J:$J,"Rejet 4",E_Suivi_Eans!$K:$K,"&gt;31/12/2021",E_Suivi_Eans!$K:$K,"&lt;01/09/2022")+COUNTIFS(E_Suivi_Eans!$C:$C,"05/2022",E_Suivi_Eans!$D:$D,"Ampoules",E_Suivi_Eans!$J:$J,"Relance 1",E_Suivi_Eans!$K:$K,"&gt;31/12/2021",E_Suivi_Eans!$K:$K,"&lt;01/09/2022")+COUNTIFS(E_Suivi_Eans!$C:$C,"05/2022",E_Suivi_Eans!$D:$D,"Ampoules",E_Suivi_Eans!$J:$J,"Relance 2",E_Suivi_Eans!$K:$K,"&gt;31/12/2021",E_Suivi_Eans!$K:$K,"&lt;01/09/2022")+COUNTIFS(E_Suivi_Eans!$C:$C,"05/2022",E_Suivi_Eans!$D:$D,"Ampoules",E_Suivi_Eans!$J:$J,"Relance 3",E_Suivi_Eans!$K:$K,"&gt;31/12/2021",E_Suivi_Eans!$K:$K,"&lt;01/09/2022")</f>
        <v>0</v>
      </c>
      <c r="E63" s="21">
        <f>COUNTIFS(E_Suivi_Eans!$C:$C,"05/2022",E_Suivi_Eans!$D:$D,"Ampoules",E_Suivi_Eans!$J:$J,"Abandon",E_Suivi_Eans!$K:$K,"&gt;31/12/2021",E_Suivi_Eans!K:K,"&lt;01/09/2022")</f>
        <v>0</v>
      </c>
      <c r="F63" s="21">
        <f>COUNTIFS(E_Suivi_Eans!$C:$C,"05/2022",E_Suivi_Eans!$D:$D,"Ampoules")</f>
        <v>0</v>
      </c>
      <c r="G63" s="21">
        <f t="shared" si="12"/>
        <v>0</v>
      </c>
      <c r="J63" s="20" t="s">
        <v>5318</v>
      </c>
      <c r="K63" s="20" t="s">
        <v>5321</v>
      </c>
      <c r="L63" s="28">
        <f t="shared" si="15"/>
        <v>0</v>
      </c>
      <c r="M63" s="28">
        <f t="shared" si="13"/>
        <v>0</v>
      </c>
      <c r="N63" s="28">
        <f t="shared" si="13"/>
        <v>0</v>
      </c>
      <c r="O63" s="28">
        <v>1</v>
      </c>
      <c r="P63" s="28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COUNTIFS(E_Suivi_Eans!$C:$C,"05/2022",E_Suivi_Eans!$D:$D,"Ampoules",E_Suivi_Eans!$J:$J,"Retour OK",E_Suivi_Eans!$K:$K,"&gt;31/12/2021",E_Suivi_Eans!K:K,"&lt;01/10/2022")</f>
        <v>0</v>
      </c>
      <c r="D64" s="21">
        <f>COUNTIFS(E_Suivi_Eans!$C:$C,"05/2022",E_Suivi_Eans!$D:$D,"Ampoules",E_Suivi_Eans!$J:$J,"Rejet 0",E_Suivi_Eans!$K:$K,"&gt;31/12/2021",E_Suivi_Eans!$K:$K,"&lt;01/10/2022")+ COUNTIFS(E_Suivi_Eans!$C:$C,"05/2022",E_Suivi_Eans!$D:$D,"Ampoules",E_Suivi_Eans!$J:$J,"Rejet 1",E_Suivi_Eans!$K:$K,"&gt;31/12/2021",E_Suivi_Eans!$K:$K,"&lt;01/10/2022")+COUNTIFS(E_Suivi_Eans!$C:$C,"05/2022",E_Suivi_Eans!$D:$D,"Ampoules",E_Suivi_Eans!$J:$J,"Rejet 2",E_Suivi_Eans!$K:$K,"&gt;31/12/2021",E_Suivi_Eans!$K:$K,"&lt;01/10/2022")+COUNTIFS(E_Suivi_Eans!$C:$C,"05/2022",E_Suivi_Eans!$D:$D,"Ampoules",E_Suivi_Eans!$J:$J,"Rejet 3",E_Suivi_Eans!$K:$K,"&gt;31/12/2021",E_Suivi_Eans!$K:$K,"&lt;01/10/2022")+ COUNTIFS(E_Suivi_Eans!$C:$C,"05/2022",E_Suivi_Eans!$D:$D,"Ampoules",E_Suivi_Eans!$J:$J,"Rejet 4",E_Suivi_Eans!$K:$K,"&gt;31/12/2021",E_Suivi_Eans!$K:$K,"&lt;01/10/2022")+COUNTIFS(E_Suivi_Eans!$C:$C,"05/2022",E_Suivi_Eans!$D:$D,"Ampoules",E_Suivi_Eans!$J:$J,"Relance 1",E_Suivi_Eans!$K:$K,"&gt;31/12/2021",E_Suivi_Eans!$K:$K,"&lt;01/10/2022")+COUNTIFS(E_Suivi_Eans!$C:$C,"05/2022",E_Suivi_Eans!$D:$D,"Ampoules",E_Suivi_Eans!$J:$J,"Relance 2",E_Suivi_Eans!$K:$K,"&gt;31/12/2021",E_Suivi_Eans!$K:$K,"&lt;01/10/2022")+COUNTIFS(E_Suivi_Eans!$C:$C,"05/2022",E_Suivi_Eans!$D:$D,"Ampoules",E_Suivi_Eans!$J:$J,"Relance 3",E_Suivi_Eans!$K:$K,"&gt;31/12/2021",E_Suivi_Eans!$K:$K,"&lt;01/10/2022")</f>
        <v>0</v>
      </c>
      <c r="E64" s="21">
        <f>COUNTIFS(E_Suivi_Eans!$C:$C,"05/2022",E_Suivi_Eans!$D:$D,"Ampoules",E_Suivi_Eans!$J:$J,"Abandon",E_Suivi_Eans!$K:$K,"&gt;31/12/2021",E_Suivi_Eans!K:K,"&lt;01/10/2022")</f>
        <v>0</v>
      </c>
      <c r="F64" s="21">
        <f>COUNTIFS(E_Suivi_Eans!$C:$C,"05/2022",E_Suivi_Eans!$D:$D,"Ampoules")</f>
        <v>0</v>
      </c>
      <c r="G64" s="21">
        <f t="shared" si="12"/>
        <v>0</v>
      </c>
      <c r="J64" s="20" t="s">
        <v>5318</v>
      </c>
      <c r="K64" s="20" t="s">
        <v>5325</v>
      </c>
      <c r="L64" s="28">
        <f t="shared" si="15"/>
        <v>0</v>
      </c>
      <c r="M64" s="28">
        <f t="shared" si="13"/>
        <v>0</v>
      </c>
      <c r="N64" s="28">
        <f t="shared" si="13"/>
        <v>0</v>
      </c>
      <c r="O64" s="28">
        <v>1</v>
      </c>
      <c r="P64" s="28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COUNTIFS(E_Suivi_Eans!$C:$C,"05/2022",E_Suivi_Eans!$D:$D,"Ampoules",E_Suivi_Eans!$J:$J,"Retour OK",E_Suivi_Eans!$K:$K,"&gt;31/12/2021",E_Suivi_Eans!K:K,"&lt;01/11/2022")</f>
        <v>0</v>
      </c>
      <c r="D65" s="21">
        <f>COUNTIFS(E_Suivi_Eans!$C:$C,"05/2022",E_Suivi_Eans!$D:$D,"Ampoules",E_Suivi_Eans!$J:$J,"Rejet 0",E_Suivi_Eans!$K:$K,"&gt;31/12/2021",E_Suivi_Eans!$K:$K,"&lt;01/11/2022")+ COUNTIFS(E_Suivi_Eans!$C:$C,"05/2022",E_Suivi_Eans!$D:$D,"Ampoules",E_Suivi_Eans!$J:$J,"Rejet 1",E_Suivi_Eans!$K:$K,"&gt;31/12/2021",E_Suivi_Eans!$K:$K,"&lt;01/11/2022")+COUNTIFS(E_Suivi_Eans!$C:$C,"05/2022",E_Suivi_Eans!$D:$D,"Ampoules",E_Suivi_Eans!$J:$J,"Rejet 2",E_Suivi_Eans!$K:$K,"&gt;31/12/2021",E_Suivi_Eans!$K:$K,"&lt;01/11/2022")+COUNTIFS(E_Suivi_Eans!$C:$C,"05/2022",E_Suivi_Eans!$D:$D,"Ampoules",E_Suivi_Eans!$J:$J,"Rejet 3",E_Suivi_Eans!$K:$K,"&gt;31/12/2021",E_Suivi_Eans!$K:$K,"&lt;01/11/2022")+ COUNTIFS(E_Suivi_Eans!$C:$C,"05/2022",E_Suivi_Eans!$D:$D,"Ampoules",E_Suivi_Eans!$J:$J,"Rejet 4",E_Suivi_Eans!$K:$K,"&gt;31/12/2021",E_Suivi_Eans!$K:$K,"&lt;01/11/2022")+COUNTIFS(E_Suivi_Eans!$C:$C,"05/2022",E_Suivi_Eans!$D:$D,"Ampoules",E_Suivi_Eans!$J:$J,"Relance 1",E_Suivi_Eans!$K:$K,"&gt;31/12/2021",E_Suivi_Eans!$K:$K,"&lt;01/11/2022")+COUNTIFS(E_Suivi_Eans!$C:$C,"05/2022",E_Suivi_Eans!$D:$D,"Ampoules",E_Suivi_Eans!$J:$J,"Relance 2",E_Suivi_Eans!$K:$K,"&gt;31/12/2021",E_Suivi_Eans!$K:$K,"&lt;01/11/2022")+COUNTIFS(E_Suivi_Eans!$C:$C,"05/2022",E_Suivi_Eans!$D:$D,"Ampoules",E_Suivi_Eans!$J:$J,"Relance 3",E_Suivi_Eans!$K:$K,"&gt;31/12/2021",E_Suivi_Eans!$K:$K,"&lt;01/11/2022")</f>
        <v>0</v>
      </c>
      <c r="E65" s="21">
        <f>COUNTIFS(E_Suivi_Eans!$C:$C,"05/2022",E_Suivi_Eans!$D:$D,"Ampoules",E_Suivi_Eans!$J:$J,"Abandon",E_Suivi_Eans!$K:$K,"&gt;31/12/2021",E_Suivi_Eans!K:K,"&lt;01/11/2022")</f>
        <v>0</v>
      </c>
      <c r="F65" s="21">
        <f>COUNTIFS(E_Suivi_Eans!$C:$C,"05/2022",E_Suivi_Eans!$D:$D,"Ampoules")</f>
        <v>0</v>
      </c>
      <c r="G65" s="21">
        <f t="shared" si="12"/>
        <v>0</v>
      </c>
      <c r="J65" s="20" t="s">
        <v>5318</v>
      </c>
      <c r="K65" s="20" t="s">
        <v>5326</v>
      </c>
      <c r="L65" s="28">
        <f t="shared" si="15"/>
        <v>0</v>
      </c>
      <c r="M65" s="28">
        <f t="shared" si="13"/>
        <v>0</v>
      </c>
      <c r="N65" s="28">
        <f t="shared" si="13"/>
        <v>0</v>
      </c>
      <c r="O65" s="28">
        <v>1</v>
      </c>
      <c r="P65" s="28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COUNTIFS(E_Suivi_Eans!$C:$C,"05/2022",E_Suivi_Eans!$D:$D,"Ampoules",E_Suivi_Eans!$J:$J,"Retour OK",E_Suivi_Eans!$K:$K,"&gt;31/12/2021",E_Suivi_Eans!K:K,"&lt;01/12/2022")</f>
        <v>0</v>
      </c>
      <c r="D66" s="21">
        <f>COUNTIFS(E_Suivi_Eans!$C:$C,"05/2022",E_Suivi_Eans!$D:$D,"Ampoules",E_Suivi_Eans!$J:$J,"Rejet 0",E_Suivi_Eans!$K:$K,"&gt;31/12/2021",E_Suivi_Eans!$K:$K,"&lt;01/12/2022")+ COUNTIFS(E_Suivi_Eans!$C:$C,"05/2022",E_Suivi_Eans!$D:$D,"Ampoules",E_Suivi_Eans!$J:$J,"Rejet 1",E_Suivi_Eans!$K:$K,"&gt;31/12/2021",E_Suivi_Eans!$K:$K,"&lt;01/12/2022")+COUNTIFS(E_Suivi_Eans!$C:$C,"05/2022",E_Suivi_Eans!$D:$D,"Ampoules",E_Suivi_Eans!$J:$J,"Rejet 2",E_Suivi_Eans!$K:$K,"&gt;31/12/2021",E_Suivi_Eans!$K:$K,"&lt;01/12/2022")+COUNTIFS(E_Suivi_Eans!$C:$C,"05/2022",E_Suivi_Eans!$D:$D,"Ampoules",E_Suivi_Eans!$J:$J,"Rejet 3",E_Suivi_Eans!$K:$K,"&gt;31/12/2021",E_Suivi_Eans!$K:$K,"&lt;01/12/2022")+ COUNTIFS(E_Suivi_Eans!$C:$C,"05/2022",E_Suivi_Eans!$D:$D,"Ampoules",E_Suivi_Eans!$J:$J,"Rejet 4",E_Suivi_Eans!$K:$K,"&gt;31/12/2021",E_Suivi_Eans!$K:$K,"&lt;01/12/2022")+COUNTIFS(E_Suivi_Eans!$C:$C,"05/2022",E_Suivi_Eans!$D:$D,"Ampoules",E_Suivi_Eans!$J:$J,"Relance 1",E_Suivi_Eans!$K:$K,"&gt;31/12/2021",E_Suivi_Eans!$K:$K,"&lt;01/12/2022")+COUNTIFS(E_Suivi_Eans!$C:$C,"05/2022",E_Suivi_Eans!$D:$D,"Ampoules",E_Suivi_Eans!$J:$J,"Relance 2",E_Suivi_Eans!$K:$K,"&gt;31/12/2021",E_Suivi_Eans!$K:$K,"&lt;01/12/2022")+COUNTIFS(E_Suivi_Eans!$C:$C,"05/2022",E_Suivi_Eans!$D:$D,"Ampoules",E_Suivi_Eans!$J:$J,"Relance 3",E_Suivi_Eans!$K:$K,"&gt;31/12/2021",E_Suivi_Eans!$K:$K,"&lt;01/12/2022")</f>
        <v>0</v>
      </c>
      <c r="E66" s="21">
        <f>COUNTIFS(E_Suivi_Eans!$C:$C,"05/2022",E_Suivi_Eans!$D:$D,"Ampoules",E_Suivi_Eans!$J:$J,"Abandon",E_Suivi_Eans!$K:$K,"&gt;31/12/2021",E_Suivi_Eans!K:K,"&lt;01/12/2022")</f>
        <v>0</v>
      </c>
      <c r="F66" s="21">
        <f>COUNTIFS(E_Suivi_Eans!$C:$C,"05/2022",E_Suivi_Eans!$D:$D,"Ampoules")</f>
        <v>0</v>
      </c>
      <c r="G66" s="21">
        <f t="shared" si="12"/>
        <v>0</v>
      </c>
      <c r="J66" s="20" t="s">
        <v>5318</v>
      </c>
      <c r="K66" s="20" t="s">
        <v>5327</v>
      </c>
      <c r="L66" s="28">
        <f t="shared" si="15"/>
        <v>0</v>
      </c>
      <c r="M66" s="28">
        <f t="shared" si="13"/>
        <v>0</v>
      </c>
      <c r="N66" s="28">
        <f t="shared" si="13"/>
        <v>0</v>
      </c>
      <c r="O66" s="28">
        <v>1</v>
      </c>
      <c r="P66" s="28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8"/>
      <c r="P67" s="28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5"/>
      <c r="E68" s="25"/>
      <c r="F68" s="25"/>
      <c r="G68" s="25"/>
      <c r="J68" s="22"/>
      <c r="K68" s="22"/>
      <c r="L68" s="23"/>
      <c r="M68" s="25"/>
      <c r="N68" s="25"/>
      <c r="O68" s="31"/>
      <c r="P68" s="31"/>
      <c r="S68" s="22"/>
      <c r="T68" s="22"/>
      <c r="U68" s="23"/>
      <c r="V68" s="25"/>
      <c r="W68" s="25"/>
      <c r="X68" s="25"/>
      <c r="Y68" s="25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8"/>
      <c r="P69" s="28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8"/>
      <c r="P70" s="28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8"/>
      <c r="P71" s="28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8"/>
      <c r="P72" s="28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8"/>
      <c r="P73" s="28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COUNTIFS(E_Suivi_Eans!$C:$C,"06/2022",E_Suivi_Eans!$D:$D,"Ampoules",E_Suivi_Eans!$J:$J,"Retour OK",E_Suivi_Eans!$K:$K,"&gt;31/12/2021",E_Suivi_Eans!K:K,"&lt;01/07/2022")</f>
        <v>0</v>
      </c>
      <c r="D74" s="21">
        <f>COUNTIFS(E_Suivi_Eans!$C:$C,"06/2022",E_Suivi_Eans!$D:$D,"Ampoules",E_Suivi_Eans!$J:$J,"Rejet 0",E_Suivi_Eans!$K:$K,"&gt;31/12/2021",E_Suivi_Eans!$K:$K,"&lt;01/07/2022")+ COUNTIFS(E_Suivi_Eans!$C:$C,"06/2022",E_Suivi_Eans!$D:$D,"Ampoules",E_Suivi_Eans!$J:$J,"Rejet 1",E_Suivi_Eans!$K:$K,"&gt;31/12/2021",E_Suivi_Eans!$K:$K,"&lt;01/07/2022")+COUNTIFS(E_Suivi_Eans!$C:$C,"06/2022",E_Suivi_Eans!$D:$D,"Ampoules",E_Suivi_Eans!$J:$J,"Rejet 2",E_Suivi_Eans!$K:$K,"&gt;31/12/2021",E_Suivi_Eans!$K:$K,"&lt;01/07/2022")+COUNTIFS(E_Suivi_Eans!$C:$C,"06/2022",E_Suivi_Eans!$D:$D,"Ampoules",E_Suivi_Eans!$J:$J,"Rejet 3",E_Suivi_Eans!$K:$K,"&gt;31/12/2021",E_Suivi_Eans!$K:$K,"&lt;01/07/2022")+ COUNTIFS(E_Suivi_Eans!$C:$C,"06/2022",E_Suivi_Eans!$D:$D,"Ampoules",E_Suivi_Eans!$J:$J,"Rejet 4",E_Suivi_Eans!$K:$K,"&gt;31/12/2021",E_Suivi_Eans!$K:$K,"&lt;01/07/2022")+COUNTIFS(E_Suivi_Eans!$C:$C,"06/2022",E_Suivi_Eans!$D:$D,"Ampoules",E_Suivi_Eans!$J:$J,"Relance 1",E_Suivi_Eans!$K:$K,"&gt;31/12/2021",E_Suivi_Eans!$K:$K,"&lt;01/07/2022")+COUNTIFS(E_Suivi_Eans!$C:$C,"06/2022",E_Suivi_Eans!$D:$D,"Ampoules",E_Suivi_Eans!$J:$J,"Relance 2",E_Suivi_Eans!$K:$K,"&gt;31/12/2021",E_Suivi_Eans!$K:$K,"&lt;01/07/2022")+COUNTIFS(E_Suivi_Eans!$C:$C,"06/2022",E_Suivi_Eans!$D:$D,"Ampoules",E_Suivi_Eans!$J:$J,"Relance 3",E_Suivi_Eans!$K:$K,"&gt;31/12/2021",E_Suivi_Eans!$K:$K,"&lt;01/07/2022")</f>
        <v>0</v>
      </c>
      <c r="E74" s="21">
        <f>COUNTIFS(E_Suivi_Eans!$C:$C,"06/2022",E_Suivi_Eans!$D:$D,"Ampoules",E_Suivi_Eans!$J:$J,"Abandon",E_Suivi_Eans!$K:$K,"&gt;31/12/2021",E_Suivi_Eans!K:K,"&lt;01/07/2022")</f>
        <v>0</v>
      </c>
      <c r="F74" s="21">
        <f>COUNTIFS(E_Suivi_Eans!$C:$C,"06/2022",E_Suivi_Eans!$D:$D,"Ampoules")</f>
        <v>14</v>
      </c>
      <c r="G74" s="21">
        <f t="shared" ref="G74:G79" si="16">F74-E74</f>
        <v>14</v>
      </c>
      <c r="J74" s="20" t="s">
        <v>5319</v>
      </c>
      <c r="K74" s="20" t="s">
        <v>5319</v>
      </c>
      <c r="L74" s="28">
        <f t="shared" ref="L74:N79" si="17">IF($G74=0,0,C74/$G74)</f>
        <v>0</v>
      </c>
      <c r="M74" s="28">
        <f t="shared" si="17"/>
        <v>0</v>
      </c>
      <c r="N74" s="28">
        <f t="shared" si="17"/>
        <v>0</v>
      </c>
      <c r="O74" s="28">
        <v>1</v>
      </c>
      <c r="P74" s="28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COUNTIFS(E_Suivi_Eans!$C:$C,"06/2022",E_Suivi_Eans!$D:$D,"Ampoules",E_Suivi_Eans!$J:$J,"Retour OK",E_Suivi_Eans!$K:$K,"&gt;31/12/2021",E_Suivi_Eans!K:K,"&lt;01/08/2022")</f>
        <v>0</v>
      </c>
      <c r="D75" s="21">
        <f>COUNTIFS(E_Suivi_Eans!$C:$C,"06/2022",E_Suivi_Eans!$D:$D,"Ampoules",E_Suivi_Eans!$J:$J,"Rejet 0",E_Suivi_Eans!$K:$K,"&gt;31/12/2021",E_Suivi_Eans!$K:$K,"&lt;01/08/2022")+ COUNTIFS(E_Suivi_Eans!$C:$C,"06/2022",E_Suivi_Eans!$D:$D,"Ampoules",E_Suivi_Eans!$J:$J,"Rejet 1",E_Suivi_Eans!$K:$K,"&gt;31/12/2021",E_Suivi_Eans!$K:$K,"&lt;01/08/2022")+COUNTIFS(E_Suivi_Eans!$C:$C,"06/2022",E_Suivi_Eans!$D:$D,"Ampoules",E_Suivi_Eans!$J:$J,"Rejet 2",E_Suivi_Eans!$K:$K,"&gt;31/12/2021",E_Suivi_Eans!$K:$K,"&lt;01/08/2022")+COUNTIFS(E_Suivi_Eans!$C:$C,"06/2022",E_Suivi_Eans!$D:$D,"Ampoules",E_Suivi_Eans!$J:$J,"Rejet 3",E_Suivi_Eans!$K:$K,"&gt;31/12/2021",E_Suivi_Eans!$K:$K,"&lt;01/08/2022")+ COUNTIFS(E_Suivi_Eans!$C:$C,"06/2022",E_Suivi_Eans!$D:$D,"Ampoules",E_Suivi_Eans!$J:$J,"Rejet 4",E_Suivi_Eans!$K:$K,"&gt;31/12/2021",E_Suivi_Eans!$K:$K,"&lt;01/08/2022")+COUNTIFS(E_Suivi_Eans!$C:$C,"06/2022",E_Suivi_Eans!$D:$D,"Ampoules",E_Suivi_Eans!$J:$J,"Relance 1",E_Suivi_Eans!$K:$K,"&gt;31/12/2021",E_Suivi_Eans!$K:$K,"&lt;01/08/2022")+COUNTIFS(E_Suivi_Eans!$C:$C,"06/2022",E_Suivi_Eans!$D:$D,"Ampoules",E_Suivi_Eans!$J:$J,"Relance 2",E_Suivi_Eans!$K:$K,"&gt;31/12/2021",E_Suivi_Eans!$K:$K,"&lt;01/08/2022")+COUNTIFS(E_Suivi_Eans!$C:$C,"06/2022",E_Suivi_Eans!$D:$D,"Ampoules",E_Suivi_Eans!$J:$J,"Relance 3",E_Suivi_Eans!$K:$K,"&gt;31/12/2021",E_Suivi_Eans!$K:$K,"&lt;01/08/2022")</f>
        <v>0</v>
      </c>
      <c r="E75" s="21">
        <f>COUNTIFS(E_Suivi_Eans!$C:$C,"06/2022",E_Suivi_Eans!$D:$D,"Ampoules",E_Suivi_Eans!$J:$J,"Abandon",E_Suivi_Eans!$K:$K,"&gt;31/12/2021",E_Suivi_Eans!K:K,"&lt;01/08/2022")</f>
        <v>0</v>
      </c>
      <c r="F75" s="21">
        <f>COUNTIFS(E_Suivi_Eans!$C:$C,"06/2022",E_Suivi_Eans!$D:$D,"Ampoules")</f>
        <v>14</v>
      </c>
      <c r="G75" s="21">
        <f t="shared" si="16"/>
        <v>14</v>
      </c>
      <c r="J75" s="20" t="s">
        <v>5319</v>
      </c>
      <c r="K75" s="20" t="s">
        <v>5320</v>
      </c>
      <c r="L75" s="28">
        <f t="shared" si="17"/>
        <v>0</v>
      </c>
      <c r="M75" s="28">
        <f t="shared" si="17"/>
        <v>0</v>
      </c>
      <c r="N75" s="28">
        <f t="shared" si="17"/>
        <v>0</v>
      </c>
      <c r="O75" s="28">
        <v>1</v>
      </c>
      <c r="P75" s="28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COUNTIFS(E_Suivi_Eans!$C:$C,"06/2022",E_Suivi_Eans!$D:$D,"Ampoules",E_Suivi_Eans!$J:$J,"Retour OK",E_Suivi_Eans!$K:$K,"&gt;31/12/2021",E_Suivi_Eans!K:K,"&lt;01/09/2022")</f>
        <v>0</v>
      </c>
      <c r="D76" s="21">
        <f>COUNTIFS(E_Suivi_Eans!$C:$C,"06/2022",E_Suivi_Eans!$D:$D,"Ampoules",E_Suivi_Eans!$J:$J,"Rejet 0",E_Suivi_Eans!$K:$K,"&gt;31/12/2021",E_Suivi_Eans!$K:$K,"&lt;01/09/2022")+ COUNTIFS(E_Suivi_Eans!$C:$C,"06/2022",E_Suivi_Eans!$D:$D,"Ampoules",E_Suivi_Eans!$J:$J,"Rejet 1",E_Suivi_Eans!$K:$K,"&gt;31/12/2021",E_Suivi_Eans!$K:$K,"&lt;01/09/2022")+COUNTIFS(E_Suivi_Eans!$C:$C,"06/2022",E_Suivi_Eans!$D:$D,"Ampoules",E_Suivi_Eans!$J:$J,"Rejet 2",E_Suivi_Eans!$K:$K,"&gt;31/12/2021",E_Suivi_Eans!$K:$K,"&lt;01/09/2022")+COUNTIFS(E_Suivi_Eans!$C:$C,"06/2022",E_Suivi_Eans!$D:$D,"Ampoules",E_Suivi_Eans!$J:$J,"Rejet 3",E_Suivi_Eans!$K:$K,"&gt;31/12/2021",E_Suivi_Eans!$K:$K,"&lt;01/09/2022")+ COUNTIFS(E_Suivi_Eans!$C:$C,"06/2022",E_Suivi_Eans!$D:$D,"Ampoules",E_Suivi_Eans!$J:$J,"Rejet 4",E_Suivi_Eans!$K:$K,"&gt;31/12/2021",E_Suivi_Eans!$K:$K,"&lt;01/09/2022")+COUNTIFS(E_Suivi_Eans!$C:$C,"06/2022",E_Suivi_Eans!$D:$D,"Ampoules",E_Suivi_Eans!$J:$J,"Relance 1",E_Suivi_Eans!$K:$K,"&gt;31/12/2021",E_Suivi_Eans!$K:$K,"&lt;01/09/2022")+COUNTIFS(E_Suivi_Eans!$C:$C,"06/2022",E_Suivi_Eans!$D:$D,"Ampoules",E_Suivi_Eans!$J:$J,"Relance 2",E_Suivi_Eans!$K:$K,"&gt;31/12/2021",E_Suivi_Eans!$K:$K,"&lt;01/09/2022")+COUNTIFS(E_Suivi_Eans!$C:$C,"06/2022",E_Suivi_Eans!$D:$D,"Ampoules",E_Suivi_Eans!$J:$J,"Relance 3",E_Suivi_Eans!$K:$K,"&gt;31/12/2021",E_Suivi_Eans!$K:$K,"&lt;01/09/2022")</f>
        <v>0</v>
      </c>
      <c r="E76" s="21">
        <f>COUNTIFS(E_Suivi_Eans!$C:$C,"06/2022",E_Suivi_Eans!$D:$D,"Ampoules",E_Suivi_Eans!$J:$J,"Abandon",E_Suivi_Eans!$K:$K,"&gt;31/12/2021",E_Suivi_Eans!K:K,"&lt;01/09/2022")</f>
        <v>0</v>
      </c>
      <c r="F76" s="21">
        <f>COUNTIFS(E_Suivi_Eans!$C:$C,"06/2022",E_Suivi_Eans!$D:$D,"Ampoules")</f>
        <v>14</v>
      </c>
      <c r="G76" s="21">
        <f t="shared" si="16"/>
        <v>14</v>
      </c>
      <c r="J76" s="20" t="s">
        <v>5319</v>
      </c>
      <c r="K76" s="20" t="s">
        <v>5321</v>
      </c>
      <c r="L76" s="28">
        <f t="shared" si="17"/>
        <v>0</v>
      </c>
      <c r="M76" s="28">
        <f t="shared" si="17"/>
        <v>0</v>
      </c>
      <c r="N76" s="28">
        <f t="shared" si="17"/>
        <v>0</v>
      </c>
      <c r="O76" s="28">
        <v>1</v>
      </c>
      <c r="P76" s="28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COUNTIFS(E_Suivi_Eans!$C:$C,"06/2022",E_Suivi_Eans!$D:$D,"Ampoules",E_Suivi_Eans!$J:$J,"Retour OK",E_Suivi_Eans!$K:$K,"&gt;31/12/2021",E_Suivi_Eans!K:K,"&lt;01/10/2022")</f>
        <v>4</v>
      </c>
      <c r="D77" s="21">
        <f>COUNTIFS(E_Suivi_Eans!$C:$C,"06/2022",E_Suivi_Eans!$D:$D,"Ampoules",E_Suivi_Eans!$J:$J,"Rejet 0",E_Suivi_Eans!$K:$K,"&gt;31/12/2021",E_Suivi_Eans!$K:$K,"&lt;01/10/2022")+ COUNTIFS(E_Suivi_Eans!$C:$C,"06/2022",E_Suivi_Eans!$D:$D,"Ampoules",E_Suivi_Eans!$J:$J,"Rejet 1",E_Suivi_Eans!$K:$K,"&gt;31/12/2021",E_Suivi_Eans!$K:$K,"&lt;01/10/2022")+COUNTIFS(E_Suivi_Eans!$C:$C,"06/2022",E_Suivi_Eans!$D:$D,"Ampoules",E_Suivi_Eans!$J:$J,"Rejet 2",E_Suivi_Eans!$K:$K,"&gt;31/12/2021",E_Suivi_Eans!$K:$K,"&lt;01/10/2022")+COUNTIFS(E_Suivi_Eans!$C:$C,"06/2022",E_Suivi_Eans!$D:$D,"Ampoules",E_Suivi_Eans!$J:$J,"Rejet 3",E_Suivi_Eans!$K:$K,"&gt;31/12/2021",E_Suivi_Eans!$K:$K,"&lt;01/10/2022")+ COUNTIFS(E_Suivi_Eans!$C:$C,"06/2022",E_Suivi_Eans!$D:$D,"Ampoules",E_Suivi_Eans!$J:$J,"Rejet 4",E_Suivi_Eans!$K:$K,"&gt;31/12/2021",E_Suivi_Eans!$K:$K,"&lt;01/10/2022")+COUNTIFS(E_Suivi_Eans!$C:$C,"06/2022",E_Suivi_Eans!$D:$D,"Ampoules",E_Suivi_Eans!$J:$J,"Relance 1",E_Suivi_Eans!$K:$K,"&gt;31/12/2021",E_Suivi_Eans!$K:$K,"&lt;01/10/2022")+COUNTIFS(E_Suivi_Eans!$C:$C,"06/2022",E_Suivi_Eans!$D:$D,"Ampoules",E_Suivi_Eans!$J:$J,"Relance 2",E_Suivi_Eans!$K:$K,"&gt;31/12/2021",E_Suivi_Eans!$K:$K,"&lt;01/10/2022")+COUNTIFS(E_Suivi_Eans!$C:$C,"06/2022",E_Suivi_Eans!$D:$D,"Ampoules",E_Suivi_Eans!$J:$J,"Relance 3",E_Suivi_Eans!$K:$K,"&gt;31/12/2021",E_Suivi_Eans!$K:$K,"&lt;01/10/2022")</f>
        <v>0</v>
      </c>
      <c r="E77" s="21">
        <f>COUNTIFS(E_Suivi_Eans!$C:$C,"06/2022",E_Suivi_Eans!$D:$D,"Ampoules",E_Suivi_Eans!$J:$J,"Abandon",E_Suivi_Eans!$K:$K,"&gt;31/12/2021",E_Suivi_Eans!K:K,"&lt;01/10/2022")</f>
        <v>0</v>
      </c>
      <c r="F77" s="21">
        <f>COUNTIFS(E_Suivi_Eans!$C:$C,"06/2022",E_Suivi_Eans!$D:$D,"Ampoules")</f>
        <v>14</v>
      </c>
      <c r="G77" s="21">
        <f t="shared" si="16"/>
        <v>14</v>
      </c>
      <c r="J77" s="20" t="s">
        <v>5319</v>
      </c>
      <c r="K77" s="20" t="s">
        <v>5325</v>
      </c>
      <c r="L77" s="28">
        <f t="shared" si="17"/>
        <v>0.2857142857142857</v>
      </c>
      <c r="M77" s="28">
        <f t="shared" si="17"/>
        <v>0</v>
      </c>
      <c r="N77" s="28">
        <f t="shared" si="17"/>
        <v>0</v>
      </c>
      <c r="O77" s="28">
        <v>1</v>
      </c>
      <c r="P77" s="28">
        <f t="shared" si="18"/>
        <v>1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COUNTIFS(E_Suivi_Eans!$C:$C,"06/2022",E_Suivi_Eans!$D:$D,"Ampoules",E_Suivi_Eans!$J:$J,"Retour OK",E_Suivi_Eans!$K:$K,"&gt;31/12/2021",E_Suivi_Eans!K:K,"&lt;01/11/2022")</f>
        <v>14</v>
      </c>
      <c r="D78" s="21">
        <f>COUNTIFS(E_Suivi_Eans!$C:$C,"06/2022",E_Suivi_Eans!$D:$D,"Ampoules",E_Suivi_Eans!$J:$J,"Rejet 0",E_Suivi_Eans!$K:$K,"&gt;31/12/2021",E_Suivi_Eans!$K:$K,"&lt;01/11/2022")+ COUNTIFS(E_Suivi_Eans!$C:$C,"06/2022",E_Suivi_Eans!$D:$D,"Ampoules",E_Suivi_Eans!$J:$J,"Rejet 1",E_Suivi_Eans!$K:$K,"&gt;31/12/2021",E_Suivi_Eans!$K:$K,"&lt;01/11/2022")+COUNTIFS(E_Suivi_Eans!$C:$C,"06/2022",E_Suivi_Eans!$D:$D,"Ampoules",E_Suivi_Eans!$J:$J,"Rejet 2",E_Suivi_Eans!$K:$K,"&gt;31/12/2021",E_Suivi_Eans!$K:$K,"&lt;01/11/2022")+COUNTIFS(E_Suivi_Eans!$C:$C,"06/2022",E_Suivi_Eans!$D:$D,"Ampoules",E_Suivi_Eans!$J:$J,"Rejet 3",E_Suivi_Eans!$K:$K,"&gt;31/12/2021",E_Suivi_Eans!$K:$K,"&lt;01/11/2022")+ COUNTIFS(E_Suivi_Eans!$C:$C,"06/2022",E_Suivi_Eans!$D:$D,"Ampoules",E_Suivi_Eans!$J:$J,"Rejet 4",E_Suivi_Eans!$K:$K,"&gt;31/12/2021",E_Suivi_Eans!$K:$K,"&lt;01/11/2022")+COUNTIFS(E_Suivi_Eans!$C:$C,"06/2022",E_Suivi_Eans!$D:$D,"Ampoules",E_Suivi_Eans!$J:$J,"Relance 1",E_Suivi_Eans!$K:$K,"&gt;31/12/2021",E_Suivi_Eans!$K:$K,"&lt;01/11/2022")+COUNTIFS(E_Suivi_Eans!$C:$C,"06/2022",E_Suivi_Eans!$D:$D,"Ampoules",E_Suivi_Eans!$J:$J,"Relance 2",E_Suivi_Eans!$K:$K,"&gt;31/12/2021",E_Suivi_Eans!$K:$K,"&lt;01/11/2022")+COUNTIFS(E_Suivi_Eans!$C:$C,"06/2022",E_Suivi_Eans!$D:$D,"Ampoules",E_Suivi_Eans!$J:$J,"Relance 3",E_Suivi_Eans!$K:$K,"&gt;31/12/2021",E_Suivi_Eans!$K:$K,"&lt;01/11/2022")</f>
        <v>0</v>
      </c>
      <c r="E78" s="21">
        <f>COUNTIFS(E_Suivi_Eans!$C:$C,"06/2022",E_Suivi_Eans!$D:$D,"Ampoules",E_Suivi_Eans!$J:$J,"Abandon",E_Suivi_Eans!$K:$K,"&gt;31/12/2021",E_Suivi_Eans!K:K,"&lt;01/11/2022")</f>
        <v>0</v>
      </c>
      <c r="F78" s="21">
        <f>COUNTIFS(E_Suivi_Eans!$C:$C,"06/2022",E_Suivi_Eans!$D:$D,"Ampoules")</f>
        <v>14</v>
      </c>
      <c r="G78" s="21">
        <f t="shared" si="16"/>
        <v>14</v>
      </c>
      <c r="J78" s="20" t="s">
        <v>5319</v>
      </c>
      <c r="K78" s="20" t="s">
        <v>5326</v>
      </c>
      <c r="L78" s="28">
        <f t="shared" si="17"/>
        <v>1</v>
      </c>
      <c r="M78" s="28">
        <f t="shared" si="17"/>
        <v>0</v>
      </c>
      <c r="N78" s="28">
        <f t="shared" si="17"/>
        <v>0</v>
      </c>
      <c r="O78" s="28">
        <v>1</v>
      </c>
      <c r="P78" s="28">
        <f t="shared" si="18"/>
        <v>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COUNTIFS(E_Suivi_Eans!$C:$C,"06/2022",E_Suivi_Eans!$D:$D,"Ampoules",E_Suivi_Eans!$J:$J,"Retour OK",E_Suivi_Eans!$K:$K,"&gt;31/12/2021",E_Suivi_Eans!K:K,"&lt;01/12/2022")</f>
        <v>14</v>
      </c>
      <c r="D79" s="21">
        <f>COUNTIFS(E_Suivi_Eans!$C:$C,"06/2022",E_Suivi_Eans!$D:$D,"Ampoules",E_Suivi_Eans!$J:$J,"Rejet 0",E_Suivi_Eans!$K:$K,"&gt;31/12/2021",E_Suivi_Eans!$K:$K,"&lt;01/12/2022")+ COUNTIFS(E_Suivi_Eans!$C:$C,"06/2022",E_Suivi_Eans!$D:$D,"Ampoules",E_Suivi_Eans!$J:$J,"Rejet 1",E_Suivi_Eans!$K:$K,"&gt;31/12/2021",E_Suivi_Eans!$K:$K,"&lt;01/12/2022")+COUNTIFS(E_Suivi_Eans!$C:$C,"06/2022",E_Suivi_Eans!$D:$D,"Ampoules",E_Suivi_Eans!$J:$J,"Rejet 2",E_Suivi_Eans!$K:$K,"&gt;31/12/2021",E_Suivi_Eans!$K:$K,"&lt;01/12/2022")+COUNTIFS(E_Suivi_Eans!$C:$C,"06/2022",E_Suivi_Eans!$D:$D,"Ampoules",E_Suivi_Eans!$J:$J,"Rejet 3",E_Suivi_Eans!$K:$K,"&gt;31/12/2021",E_Suivi_Eans!$K:$K,"&lt;01/12/2022")+ COUNTIFS(E_Suivi_Eans!$C:$C,"06/2022",E_Suivi_Eans!$D:$D,"Ampoules",E_Suivi_Eans!$J:$J,"Rejet 4",E_Suivi_Eans!$K:$K,"&gt;31/12/2021",E_Suivi_Eans!$K:$K,"&lt;01/12/2022")+COUNTIFS(E_Suivi_Eans!$C:$C,"06/2022",E_Suivi_Eans!$D:$D,"Ampoules",E_Suivi_Eans!$J:$J,"Relance 1",E_Suivi_Eans!$K:$K,"&gt;31/12/2021",E_Suivi_Eans!$K:$K,"&lt;01/12/2022")+COUNTIFS(E_Suivi_Eans!$C:$C,"06/2022",E_Suivi_Eans!$D:$D,"Ampoules",E_Suivi_Eans!$J:$J,"Relance 2",E_Suivi_Eans!$K:$K,"&gt;31/12/2021",E_Suivi_Eans!$K:$K,"&lt;01/12/2022")+COUNTIFS(E_Suivi_Eans!$C:$C,"06/2022",E_Suivi_Eans!$D:$D,"Ampoules",E_Suivi_Eans!$J:$J,"Relance 3",E_Suivi_Eans!$K:$K,"&gt;31/12/2021",E_Suivi_Eans!$K:$K,"&lt;01/12/2022")</f>
        <v>0</v>
      </c>
      <c r="E79" s="21">
        <f>COUNTIFS(E_Suivi_Eans!$C:$C,"06/2022",E_Suivi_Eans!$D:$D,"Ampoules",E_Suivi_Eans!$J:$J,"Abandon",E_Suivi_Eans!$K:$K,"&gt;31/12/2021",E_Suivi_Eans!K:K,"&lt;01/12/2022")</f>
        <v>0</v>
      </c>
      <c r="F79" s="21">
        <f>COUNTIFS(E_Suivi_Eans!$C:$C,"06/2022",E_Suivi_Eans!$D:$D,"Ampoules")</f>
        <v>14</v>
      </c>
      <c r="G79" s="21">
        <f t="shared" si="16"/>
        <v>14</v>
      </c>
      <c r="J79" s="20" t="s">
        <v>5319</v>
      </c>
      <c r="K79" s="20" t="s">
        <v>5327</v>
      </c>
      <c r="L79" s="28">
        <f t="shared" si="17"/>
        <v>1</v>
      </c>
      <c r="M79" s="28">
        <f t="shared" si="17"/>
        <v>0</v>
      </c>
      <c r="N79" s="28">
        <f t="shared" si="17"/>
        <v>0</v>
      </c>
      <c r="O79" s="28">
        <v>1</v>
      </c>
      <c r="P79" s="28">
        <f t="shared" si="18"/>
        <v>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8"/>
      <c r="P80" s="28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5"/>
      <c r="E81" s="25"/>
      <c r="F81" s="25"/>
      <c r="G81" s="25"/>
      <c r="J81" s="22"/>
      <c r="K81" s="22"/>
      <c r="L81" s="23"/>
      <c r="M81" s="25"/>
      <c r="N81" s="25"/>
      <c r="O81" s="31"/>
      <c r="P81" s="31"/>
      <c r="S81" s="22"/>
      <c r="T81" s="22"/>
      <c r="U81" s="23"/>
      <c r="V81" s="25"/>
      <c r="W81" s="25"/>
      <c r="X81" s="25"/>
      <c r="Y81" s="25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8"/>
      <c r="P82" s="28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8"/>
      <c r="P83" s="28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8"/>
      <c r="P84" s="28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8"/>
      <c r="P85" s="28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8"/>
      <c r="P86" s="28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8"/>
      <c r="P87" s="28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COUNTIFS(E_Suivi_Eans!$C:$C,"07/2022",E_Suivi_Eans!$D:$D,"Ampoules",E_Suivi_Eans!$J:$J,"Retour OK",E_Suivi_Eans!$K:$K,"&gt;31/12/2021",E_Suivi_Eans!K:K,"&lt;01/08/2022")</f>
        <v>0</v>
      </c>
      <c r="D88" s="21">
        <f>COUNTIFS(E_Suivi_Eans!$C:$C,"07/2022",E_Suivi_Eans!$D:$D,"Ampoules",E_Suivi_Eans!$J:$J,"Rejet 0",E_Suivi_Eans!$K:$K,"&gt;31/12/2021",E_Suivi_Eans!$K:$K,"&lt;01/08/2022")+ COUNTIFS(E_Suivi_Eans!$C:$C,"07/2022",E_Suivi_Eans!$D:$D,"Ampoules",E_Suivi_Eans!$J:$J,"Rejet 1",E_Suivi_Eans!$K:$K,"&gt;31/12/2021",E_Suivi_Eans!$K:$K,"&lt;01/08/2022")+COUNTIFS(E_Suivi_Eans!$C:$C,"07/2022",E_Suivi_Eans!$D:$D,"Ampoules",E_Suivi_Eans!$J:$J,"Rejet 2",E_Suivi_Eans!$K:$K,"&gt;31/12/2021",E_Suivi_Eans!$K:$K,"&lt;01/08/2022")+COUNTIFS(E_Suivi_Eans!$C:$C,"07/2022",E_Suivi_Eans!$D:$D,"Ampoules",E_Suivi_Eans!$J:$J,"Rejet 3",E_Suivi_Eans!$K:$K,"&gt;31/12/2021",E_Suivi_Eans!$K:$K,"&lt;01/08/2022")+ COUNTIFS(E_Suivi_Eans!$C:$C,"07/2022",E_Suivi_Eans!$D:$D,"Ampoules",E_Suivi_Eans!$J:$J,"Rejet 4",E_Suivi_Eans!$K:$K,"&gt;31/12/2021",E_Suivi_Eans!$K:$K,"&lt;01/08/2022")+COUNTIFS(E_Suivi_Eans!$C:$C,"07/2022",E_Suivi_Eans!$D:$D,"Ampoules",E_Suivi_Eans!$J:$J,"Relance 1",E_Suivi_Eans!$K:$K,"&gt;31/12/2021",E_Suivi_Eans!$K:$K,"&lt;01/08/2022")+COUNTIFS(E_Suivi_Eans!$C:$C,"07/2022",E_Suivi_Eans!$D:$D,"Ampoules",E_Suivi_Eans!$J:$J,"Relance 2",E_Suivi_Eans!$K:$K,"&gt;31/12/2021",E_Suivi_Eans!$K:$K,"&lt;01/08/2022")+COUNTIFS(E_Suivi_Eans!$C:$C,"07/2022",E_Suivi_Eans!$D:$D,"Ampoules",E_Suivi_Eans!$J:$J,"Relance 3",E_Suivi_Eans!$K:$K,"&gt;31/12/2021",E_Suivi_Eans!$K:$K,"&lt;01/08/2022")</f>
        <v>0</v>
      </c>
      <c r="E88" s="21">
        <f>COUNTIFS(E_Suivi_Eans!$C:$C,"07/2022",E_Suivi_Eans!$D:$D,"Ampoules",E_Suivi_Eans!$J:$J,"Abandon",E_Suivi_Eans!$K:$K,"&gt;31/12/2021",E_Suivi_Eans!K:K,"&lt;01/08/2022")</f>
        <v>0</v>
      </c>
      <c r="F88" s="21">
        <f>COUNTIFS(E_Suivi_Eans!$C:$C,"07/2022",E_Suivi_Eans!$D:$D,"Ampoules")</f>
        <v>2</v>
      </c>
      <c r="G88" s="21">
        <f>F88-E88</f>
        <v>2</v>
      </c>
      <c r="J88" s="20" t="s">
        <v>5320</v>
      </c>
      <c r="K88" s="20" t="s">
        <v>5320</v>
      </c>
      <c r="L88" s="28">
        <f t="shared" ref="L88:N92" si="19">IF($G88=0,0,C88/$G88)</f>
        <v>0</v>
      </c>
      <c r="M88" s="28">
        <f t="shared" si="19"/>
        <v>0</v>
      </c>
      <c r="N88" s="28">
        <f t="shared" si="19"/>
        <v>0</v>
      </c>
      <c r="O88" s="28">
        <v>1</v>
      </c>
      <c r="P88" s="28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COUNTIFS(E_Suivi_Eans!$C:$C,"07/2022",E_Suivi_Eans!$D:$D,"Ampoules",E_Suivi_Eans!$J:$J,"Retour OK",E_Suivi_Eans!$K:$K,"&gt;31/12/2021",E_Suivi_Eans!K:K,"&lt;01/09/2022")</f>
        <v>0</v>
      </c>
      <c r="D89" s="21">
        <f>COUNTIFS(E_Suivi_Eans!$C:$C,"07/2022",E_Suivi_Eans!$D:$D,"Ampoules",E_Suivi_Eans!$J:$J,"Rejet 0",E_Suivi_Eans!$K:$K,"&gt;31/12/2021",E_Suivi_Eans!$K:$K,"&lt;01/09/2022")+ COUNTIFS(E_Suivi_Eans!$C:$C,"07/2022",E_Suivi_Eans!$D:$D,"Ampoules",E_Suivi_Eans!$J:$J,"Rejet 1",E_Suivi_Eans!$K:$K,"&gt;31/12/2021",E_Suivi_Eans!$K:$K,"&lt;01/09/2022")+COUNTIFS(E_Suivi_Eans!$C:$C,"07/2022",E_Suivi_Eans!$D:$D,"Ampoules",E_Suivi_Eans!$J:$J,"Rejet 2",E_Suivi_Eans!$K:$K,"&gt;31/12/2021",E_Suivi_Eans!$K:$K,"&lt;01/09/2022")+COUNTIFS(E_Suivi_Eans!$C:$C,"07/2022",E_Suivi_Eans!$D:$D,"Ampoules",E_Suivi_Eans!$J:$J,"Rejet 3",E_Suivi_Eans!$K:$K,"&gt;31/12/2021",E_Suivi_Eans!$K:$K,"&lt;01/09/2022")+ COUNTIFS(E_Suivi_Eans!$C:$C,"07/2022",E_Suivi_Eans!$D:$D,"Ampoules",E_Suivi_Eans!$J:$J,"Rejet 4",E_Suivi_Eans!$K:$K,"&gt;31/12/2021",E_Suivi_Eans!$K:$K,"&lt;01/09/2022")+COUNTIFS(E_Suivi_Eans!$C:$C,"07/2022",E_Suivi_Eans!$D:$D,"Ampoules",E_Suivi_Eans!$J:$J,"Relance 1",E_Suivi_Eans!$K:$K,"&gt;31/12/2021",E_Suivi_Eans!$K:$K,"&lt;01/09/2022")+COUNTIFS(E_Suivi_Eans!$C:$C,"07/2022",E_Suivi_Eans!$D:$D,"Ampoules",E_Suivi_Eans!$J:$J,"Relance 2",E_Suivi_Eans!$K:$K,"&gt;31/12/2021",E_Suivi_Eans!$K:$K,"&lt;01/09/2022")+COUNTIFS(E_Suivi_Eans!$C:$C,"07/2022",E_Suivi_Eans!$D:$D,"Ampoules",E_Suivi_Eans!$J:$J,"Relance 3",E_Suivi_Eans!$K:$K,"&gt;31/12/2021",E_Suivi_Eans!$K:$K,"&lt;01/09/2022")</f>
        <v>0</v>
      </c>
      <c r="E89" s="21">
        <f>COUNTIFS(E_Suivi_Eans!$C:$C,"07/2022",E_Suivi_Eans!$D:$D,"Ampoules",E_Suivi_Eans!$J:$J,"Abandon",E_Suivi_Eans!$K:$K,"&gt;31/12/2021",E_Suivi_Eans!K:K,"&lt;01/09/2022")</f>
        <v>0</v>
      </c>
      <c r="F89" s="21">
        <f>COUNTIFS(E_Suivi_Eans!$C:$C,"07/2022",E_Suivi_Eans!$D:$D,"Ampoules")</f>
        <v>2</v>
      </c>
      <c r="G89" s="21">
        <f t="shared" ref="G89:G92" si="21">F89-E89</f>
        <v>2</v>
      </c>
      <c r="J89" s="20" t="s">
        <v>5320</v>
      </c>
      <c r="K89" s="20" t="s">
        <v>5321</v>
      </c>
      <c r="L89" s="28">
        <f t="shared" si="19"/>
        <v>0</v>
      </c>
      <c r="M89" s="28">
        <f t="shared" si="19"/>
        <v>0</v>
      </c>
      <c r="N89" s="28">
        <f t="shared" si="19"/>
        <v>0</v>
      </c>
      <c r="O89" s="28">
        <v>1</v>
      </c>
      <c r="P89" s="28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COUNTIFS(E_Suivi_Eans!$C:$C,"07/2022",E_Suivi_Eans!$D:$D,"Ampoules",E_Suivi_Eans!$J:$J,"Retour OK",E_Suivi_Eans!$K:$K,"&gt;31/12/2021",E_Suivi_Eans!K:K,"&lt;01/10/2022")</f>
        <v>0</v>
      </c>
      <c r="D90" s="21">
        <f>COUNTIFS(E_Suivi_Eans!$C:$C,"07/2022",E_Suivi_Eans!$D:$D,"Ampoules",E_Suivi_Eans!$J:$J,"Rejet 0",E_Suivi_Eans!$K:$K,"&gt;31/12/2021",E_Suivi_Eans!$K:$K,"&lt;01/10/2022")+ COUNTIFS(E_Suivi_Eans!$C:$C,"07/2022",E_Suivi_Eans!$D:$D,"Ampoules",E_Suivi_Eans!$J:$J,"Rejet 1",E_Suivi_Eans!$K:$K,"&gt;31/12/2021",E_Suivi_Eans!$K:$K,"&lt;01/10/2022")+COUNTIFS(E_Suivi_Eans!$C:$C,"07/2022",E_Suivi_Eans!$D:$D,"Ampoules",E_Suivi_Eans!$J:$J,"Rejet 2",E_Suivi_Eans!$K:$K,"&gt;31/12/2021",E_Suivi_Eans!$K:$K,"&lt;01/10/2022")+COUNTIFS(E_Suivi_Eans!$C:$C,"07/2022",E_Suivi_Eans!$D:$D,"Ampoules",E_Suivi_Eans!$J:$J,"Rejet 3",E_Suivi_Eans!$K:$K,"&gt;31/12/2021",E_Suivi_Eans!$K:$K,"&lt;01/10/2022")+ COUNTIFS(E_Suivi_Eans!$C:$C,"07/2022",E_Suivi_Eans!$D:$D,"Ampoules",E_Suivi_Eans!$J:$J,"Rejet 4",E_Suivi_Eans!$K:$K,"&gt;31/12/2021",E_Suivi_Eans!$K:$K,"&lt;01/10/2022")+COUNTIFS(E_Suivi_Eans!$C:$C,"07/2022",E_Suivi_Eans!$D:$D,"Ampoules",E_Suivi_Eans!$J:$J,"Relance 1",E_Suivi_Eans!$K:$K,"&gt;31/12/2021",E_Suivi_Eans!$K:$K,"&lt;01/10/2022")+COUNTIFS(E_Suivi_Eans!$C:$C,"07/2022",E_Suivi_Eans!$D:$D,"Ampoules",E_Suivi_Eans!$J:$J,"Relance 2",E_Suivi_Eans!$K:$K,"&gt;31/12/2021",E_Suivi_Eans!$K:$K,"&lt;01/10/2022")+COUNTIFS(E_Suivi_Eans!$C:$C,"07/2022",E_Suivi_Eans!$D:$D,"Ampoules",E_Suivi_Eans!$J:$J,"Relance 3",E_Suivi_Eans!$K:$K,"&gt;31/12/2021",E_Suivi_Eans!$K:$K,"&lt;01/10/2022")</f>
        <v>2</v>
      </c>
      <c r="E90" s="21">
        <f>COUNTIFS(E_Suivi_Eans!$C:$C,"07/2022",E_Suivi_Eans!$D:$D,"Ampoules",E_Suivi_Eans!$J:$J,"Abandon",E_Suivi_Eans!$K:$K,"&gt;31/12/2021",E_Suivi_Eans!K:K,"&lt;01/10/2022")</f>
        <v>0</v>
      </c>
      <c r="F90" s="21">
        <f>COUNTIFS(E_Suivi_Eans!$C:$C,"07/2022",E_Suivi_Eans!$D:$D,"Ampoules")</f>
        <v>2</v>
      </c>
      <c r="G90" s="21">
        <f t="shared" si="21"/>
        <v>2</v>
      </c>
      <c r="J90" s="20" t="s">
        <v>5320</v>
      </c>
      <c r="K90" s="20" t="s">
        <v>5325</v>
      </c>
      <c r="L90" s="28">
        <f t="shared" si="19"/>
        <v>0</v>
      </c>
      <c r="M90" s="28">
        <f t="shared" si="19"/>
        <v>1</v>
      </c>
      <c r="N90" s="28">
        <f t="shared" si="19"/>
        <v>0</v>
      </c>
      <c r="O90" s="28">
        <v>1</v>
      </c>
      <c r="P90" s="28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COUNTIFS(E_Suivi_Eans!$C:$C,"07/2022",E_Suivi_Eans!$D:$D,"Ampoules",E_Suivi_Eans!$J:$J,"Retour OK",E_Suivi_Eans!$K:$K,"&gt;31/12/2021",E_Suivi_Eans!K:K,"&lt;01/11/2022")</f>
        <v>0</v>
      </c>
      <c r="D91" s="21">
        <f>COUNTIFS(E_Suivi_Eans!$C:$C,"07/2022",E_Suivi_Eans!$D:$D,"Ampoules",E_Suivi_Eans!$J:$J,"Rejet 0",E_Suivi_Eans!$K:$K,"&gt;31/12/2021",E_Suivi_Eans!$K:$K,"&lt;01/11/2022")+ COUNTIFS(E_Suivi_Eans!$C:$C,"07/2022",E_Suivi_Eans!$D:$D,"Ampoules",E_Suivi_Eans!$J:$J,"Rejet 1",E_Suivi_Eans!$K:$K,"&gt;31/12/2021",E_Suivi_Eans!$K:$K,"&lt;01/11/2022")+COUNTIFS(E_Suivi_Eans!$C:$C,"07/2022",E_Suivi_Eans!$D:$D,"Ampoules",E_Suivi_Eans!$J:$J,"Rejet 2",E_Suivi_Eans!$K:$K,"&gt;31/12/2021",E_Suivi_Eans!$K:$K,"&lt;01/11/2022")+COUNTIFS(E_Suivi_Eans!$C:$C,"07/2022",E_Suivi_Eans!$D:$D,"Ampoules",E_Suivi_Eans!$J:$J,"Rejet 3",E_Suivi_Eans!$K:$K,"&gt;31/12/2021",E_Suivi_Eans!$K:$K,"&lt;01/11/2022")+ COUNTIFS(E_Suivi_Eans!$C:$C,"07/2022",E_Suivi_Eans!$D:$D,"Ampoules",E_Suivi_Eans!$J:$J,"Rejet 4",E_Suivi_Eans!$K:$K,"&gt;31/12/2021",E_Suivi_Eans!$K:$K,"&lt;01/11/2022")+COUNTIFS(E_Suivi_Eans!$C:$C,"07/2022",E_Suivi_Eans!$D:$D,"Ampoules",E_Suivi_Eans!$J:$J,"Relance 1",E_Suivi_Eans!$K:$K,"&gt;31/12/2021",E_Suivi_Eans!$K:$K,"&lt;01/11/2022")+COUNTIFS(E_Suivi_Eans!$C:$C,"07/2022",E_Suivi_Eans!$D:$D,"Ampoules",E_Suivi_Eans!$J:$J,"Relance 2",E_Suivi_Eans!$K:$K,"&gt;31/12/2021",E_Suivi_Eans!$K:$K,"&lt;01/11/2022")+COUNTIFS(E_Suivi_Eans!$C:$C,"07/2022",E_Suivi_Eans!$D:$D,"Ampoules",E_Suivi_Eans!$J:$J,"Relance 3",E_Suivi_Eans!$K:$K,"&gt;31/12/2021",E_Suivi_Eans!$K:$K,"&lt;01/11/2022")</f>
        <v>2</v>
      </c>
      <c r="E91" s="21">
        <f>COUNTIFS(E_Suivi_Eans!$C:$C,"07/2022",E_Suivi_Eans!$D:$D,"Ampoules",E_Suivi_Eans!$J:$J,"Abandon",E_Suivi_Eans!$K:$K,"&gt;31/12/2021",E_Suivi_Eans!K:K,"&lt;01/11/2022")</f>
        <v>0</v>
      </c>
      <c r="F91" s="21">
        <f>COUNTIFS(E_Suivi_Eans!$C:$C,"07/2022",E_Suivi_Eans!$D:$D,"Ampoules")</f>
        <v>2</v>
      </c>
      <c r="G91" s="21">
        <f t="shared" si="21"/>
        <v>2</v>
      </c>
      <c r="J91" s="20" t="s">
        <v>5320</v>
      </c>
      <c r="K91" s="20" t="s">
        <v>5326</v>
      </c>
      <c r="L91" s="28">
        <f t="shared" si="19"/>
        <v>0</v>
      </c>
      <c r="M91" s="28">
        <f t="shared" si="19"/>
        <v>1</v>
      </c>
      <c r="N91" s="28">
        <f t="shared" si="19"/>
        <v>0</v>
      </c>
      <c r="O91" s="28">
        <v>1</v>
      </c>
      <c r="P91" s="28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COUNTIFS(E_Suivi_Eans!$C:$C,"07/2022",E_Suivi_Eans!$D:$D,"Ampoules",E_Suivi_Eans!$J:$J,"Retour OK",E_Suivi_Eans!$K:$K,"&gt;31/12/2021",E_Suivi_Eans!K:K,"&lt;01/12/2022")</f>
        <v>0</v>
      </c>
      <c r="D92" s="21">
        <f>COUNTIFS(E_Suivi_Eans!$C:$C,"07/2022",E_Suivi_Eans!$D:$D,"Ampoules",E_Suivi_Eans!$J:$J,"Rejet 0",E_Suivi_Eans!$K:$K,"&gt;31/12/2021",E_Suivi_Eans!$K:$K,"&lt;01/12/2022")+ COUNTIFS(E_Suivi_Eans!$C:$C,"07/2022",E_Suivi_Eans!$D:$D,"Ampoules",E_Suivi_Eans!$J:$J,"Rejet 1",E_Suivi_Eans!$K:$K,"&gt;31/12/2021",E_Suivi_Eans!$K:$K,"&lt;01/12/2022")+COUNTIFS(E_Suivi_Eans!$C:$C,"07/2022",E_Suivi_Eans!$D:$D,"Ampoules",E_Suivi_Eans!$J:$J,"Rejet 2",E_Suivi_Eans!$K:$K,"&gt;31/12/2021",E_Suivi_Eans!$K:$K,"&lt;01/12/2022")+COUNTIFS(E_Suivi_Eans!$C:$C,"07/2022",E_Suivi_Eans!$D:$D,"Ampoules",E_Suivi_Eans!$J:$J,"Rejet 3",E_Suivi_Eans!$K:$K,"&gt;31/12/2021",E_Suivi_Eans!$K:$K,"&lt;01/12/2022")+ COUNTIFS(E_Suivi_Eans!$C:$C,"07/2022",E_Suivi_Eans!$D:$D,"Ampoules",E_Suivi_Eans!$J:$J,"Rejet 4",E_Suivi_Eans!$K:$K,"&gt;31/12/2021",E_Suivi_Eans!$K:$K,"&lt;01/12/2022")+COUNTIFS(E_Suivi_Eans!$C:$C,"07/2022",E_Suivi_Eans!$D:$D,"Ampoules",E_Suivi_Eans!$J:$J,"Relance 1",E_Suivi_Eans!$K:$K,"&gt;31/12/2021",E_Suivi_Eans!$K:$K,"&lt;01/12/2022")+COUNTIFS(E_Suivi_Eans!$C:$C,"07/2022",E_Suivi_Eans!$D:$D,"Ampoules",E_Suivi_Eans!$J:$J,"Relance 2",E_Suivi_Eans!$K:$K,"&gt;31/12/2021",E_Suivi_Eans!$K:$K,"&lt;01/12/2022")+COUNTIFS(E_Suivi_Eans!$C:$C,"07/2022",E_Suivi_Eans!$D:$D,"Ampoules",E_Suivi_Eans!$J:$J,"Relance 3",E_Suivi_Eans!$K:$K,"&gt;31/12/2021",E_Suivi_Eans!$K:$K,"&lt;01/12/2022")</f>
        <v>2</v>
      </c>
      <c r="E92" s="21">
        <f>COUNTIFS(E_Suivi_Eans!$C:$C,"07/2022",E_Suivi_Eans!$D:$D,"Ampoules",E_Suivi_Eans!$J:$J,"Abandon",E_Suivi_Eans!$K:$K,"&gt;31/12/2021",E_Suivi_Eans!K:K,"&lt;01/12/2022")</f>
        <v>0</v>
      </c>
      <c r="F92" s="21">
        <f>COUNTIFS(E_Suivi_Eans!$C:$C,"07/2022",E_Suivi_Eans!$D:$D,"Ampoules")</f>
        <v>2</v>
      </c>
      <c r="G92" s="21">
        <f t="shared" si="21"/>
        <v>2</v>
      </c>
      <c r="J92" s="20" t="s">
        <v>5320</v>
      </c>
      <c r="K92" s="20" t="s">
        <v>5327</v>
      </c>
      <c r="L92" s="28">
        <f t="shared" si="19"/>
        <v>0</v>
      </c>
      <c r="M92" s="28">
        <f t="shared" si="19"/>
        <v>1</v>
      </c>
      <c r="N92" s="28">
        <f t="shared" si="19"/>
        <v>0</v>
      </c>
      <c r="O92" s="28">
        <v>1</v>
      </c>
      <c r="P92" s="28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8"/>
      <c r="P93" s="28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5"/>
      <c r="E94" s="25"/>
      <c r="F94" s="25"/>
      <c r="G94" s="25"/>
      <c r="J94" s="22"/>
      <c r="K94" s="22"/>
      <c r="L94" s="23"/>
      <c r="M94" s="25"/>
      <c r="N94" s="25"/>
      <c r="O94" s="31"/>
      <c r="P94" s="31"/>
      <c r="S94" s="22"/>
      <c r="T94" s="22"/>
      <c r="U94" s="23"/>
      <c r="V94" s="25"/>
      <c r="W94" s="25"/>
      <c r="X94" s="25"/>
      <c r="Y94" s="25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8"/>
      <c r="P95" s="28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8"/>
      <c r="P96" s="28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8"/>
      <c r="P97" s="28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8"/>
      <c r="P98" s="28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8"/>
      <c r="P99" s="28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8"/>
      <c r="P100" s="28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8"/>
      <c r="P101" s="28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COUNTIFS(E_Suivi_Eans!$C:$C,"08/2022",E_Suivi_Eans!$D:$D,"Ampoules",E_Suivi_Eans!$J:$J,"Retour OK",E_Suivi_Eans!$K:$K,"&gt;31/12/2021",E_Suivi_Eans!K:K,"&lt;01/09/2022")</f>
        <v>0</v>
      </c>
      <c r="D102" s="21">
        <f>COUNTIFS(E_Suivi_Eans!$C:$C,"08/2022",E_Suivi_Eans!$D:$D,"Ampoules",E_Suivi_Eans!$J:$J,"Rejet 0",E_Suivi_Eans!$K:$K,"&gt;31/12/2021",E_Suivi_Eans!$K:$K,"&lt;01/09/2022")+ COUNTIFS(E_Suivi_Eans!$C:$C,"08/2022",E_Suivi_Eans!$D:$D,"Ampoules",E_Suivi_Eans!$J:$J,"Rejet 1",E_Suivi_Eans!$K:$K,"&gt;31/12/2021",E_Suivi_Eans!$K:$K,"&lt;01/09/2022")+COUNTIFS(E_Suivi_Eans!$C:$C,"08/2022",E_Suivi_Eans!$D:$D,"Ampoules",E_Suivi_Eans!$J:$J,"Rejet 2",E_Suivi_Eans!$K:$K,"&gt;31/12/2021",E_Suivi_Eans!$K:$K,"&lt;01/09/2022")+COUNTIFS(E_Suivi_Eans!$C:$C,"08/2022",E_Suivi_Eans!$D:$D,"Ampoules",E_Suivi_Eans!$J:$J,"Rejet 3",E_Suivi_Eans!$K:$K,"&gt;31/12/2021",E_Suivi_Eans!$K:$K,"&lt;01/09/2022")+ COUNTIFS(E_Suivi_Eans!$C:$C,"08/2022",E_Suivi_Eans!$D:$D,"Ampoules",E_Suivi_Eans!$J:$J,"Rejet 4",E_Suivi_Eans!$K:$K,"&gt;31/12/2021",E_Suivi_Eans!$K:$K,"&lt;01/09/2022")+COUNTIFS(E_Suivi_Eans!$C:$C,"08/2022",E_Suivi_Eans!$D:$D,"Ampoules",E_Suivi_Eans!$J:$J,"Relance 1",E_Suivi_Eans!$K:$K,"&gt;31/12/2021",E_Suivi_Eans!$K:$K,"&lt;01/09/2022")+COUNTIFS(E_Suivi_Eans!$C:$C,"08/2022",E_Suivi_Eans!$D:$D,"Ampoules",E_Suivi_Eans!$J:$J,"Relance 2",E_Suivi_Eans!$K:$K,"&gt;31/12/2021",E_Suivi_Eans!$K:$K,"&lt;01/09/2022")+COUNTIFS(E_Suivi_Eans!$C:$C,"08/2022",E_Suivi_Eans!$D:$D,"Ampoules",E_Suivi_Eans!$J:$J,"Relance 3",E_Suivi_Eans!$K:$K,"&gt;31/12/2021",E_Suivi_Eans!$K:$K,"&lt;01/09/2022")</f>
        <v>0</v>
      </c>
      <c r="E102" s="21">
        <f>COUNTIFS(E_Suivi_Eans!$C:$C,"08/2022",E_Suivi_Eans!$D:$D,"Ampoules",E_Suivi_Eans!$J:$J,"Abandon",E_Suivi_Eans!$K:$K,"&gt;31/12/2021",E_Suivi_Eans!K:K,"&lt;01/09/2022")</f>
        <v>0</v>
      </c>
      <c r="F102" s="21">
        <f>COUNTIFS(E_Suivi_Eans!$C:$C,"08/2022",E_Suivi_Eans!$D:$D,"Ampoules")</f>
        <v>4</v>
      </c>
      <c r="G102" s="21">
        <f>F102-E102</f>
        <v>4</v>
      </c>
      <c r="J102" s="20" t="s">
        <v>5321</v>
      </c>
      <c r="K102" s="20" t="s">
        <v>5321</v>
      </c>
      <c r="L102" s="28">
        <f t="shared" ref="L102:N105" si="22">IF($G102=0,0,C102/$G102)</f>
        <v>0</v>
      </c>
      <c r="M102" s="28">
        <f t="shared" si="22"/>
        <v>0</v>
      </c>
      <c r="N102" s="28">
        <f t="shared" si="22"/>
        <v>0</v>
      </c>
      <c r="O102" s="28">
        <v>1</v>
      </c>
      <c r="P102" s="28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COUNTIFS(E_Suivi_Eans!$C:$C,"08/2022",E_Suivi_Eans!$D:$D,"Ampoules",E_Suivi_Eans!$J:$J,"Retour OK",E_Suivi_Eans!$K:$K,"&gt;31/12/2021",E_Suivi_Eans!K:K,"&lt;01/10/2022")</f>
        <v>0</v>
      </c>
      <c r="D103" s="21">
        <f>COUNTIFS(E_Suivi_Eans!$C:$C,"08/2022",E_Suivi_Eans!$D:$D,"Ampoules",E_Suivi_Eans!$J:$J,"Rejet 0",E_Suivi_Eans!$K:$K,"&gt;31/12/2021",E_Suivi_Eans!$K:$K,"&lt;01/10/2022")+ COUNTIFS(E_Suivi_Eans!$C:$C,"08/2022",E_Suivi_Eans!$D:$D,"Ampoules",E_Suivi_Eans!$J:$J,"Rejet 1",E_Suivi_Eans!$K:$K,"&gt;31/12/2021",E_Suivi_Eans!$K:$K,"&lt;01/10/2022")+COUNTIFS(E_Suivi_Eans!$C:$C,"08/2022",E_Suivi_Eans!$D:$D,"Ampoules",E_Suivi_Eans!$J:$J,"Rejet 2",E_Suivi_Eans!$K:$K,"&gt;31/12/2021",E_Suivi_Eans!$K:$K,"&lt;01/10/2022")+COUNTIFS(E_Suivi_Eans!$C:$C,"08/2022",E_Suivi_Eans!$D:$D,"Ampoules",E_Suivi_Eans!$J:$J,"Rejet 3",E_Suivi_Eans!$K:$K,"&gt;31/12/2021",E_Suivi_Eans!$K:$K,"&lt;01/10/2022")+ COUNTIFS(E_Suivi_Eans!$C:$C,"08/2022",E_Suivi_Eans!$D:$D,"Ampoules",E_Suivi_Eans!$J:$J,"Rejet 4",E_Suivi_Eans!$K:$K,"&gt;31/12/2021",E_Suivi_Eans!$K:$K,"&lt;01/10/2022")+COUNTIFS(E_Suivi_Eans!$C:$C,"08/2022",E_Suivi_Eans!$D:$D,"Ampoules",E_Suivi_Eans!$J:$J,"Relance 1",E_Suivi_Eans!$K:$K,"&gt;31/12/2021",E_Suivi_Eans!$K:$K,"&lt;01/10/2022")+COUNTIFS(E_Suivi_Eans!$C:$C,"08/2022",E_Suivi_Eans!$D:$D,"Ampoules",E_Suivi_Eans!$J:$J,"Relance 2",E_Suivi_Eans!$K:$K,"&gt;31/12/2021",E_Suivi_Eans!$K:$K,"&lt;01/10/2022")+COUNTIFS(E_Suivi_Eans!$C:$C,"08/2022",E_Suivi_Eans!$D:$D,"Ampoules",E_Suivi_Eans!$J:$J,"Relance 3",E_Suivi_Eans!$K:$K,"&gt;31/12/2021",E_Suivi_Eans!$K:$K,"&lt;01/10/2022")</f>
        <v>4</v>
      </c>
      <c r="E103" s="21">
        <f>COUNTIFS(E_Suivi_Eans!$C:$C,"08/2022",E_Suivi_Eans!$D:$D,"Ampoules",E_Suivi_Eans!$J:$J,"Abandon",E_Suivi_Eans!$K:$K,"&gt;31/12/2021",E_Suivi_Eans!K:K,"&lt;01/10/2022")</f>
        <v>0</v>
      </c>
      <c r="F103" s="21">
        <f>COUNTIFS(E_Suivi_Eans!$C:$C,"08/2022",E_Suivi_Eans!$D:$D,"Ampoules")</f>
        <v>4</v>
      </c>
      <c r="G103" s="21">
        <f t="shared" ref="G103:G105" si="24">F103-E103</f>
        <v>4</v>
      </c>
      <c r="J103" s="20" t="s">
        <v>5321</v>
      </c>
      <c r="K103" s="20" t="s">
        <v>5325</v>
      </c>
      <c r="L103" s="28">
        <f t="shared" si="22"/>
        <v>0</v>
      </c>
      <c r="M103" s="28">
        <f t="shared" si="22"/>
        <v>1</v>
      </c>
      <c r="N103" s="28">
        <f t="shared" si="22"/>
        <v>0</v>
      </c>
      <c r="O103" s="28">
        <v>1</v>
      </c>
      <c r="P103" s="28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COUNTIFS(E_Suivi_Eans!$C:$C,"08/2022",E_Suivi_Eans!$D:$D,"Ampoules",E_Suivi_Eans!$J:$J,"Retour OK",E_Suivi_Eans!$K:$K,"&gt;31/12/2021",E_Suivi_Eans!K:K,"&lt;01/11/2022")</f>
        <v>0</v>
      </c>
      <c r="D104" s="21">
        <f>COUNTIFS(E_Suivi_Eans!$C:$C,"08/2022",E_Suivi_Eans!$D:$D,"Ampoules",E_Suivi_Eans!$J:$J,"Rejet 0",E_Suivi_Eans!$K:$K,"&gt;31/12/2021",E_Suivi_Eans!$K:$K,"&lt;01/11/2022")+ COUNTIFS(E_Suivi_Eans!$C:$C,"08/2022",E_Suivi_Eans!$D:$D,"Ampoules",E_Suivi_Eans!$J:$J,"Rejet 1",E_Suivi_Eans!$K:$K,"&gt;31/12/2021",E_Suivi_Eans!$K:$K,"&lt;01/11/2022")+COUNTIFS(E_Suivi_Eans!$C:$C,"08/2022",E_Suivi_Eans!$D:$D,"Ampoules",E_Suivi_Eans!$J:$J,"Rejet 2",E_Suivi_Eans!$K:$K,"&gt;31/12/2021",E_Suivi_Eans!$K:$K,"&lt;01/11/2022")+COUNTIFS(E_Suivi_Eans!$C:$C,"08/2022",E_Suivi_Eans!$D:$D,"Ampoules",E_Suivi_Eans!$J:$J,"Rejet 3",E_Suivi_Eans!$K:$K,"&gt;31/12/2021",E_Suivi_Eans!$K:$K,"&lt;01/11/2022")+ COUNTIFS(E_Suivi_Eans!$C:$C,"08/2022",E_Suivi_Eans!$D:$D,"Ampoules",E_Suivi_Eans!$J:$J,"Rejet 4",E_Suivi_Eans!$K:$K,"&gt;31/12/2021",E_Suivi_Eans!$K:$K,"&lt;01/11/2022")+COUNTIFS(E_Suivi_Eans!$C:$C,"08/2022",E_Suivi_Eans!$D:$D,"Ampoules",E_Suivi_Eans!$J:$J,"Relance 1",E_Suivi_Eans!$K:$K,"&gt;31/12/2021",E_Suivi_Eans!$K:$K,"&lt;01/11/2022")+COUNTIFS(E_Suivi_Eans!$C:$C,"08/2022",E_Suivi_Eans!$D:$D,"Ampoules",E_Suivi_Eans!$J:$J,"Relance 2",E_Suivi_Eans!$K:$K,"&gt;31/12/2021",E_Suivi_Eans!$K:$K,"&lt;01/11/2022")+COUNTIFS(E_Suivi_Eans!$C:$C,"08/2022",E_Suivi_Eans!$D:$D,"Ampoules",E_Suivi_Eans!$J:$J,"Relance 3",E_Suivi_Eans!$K:$K,"&gt;31/12/2021",E_Suivi_Eans!$K:$K,"&lt;01/11/2022")</f>
        <v>4</v>
      </c>
      <c r="E104" s="21">
        <f>COUNTIFS(E_Suivi_Eans!$C:$C,"08/2022",E_Suivi_Eans!$D:$D,"Ampoules",E_Suivi_Eans!$J:$J,"Abandon",E_Suivi_Eans!$K:$K,"&gt;31/12/2021",E_Suivi_Eans!K:K,"&lt;01/11/2022")</f>
        <v>0</v>
      </c>
      <c r="F104" s="21">
        <f>COUNTIFS(E_Suivi_Eans!$C:$C,"08/2022",E_Suivi_Eans!$D:$D,"Ampoules")</f>
        <v>4</v>
      </c>
      <c r="G104" s="21">
        <f t="shared" si="24"/>
        <v>4</v>
      </c>
      <c r="J104" s="20" t="s">
        <v>5321</v>
      </c>
      <c r="K104" s="20" t="s">
        <v>5326</v>
      </c>
      <c r="L104" s="28">
        <f t="shared" si="22"/>
        <v>0</v>
      </c>
      <c r="M104" s="28">
        <f t="shared" si="22"/>
        <v>1</v>
      </c>
      <c r="N104" s="28">
        <f t="shared" si="22"/>
        <v>0</v>
      </c>
      <c r="O104" s="28">
        <v>1</v>
      </c>
      <c r="P104" s="28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COUNTIFS(E_Suivi_Eans!$C:$C,"08/2022",E_Suivi_Eans!$D:$D,"Ampoules",E_Suivi_Eans!$J:$J,"Retour OK",E_Suivi_Eans!$K:$K,"&gt;31/12/2021",E_Suivi_Eans!K:K,"&lt;01/12/2022")</f>
        <v>0</v>
      </c>
      <c r="D105" s="21">
        <f>COUNTIFS(E_Suivi_Eans!$C:$C,"08/2022",E_Suivi_Eans!$D:$D,"Ampoules",E_Suivi_Eans!$J:$J,"Rejet 0",E_Suivi_Eans!$K:$K,"&gt;31/12/2021",E_Suivi_Eans!$K:$K,"&lt;01/12/2022")+ COUNTIFS(E_Suivi_Eans!$C:$C,"08/2022",E_Suivi_Eans!$D:$D,"Ampoules",E_Suivi_Eans!$J:$J,"Rejet 1",E_Suivi_Eans!$K:$K,"&gt;31/12/2021",E_Suivi_Eans!$K:$K,"&lt;01/12/2022")+COUNTIFS(E_Suivi_Eans!$C:$C,"08/2022",E_Suivi_Eans!$D:$D,"Ampoules",E_Suivi_Eans!$J:$J,"Rejet 2",E_Suivi_Eans!$K:$K,"&gt;31/12/2021",E_Suivi_Eans!$K:$K,"&lt;01/12/2022")+COUNTIFS(E_Suivi_Eans!$C:$C,"08/2022",E_Suivi_Eans!$D:$D,"Ampoules",E_Suivi_Eans!$J:$J,"Rejet 3",E_Suivi_Eans!$K:$K,"&gt;31/12/2021",E_Suivi_Eans!$K:$K,"&lt;01/12/2022")+ COUNTIFS(E_Suivi_Eans!$C:$C,"08/2022",E_Suivi_Eans!$D:$D,"Ampoules",E_Suivi_Eans!$J:$J,"Rejet 4",E_Suivi_Eans!$K:$K,"&gt;31/12/2021",E_Suivi_Eans!$K:$K,"&lt;01/12/2022")+COUNTIFS(E_Suivi_Eans!$C:$C,"08/2022",E_Suivi_Eans!$D:$D,"Ampoules",E_Suivi_Eans!$J:$J,"Relance 1",E_Suivi_Eans!$K:$K,"&gt;31/12/2021",E_Suivi_Eans!$K:$K,"&lt;01/12/2022")+COUNTIFS(E_Suivi_Eans!$C:$C,"08/2022",E_Suivi_Eans!$D:$D,"Ampoules",E_Suivi_Eans!$J:$J,"Relance 2",E_Suivi_Eans!$K:$K,"&gt;31/12/2021",E_Suivi_Eans!$K:$K,"&lt;01/12/2022")+COUNTIFS(E_Suivi_Eans!$C:$C,"08/2022",E_Suivi_Eans!$D:$D,"Ampoules",E_Suivi_Eans!$J:$J,"Relance 3",E_Suivi_Eans!$K:$K,"&gt;31/12/2021",E_Suivi_Eans!$K:$K,"&lt;01/12/2022")</f>
        <v>4</v>
      </c>
      <c r="E105" s="21">
        <f>COUNTIFS(E_Suivi_Eans!$C:$C,"08/2022",E_Suivi_Eans!$D:$D,"Ampoules",E_Suivi_Eans!$J:$J,"Abandon",E_Suivi_Eans!$K:$K,"&gt;31/12/2021",E_Suivi_Eans!K:K,"&lt;01/12/2022")</f>
        <v>0</v>
      </c>
      <c r="F105" s="21">
        <f>COUNTIFS(E_Suivi_Eans!$C:$C,"08/2022",E_Suivi_Eans!$D:$D,"Ampoules")</f>
        <v>4</v>
      </c>
      <c r="G105" s="21">
        <f t="shared" si="24"/>
        <v>4</v>
      </c>
      <c r="J105" s="20" t="s">
        <v>5321</v>
      </c>
      <c r="K105" s="20" t="s">
        <v>5327</v>
      </c>
      <c r="L105" s="28">
        <f t="shared" si="22"/>
        <v>0</v>
      </c>
      <c r="M105" s="28">
        <f t="shared" si="22"/>
        <v>1</v>
      </c>
      <c r="N105" s="28">
        <f t="shared" si="22"/>
        <v>0</v>
      </c>
      <c r="O105" s="28">
        <v>1</v>
      </c>
      <c r="P105" s="28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8"/>
      <c r="P106" s="28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5"/>
      <c r="E107" s="25"/>
      <c r="F107" s="25"/>
      <c r="G107" s="25"/>
      <c r="J107" s="22"/>
      <c r="K107" s="22"/>
      <c r="L107" s="23"/>
      <c r="M107" s="25"/>
      <c r="N107" s="25"/>
      <c r="O107" s="31"/>
      <c r="P107" s="31"/>
      <c r="S107" s="22"/>
      <c r="T107" s="22"/>
      <c r="U107" s="23"/>
      <c r="V107" s="25"/>
      <c r="W107" s="25"/>
      <c r="X107" s="25"/>
      <c r="Y107" s="25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8"/>
      <c r="P108" s="28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8"/>
      <c r="P109" s="28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8"/>
      <c r="P110" s="28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8"/>
      <c r="P111" s="28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8"/>
      <c r="P112" s="28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8"/>
      <c r="P113" s="28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8"/>
      <c r="P114" s="28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8"/>
      <c r="P115" s="28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COUNTIFS(E_Suivi_Eans!$C:$C,"09/2022",E_Suivi_Eans!$D:$D,"Ampoules",E_Suivi_Eans!$J:$J,"Retour OK",E_Suivi_Eans!$K:$K,"&gt;31/12/2021",E_Suivi_Eans!K:K,"&lt;01/10/2022")</f>
        <v>0</v>
      </c>
      <c r="D116" s="21">
        <f>COUNTIFS(E_Suivi_Eans!$C:$C,"09/2022",E_Suivi_Eans!$D:$D,"Ampoules",E_Suivi_Eans!$J:$J,"Rejet 0",E_Suivi_Eans!$K:$K,"&gt;31/12/2021",E_Suivi_Eans!$K:$K,"&lt;01/10/2022")+ COUNTIFS(E_Suivi_Eans!$C:$C,"09/2022",E_Suivi_Eans!$D:$D,"Ampoules",E_Suivi_Eans!$J:$J,"Rejet 1",E_Suivi_Eans!$K:$K,"&gt;31/12/2021",E_Suivi_Eans!$K:$K,"&lt;01/10/2022")+COUNTIFS(E_Suivi_Eans!$C:$C,"09/2022",E_Suivi_Eans!$D:$D,"Ampoules",E_Suivi_Eans!$J:$J,"Rejet 2",E_Suivi_Eans!$K:$K,"&gt;31/12/2021",E_Suivi_Eans!$K:$K,"&lt;01/10/2022")+COUNTIFS(E_Suivi_Eans!$C:$C,"09/2022",E_Suivi_Eans!$D:$D,"Ampoules",E_Suivi_Eans!$J:$J,"Rejet 3",E_Suivi_Eans!$K:$K,"&gt;31/12/2021",E_Suivi_Eans!$K:$K,"&lt;01/10/2022")+ COUNTIFS(E_Suivi_Eans!$C:$C,"09/2022",E_Suivi_Eans!$D:$D,"Ampoules",E_Suivi_Eans!$J:$J,"Rejet 4",E_Suivi_Eans!$K:$K,"&gt;31/12/2021",E_Suivi_Eans!$K:$K,"&lt;01/10/2022")+COUNTIFS(E_Suivi_Eans!$C:$C,"09/2022",E_Suivi_Eans!$D:$D,"Ampoules",E_Suivi_Eans!$J:$J,"Relance 1",E_Suivi_Eans!$K:$K,"&gt;31/12/2021",E_Suivi_Eans!$K:$K,"&lt;01/10/2022")+COUNTIFS(E_Suivi_Eans!$C:$C,"09/2022",E_Suivi_Eans!$D:$D,"Ampoules",E_Suivi_Eans!$J:$J,"Relance 2",E_Suivi_Eans!$K:$K,"&gt;31/12/2021",E_Suivi_Eans!$K:$K,"&lt;01/10/2022")+COUNTIFS(E_Suivi_Eans!$C:$C,"09/2022",E_Suivi_Eans!$D:$D,"Ampoules",E_Suivi_Eans!$J:$J,"Relance 3",E_Suivi_Eans!$K:$K,"&gt;31/12/2021",E_Suivi_Eans!$K:$K,"&lt;01/10/2022")</f>
        <v>0</v>
      </c>
      <c r="E116" s="21">
        <f>COUNTIFS(E_Suivi_Eans!$C:$C,"09/2022",E_Suivi_Eans!$D:$D,"Ampoules",E_Suivi_Eans!$J:$J,"Abandon",E_Suivi_Eans!$K:$K,"&gt;31/12/2021",E_Suivi_Eans!K:K,"&lt;01/10/2022")</f>
        <v>0</v>
      </c>
      <c r="F116" s="21">
        <f>COUNTIFS(E_Suivi_Eans!$C:$C,"09/2022",E_Suivi_Eans!$D:$D,"Ampoules")</f>
        <v>0</v>
      </c>
      <c r="G116" s="21">
        <f t="shared" ref="G116:G118" si="25">F116-E116</f>
        <v>0</v>
      </c>
      <c r="J116" s="20" t="s">
        <v>5325</v>
      </c>
      <c r="K116" s="20" t="s">
        <v>5325</v>
      </c>
      <c r="L116" s="28">
        <f t="shared" ref="L116:N118" si="26">IF($G116=0,0,C116/$G116)</f>
        <v>0</v>
      </c>
      <c r="M116" s="28">
        <f t="shared" si="26"/>
        <v>0</v>
      </c>
      <c r="N116" s="28">
        <f t="shared" si="26"/>
        <v>0</v>
      </c>
      <c r="O116" s="28">
        <v>1</v>
      </c>
      <c r="P116" s="28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COUNTIFS(E_Suivi_Eans!$C:$C,"09/2022",E_Suivi_Eans!$D:$D,"Ampoules",E_Suivi_Eans!$J:$J,"Retour OK",E_Suivi_Eans!$K:$K,"&gt;31/12/2021",E_Suivi_Eans!K:K,"&lt;01/11/2022")</f>
        <v>0</v>
      </c>
      <c r="D117" s="21">
        <f>COUNTIFS(E_Suivi_Eans!$C:$C,"09/2022",E_Suivi_Eans!$D:$D,"Ampoules",E_Suivi_Eans!$J:$J,"Rejet 0",E_Suivi_Eans!$K:$K,"&gt;31/12/2021",E_Suivi_Eans!$K:$K,"&lt;01/11/2022")+ COUNTIFS(E_Suivi_Eans!$C:$C,"09/2022",E_Suivi_Eans!$D:$D,"Ampoules",E_Suivi_Eans!$J:$J,"Rejet 1",E_Suivi_Eans!$K:$K,"&gt;31/12/2021",E_Suivi_Eans!$K:$K,"&lt;01/11/2022")+COUNTIFS(E_Suivi_Eans!$C:$C,"09/2022",E_Suivi_Eans!$D:$D,"Ampoules",E_Suivi_Eans!$J:$J,"Rejet 2",E_Suivi_Eans!$K:$K,"&gt;31/12/2021",E_Suivi_Eans!$K:$K,"&lt;01/11/2022")+COUNTIFS(E_Suivi_Eans!$C:$C,"09/2022",E_Suivi_Eans!$D:$D,"Ampoules",E_Suivi_Eans!$J:$J,"Rejet 3",E_Suivi_Eans!$K:$K,"&gt;31/12/2021",E_Suivi_Eans!$K:$K,"&lt;01/11/2022")+ COUNTIFS(E_Suivi_Eans!$C:$C,"09/2022",E_Suivi_Eans!$D:$D,"Ampoules",E_Suivi_Eans!$J:$J,"Rejet 4",E_Suivi_Eans!$K:$K,"&gt;31/12/2021",E_Suivi_Eans!$K:$K,"&lt;01/11/2022")+COUNTIFS(E_Suivi_Eans!$C:$C,"09/2022",E_Suivi_Eans!$D:$D,"Ampoules",E_Suivi_Eans!$J:$J,"Relance 1",E_Suivi_Eans!$K:$K,"&gt;31/12/2021",E_Suivi_Eans!$K:$K,"&lt;01/11/2022")+COUNTIFS(E_Suivi_Eans!$C:$C,"09/2022",E_Suivi_Eans!$D:$D,"Ampoules",E_Suivi_Eans!$J:$J,"Relance 2",E_Suivi_Eans!$K:$K,"&gt;31/12/2021",E_Suivi_Eans!$K:$K,"&lt;01/11/2022")+COUNTIFS(E_Suivi_Eans!$C:$C,"09/2022",E_Suivi_Eans!$D:$D,"Ampoules",E_Suivi_Eans!$J:$J,"Relance 3",E_Suivi_Eans!$K:$K,"&gt;31/12/2021",E_Suivi_Eans!$K:$K,"&lt;01/11/2022")</f>
        <v>0</v>
      </c>
      <c r="E117" s="21">
        <f>COUNTIFS(E_Suivi_Eans!$C:$C,"09/2022",E_Suivi_Eans!$D:$D,"Ampoules",E_Suivi_Eans!$J:$J,"Abandon",E_Suivi_Eans!$K:$K,"&gt;31/12/2021",E_Suivi_Eans!K:K,"&lt;01/11/2022")</f>
        <v>0</v>
      </c>
      <c r="F117" s="21">
        <f>COUNTIFS(E_Suivi_Eans!$C:$C,"09/2022",E_Suivi_Eans!$D:$D,"Ampoules")</f>
        <v>0</v>
      </c>
      <c r="G117" s="21">
        <f t="shared" si="25"/>
        <v>0</v>
      </c>
      <c r="J117" s="20" t="s">
        <v>5325</v>
      </c>
      <c r="K117" s="20" t="s">
        <v>5326</v>
      </c>
      <c r="L117" s="28">
        <f t="shared" si="26"/>
        <v>0</v>
      </c>
      <c r="M117" s="28">
        <f t="shared" si="26"/>
        <v>0</v>
      </c>
      <c r="N117" s="28">
        <f t="shared" si="26"/>
        <v>0</v>
      </c>
      <c r="O117" s="28">
        <v>1</v>
      </c>
      <c r="P117" s="28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COUNTIFS(E_Suivi_Eans!$C:$C,"09/2022",E_Suivi_Eans!$D:$D,"Ampoules",E_Suivi_Eans!$J:$J,"Retour OK",E_Suivi_Eans!$K:$K,"&gt;31/12/2021",E_Suivi_Eans!K:K,"&lt;01/12/2022")</f>
        <v>0</v>
      </c>
      <c r="D118" s="21">
        <f>COUNTIFS(E_Suivi_Eans!$C:$C,"09/2022",E_Suivi_Eans!$D:$D,"Ampoules",E_Suivi_Eans!$J:$J,"Rejet 0",E_Suivi_Eans!$K:$K,"&gt;31/12/2021",E_Suivi_Eans!$K:$K,"&lt;01/12/2022")+ COUNTIFS(E_Suivi_Eans!$C:$C,"09/2022",E_Suivi_Eans!$D:$D,"Ampoules",E_Suivi_Eans!$J:$J,"Rejet 1",E_Suivi_Eans!$K:$K,"&gt;31/12/2021",E_Suivi_Eans!$K:$K,"&lt;01/12/2022")+COUNTIFS(E_Suivi_Eans!$C:$C,"09/2022",E_Suivi_Eans!$D:$D,"Ampoules",E_Suivi_Eans!$J:$J,"Rejet 2",E_Suivi_Eans!$K:$K,"&gt;31/12/2021",E_Suivi_Eans!$K:$K,"&lt;01/12/2022")+COUNTIFS(E_Suivi_Eans!$C:$C,"09/2022",E_Suivi_Eans!$D:$D,"Ampoules",E_Suivi_Eans!$J:$J,"Rejet 3",E_Suivi_Eans!$K:$K,"&gt;31/12/2021",E_Suivi_Eans!$K:$K,"&lt;01/12/2022")+ COUNTIFS(E_Suivi_Eans!$C:$C,"09/2022",E_Suivi_Eans!$D:$D,"Ampoules",E_Suivi_Eans!$J:$J,"Rejet 4",E_Suivi_Eans!$K:$K,"&gt;31/12/2021",E_Suivi_Eans!$K:$K,"&lt;01/12/2022")+COUNTIFS(E_Suivi_Eans!$C:$C,"09/2022",E_Suivi_Eans!$D:$D,"Ampoules",E_Suivi_Eans!$J:$J,"Relance 1",E_Suivi_Eans!$K:$K,"&gt;31/12/2021",E_Suivi_Eans!$K:$K,"&lt;01/12/2022")+COUNTIFS(E_Suivi_Eans!$C:$C,"09/2022",E_Suivi_Eans!$D:$D,"Ampoules",E_Suivi_Eans!$J:$J,"Relance 2",E_Suivi_Eans!$K:$K,"&gt;31/12/2021",E_Suivi_Eans!$K:$K,"&lt;01/12/2022")+COUNTIFS(E_Suivi_Eans!$C:$C,"09/2022",E_Suivi_Eans!$D:$D,"Ampoules",E_Suivi_Eans!$J:$J,"Relance 3",E_Suivi_Eans!$K:$K,"&gt;31/12/2021",E_Suivi_Eans!$K:$K,"&lt;01/12/2022")</f>
        <v>0</v>
      </c>
      <c r="E118" s="21">
        <f>COUNTIFS(E_Suivi_Eans!$C:$C,"09/2022",E_Suivi_Eans!$D:$D,"Ampoules",E_Suivi_Eans!$J:$J,"Abandon",E_Suivi_Eans!$K:$K,"&gt;31/12/2021",E_Suivi_Eans!K:K,"&lt;01/12/2022")</f>
        <v>0</v>
      </c>
      <c r="F118" s="21">
        <f>COUNTIFS(E_Suivi_Eans!$C:$C,"09/2022",E_Suivi_Eans!$D:$D,"Ampoules")</f>
        <v>0</v>
      </c>
      <c r="G118" s="21">
        <f t="shared" si="25"/>
        <v>0</v>
      </c>
      <c r="J118" s="20" t="s">
        <v>5325</v>
      </c>
      <c r="K118" s="20" t="s">
        <v>5327</v>
      </c>
      <c r="L118" s="28">
        <f t="shared" si="26"/>
        <v>0</v>
      </c>
      <c r="M118" s="28">
        <f t="shared" si="26"/>
        <v>0</v>
      </c>
      <c r="N118" s="28">
        <f t="shared" si="26"/>
        <v>0</v>
      </c>
      <c r="O118" s="28">
        <v>1</v>
      </c>
      <c r="P118" s="28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8"/>
      <c r="P119" s="28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5"/>
      <c r="E120" s="25"/>
      <c r="F120" s="25"/>
      <c r="G120" s="25"/>
      <c r="J120" s="22"/>
      <c r="K120" s="22"/>
      <c r="L120" s="23"/>
      <c r="M120" s="25"/>
      <c r="N120" s="25"/>
      <c r="O120" s="31"/>
      <c r="P120" s="31"/>
      <c r="S120" s="22"/>
      <c r="T120" s="22"/>
      <c r="U120" s="23"/>
      <c r="V120" s="25"/>
      <c r="W120" s="25"/>
      <c r="X120" s="25"/>
      <c r="Y120" s="25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8"/>
      <c r="P121" s="28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8"/>
      <c r="P122" s="28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8"/>
      <c r="P123" s="28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8"/>
      <c r="P124" s="28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8"/>
      <c r="P125" s="28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8"/>
      <c r="P126" s="28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8"/>
      <c r="P127" s="28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8"/>
      <c r="P128" s="28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8"/>
      <c r="P129" s="28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COUNTIFS(E_Suivi_Eans!$C:$C,"10/2022",E_Suivi_Eans!$D:$D,"Ampoules",E_Suivi_Eans!$J:$J,"Retour OK",E_Suivi_Eans!$K:$K,"&gt;31/12/2021",E_Suivi_Eans!K:K,"&lt;01/11/2022")</f>
        <v>0</v>
      </c>
      <c r="D130" s="21">
        <f>COUNTIFS(E_Suivi_Eans!$C:$C,"10/2022",E_Suivi_Eans!$D:$D,"Ampoules",E_Suivi_Eans!$J:$J,"Rejet 0",E_Suivi_Eans!$K:$K,"&gt;31/12/2021",E_Suivi_Eans!$K:$K,"&lt;01/11/2022")+ COUNTIFS(E_Suivi_Eans!$C:$C,"10/2022",E_Suivi_Eans!$D:$D,"Ampoules",E_Suivi_Eans!$J:$J,"Rejet 1",E_Suivi_Eans!$K:$K,"&gt;31/12/2021",E_Suivi_Eans!$K:$K,"&lt;01/11/2022")+COUNTIFS(E_Suivi_Eans!$C:$C,"10/2022",E_Suivi_Eans!$D:$D,"Ampoules",E_Suivi_Eans!$J:$J,"Rejet 2",E_Suivi_Eans!$K:$K,"&gt;31/12/2021",E_Suivi_Eans!$K:$K,"&lt;01/11/2022")+COUNTIFS(E_Suivi_Eans!$C:$C,"10/2022",E_Suivi_Eans!$D:$D,"Ampoules",E_Suivi_Eans!$J:$J,"Rejet 3",E_Suivi_Eans!$K:$K,"&gt;31/12/2021",E_Suivi_Eans!$K:$K,"&lt;01/11/2022")+ COUNTIFS(E_Suivi_Eans!$C:$C,"10/2022",E_Suivi_Eans!$D:$D,"Ampoules",E_Suivi_Eans!$J:$J,"Rejet 4",E_Suivi_Eans!$K:$K,"&gt;31/12/2021",E_Suivi_Eans!$K:$K,"&lt;01/11/2022")+COUNTIFS(E_Suivi_Eans!$C:$C,"10/2022",E_Suivi_Eans!$D:$D,"Ampoules",E_Suivi_Eans!$J:$J,"Relance 1",E_Suivi_Eans!$K:$K,"&gt;31/12/2021",E_Suivi_Eans!$K:$K,"&lt;01/11/2022")+COUNTIFS(E_Suivi_Eans!$C:$C,"10/2022",E_Suivi_Eans!$D:$D,"Ampoules",E_Suivi_Eans!$J:$J,"Relance 2",E_Suivi_Eans!$K:$K,"&gt;31/12/2021",E_Suivi_Eans!$K:$K,"&lt;01/11/2022")+COUNTIFS(E_Suivi_Eans!$C:$C,"10/2022",E_Suivi_Eans!$D:$D,"Ampoules",E_Suivi_Eans!$J:$J,"Relance 3",E_Suivi_Eans!$K:$K,"&gt;31/12/2021",E_Suivi_Eans!$K:$K,"&lt;01/11/2022")</f>
        <v>0</v>
      </c>
      <c r="E130" s="21">
        <f>COUNTIFS(E_Suivi_Eans!$C:$C,"10/2022",E_Suivi_Eans!$D:$D,"Ampoules",E_Suivi_Eans!$J:$J,"Abandon",E_Suivi_Eans!$K:$K,"&gt;31/12/2021",E_Suivi_Eans!K:K,"&lt;01/11/2022")</f>
        <v>0</v>
      </c>
      <c r="F130" s="21">
        <f>COUNTIFS(E_Suivi_Eans!$C:$C,"10/2022",E_Suivi_Eans!$D:$D,"Ampoules")</f>
        <v>0</v>
      </c>
      <c r="G130" s="21">
        <f>F130-E130</f>
        <v>0</v>
      </c>
      <c r="J130" s="20" t="s">
        <v>5326</v>
      </c>
      <c r="K130" s="20" t="s">
        <v>5326</v>
      </c>
      <c r="L130" s="28">
        <f t="shared" ref="L130:N131" si="28">IF($G130=0,0,C130/$G130)</f>
        <v>0</v>
      </c>
      <c r="M130" s="28">
        <f t="shared" si="28"/>
        <v>0</v>
      </c>
      <c r="N130" s="28">
        <f t="shared" si="28"/>
        <v>0</v>
      </c>
      <c r="O130" s="28">
        <v>1</v>
      </c>
      <c r="P130" s="28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COUNTIFS(E_Suivi_Eans!$C:$C,"10/2022",E_Suivi_Eans!$D:$D,"Ampoules",E_Suivi_Eans!$J:$J,"Retour OK",E_Suivi_Eans!$K:$K,"&gt;31/12/2021",E_Suivi_Eans!K:K,"&lt;01/12/2022")</f>
        <v>0</v>
      </c>
      <c r="D131" s="21">
        <f>COUNTIFS(E_Suivi_Eans!$C:$C,"10/2022",E_Suivi_Eans!$D:$D,"Ampoules",E_Suivi_Eans!$J:$J,"Rejet 0",E_Suivi_Eans!$K:$K,"&gt;31/12/2021",E_Suivi_Eans!$K:$K,"&lt;01/12/2022")+ COUNTIFS(E_Suivi_Eans!$C:$C,"10/2022",E_Suivi_Eans!$D:$D,"Ampoules",E_Suivi_Eans!$J:$J,"Rejet 1",E_Suivi_Eans!$K:$K,"&gt;31/12/2021",E_Suivi_Eans!$K:$K,"&lt;01/12/2022")+COUNTIFS(E_Suivi_Eans!$C:$C,"10/2022",E_Suivi_Eans!$D:$D,"Ampoules",E_Suivi_Eans!$J:$J,"Rejet 2",E_Suivi_Eans!$K:$K,"&gt;31/12/2021",E_Suivi_Eans!$K:$K,"&lt;01/12/2022")+COUNTIFS(E_Suivi_Eans!$C:$C,"10/2022",E_Suivi_Eans!$D:$D,"Ampoules",E_Suivi_Eans!$J:$J,"Rejet 3",E_Suivi_Eans!$K:$K,"&gt;31/12/2021",E_Suivi_Eans!$K:$K,"&lt;01/12/2022")+ COUNTIFS(E_Suivi_Eans!$C:$C,"10/2022",E_Suivi_Eans!$D:$D,"Ampoules",E_Suivi_Eans!$J:$J,"Rejet 4",E_Suivi_Eans!$K:$K,"&gt;31/12/2021",E_Suivi_Eans!$K:$K,"&lt;01/12/2022")+COUNTIFS(E_Suivi_Eans!$C:$C,"10/2022",E_Suivi_Eans!$D:$D,"Ampoules",E_Suivi_Eans!$J:$J,"Relance 1",E_Suivi_Eans!$K:$K,"&gt;31/12/2021",E_Suivi_Eans!$K:$K,"&lt;01/12/2022")+COUNTIFS(E_Suivi_Eans!$C:$C,"10/2022",E_Suivi_Eans!$D:$D,"Ampoules",E_Suivi_Eans!$J:$J,"Relance 2",E_Suivi_Eans!$K:$K,"&gt;31/12/2021",E_Suivi_Eans!$K:$K,"&lt;01/12/2022")+COUNTIFS(E_Suivi_Eans!$C:$C,"10/2022",E_Suivi_Eans!$D:$D,"Ampoules",E_Suivi_Eans!$J:$J,"Relance 3",E_Suivi_Eans!$K:$K,"&gt;31/12/2021",E_Suivi_Eans!$K:$K,"&lt;01/12/2022")</f>
        <v>0</v>
      </c>
      <c r="E131" s="21">
        <f>COUNTIFS(E_Suivi_Eans!$C:$C,"10/2022",E_Suivi_Eans!$D:$D,"Ampoules",E_Suivi_Eans!$J:$J,"Abandon",E_Suivi_Eans!$K:$K,"&gt;31/12/2021",E_Suivi_Eans!K:K,"&lt;01/12/2022")</f>
        <v>0</v>
      </c>
      <c r="F131" s="21">
        <f>COUNTIFS(E_Suivi_Eans!$C:$C,"10/2022",E_Suivi_Eans!$D:$D,"Ampoules")</f>
        <v>0</v>
      </c>
      <c r="G131" s="21">
        <f t="shared" ref="G131" si="30">F131-E131</f>
        <v>0</v>
      </c>
      <c r="J131" s="20" t="s">
        <v>5326</v>
      </c>
      <c r="K131" s="20" t="s">
        <v>5327</v>
      </c>
      <c r="L131" s="28">
        <f t="shared" si="28"/>
        <v>0</v>
      </c>
      <c r="M131" s="28">
        <f t="shared" si="28"/>
        <v>0</v>
      </c>
      <c r="N131" s="28">
        <f t="shared" si="28"/>
        <v>0</v>
      </c>
      <c r="O131" s="28">
        <v>1</v>
      </c>
      <c r="P131" s="28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8"/>
      <c r="P132" s="28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5"/>
      <c r="E133" s="25"/>
      <c r="F133" s="25"/>
      <c r="G133" s="25"/>
      <c r="J133" s="22"/>
      <c r="K133" s="22"/>
      <c r="L133" s="23"/>
      <c r="M133" s="25"/>
      <c r="N133" s="25"/>
      <c r="O133" s="31"/>
      <c r="P133" s="31"/>
      <c r="S133" s="22"/>
      <c r="T133" s="22"/>
      <c r="U133" s="23"/>
      <c r="V133" s="25"/>
      <c r="W133" s="25"/>
      <c r="X133" s="25"/>
      <c r="Y133" s="25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8"/>
      <c r="P134" s="28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8"/>
      <c r="P135" s="28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8"/>
      <c r="P136" s="28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8"/>
      <c r="P137" s="28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8"/>
      <c r="P138" s="28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8"/>
      <c r="P139" s="28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8"/>
      <c r="P140" s="28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8"/>
      <c r="P141" s="28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8"/>
      <c r="P142" s="28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8"/>
      <c r="P143" s="28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COUNTIFS(E_Suivi_Eans!$C:$C,"11/2022",E_Suivi_Eans!$D:$D,"Ampoules",E_Suivi_Eans!$J:$J,"Retour OK",E_Suivi_Eans!$K:$K,"&gt;31/12/2021",E_Suivi_Eans!K:K,"&lt;01/12/2022")</f>
        <v>0</v>
      </c>
      <c r="D144" s="21">
        <f>COUNTIFS(E_Suivi_Eans!$C:$C,"11/2022",E_Suivi_Eans!$D:$D,"Ampoules",E_Suivi_Eans!$J:$J,"Rejet 0",E_Suivi_Eans!$K:$K,"&gt;31/12/2021",E_Suivi_Eans!$K:$K,"&lt;01/12/2022")+ COUNTIFS(E_Suivi_Eans!$C:$C,"11/2022",E_Suivi_Eans!$D:$D,"Ampoules",E_Suivi_Eans!$J:$J,"Rejet 1",E_Suivi_Eans!$K:$K,"&gt;31/12/2021",E_Suivi_Eans!$K:$K,"&lt;01/12/2022")+COUNTIFS(E_Suivi_Eans!$C:$C,"11/2022",E_Suivi_Eans!$D:$D,"Ampoules",E_Suivi_Eans!$J:$J,"Rejet 2",E_Suivi_Eans!$K:$K,"&gt;31/12/2021",E_Suivi_Eans!$K:$K,"&lt;01/12/2022")+COUNTIFS(E_Suivi_Eans!$C:$C,"11/2022",E_Suivi_Eans!$D:$D,"Ampoules",E_Suivi_Eans!$J:$J,"Rejet 3",E_Suivi_Eans!$K:$K,"&gt;31/12/2021",E_Suivi_Eans!$K:$K,"&lt;01/12/2022")+ COUNTIFS(E_Suivi_Eans!$C:$C,"11/2022",E_Suivi_Eans!$D:$D,"Ampoules",E_Suivi_Eans!$J:$J,"Rejet 4",E_Suivi_Eans!$K:$K,"&gt;31/12/2021",E_Suivi_Eans!$K:$K,"&lt;01/12/2022")+COUNTIFS(E_Suivi_Eans!$C:$C,"11/2022",E_Suivi_Eans!$D:$D,"Ampoules",E_Suivi_Eans!$J:$J,"Relance 1",E_Suivi_Eans!$K:$K,"&gt;31/12/2021",E_Suivi_Eans!$K:$K,"&lt;01/12/2022")+COUNTIFS(E_Suivi_Eans!$C:$C,"11/2022",E_Suivi_Eans!$D:$D,"Ampoules",E_Suivi_Eans!$J:$J,"Relance 2",E_Suivi_Eans!$K:$K,"&gt;31/12/2021",E_Suivi_Eans!$K:$K,"&lt;01/12/2022")+COUNTIFS(E_Suivi_Eans!$C:$C,"11/2022",E_Suivi_Eans!$D:$D,"Ampoules",E_Suivi_Eans!$J:$J,"Relance 3",E_Suivi_Eans!$K:$K,"&gt;31/12/2021",E_Suivi_Eans!$K:$K,"&lt;01/12/2022")</f>
        <v>0</v>
      </c>
      <c r="E144" s="21">
        <f>COUNTIFS(E_Suivi_Eans!$C:$C,"11/2022",E_Suivi_Eans!$D:$D,"Ampoules",E_Suivi_Eans!$J:$J,"Abandon",E_Suivi_Eans!$K:$K,"&gt;31/12/2021",E_Suivi_Eans!K:K,"&lt;01/12/2022")</f>
        <v>0</v>
      </c>
      <c r="F144" s="21">
        <f>COUNTIFS(E_Suivi_Eans!$C:$C,"11/2022",E_Suivi_Eans!$D:$D,"Ampoules")</f>
        <v>0</v>
      </c>
      <c r="G144" s="21">
        <f>F144-E144</f>
        <v>0</v>
      </c>
      <c r="J144" s="20" t="s">
        <v>5327</v>
      </c>
      <c r="K144" s="20" t="s">
        <v>5327</v>
      </c>
      <c r="L144" s="28">
        <f>IF($G144=0,0,C144/$G144)</f>
        <v>0</v>
      </c>
      <c r="M144" s="28">
        <f t="shared" ref="M144:N144" si="31">IF($G144=0,0,D144/$G144)</f>
        <v>0</v>
      </c>
      <c r="N144" s="28">
        <f t="shared" si="31"/>
        <v>0</v>
      </c>
      <c r="O144" s="28">
        <v>1</v>
      </c>
      <c r="P144" s="28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8"/>
      <c r="P145" s="28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5"/>
      <c r="E146" s="25"/>
      <c r="F146" s="25"/>
      <c r="G146" s="25"/>
      <c r="J146" s="22"/>
      <c r="K146" s="22"/>
      <c r="L146" s="23"/>
      <c r="M146" s="25"/>
      <c r="N146" s="25"/>
      <c r="O146" s="31"/>
      <c r="P146" s="31"/>
      <c r="S146" s="22"/>
      <c r="T146" s="22"/>
      <c r="U146" s="23"/>
      <c r="V146" s="25"/>
      <c r="W146" s="25"/>
      <c r="X146" s="25"/>
      <c r="Y146" s="25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8"/>
      <c r="M147" s="28"/>
      <c r="N147" s="28"/>
      <c r="O147" s="28"/>
      <c r="P147" s="28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8"/>
      <c r="P148" s="28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8"/>
      <c r="P149" s="28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8"/>
      <c r="P150" s="28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8"/>
      <c r="P151" s="28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8"/>
      <c r="P152" s="28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8"/>
      <c r="P153" s="28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8"/>
      <c r="P154" s="28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8"/>
      <c r="P155" s="28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8"/>
      <c r="P156" s="28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8"/>
      <c r="P157" s="28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8"/>
      <c r="P158" s="28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5"/>
      <c r="E159" s="25"/>
      <c r="F159" s="25"/>
      <c r="G159" s="25"/>
      <c r="J159" s="22"/>
      <c r="K159" s="22"/>
      <c r="L159" s="23"/>
      <c r="M159" s="25"/>
      <c r="N159" s="25"/>
      <c r="O159" s="31"/>
      <c r="P159" s="31"/>
      <c r="S159" s="22"/>
      <c r="T159" s="22"/>
      <c r="U159" s="23"/>
      <c r="V159" s="25"/>
      <c r="W159" s="25"/>
      <c r="X159" s="25"/>
      <c r="Y159" s="25"/>
    </row>
    <row r="160" spans="1:25">
      <c r="A160" s="27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7" t="s">
        <v>5396</v>
      </c>
      <c r="K160" s="20" t="s">
        <v>5314</v>
      </c>
      <c r="L160" s="28">
        <f t="shared" ref="L160:N170" si="35">IF($G160=0,0,C160/$G160)</f>
        <v>0</v>
      </c>
      <c r="M160" s="28">
        <f t="shared" si="35"/>
        <v>0</v>
      </c>
      <c r="N160" s="28">
        <f t="shared" si="35"/>
        <v>0</v>
      </c>
      <c r="O160" s="28">
        <v>1</v>
      </c>
      <c r="P160" s="28">
        <f t="shared" ref="P160:P170" si="36">O160-N160</f>
        <v>1</v>
      </c>
      <c r="S160" s="27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7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7" t="s">
        <v>5396</v>
      </c>
      <c r="K161" s="20" t="s">
        <v>5315</v>
      </c>
      <c r="L161" s="28">
        <f t="shared" si="35"/>
        <v>0</v>
      </c>
      <c r="M161" s="28">
        <f t="shared" si="35"/>
        <v>0</v>
      </c>
      <c r="N161" s="28">
        <f t="shared" si="35"/>
        <v>0</v>
      </c>
      <c r="O161" s="28">
        <v>1</v>
      </c>
      <c r="P161" s="28">
        <f t="shared" si="36"/>
        <v>1</v>
      </c>
      <c r="S161" s="27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7" t="s">
        <v>5396</v>
      </c>
      <c r="B162" s="20" t="s">
        <v>5316</v>
      </c>
      <c r="C162" s="21">
        <f t="shared" si="37"/>
        <v>1</v>
      </c>
      <c r="D162" s="21">
        <f t="shared" si="37"/>
        <v>0</v>
      </c>
      <c r="E162" s="21">
        <f t="shared" si="37"/>
        <v>0</v>
      </c>
      <c r="F162" s="21">
        <f t="shared" si="37"/>
        <v>34</v>
      </c>
      <c r="G162" s="21">
        <f t="shared" si="34"/>
        <v>34</v>
      </c>
      <c r="J162" s="27" t="s">
        <v>5396</v>
      </c>
      <c r="K162" s="20" t="s">
        <v>5316</v>
      </c>
      <c r="L162" s="28">
        <f t="shared" si="35"/>
        <v>2.9411764705882353E-2</v>
      </c>
      <c r="M162" s="28">
        <f t="shared" si="35"/>
        <v>0</v>
      </c>
      <c r="N162" s="28">
        <f t="shared" si="35"/>
        <v>0</v>
      </c>
      <c r="O162" s="28">
        <v>1</v>
      </c>
      <c r="P162" s="28">
        <f t="shared" si="36"/>
        <v>1</v>
      </c>
      <c r="S162" s="27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7" t="s">
        <v>5396</v>
      </c>
      <c r="B163" s="20" t="s">
        <v>5317</v>
      </c>
      <c r="C163" s="21">
        <f t="shared" si="37"/>
        <v>112</v>
      </c>
      <c r="D163" s="21">
        <f t="shared" si="37"/>
        <v>1</v>
      </c>
      <c r="E163" s="21">
        <f t="shared" si="37"/>
        <v>0</v>
      </c>
      <c r="F163" s="21">
        <f t="shared" si="37"/>
        <v>323</v>
      </c>
      <c r="G163" s="21">
        <f t="shared" si="34"/>
        <v>323</v>
      </c>
      <c r="J163" s="27" t="s">
        <v>5396</v>
      </c>
      <c r="K163" s="20" t="s">
        <v>5317</v>
      </c>
      <c r="L163" s="28">
        <f t="shared" si="35"/>
        <v>0.34674922600619196</v>
      </c>
      <c r="M163" s="28">
        <f t="shared" si="35"/>
        <v>3.0959752321981426E-3</v>
      </c>
      <c r="N163" s="28">
        <f t="shared" si="35"/>
        <v>0</v>
      </c>
      <c r="O163" s="28">
        <v>1</v>
      </c>
      <c r="P163" s="28">
        <f>O163-N163</f>
        <v>1</v>
      </c>
      <c r="S163" s="27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7" t="s">
        <v>5396</v>
      </c>
      <c r="B164" s="20" t="s">
        <v>5318</v>
      </c>
      <c r="C164" s="21">
        <f t="shared" si="37"/>
        <v>114</v>
      </c>
      <c r="D164" s="21">
        <f t="shared" si="37"/>
        <v>27</v>
      </c>
      <c r="E164" s="21">
        <f t="shared" si="37"/>
        <v>0</v>
      </c>
      <c r="F164" s="21">
        <f t="shared" si="37"/>
        <v>323</v>
      </c>
      <c r="G164" s="21">
        <f t="shared" si="34"/>
        <v>323</v>
      </c>
      <c r="J164" s="27" t="s">
        <v>5396</v>
      </c>
      <c r="K164" s="20" t="s">
        <v>5318</v>
      </c>
      <c r="L164" s="28">
        <f t="shared" si="35"/>
        <v>0.35294117647058826</v>
      </c>
      <c r="M164" s="28">
        <f t="shared" si="35"/>
        <v>8.3591331269349839E-2</v>
      </c>
      <c r="N164" s="28">
        <f t="shared" si="35"/>
        <v>0</v>
      </c>
      <c r="O164" s="28">
        <v>1</v>
      </c>
      <c r="P164" s="28">
        <f t="shared" si="36"/>
        <v>1</v>
      </c>
      <c r="S164" s="27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7" t="s">
        <v>5396</v>
      </c>
      <c r="B165" s="20" t="s">
        <v>5319</v>
      </c>
      <c r="C165" s="21">
        <f t="shared" si="37"/>
        <v>114</v>
      </c>
      <c r="D165" s="21">
        <f t="shared" si="37"/>
        <v>27</v>
      </c>
      <c r="E165" s="21">
        <f t="shared" si="37"/>
        <v>0</v>
      </c>
      <c r="F165" s="21">
        <f t="shared" si="37"/>
        <v>337</v>
      </c>
      <c r="G165" s="21">
        <f t="shared" si="34"/>
        <v>337</v>
      </c>
      <c r="I165" s="33"/>
      <c r="J165" s="27" t="s">
        <v>5396</v>
      </c>
      <c r="K165" s="20" t="s">
        <v>5319</v>
      </c>
      <c r="L165" s="28">
        <f t="shared" si="35"/>
        <v>0.33827893175074186</v>
      </c>
      <c r="M165" s="28">
        <f t="shared" si="35"/>
        <v>8.0118694362017809E-2</v>
      </c>
      <c r="N165" s="28">
        <f t="shared" si="35"/>
        <v>0</v>
      </c>
      <c r="O165" s="28">
        <v>1</v>
      </c>
      <c r="P165" s="28">
        <f t="shared" si="36"/>
        <v>1</v>
      </c>
      <c r="S165" s="27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7" t="s">
        <v>5396</v>
      </c>
      <c r="B166" s="20" t="s">
        <v>5320</v>
      </c>
      <c r="C166" s="21">
        <f t="shared" si="37"/>
        <v>114</v>
      </c>
      <c r="D166" s="21">
        <f t="shared" si="37"/>
        <v>27</v>
      </c>
      <c r="E166" s="21">
        <f t="shared" si="37"/>
        <v>0</v>
      </c>
      <c r="F166" s="21">
        <f t="shared" si="37"/>
        <v>339</v>
      </c>
      <c r="G166" s="21">
        <f t="shared" si="34"/>
        <v>339</v>
      </c>
      <c r="J166" s="27" t="s">
        <v>5396</v>
      </c>
      <c r="K166" s="20" t="s">
        <v>5320</v>
      </c>
      <c r="L166" s="28">
        <f t="shared" si="35"/>
        <v>0.33628318584070799</v>
      </c>
      <c r="M166" s="28">
        <f t="shared" si="35"/>
        <v>7.9646017699115043E-2</v>
      </c>
      <c r="N166" s="28">
        <f t="shared" si="35"/>
        <v>0</v>
      </c>
      <c r="O166" s="28">
        <v>1</v>
      </c>
      <c r="P166" s="28">
        <f t="shared" si="36"/>
        <v>1</v>
      </c>
      <c r="S166" s="27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7" t="s">
        <v>5396</v>
      </c>
      <c r="B167" s="20" t="s">
        <v>5321</v>
      </c>
      <c r="C167" s="21">
        <f t="shared" si="37"/>
        <v>131</v>
      </c>
      <c r="D167" s="21">
        <f t="shared" si="37"/>
        <v>27</v>
      </c>
      <c r="E167" s="21">
        <f t="shared" si="37"/>
        <v>0</v>
      </c>
      <c r="F167" s="21">
        <f t="shared" si="37"/>
        <v>343</v>
      </c>
      <c r="G167" s="21">
        <f t="shared" si="34"/>
        <v>343</v>
      </c>
      <c r="J167" s="27" t="s">
        <v>5396</v>
      </c>
      <c r="K167" s="20" t="s">
        <v>5321</v>
      </c>
      <c r="L167" s="28">
        <f t="shared" si="35"/>
        <v>0.38192419825072887</v>
      </c>
      <c r="M167" s="28">
        <f t="shared" si="35"/>
        <v>7.8717201166180764E-2</v>
      </c>
      <c r="N167" s="28">
        <f t="shared" si="35"/>
        <v>0</v>
      </c>
      <c r="O167" s="28">
        <v>1</v>
      </c>
      <c r="P167" s="28">
        <f t="shared" si="36"/>
        <v>1</v>
      </c>
      <c r="S167" s="27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7" t="s">
        <v>5396</v>
      </c>
      <c r="B168" s="20" t="s">
        <v>5325</v>
      </c>
      <c r="C168" s="21">
        <f t="shared" si="37"/>
        <v>171</v>
      </c>
      <c r="D168" s="21">
        <f t="shared" si="37"/>
        <v>33</v>
      </c>
      <c r="E168" s="21">
        <f t="shared" si="37"/>
        <v>0</v>
      </c>
      <c r="F168" s="21">
        <f t="shared" si="37"/>
        <v>343</v>
      </c>
      <c r="G168" s="21">
        <f t="shared" si="34"/>
        <v>343</v>
      </c>
      <c r="J168" s="27" t="s">
        <v>5396</v>
      </c>
      <c r="K168" s="20" t="s">
        <v>5325</v>
      </c>
      <c r="L168" s="28">
        <f t="shared" si="35"/>
        <v>0.49854227405247814</v>
      </c>
      <c r="M168" s="28">
        <f t="shared" si="35"/>
        <v>9.6209912536443148E-2</v>
      </c>
      <c r="N168" s="28">
        <f t="shared" si="35"/>
        <v>0</v>
      </c>
      <c r="O168" s="28">
        <v>1</v>
      </c>
      <c r="P168" s="28">
        <f t="shared" si="36"/>
        <v>1</v>
      </c>
      <c r="S168" s="27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7" t="s">
        <v>5396</v>
      </c>
      <c r="B169" s="20" t="s">
        <v>5326</v>
      </c>
      <c r="C169" s="21">
        <f t="shared" si="37"/>
        <v>243</v>
      </c>
      <c r="D169" s="21">
        <f t="shared" si="37"/>
        <v>33</v>
      </c>
      <c r="E169" s="21">
        <f t="shared" si="37"/>
        <v>0</v>
      </c>
      <c r="F169" s="21">
        <f t="shared" si="37"/>
        <v>343</v>
      </c>
      <c r="G169" s="21">
        <f t="shared" si="34"/>
        <v>343</v>
      </c>
      <c r="J169" s="27" t="s">
        <v>5396</v>
      </c>
      <c r="K169" s="20" t="s">
        <v>5326</v>
      </c>
      <c r="L169" s="28">
        <f t="shared" si="35"/>
        <v>0.70845481049562686</v>
      </c>
      <c r="M169" s="28">
        <f t="shared" si="35"/>
        <v>9.6209912536443148E-2</v>
      </c>
      <c r="N169" s="28">
        <f t="shared" si="35"/>
        <v>0</v>
      </c>
      <c r="O169" s="28">
        <v>1</v>
      </c>
      <c r="P169" s="28">
        <f t="shared" si="36"/>
        <v>1</v>
      </c>
      <c r="S169" s="27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7" t="s">
        <v>5396</v>
      </c>
      <c r="B170" s="20" t="s">
        <v>5327</v>
      </c>
      <c r="C170" s="21">
        <f t="shared" si="37"/>
        <v>310</v>
      </c>
      <c r="D170" s="21">
        <f t="shared" si="37"/>
        <v>33</v>
      </c>
      <c r="E170" s="21">
        <f t="shared" si="37"/>
        <v>0</v>
      </c>
      <c r="F170" s="21">
        <f t="shared" si="37"/>
        <v>343</v>
      </c>
      <c r="G170" s="21">
        <f t="shared" si="34"/>
        <v>343</v>
      </c>
      <c r="I170" s="33"/>
      <c r="J170" s="27" t="s">
        <v>5396</v>
      </c>
      <c r="K170" s="20" t="s">
        <v>5327</v>
      </c>
      <c r="L170" s="28">
        <f t="shared" si="35"/>
        <v>0.90379008746355682</v>
      </c>
      <c r="M170" s="28">
        <f t="shared" si="35"/>
        <v>9.6209912536443148E-2</v>
      </c>
      <c r="N170" s="28">
        <f t="shared" si="35"/>
        <v>0</v>
      </c>
      <c r="O170" s="28">
        <v>1</v>
      </c>
      <c r="P170" s="28">
        <f t="shared" si="36"/>
        <v>1</v>
      </c>
      <c r="S170" s="27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7" t="s">
        <v>5396</v>
      </c>
      <c r="B171" s="20" t="s">
        <v>5328</v>
      </c>
      <c r="C171" s="21"/>
      <c r="D171" s="21"/>
      <c r="E171" s="21"/>
      <c r="F171" s="21"/>
      <c r="G171" s="21"/>
      <c r="J171" s="27" t="s">
        <v>5396</v>
      </c>
      <c r="K171" s="20" t="s">
        <v>5328</v>
      </c>
      <c r="L171" s="21"/>
      <c r="M171" s="21"/>
      <c r="N171" s="21"/>
      <c r="O171" s="28"/>
      <c r="P171" s="28"/>
      <c r="S171" s="27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J2:K2"/>
    <mergeCell ref="A2:B2"/>
    <mergeCell ref="S2:T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E_Suivi_Eans</vt:lpstr>
      <vt:lpstr>Fournisseur</vt:lpstr>
      <vt:lpstr>Eco DDS</vt:lpstr>
      <vt:lpstr>Graphiques DDS</vt:lpstr>
      <vt:lpstr>Eco mobilier</vt:lpstr>
      <vt:lpstr>Graphiques Eco mobilier</vt:lpstr>
      <vt:lpstr>DEEE</vt:lpstr>
      <vt:lpstr>Graphiques DEEE</vt:lpstr>
      <vt:lpstr>Ampoules</vt:lpstr>
      <vt:lpstr>Graphiques Ampoules</vt:lpstr>
      <vt:lpstr>Copie Privée</vt:lpstr>
      <vt:lpstr>Graphiques Copie Privée</vt:lpstr>
      <vt:lpstr>Boissons</vt:lpstr>
      <vt:lpstr>Graphiques Boissons</vt:lpstr>
      <vt:lpstr>Emballages</vt:lpstr>
      <vt:lpstr>Graphiques Emballages</vt:lpstr>
      <vt:lpstr>Economat</vt:lpstr>
      <vt:lpstr>Graphiques Economat</vt:lpstr>
    </vt:vector>
  </TitlesOfParts>
  <Company>Carrefour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ROCHARD Rosine</dc:creator>
  <cp:lastModifiedBy>menjaouy</cp:lastModifiedBy>
  <dcterms:created xsi:type="dcterms:W3CDTF">2022-11-10T13:39:04Z</dcterms:created>
  <dcterms:modified xsi:type="dcterms:W3CDTF">2022-11-30T11:26:54Z</dcterms:modified>
</cp:coreProperties>
</file>